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https://d.docs.live.net/186593bc330ab858/Cambridge PhD/Thesis/8 Corrections/Files to Upload/To Github/Manuscript Variant Workbooks/"/>
    </mc:Choice>
  </mc:AlternateContent>
  <xr:revisionPtr revIDLastSave="632" documentId="8_{EF385ACB-72A7-4E04-8977-FA4FC6A9FEBD}" xr6:coauthVersionLast="47" xr6:coauthVersionMax="47" xr10:uidLastSave="{3C7A2156-BB49-4815-A86F-314C54FE41FC}"/>
  <bookViews>
    <workbookView xWindow="-110" yWindow="-110" windowWidth="25820" windowHeight="15500" xr2:uid="{5BB4D106-A247-41F8-A104-83D51E35EC09}"/>
  </bookViews>
  <sheets>
    <sheet name="Unfiltered Data" sheetId="5" r:id="rId1"/>
    <sheet name="Gen-filters" sheetId="8" r:id="rId2"/>
    <sheet name="AddOmits" sheetId="11" r:id="rId3"/>
    <sheet name="WF_AO_LM" sheetId="14" r:id="rId4"/>
    <sheet name="WF_AO_HM" sheetId="13" r:id="rId5"/>
    <sheet name="WF_SUB" sheetId="15" r:id="rId6"/>
    <sheet name="Harmonization" sheetId="16" r:id="rId7"/>
    <sheet name="Gen-filters_2" sheetId="24" r:id="rId8"/>
    <sheet name="AddOmits_2" sheetId="19" r:id="rId9"/>
    <sheet name="WF_AO_LM_2" sheetId="21" r:id="rId10"/>
    <sheet name="WF_AO_HM_2" sheetId="20" r:id="rId11"/>
    <sheet name="WF_SUB_2" sheetId="22" r:id="rId12"/>
    <sheet name="Harmonization_2" sheetId="23" r:id="rId13"/>
    <sheet name="Gen-Error-Rates" sheetId="17" r:id="rId14"/>
    <sheet name="Corrections" sheetId="25" r:id="rId15"/>
    <sheet name="Data Regularization" sheetId="3" r:id="rId16"/>
  </sheets>
  <definedNames>
    <definedName name="_xlnm._FilterDatabase" localSheetId="2" hidden="1">AddOmits!$A$1:$AE$44</definedName>
    <definedName name="_xlnm._FilterDatabase" localSheetId="1" hidden="1">'Gen-filters'!$A$1:$AE$84</definedName>
    <definedName name="_xlnm._FilterDatabase" localSheetId="6" hidden="1">Harmonization!$A$1:$AE$20</definedName>
    <definedName name="_xlnm._FilterDatabase" localSheetId="0" hidden="1">'Unfiltered Data'!$A$1:$AH$252</definedName>
    <definedName name="_xlnm._FilterDatabase" localSheetId="3" hidden="1">WF_AO_LM!$A$1:$AE$25</definedName>
    <definedName name="_xlnm._FilterDatabase" localSheetId="5" hidden="1">WF_SUB!$A$1:$AH$15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5" l="1"/>
  <c r="B11" i="25"/>
  <c r="B10" i="25"/>
  <c r="B4" i="25"/>
  <c r="B3" i="25"/>
  <c r="T3" i="15"/>
  <c r="U3" i="15"/>
  <c r="T4" i="15"/>
  <c r="U4" i="15"/>
  <c r="V4" i="15"/>
  <c r="T5" i="15"/>
  <c r="U5" i="15"/>
  <c r="V5" i="15"/>
  <c r="T6" i="15"/>
  <c r="U6" i="15"/>
  <c r="T7" i="15"/>
  <c r="U7" i="15"/>
  <c r="T8" i="15"/>
  <c r="U8" i="15"/>
  <c r="V8" i="15"/>
  <c r="T9" i="15"/>
  <c r="U9" i="15"/>
  <c r="V9" i="15"/>
  <c r="T10" i="15"/>
  <c r="U10" i="15"/>
  <c r="V10" i="15"/>
  <c r="T11" i="15"/>
  <c r="U11" i="15"/>
  <c r="V11" i="15"/>
  <c r="T12" i="15"/>
  <c r="U12" i="15"/>
  <c r="V12" i="15"/>
  <c r="T13" i="15"/>
  <c r="U13" i="15"/>
  <c r="V13" i="15"/>
  <c r="T14" i="15"/>
  <c r="U14" i="15"/>
  <c r="V14" i="15" s="1"/>
  <c r="T15" i="15"/>
  <c r="U15" i="15"/>
  <c r="V15" i="15"/>
  <c r="U2" i="15"/>
  <c r="T2" i="15"/>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Q3" i="11"/>
  <c r="Q2" i="11"/>
  <c r="E14" i="23"/>
  <c r="E13" i="23"/>
  <c r="E15" i="23" s="1"/>
  <c r="E31" i="22"/>
  <c r="E20" i="22"/>
  <c r="E19" i="22"/>
  <c r="E16" i="22"/>
  <c r="E15" i="22"/>
  <c r="E17" i="22" s="1"/>
  <c r="E37" i="15"/>
  <c r="E34" i="21"/>
  <c r="E33" i="21"/>
  <c r="E32" i="21"/>
  <c r="Q2" i="20"/>
  <c r="E6" i="20" s="1"/>
  <c r="E13" i="20" s="1"/>
  <c r="E83" i="19"/>
  <c r="D83" i="19"/>
  <c r="E82" i="19"/>
  <c r="D82" i="19"/>
  <c r="E81" i="19"/>
  <c r="D81" i="19"/>
  <c r="E80" i="19"/>
  <c r="D80" i="19"/>
  <c r="E79" i="19"/>
  <c r="D79" i="19"/>
  <c r="E75" i="19"/>
  <c r="D75" i="19"/>
  <c r="E74" i="19"/>
  <c r="D74" i="19"/>
  <c r="E73" i="19"/>
  <c r="D73" i="19"/>
  <c r="E68" i="19"/>
  <c r="D68" i="19"/>
  <c r="E67" i="19"/>
  <c r="D67" i="19"/>
  <c r="E62" i="19"/>
  <c r="D62" i="19"/>
  <c r="F62" i="19" s="1"/>
  <c r="E61" i="19"/>
  <c r="D61" i="19"/>
  <c r="E56" i="19"/>
  <c r="D56" i="19"/>
  <c r="E55" i="19"/>
  <c r="D55" i="19"/>
  <c r="F48" i="19"/>
  <c r="F47" i="19"/>
  <c r="F43" i="19"/>
  <c r="F42" i="19"/>
  <c r="F38" i="19"/>
  <c r="F37" i="19"/>
  <c r="F39" i="19" s="1"/>
  <c r="F73" i="19" l="1"/>
  <c r="F44" i="19"/>
  <c r="D11" i="25"/>
  <c r="E57" i="19"/>
  <c r="V7" i="15"/>
  <c r="D10" i="25"/>
  <c r="D12" i="25"/>
  <c r="B5" i="25"/>
  <c r="V6" i="15"/>
  <c r="V3" i="15"/>
  <c r="F80" i="19"/>
  <c r="F49" i="19"/>
  <c r="V2" i="15"/>
  <c r="F68" i="19"/>
  <c r="F79" i="19"/>
  <c r="F74" i="19"/>
  <c r="F55" i="19"/>
  <c r="F67" i="19"/>
  <c r="F75" i="19"/>
  <c r="F82" i="19"/>
  <c r="F81" i="19"/>
  <c r="F56" i="19"/>
  <c r="F61" i="19"/>
  <c r="F63" i="19" s="1"/>
  <c r="F83" i="19"/>
  <c r="E9" i="20"/>
  <c r="E10" i="20"/>
  <c r="E12" i="20"/>
  <c r="E14" i="20" s="1"/>
  <c r="D57" i="19"/>
  <c r="F57" i="19" s="1"/>
  <c r="B3" i="17"/>
  <c r="B6" i="17" s="1"/>
  <c r="B2" i="17"/>
  <c r="B5" i="17" s="1"/>
  <c r="F50" i="19" l="1"/>
  <c r="E11" i="20"/>
  <c r="E15" i="20" s="1"/>
  <c r="C11" i="25"/>
  <c r="C12" i="25"/>
  <c r="C10" i="25"/>
  <c r="F69" i="19"/>
  <c r="E28" i="22"/>
  <c r="E27" i="22"/>
  <c r="E23" i="22"/>
  <c r="E24" i="22"/>
  <c r="E24" i="16"/>
  <c r="E23" i="16"/>
  <c r="E25" i="16" s="1"/>
  <c r="E34" i="15" l="1"/>
  <c r="E33" i="15"/>
  <c r="E30" i="15" l="1"/>
  <c r="E29" i="15"/>
  <c r="E26" i="15"/>
  <c r="E25" i="15"/>
  <c r="E22" i="15"/>
  <c r="E21" i="15"/>
  <c r="E42" i="14"/>
  <c r="E41" i="14"/>
  <c r="E40" i="14"/>
  <c r="E29" i="14"/>
  <c r="E36" i="14" s="1"/>
  <c r="E6" i="13"/>
  <c r="E13" i="13" s="1"/>
  <c r="V246" i="5"/>
  <c r="U246" i="5"/>
  <c r="V245" i="5"/>
  <c r="U245" i="5"/>
  <c r="V244" i="5"/>
  <c r="U244" i="5"/>
  <c r="V243" i="5"/>
  <c r="U243" i="5"/>
  <c r="V241" i="5"/>
  <c r="U241" i="5"/>
  <c r="V240" i="5"/>
  <c r="U240" i="5"/>
  <c r="V239" i="5"/>
  <c r="U239" i="5"/>
  <c r="V238" i="5"/>
  <c r="U238" i="5"/>
  <c r="V237" i="5"/>
  <c r="U237" i="5"/>
  <c r="V235" i="5"/>
  <c r="U235" i="5"/>
  <c r="V234" i="5"/>
  <c r="U234" i="5"/>
  <c r="V233" i="5"/>
  <c r="U233" i="5"/>
  <c r="V232" i="5"/>
  <c r="U232" i="5"/>
  <c r="V231" i="5"/>
  <c r="U231" i="5"/>
  <c r="V230" i="5"/>
  <c r="U230" i="5"/>
  <c r="V229" i="5"/>
  <c r="U229" i="5"/>
  <c r="V228" i="5"/>
  <c r="U228" i="5"/>
  <c r="V227" i="5"/>
  <c r="U227" i="5"/>
  <c r="V226" i="5"/>
  <c r="U226" i="5"/>
  <c r="V225" i="5"/>
  <c r="U225" i="5"/>
  <c r="V223" i="5"/>
  <c r="U223" i="5"/>
  <c r="V221" i="5"/>
  <c r="U221" i="5"/>
  <c r="V220" i="5"/>
  <c r="U220" i="5"/>
  <c r="V219" i="5"/>
  <c r="U219" i="5"/>
  <c r="V218" i="5"/>
  <c r="U218" i="5"/>
  <c r="V217" i="5"/>
  <c r="U217" i="5"/>
  <c r="V216" i="5"/>
  <c r="U216" i="5"/>
  <c r="V215" i="5"/>
  <c r="U215" i="5"/>
  <c r="V213" i="5"/>
  <c r="U213" i="5"/>
  <c r="V211" i="5"/>
  <c r="U211" i="5"/>
  <c r="V210" i="5"/>
  <c r="U210" i="5"/>
  <c r="V209" i="5"/>
  <c r="U209" i="5"/>
  <c r="V208" i="5"/>
  <c r="U208" i="5"/>
  <c r="V207" i="5"/>
  <c r="U207" i="5"/>
  <c r="V206" i="5"/>
  <c r="U206" i="5"/>
  <c r="V205" i="5"/>
  <c r="U205" i="5"/>
  <c r="V204" i="5"/>
  <c r="U204" i="5"/>
  <c r="V203" i="5"/>
  <c r="U203" i="5"/>
  <c r="V202" i="5"/>
  <c r="U202" i="5"/>
  <c r="V201" i="5"/>
  <c r="U201" i="5"/>
  <c r="V200" i="5"/>
  <c r="U200" i="5"/>
  <c r="V199" i="5"/>
  <c r="U199" i="5"/>
  <c r="V198" i="5"/>
  <c r="U198" i="5"/>
  <c r="V197" i="5"/>
  <c r="U197" i="5"/>
  <c r="V196" i="5"/>
  <c r="U196" i="5"/>
  <c r="V195" i="5"/>
  <c r="U195" i="5"/>
  <c r="V194" i="5"/>
  <c r="U194" i="5"/>
  <c r="V193" i="5"/>
  <c r="U193" i="5"/>
  <c r="V192" i="5"/>
  <c r="U192" i="5"/>
  <c r="V189" i="5"/>
  <c r="U189" i="5"/>
  <c r="V188" i="5"/>
  <c r="U188" i="5"/>
  <c r="V187" i="5"/>
  <c r="U187" i="5"/>
  <c r="V186" i="5"/>
  <c r="U186" i="5"/>
  <c r="V185" i="5"/>
  <c r="U185" i="5"/>
  <c r="V184" i="5"/>
  <c r="U184" i="5"/>
  <c r="V183" i="5"/>
  <c r="U183" i="5"/>
  <c r="V182" i="5"/>
  <c r="U182" i="5"/>
  <c r="V181" i="5"/>
  <c r="U181" i="5"/>
  <c r="V179" i="5"/>
  <c r="U179" i="5"/>
  <c r="V178" i="5"/>
  <c r="U178" i="5"/>
  <c r="V177" i="5"/>
  <c r="U177" i="5"/>
  <c r="V176" i="5"/>
  <c r="U176" i="5"/>
  <c r="V175" i="5"/>
  <c r="U175" i="5"/>
  <c r="V174" i="5"/>
  <c r="U174" i="5"/>
  <c r="V173" i="5"/>
  <c r="U173" i="5"/>
  <c r="V172" i="5"/>
  <c r="U172" i="5"/>
  <c r="V171" i="5"/>
  <c r="U171" i="5"/>
  <c r="V170" i="5"/>
  <c r="U170" i="5"/>
  <c r="V169" i="5"/>
  <c r="U169" i="5"/>
  <c r="V168" i="5"/>
  <c r="U168" i="5"/>
  <c r="V167" i="5"/>
  <c r="U167" i="5"/>
  <c r="V166" i="5"/>
  <c r="U166" i="5"/>
  <c r="V164" i="5"/>
  <c r="U164" i="5"/>
  <c r="V163" i="5"/>
  <c r="U163" i="5"/>
  <c r="V162" i="5"/>
  <c r="U162" i="5"/>
  <c r="V161" i="5"/>
  <c r="U161" i="5"/>
  <c r="V160" i="5"/>
  <c r="U160" i="5"/>
  <c r="V158" i="5"/>
  <c r="U158" i="5"/>
  <c r="V157" i="5"/>
  <c r="U157" i="5"/>
  <c r="V156" i="5"/>
  <c r="U156" i="5"/>
  <c r="V155" i="5"/>
  <c r="U155" i="5"/>
  <c r="V154" i="5"/>
  <c r="U154" i="5"/>
  <c r="V153" i="5"/>
  <c r="U153" i="5"/>
  <c r="V152" i="5"/>
  <c r="U152" i="5"/>
  <c r="V151" i="5"/>
  <c r="U151" i="5"/>
  <c r="V149" i="5"/>
  <c r="U149" i="5"/>
  <c r="V148" i="5"/>
  <c r="U148" i="5"/>
  <c r="V147" i="5"/>
  <c r="U147" i="5"/>
  <c r="V146" i="5"/>
  <c r="U146" i="5"/>
  <c r="V145" i="5"/>
  <c r="U145" i="5"/>
  <c r="V144" i="5"/>
  <c r="U144" i="5"/>
  <c r="V143" i="5"/>
  <c r="U143" i="5"/>
  <c r="V142" i="5"/>
  <c r="U142" i="5"/>
  <c r="V141" i="5"/>
  <c r="U141" i="5"/>
  <c r="V140" i="5"/>
  <c r="U140" i="5"/>
  <c r="V139" i="5"/>
  <c r="U139" i="5"/>
  <c r="V137" i="5"/>
  <c r="U137" i="5"/>
  <c r="V136" i="5"/>
  <c r="U136" i="5"/>
  <c r="V135" i="5"/>
  <c r="U135" i="5"/>
  <c r="V134" i="5"/>
  <c r="U134" i="5"/>
  <c r="V133" i="5"/>
  <c r="U133" i="5"/>
  <c r="V131" i="5"/>
  <c r="U131" i="5"/>
  <c r="V127" i="5"/>
  <c r="U127" i="5"/>
  <c r="V126" i="5"/>
  <c r="U126" i="5"/>
  <c r="V124" i="5"/>
  <c r="U124" i="5"/>
  <c r="V123" i="5"/>
  <c r="U123" i="5"/>
  <c r="V121" i="5"/>
  <c r="U121" i="5"/>
  <c r="V120" i="5"/>
  <c r="U120" i="5"/>
  <c r="V119" i="5"/>
  <c r="U119" i="5"/>
  <c r="V118" i="5"/>
  <c r="U118" i="5"/>
  <c r="V117" i="5"/>
  <c r="U117" i="5"/>
  <c r="V116" i="5"/>
  <c r="U116" i="5"/>
  <c r="V115" i="5"/>
  <c r="U115" i="5"/>
  <c r="V114" i="5"/>
  <c r="U114" i="5"/>
  <c r="V113" i="5"/>
  <c r="U113" i="5"/>
  <c r="V112" i="5"/>
  <c r="U112" i="5"/>
  <c r="V111" i="5"/>
  <c r="U111" i="5"/>
  <c r="V110" i="5"/>
  <c r="U110" i="5"/>
  <c r="V109" i="5"/>
  <c r="U109" i="5"/>
  <c r="V107" i="5"/>
  <c r="U107" i="5"/>
  <c r="V106" i="5"/>
  <c r="U106" i="5"/>
  <c r="V105" i="5"/>
  <c r="U105" i="5"/>
  <c r="V104" i="5"/>
  <c r="U104" i="5"/>
  <c r="V103" i="5"/>
  <c r="U103" i="5"/>
  <c r="V102" i="5"/>
  <c r="U102" i="5"/>
  <c r="V101" i="5"/>
  <c r="U101" i="5"/>
  <c r="V100" i="5"/>
  <c r="U100" i="5"/>
  <c r="V99" i="5"/>
  <c r="U99" i="5"/>
  <c r="V98" i="5"/>
  <c r="U98" i="5"/>
  <c r="V97" i="5"/>
  <c r="U97" i="5"/>
  <c r="V96" i="5"/>
  <c r="U96" i="5"/>
  <c r="V95" i="5"/>
  <c r="U95" i="5"/>
  <c r="V94" i="5"/>
  <c r="U94" i="5"/>
  <c r="V93" i="5"/>
  <c r="U93" i="5"/>
  <c r="V92" i="5"/>
  <c r="U92" i="5"/>
  <c r="V91" i="5"/>
  <c r="U91" i="5"/>
  <c r="V90" i="5"/>
  <c r="U90" i="5"/>
  <c r="V88" i="5"/>
  <c r="U88" i="5"/>
  <c r="V87" i="5"/>
  <c r="U87" i="5"/>
  <c r="V86" i="5"/>
  <c r="U86" i="5"/>
  <c r="V85" i="5"/>
  <c r="U85" i="5"/>
  <c r="V83" i="5"/>
  <c r="U83" i="5"/>
  <c r="V82" i="5"/>
  <c r="U82" i="5"/>
  <c r="V81" i="5"/>
  <c r="U81" i="5"/>
  <c r="V80" i="5"/>
  <c r="U80" i="5"/>
  <c r="V79" i="5"/>
  <c r="U79" i="5"/>
  <c r="V78" i="5"/>
  <c r="U78" i="5"/>
  <c r="V77" i="5"/>
  <c r="U77" i="5"/>
  <c r="V76" i="5"/>
  <c r="U76" i="5"/>
  <c r="V75" i="5"/>
  <c r="U75" i="5"/>
  <c r="V74" i="5"/>
  <c r="U74" i="5"/>
  <c r="V73" i="5"/>
  <c r="U73" i="5"/>
  <c r="V72" i="5"/>
  <c r="U72" i="5"/>
  <c r="V71" i="5"/>
  <c r="U71" i="5"/>
  <c r="V70" i="5"/>
  <c r="U70" i="5"/>
  <c r="V69" i="5"/>
  <c r="U69" i="5"/>
  <c r="V68" i="5"/>
  <c r="U68" i="5"/>
  <c r="V67" i="5"/>
  <c r="U67" i="5"/>
  <c r="V66" i="5"/>
  <c r="U66" i="5"/>
  <c r="V65" i="5"/>
  <c r="U65" i="5"/>
  <c r="V64" i="5"/>
  <c r="U64" i="5"/>
  <c r="V62" i="5"/>
  <c r="U62" i="5"/>
  <c r="V61" i="5"/>
  <c r="U61" i="5"/>
  <c r="V59" i="5"/>
  <c r="U59" i="5"/>
  <c r="V58" i="5"/>
  <c r="U58" i="5"/>
  <c r="V57" i="5"/>
  <c r="U57" i="5"/>
  <c r="V56" i="5"/>
  <c r="U56" i="5"/>
  <c r="V55" i="5"/>
  <c r="U55" i="5"/>
  <c r="V54" i="5"/>
  <c r="U54" i="5"/>
  <c r="V53" i="5"/>
  <c r="U53" i="5"/>
  <c r="V52" i="5"/>
  <c r="U52" i="5"/>
  <c r="V51" i="5"/>
  <c r="U51" i="5"/>
  <c r="V50" i="5"/>
  <c r="U50" i="5"/>
  <c r="V49" i="5"/>
  <c r="U49" i="5"/>
  <c r="V48" i="5"/>
  <c r="U48" i="5"/>
  <c r="V47" i="5"/>
  <c r="U47" i="5"/>
  <c r="V46" i="5"/>
  <c r="U46" i="5"/>
  <c r="V45" i="5"/>
  <c r="U45" i="5"/>
  <c r="V44" i="5"/>
  <c r="U44" i="5"/>
  <c r="V43" i="5"/>
  <c r="U43" i="5"/>
  <c r="V42" i="5"/>
  <c r="U42" i="5"/>
  <c r="V41" i="5"/>
  <c r="U41" i="5"/>
  <c r="V39" i="5"/>
  <c r="U39" i="5"/>
  <c r="V38" i="5"/>
  <c r="U38" i="5"/>
  <c r="V37" i="5"/>
  <c r="U37" i="5"/>
  <c r="V36" i="5"/>
  <c r="U36" i="5"/>
  <c r="V35" i="5"/>
  <c r="U35" i="5"/>
  <c r="V34" i="5"/>
  <c r="U34" i="5"/>
  <c r="V32" i="5"/>
  <c r="U32" i="5"/>
  <c r="V31" i="5"/>
  <c r="U31" i="5"/>
  <c r="V30" i="5"/>
  <c r="U30" i="5"/>
  <c r="V29" i="5"/>
  <c r="U29" i="5"/>
  <c r="V28" i="5"/>
  <c r="U28" i="5"/>
  <c r="V27" i="5"/>
  <c r="U27" i="5"/>
  <c r="V26" i="5"/>
  <c r="U26" i="5"/>
  <c r="V25" i="5"/>
  <c r="U25" i="5"/>
  <c r="V24" i="5"/>
  <c r="U24" i="5"/>
  <c r="V23" i="5"/>
  <c r="U23" i="5"/>
  <c r="V22" i="5"/>
  <c r="U22" i="5"/>
  <c r="V21" i="5"/>
  <c r="U21" i="5"/>
  <c r="V20" i="5"/>
  <c r="U20" i="5"/>
  <c r="V19" i="5"/>
  <c r="U19" i="5"/>
  <c r="V18" i="5"/>
  <c r="U18" i="5"/>
  <c r="V17" i="5"/>
  <c r="U17" i="5"/>
  <c r="V16" i="5"/>
  <c r="U16" i="5"/>
  <c r="V15" i="5"/>
  <c r="U15" i="5"/>
  <c r="V14" i="5"/>
  <c r="U14" i="5"/>
  <c r="V13" i="5"/>
  <c r="U13" i="5"/>
  <c r="V11" i="5"/>
  <c r="U11" i="5"/>
  <c r="V10" i="5"/>
  <c r="U10" i="5"/>
  <c r="V9" i="5"/>
  <c r="U9" i="5"/>
  <c r="V8" i="5"/>
  <c r="U8" i="5"/>
  <c r="V7" i="5"/>
  <c r="U7" i="5"/>
  <c r="V6" i="5"/>
  <c r="U6" i="5"/>
  <c r="V5" i="5"/>
  <c r="U5" i="5"/>
  <c r="V4" i="5"/>
  <c r="U4" i="5"/>
  <c r="V3" i="5"/>
  <c r="U3" i="5"/>
  <c r="V2" i="5"/>
  <c r="U2" i="5"/>
  <c r="E93" i="11"/>
  <c r="D93" i="11"/>
  <c r="E92" i="11"/>
  <c r="D92" i="11"/>
  <c r="E91" i="11"/>
  <c r="D91" i="11"/>
  <c r="E90" i="11"/>
  <c r="D90" i="11"/>
  <c r="E89" i="11"/>
  <c r="D89" i="11"/>
  <c r="E23" i="15" l="1"/>
  <c r="E10" i="13"/>
  <c r="E12" i="13"/>
  <c r="E14" i="13" s="1"/>
  <c r="E9" i="13"/>
  <c r="E11" i="13" s="1"/>
  <c r="E15" i="13" s="1"/>
  <c r="E32" i="14"/>
  <c r="E34" i="14" s="1"/>
  <c r="E33" i="14"/>
  <c r="E35" i="14"/>
  <c r="E37" i="14" s="1"/>
  <c r="F90" i="11"/>
  <c r="F93" i="11"/>
  <c r="F91" i="11"/>
  <c r="F92" i="11"/>
  <c r="F89" i="11"/>
  <c r="E85" i="11"/>
  <c r="E84" i="11"/>
  <c r="D85" i="11"/>
  <c r="D84" i="11"/>
  <c r="E83" i="11"/>
  <c r="D83" i="11"/>
  <c r="F84" i="11" l="1"/>
  <c r="F85" i="11"/>
  <c r="F83" i="11"/>
  <c r="E78" i="11"/>
  <c r="D78" i="11"/>
  <c r="E77" i="11"/>
  <c r="D77" i="11"/>
  <c r="F77" i="11" l="1"/>
  <c r="F78" i="11"/>
  <c r="E72" i="11"/>
  <c r="D72" i="11"/>
  <c r="E71" i="11"/>
  <c r="D71" i="11"/>
  <c r="E66" i="11"/>
  <c r="D66" i="11"/>
  <c r="E65" i="11"/>
  <c r="D65" i="11"/>
  <c r="F79" i="11" l="1"/>
  <c r="F66" i="11"/>
  <c r="E67" i="11"/>
  <c r="F71" i="11"/>
  <c r="F72" i="11"/>
  <c r="D67" i="11"/>
  <c r="F65" i="11"/>
  <c r="F73" i="11" l="1"/>
  <c r="F67" i="11"/>
  <c r="F58" i="11"/>
  <c r="F57" i="11"/>
  <c r="F53" i="11"/>
  <c r="F52" i="11"/>
  <c r="F54" i="11" l="1"/>
  <c r="F59" i="11"/>
  <c r="F48" i="11"/>
  <c r="F47" i="11"/>
  <c r="F60" i="11" l="1"/>
  <c r="F49" i="11"/>
  <c r="T242" i="5" l="1"/>
  <c r="T236" i="5"/>
  <c r="T224" i="5"/>
  <c r="T222" i="5"/>
  <c r="T214" i="5"/>
  <c r="T212" i="5"/>
  <c r="T191" i="5"/>
  <c r="T190" i="5"/>
  <c r="T180" i="5"/>
  <c r="T165" i="5"/>
  <c r="T159" i="5"/>
  <c r="T150" i="5"/>
  <c r="T138" i="5"/>
  <c r="T132" i="5"/>
  <c r="T129" i="5"/>
  <c r="T128" i="5"/>
  <c r="T125" i="5"/>
  <c r="T122" i="5"/>
  <c r="T108" i="5"/>
  <c r="T89" i="5"/>
  <c r="T84" i="5"/>
  <c r="T63" i="5"/>
  <c r="T60" i="5"/>
  <c r="T40" i="5"/>
  <c r="T33" i="5"/>
  <c r="E250" i="5"/>
  <c r="E251" i="5"/>
  <c r="T12" i="5"/>
  <c r="U222" i="5"/>
  <c r="U125" i="5"/>
  <c r="U128" i="5"/>
  <c r="V214" i="5"/>
  <c r="U138" i="5"/>
  <c r="V125" i="5"/>
  <c r="V159" i="5"/>
  <c r="V138" i="5"/>
  <c r="V108" i="5"/>
  <c r="U89" i="5"/>
  <c r="U159" i="5"/>
  <c r="U122" i="5"/>
  <c r="U132" i="5"/>
  <c r="V236" i="5"/>
  <c r="V40" i="5"/>
  <c r="U190" i="5"/>
  <c r="V222" i="5"/>
  <c r="U63" i="5"/>
  <c r="V12" i="5"/>
  <c r="U150" i="5"/>
  <c r="V224" i="5"/>
  <c r="U129" i="5"/>
  <c r="V150" i="5"/>
  <c r="V191" i="5"/>
  <c r="V180" i="5"/>
  <c r="U165" i="5"/>
  <c r="V132" i="5"/>
  <c r="V122" i="5"/>
  <c r="V33" i="5"/>
  <c r="U12" i="5"/>
  <c r="U60" i="5"/>
  <c r="U191" i="5"/>
  <c r="U212" i="5"/>
  <c r="U33" i="5"/>
  <c r="V89" i="5"/>
  <c r="V60" i="5"/>
  <c r="U180" i="5"/>
  <c r="V190" i="5"/>
  <c r="V242" i="5"/>
  <c r="V212" i="5"/>
  <c r="U214" i="5"/>
  <c r="U242" i="5"/>
  <c r="V129" i="5"/>
  <c r="U224" i="5"/>
  <c r="U236" i="5"/>
  <c r="U108" i="5"/>
  <c r="V165" i="5"/>
  <c r="U40" i="5"/>
  <c r="V63" i="5"/>
  <c r="U84" i="5"/>
  <c r="V128" i="5"/>
  <c r="V84" i="5"/>
  <c r="E21" i="21" l="1"/>
  <c r="E28" i="21" s="1"/>
  <c r="E27" i="21" l="1"/>
  <c r="E29" i="21" s="1"/>
  <c r="E24" i="21"/>
  <c r="E25" i="21"/>
  <c r="E26"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Jonathan Wilken</author>
    <author>tc={7F096C60-6786-400C-A894-2D36FDBF8E54}</author>
    <author>tc={C320CD97-F209-4F62-A919-B41C19D8CF9A}</author>
  </authors>
  <commentList>
    <comment ref="B1" authorId="0" shapeId="0" xr:uid="{39D260D9-BC0F-48B5-9872-77906D180C2B}">
      <text>
        <r>
          <rPr>
            <b/>
            <sz val="9"/>
            <color indexed="81"/>
            <rFont val="Tahoma"/>
            <family val="2"/>
          </rPr>
          <t>Jonathan Wilken:</t>
        </r>
        <r>
          <rPr>
            <sz val="9"/>
            <color indexed="81"/>
            <rFont val="Tahoma"/>
            <family val="2"/>
          </rPr>
          <t xml:space="preserve">
Page.Column.line range of autograph reading</t>
        </r>
      </text>
    </comment>
    <comment ref="C1" authorId="0" shapeId="0" xr:uid="{CF8B8924-112D-43A6-AEE7-F9C5D51C273F}">
      <text>
        <r>
          <rPr>
            <b/>
            <sz val="9"/>
            <color indexed="81"/>
            <rFont val="Tahoma"/>
            <family val="2"/>
          </rPr>
          <t>Jonathan Wilken:</t>
        </r>
        <r>
          <rPr>
            <sz val="9"/>
            <color indexed="81"/>
            <rFont val="Tahoma"/>
            <family val="2"/>
          </rPr>
          <t xml:space="preserve">
Page.Column.line range of apograph reading</t>
        </r>
      </text>
    </comment>
    <comment ref="D1" authorId="0" shapeId="0" xr:uid="{C0B04795-4E3A-496E-99D0-1DC420545102}">
      <text>
        <r>
          <rPr>
            <b/>
            <sz val="9"/>
            <color indexed="81"/>
            <rFont val="Tahoma"/>
            <family val="2"/>
          </rPr>
          <t>Jonathan Wilken:</t>
        </r>
        <r>
          <rPr>
            <sz val="9"/>
            <color indexed="81"/>
            <rFont val="Tahoma"/>
            <family val="2"/>
          </rPr>
          <t xml:space="preserve">
Reading from autograph (i.e., the older MS that was copied)</t>
        </r>
      </text>
    </comment>
    <comment ref="E1" authorId="0" shapeId="0" xr:uid="{702604D3-D0BD-423B-A798-87E81BD4254B}">
      <text>
        <r>
          <rPr>
            <b/>
            <sz val="9"/>
            <color indexed="81"/>
            <rFont val="Tahoma"/>
            <family val="2"/>
          </rPr>
          <t>Jonathan Wilken:</t>
        </r>
        <r>
          <rPr>
            <sz val="9"/>
            <color indexed="81"/>
            <rFont val="Tahoma"/>
            <family val="2"/>
          </rPr>
          <t xml:space="preserve">
Reading from apograph (i.e., younger copy)</t>
        </r>
      </text>
    </comment>
    <comment ref="F1" authorId="0" shapeId="0" xr:uid="{D2970F79-45E7-4046-BD35-9AE736710E37}">
      <text>
        <r>
          <rPr>
            <b/>
            <sz val="9"/>
            <color indexed="81"/>
            <rFont val="Tahoma"/>
            <family val="2"/>
          </rPr>
          <t>Jonathan Wilken:</t>
        </r>
        <r>
          <rPr>
            <sz val="9"/>
            <color indexed="81"/>
            <rFont val="Tahoma"/>
            <family val="2"/>
          </rPr>
          <t xml:space="preserve">
Potential reasons why this reading should not be included in data analysis</t>
        </r>
      </text>
    </comment>
    <comment ref="G1" authorId="0" shapeId="0" xr:uid="{A007D253-0962-4C58-ADCB-284619FB50E6}">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H1" authorId="0" shapeId="0" xr:uid="{4BCCD632-8524-4651-9696-756C77860479}">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J1" authorId="0" shapeId="0" xr:uid="{F16C2607-0A03-4120-8742-947B0F06B3FF}">
      <text>
        <r>
          <rPr>
            <b/>
            <sz val="9"/>
            <color indexed="81"/>
            <rFont val="Tahoma"/>
            <family val="2"/>
          </rPr>
          <t>Jonathan Wilken:</t>
        </r>
        <r>
          <rPr>
            <sz val="9"/>
            <color indexed="81"/>
            <rFont val="Tahoma"/>
            <family val="2"/>
          </rPr>
          <t xml:space="preserve">
Add, omit, transposition, substitution, combo</t>
        </r>
      </text>
    </comment>
    <comment ref="K1" authorId="0" shapeId="0" xr:uid="{316EBBE7-CE28-4F42-ACF4-72BF409EF39C}">
      <text>
        <r>
          <rPr>
            <b/>
            <sz val="9"/>
            <color indexed="81"/>
            <rFont val="Tahoma"/>
            <family val="2"/>
          </rPr>
          <t>Jonathan Wilken:</t>
        </r>
        <r>
          <rPr>
            <sz val="9"/>
            <color indexed="81"/>
            <rFont val="Tahoma"/>
            <family val="2"/>
          </rPr>
          <t xml:space="preserve">
For add/omits. Should only be used if complete phrases &gt;= 1. Set to 0 for &lt; 1.
</t>
        </r>
      </text>
    </comment>
    <comment ref="L1" authorId="0" shapeId="0" xr:uid="{0E622F2F-34D5-474F-AAB5-425C7F1BFBD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M1" authorId="0" shapeId="0" xr:uid="{EFACF2CA-6B48-4AAA-A6CD-47217DC81BA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N1" authorId="0" shapeId="0" xr:uid="{4ACC27BA-7F90-4CC3-90E8-F61DF97CECDD}">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O1" authorId="0" shapeId="0" xr:uid="{37864B01-2A66-42A6-BA4C-90033F629086}">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P1" authorId="0" shapeId="0" xr:uid="{56E4B70F-897D-471C-A8E4-D36CE05CE326}">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Q1" authorId="0" shapeId="0" xr:uid="{32CB986A-CABA-4102-AA7D-4E6F30D2544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R1" authorId="0" shapeId="0" xr:uid="{809F577D-7C03-499E-9CD6-9F8877DF1F90}">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S1" authorId="0" shapeId="0" xr:uid="{ECDA6124-59D4-4205-852B-0BFDBFD48C15}">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T1" authorId="0" shapeId="0" xr:uid="{9290DB8D-7E4A-4CAB-9C72-F47E91DA1947}">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U1" authorId="1" shapeId="0" xr:uid="{7F096C60-6786-400C-A894-2D36FDBF8E5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V1" authorId="2" shapeId="0" xr:uid="{C320CD97-F209-4F62-A919-B41C19D8CF9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Y1" authorId="0" shapeId="0" xr:uid="{5DA8F592-907B-48F0-9E22-0F9D4F8A8F28}">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C2D2960E-05BF-4FC3-B161-69F4082D29B9}">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6A742F41-C16B-4145-A3A5-4385416A2035}">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01484717-7BA8-4014-8B0B-94F36778945A}">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59FA8871-86BA-4387-A3CE-EA96A8DE765E}">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F8DC86AF-F671-43C3-9AD8-264A431ABADF}">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253BE408-1975-4432-AEEB-CE9C6F20B3DB}">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Jonathan Wilken</author>
    <author>tc={D6E7C4A1-59E3-4BA0-9744-05F3C7D8FB7F}</author>
    <author>tc={510309C2-4D3A-43A6-8866-C09ABA75A096}</author>
    <author>tc={E2E20EFF-7C73-42C7-9AA7-65C48EE14F3A}</author>
    <author>tc={C83261E8-65F4-44D8-9EFD-0B1AC1CA2002}</author>
    <author>tc={37125BD1-AABD-4FAD-A9B9-BB0B53A9038E}</author>
    <author>tc={B13013C5-03C4-452A-8F7D-6211B7507DD2}</author>
    <author>tc={70AB4F17-C9AD-4BE4-98A7-674E1800DED7}</author>
    <author>tc={7A095C16-336C-4C0B-B5B7-FF34D1F5D8CE}</author>
    <author>tc={A97D7A7E-22E0-4BA1-B62D-2BB26D4C4614}</author>
    <author>tc={A437D96B-9977-47AE-9F40-220FBA8EB8BA}</author>
    <author>tc={B57AF15F-9DBB-43F3-8CBF-36FEB51DD4D8}</author>
    <author>tc={1B31C539-664C-4682-A985-7D390FD8D0DB}</author>
    <author>tc={47D23F95-EDEF-4BA6-B2BB-85411D0CFE71}</author>
    <author>tc={D2AA0F8F-6F96-4023-8F04-3E58B903ECBC}</author>
  </authors>
  <commentList>
    <comment ref="B1" authorId="0" shapeId="0" xr:uid="{0A231B49-429D-4F05-83F1-C0FC3F5A0769}">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B18C7403-5AD9-42B9-83AA-44790E974949}">
      <text>
        <r>
          <rPr>
            <b/>
            <sz val="9"/>
            <color indexed="81"/>
            <rFont val="Tahoma"/>
            <family val="2"/>
          </rPr>
          <t>Jonathan Wilken:</t>
        </r>
        <r>
          <rPr>
            <sz val="9"/>
            <color indexed="81"/>
            <rFont val="Tahoma"/>
            <family val="2"/>
          </rPr>
          <t xml:space="preserve">
Reading from apograph (i.e., younger copy)</t>
        </r>
      </text>
    </comment>
    <comment ref="D1" authorId="0" shapeId="0" xr:uid="{91FAC2A0-13F3-4F96-9D6F-C90637693CB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377503FB-086C-411D-AE6A-F14EC3D6625E}">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792612C5-05F0-4EDC-BC3E-56CE30961D4B}">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5E549E30-66E3-462F-999E-D999A0E686C3}">
      <text>
        <r>
          <rPr>
            <b/>
            <sz val="9"/>
            <color indexed="81"/>
            <rFont val="Tahoma"/>
            <family val="2"/>
          </rPr>
          <t>Jonathan Wilken:</t>
        </r>
        <r>
          <rPr>
            <sz val="9"/>
            <color indexed="81"/>
            <rFont val="Tahoma"/>
            <family val="2"/>
          </rPr>
          <t xml:space="preserve">
Add, omit, transposition, substitution, combo</t>
        </r>
      </text>
    </comment>
    <comment ref="H1" authorId="0" shapeId="0" xr:uid="{6CB2F9A2-98AB-4A22-A78D-1F800850649D}">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B331CFA0-FC15-4B2C-BF83-61D2F8B89C4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F519A4C5-DD8F-4841-A738-2095F79C660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6A5807E7-D3BD-4C67-AC78-F261038493A5}">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03D9C4D5-55C5-4D3E-830C-CCF9FDDFAD51}">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EFD7A441-6167-420C-B5C7-FD2CB9EFD2D2}">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5CEBF256-0220-46F9-B830-CA4A5A5A375E}">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AD65CB37-8331-4841-8EFD-8C530D141A62}">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2E9B849D-5F04-48D6-BEC2-652EA6AC2D1F}">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D6E7C4A1-59E3-4BA0-9744-05F3C7D8FB7F}">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F7390428-C763-4B20-BC15-9A020621C8E4}">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510309C2-4D3A-43A6-8866-C09ABA75A09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E2E20EFF-7C73-42C7-9AA7-65C48EE14F3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608FB2C4-99AD-42D6-AEF0-2919D43F7C1C}">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2AACE717-A401-40F0-AC4A-67979C0178F2}">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0FC4409A-3BDC-4AF2-81BF-661EE792FAEA}">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0DA0F87B-08B2-4941-8655-8C2016948A99}">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024D7537-B9B4-40F4-A939-12D4E7E29E9D}">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23C1C2E3-AD0B-4525-9DE3-B7DA92D81AF0}">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5EEB721E-C121-4BBE-8995-880BFBE516E6}">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0" authorId="4" shapeId="0" xr:uid="{C83261E8-65F4-44D8-9EFD-0B1AC1CA2002}">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21" authorId="5" shapeId="0" xr:uid="{37125BD1-AABD-4FAD-A9B9-BB0B53A9038E}">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24" authorId="6" shapeId="0" xr:uid="{B13013C5-03C4-452A-8F7D-6211B7507DD2}">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25" authorId="7" shapeId="0" xr:uid="{70AB4F17-C9AD-4BE4-98A7-674E1800DED7}">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26" authorId="8" shapeId="0" xr:uid="{7A095C16-336C-4C0B-B5B7-FF34D1F5D8CE}">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27" authorId="9" shapeId="0" xr:uid="{A97D7A7E-22E0-4BA1-B62D-2BB26D4C4614}">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28" authorId="10" shapeId="0" xr:uid="{A437D96B-9977-47AE-9F40-220FBA8EB8BA}">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29" authorId="11" shapeId="0" xr:uid="{B57AF15F-9DBB-43F3-8CBF-36FEB51DD4D8}">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32" authorId="12" shapeId="0" xr:uid="{1B31C539-664C-4682-A985-7D390FD8D0DB}">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33" authorId="13" shapeId="0" xr:uid="{47D23F95-EDEF-4BA6-B2BB-85411D0CFE71}">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34" authorId="14" shapeId="0" xr:uid="{D2AA0F8F-6F96-4023-8F04-3E58B903ECBC}">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Jonathan Wilken</author>
    <author>tc={EEFA56A4-D381-4B97-91F7-41990BAA0ECE}</author>
    <author>tc={9E397117-3903-4693-94E8-D50C20DDB094}</author>
    <author>tc={2C6E5857-8E86-460E-9882-D18EBAADB4AC}</author>
    <author>tc={85FCA7B3-A955-455F-9CB3-E04B334857B3}</author>
    <author>tc={15614CED-7C53-44E4-AD1C-1BFEBC7CDE1C}</author>
    <author>tc={7E24F2E6-72FA-45F2-A30E-22CD6A7C64ED}</author>
    <author>tc={C0B1C877-164D-489B-9DBC-563FE969B6D0}</author>
    <author>tc={3C644275-964F-4393-9357-131440827047}</author>
    <author>tc={92072FFD-580A-43C3-9DD3-6B310DE1D631}</author>
    <author>tc={6EA14E37-7249-4B7A-984E-95722C9E67EA}</author>
    <author>tc={DB73D32D-2896-456C-BE23-C3D469A10D25}</author>
    <author>tc={63885E5E-22E8-4E0F-8F03-A945FAEC0D52}</author>
  </authors>
  <commentList>
    <comment ref="B1" authorId="0" shapeId="0" xr:uid="{02449EEB-E73F-4CFC-A46E-D3CD896AC69B}">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E717D0A5-6AF9-4C96-9646-2A54A5EEF146}">
      <text>
        <r>
          <rPr>
            <b/>
            <sz val="9"/>
            <color indexed="81"/>
            <rFont val="Tahoma"/>
            <family val="2"/>
          </rPr>
          <t>Jonathan Wilken:</t>
        </r>
        <r>
          <rPr>
            <sz val="9"/>
            <color indexed="81"/>
            <rFont val="Tahoma"/>
            <family val="2"/>
          </rPr>
          <t xml:space="preserve">
Reading from apograph (i.e., younger copy)</t>
        </r>
      </text>
    </comment>
    <comment ref="D1" authorId="0" shapeId="0" xr:uid="{6E0C6214-1E41-4A1D-B884-08AF20C57D7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4515D46B-7A58-4252-A22F-DE3987C2E3ED}">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16E9D1C4-E589-48B2-A953-A9A87F01288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127110A4-518E-4A9A-9150-A5F3D1C455A2}">
      <text>
        <r>
          <rPr>
            <b/>
            <sz val="9"/>
            <color indexed="81"/>
            <rFont val="Tahoma"/>
            <family val="2"/>
          </rPr>
          <t>Jonathan Wilken:</t>
        </r>
        <r>
          <rPr>
            <sz val="9"/>
            <color indexed="81"/>
            <rFont val="Tahoma"/>
            <family val="2"/>
          </rPr>
          <t xml:space="preserve">
Add, omit, transposition, substitution, combo</t>
        </r>
      </text>
    </comment>
    <comment ref="H1" authorId="0" shapeId="0" xr:uid="{1F37AB34-9999-4FEE-82FA-166B9F75747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F7FF412F-3ED5-441C-8D72-5A1B737CAA02}">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142521D2-7B83-477F-8AEB-AF731E345CAC}">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DFFEF0B6-0C97-4934-AE86-E0C0B911438B}">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5D9D1C90-2ECB-4B8E-96D7-DD5F13888697}">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296BA23A-4C39-4B14-94DF-B496681AC31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E92722C0-9D55-4E8D-90F9-BF53B0B7DB79}">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694E2270-E93C-427D-9629-AEB097A4B644}">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4B97BD49-DC1A-4BF8-A1D3-CBBB876BED6D}">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EEFA56A4-D381-4B97-91F7-41990BAA0ECE}">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24F2EED9-0A28-4090-AE06-E0952389DCB4}">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9E397117-3903-4693-94E8-D50C20DDB09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2C6E5857-8E86-460E-9882-D18EBAADB4A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070B84B0-130B-4D98-9A2D-201559BC534F}">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5B731A6F-5DE4-4782-A3E8-B8FE517610F6}">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8AF8E6C8-B7E8-457A-BCC0-BFD813EACE39}">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76A13CD8-F482-4B90-AF95-BA93DAD36D14}">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C969CC08-602F-4235-B023-9C6DB9997B0B}">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D90D695D-DE5A-47BB-A47D-B293149C91F8}">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A3E63B6C-1D33-4AB2-A727-13D7FCC18691}">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5" authorId="4" shapeId="0" xr:uid="{85FCA7B3-A955-455F-9CB3-E04B334857B3}">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6" authorId="5" shapeId="0" xr:uid="{15614CED-7C53-44E4-AD1C-1BFEBC7CDE1C}">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9" authorId="6" shapeId="0" xr:uid="{7E24F2E6-72FA-45F2-A30E-22CD6A7C64ED}">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10" authorId="7" shapeId="0" xr:uid="{C0B1C877-164D-489B-9DBC-563FE969B6D0}">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11" authorId="8" shapeId="0" xr:uid="{3C644275-964F-4393-9357-131440827047}">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12" authorId="9" shapeId="0" xr:uid="{92072FFD-580A-43C3-9DD3-6B310DE1D631}">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13" authorId="10" shapeId="0" xr:uid="{6EA14E37-7249-4B7A-984E-95722C9E67EA}">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14" authorId="11" shapeId="0" xr:uid="{DB73D32D-2896-456C-BE23-C3D469A10D25}">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15" authorId="12" shapeId="0" xr:uid="{63885E5E-22E8-4E0F-8F03-A945FAEC0D52}">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Jonathan Wilken</author>
    <author>tc={4C904593-78F7-4BE9-B57A-4EC49ADF4FCA}</author>
    <author>tc={E9A1AE6E-67C7-49CD-93C3-7DB11DE5A3C7}</author>
    <author>tc={215D4020-F22F-4115-B436-0E46A1B95BDF}</author>
    <author>tc={C920D472-3234-4A66-B149-B652C00BCA75}</author>
    <author>tc={BF51C5AE-CEDB-47E0-BF89-3296CB7C9E21}</author>
    <author>tc={D60C73F6-D1FD-4AFF-AA79-A667BA9F7758}</author>
    <author>tc={87DE0AB8-B035-4A79-86ED-449D16BF33B5}</author>
    <author>tc={A359AD42-BF2E-472E-97D6-6638CC9A72CD}</author>
    <author>tc={A3130E25-9705-4657-BA65-10FE9FBB9EE8}</author>
    <author>tc={F7B47C93-5089-45C5-B3ED-6AAE7C4F8DE7}</author>
    <author>tc={8A33CE00-BB19-4952-B1F4-1521DD78D8C3}</author>
    <author>tc={83907420-82D8-480A-BBDD-1666E1B265E3}</author>
    <author>tc={5506F822-5968-4504-9782-F47AA0531516}</author>
    <author>tc={716344C8-87F0-4485-9E4B-828323521BEE}</author>
    <author>tc={F30182DF-E7EC-463A-B204-0C3F1BA5C903}</author>
  </authors>
  <commentList>
    <comment ref="B1" authorId="0" shapeId="0" xr:uid="{C884FF60-CB48-469C-B1D4-E60D3158C4CB}">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404C519C-2E1A-4BFC-A63E-FB132A2E0265}">
      <text>
        <r>
          <rPr>
            <b/>
            <sz val="9"/>
            <color indexed="81"/>
            <rFont val="Tahoma"/>
            <family val="2"/>
          </rPr>
          <t>Jonathan Wilken:</t>
        </r>
        <r>
          <rPr>
            <sz val="9"/>
            <color indexed="81"/>
            <rFont val="Tahoma"/>
            <family val="2"/>
          </rPr>
          <t xml:space="preserve">
Reading from apograph (i.e., younger copy)</t>
        </r>
      </text>
    </comment>
    <comment ref="D1" authorId="0" shapeId="0" xr:uid="{FBBD8E48-F456-478A-9D61-0BFAEC59749C}">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FB38AFE2-6C68-4AD1-A9BE-FD7B406825D1}">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DF7AF96E-2DF2-4B8C-AE06-D449EEBFE11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4574CC67-379B-48BA-9558-B94FF36A3463}">
      <text>
        <r>
          <rPr>
            <b/>
            <sz val="9"/>
            <color indexed="81"/>
            <rFont val="Tahoma"/>
            <family val="2"/>
          </rPr>
          <t>Jonathan Wilken:</t>
        </r>
        <r>
          <rPr>
            <sz val="9"/>
            <color indexed="81"/>
            <rFont val="Tahoma"/>
            <family val="2"/>
          </rPr>
          <t xml:space="preserve">
Add, omit, transposition, substitution, combo</t>
        </r>
      </text>
    </comment>
    <comment ref="H1" authorId="0" shapeId="0" xr:uid="{8429C696-1C8E-4E57-8923-B4F422DEECAE}">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412B125B-A59F-4CB7-9184-AA6EE45F5E87}">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5366425C-8248-44BA-9CFD-8ECEDA9E4418}">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EE49813A-F844-4A9A-9E24-72C525A9CBF7}">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B246053B-DAA8-496E-BFD0-D07A2BEAEB88}">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8ABD4562-7A19-4916-A51B-136F5400F05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C983FA0C-F7DF-41DE-B4D7-9DB7761683EF}">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0F6810C0-C09B-4494-AB9A-EA1A196F59EA}">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55DAA125-1814-4D8B-B0F6-E44BC269C4B3}">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87C37C2B-FC38-414A-97E5-E2243819590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4C904593-78F7-4BE9-B57A-4EC49ADF4FC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E9A1AE6E-67C7-49CD-93C3-7DB11DE5A3C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215D4020-F22F-4115-B436-0E46A1B95BDF}">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C920D472-3234-4A66-B149-B652C00BCA75}">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BF51C5AE-CEDB-47E0-BF89-3296CB7C9E21}">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AB476006-843B-4C32-8784-22D63EC8B142}">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3451D94A-8DE3-41AB-B1C0-B0C623BD7D3B}">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4BD57E6E-8BAF-446C-9184-A37061E59441}">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E98749E4-5383-4C38-BC5D-FEFCB9D48554}">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6BE1850D-04C6-47A7-A82D-02E642CD285B}">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E187D5E0-8C09-4362-8AF0-197E083B0778}">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D022FA77-11EE-41EB-9332-6CA1D8E6E4F2}">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2" authorId="6" shapeId="0" xr:uid="{D60C73F6-D1FD-4AFF-AA79-A667BA9F7758}">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15" authorId="7" shapeId="0" xr:uid="{87DE0AB8-B035-4A79-86ED-449D16BF33B5}">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16" authorId="8" shapeId="0" xr:uid="{A359AD42-BF2E-472E-97D6-6638CC9A72CD}">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17" authorId="9" shapeId="0" xr:uid="{A3130E25-9705-4657-BA65-10FE9FBB9EE8}">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19" authorId="10" shapeId="0" xr:uid="{F7B47C93-5089-45C5-B3ED-6AAE7C4F8DE7}">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20" authorId="11" shapeId="0" xr:uid="{8A33CE00-BB19-4952-B1F4-1521DD78D8C3}">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23" authorId="12" shapeId="0" xr:uid="{83907420-82D8-480A-BBDD-1666E1B265E3}">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24" authorId="13" shapeId="0" xr:uid="{5506F822-5968-4504-9782-F47AA0531516}">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27" authorId="14" shapeId="0" xr:uid="{716344C8-87F0-4485-9E4B-828323521BEE}">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28" authorId="15" shapeId="0" xr:uid="{F30182DF-E7EC-463A-B204-0C3F1BA5C903}">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Jonathan Wilken</author>
    <author>tc={1DADB59E-AFCA-47DA-9CC3-A6F1D1926EDF}</author>
    <author>tc={7D0F0819-F314-44D2-8676-B26B3DADBD37}</author>
    <author>tc={2E137862-4F64-4708-9E15-347B1D3C02B6}</author>
    <author>tc={8815700D-36AA-4FB8-AF8E-41A4B7606096}</author>
    <author>tc={ABD68C27-D4A9-44EE-AF6F-3CB8BDA6A138}</author>
  </authors>
  <commentList>
    <comment ref="B1" authorId="0" shapeId="0" xr:uid="{72F44AF7-7BFB-488E-B07E-F358911F6795}">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90C36892-EE5C-4103-B57B-D636444826D9}">
      <text>
        <r>
          <rPr>
            <b/>
            <sz val="9"/>
            <color indexed="81"/>
            <rFont val="Tahoma"/>
            <family val="2"/>
          </rPr>
          <t>Jonathan Wilken:</t>
        </r>
        <r>
          <rPr>
            <sz val="9"/>
            <color indexed="81"/>
            <rFont val="Tahoma"/>
            <family val="2"/>
          </rPr>
          <t xml:space="preserve">
Reading from apograph (i.e., younger copy)</t>
        </r>
      </text>
    </comment>
    <comment ref="D1" authorId="0" shapeId="0" xr:uid="{2FF02A0F-1680-4A9B-B700-D331111F76F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C8E45FCE-F8C0-4B18-83D8-52774034765A}">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9C287701-4D1F-4DEA-A3CD-9796533BC23F}">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CD9C8206-1A93-4D2F-8B58-AC104C646FED}">
      <text>
        <r>
          <rPr>
            <b/>
            <sz val="9"/>
            <color indexed="81"/>
            <rFont val="Tahoma"/>
            <family val="2"/>
          </rPr>
          <t>Jonathan Wilken:</t>
        </r>
        <r>
          <rPr>
            <sz val="9"/>
            <color indexed="81"/>
            <rFont val="Tahoma"/>
            <family val="2"/>
          </rPr>
          <t xml:space="preserve">
Add, omit, transposition, substitution, combo</t>
        </r>
      </text>
    </comment>
    <comment ref="I1" authorId="0" shapeId="0" xr:uid="{EE3679A0-4073-4574-BE2B-2B863F39BD08}">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0864D9FB-DB7C-4483-BC8B-31426BAD1679}">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E17A4A19-F76B-42C5-B6B6-C004A3FE3FD0}">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F54B3CF4-EDD6-4CAB-B381-A62982F09F9C}">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37E81C2B-A458-41AF-AA56-D3991A869998}">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AB01053D-D80C-4237-9161-B059E4F9D99B}">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5F719EEA-BCF4-413C-9E44-09374FCDDC5F}">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72A9C1F7-7B3C-48B1-BBF7-C08D61785390}">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BF9DA0F3-C940-489F-934D-915E2FF25A3A}">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AC826F96-0484-4571-B8E2-D50A14BE6BE3}">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1DADB59E-AFCA-47DA-9CC3-A6F1D1926EDF}">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7D0F0819-F314-44D2-8676-B26B3DADBD37}">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414DC294-8443-45CC-BD5F-14C7B29518D3}">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62D859CE-680C-4E4D-A59F-BD0C0AB09BA5}">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EF39C85E-CA19-48FE-A057-DF2EFD8F83A7}">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72CEC05B-BEA6-4260-9B80-F3504C7820BA}">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D8748D2F-1989-4587-8224-553466610D5B}">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CD3BCD97-D55A-4CA4-BA45-DB9937235FD0}">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331E0090-6277-44E4-BEF3-9DB529862FD8}">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3" authorId="3" shapeId="0" xr:uid="{2E137862-4F64-4708-9E15-347B1D3C02B6}">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14" authorId="4" shapeId="0" xr:uid="{8815700D-36AA-4FB8-AF8E-41A4B7606096}">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15" authorId="5" shapeId="0" xr:uid="{ABD68C27-D4A9-44EE-AF6F-3CB8BDA6A138}">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tc={90124E5A-CFA0-4F6E-875D-D94BC6ACBEB3}</author>
    <author>tc={A59AA5C6-F26A-4671-999E-349F7F218FD4}</author>
    <author>tc={8B35E969-0937-4310-A3D2-0EEA6ECE5CB1}</author>
    <author>tc={C535E301-39E7-4A07-B566-7A873FFFDF84}</author>
    <author>tc={8F8DA61D-089C-432E-B1D2-0B2DD63C1B91}</author>
  </authors>
  <commentList>
    <comment ref="A1" authorId="0" shapeId="0" xr:uid="{90124E5A-CFA0-4F6E-875D-D94BC6ACBEB3}">
      <text>
        <t>[Threaded comment]
Your version of Excel allows you to read this threaded comment; however, any edits to it will get removed if the file is opened in a newer version of Excel. Learn more: https://go.microsoft.com/fwlink/?linkid=870924
Comment:
    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
      </text>
    </comment>
    <comment ref="A2" authorId="1" shapeId="0" xr:uid="{A59AA5C6-F26A-4671-999E-349F7F218FD4}">
      <text>
        <t>[Threaded comment]
Your version of Excel allows you to read this threaded comment; however, any edits to it will get removed if the file is opened in a newer version of Excel. Learn more: https://go.microsoft.com/fwlink/?linkid=870924
Comment:
    The number of total deviations from the exemplar. Includes itacisms, orthographic changes, nonsense readings etc.</t>
      </text>
    </comment>
    <comment ref="A3" authorId="2" shapeId="0" xr:uid="{8B35E969-0937-4310-A3D2-0EEA6ECE5CB1}">
      <text>
        <t>[Threaded comment]
Your version of Excel allows you to read this threaded comment; however, any edits to it will get removed if the file is opened in a newer version of Excel. Learn more: https://go.microsoft.com/fwlink/?linkid=870924
Comment:
    The number of "meaningful" variants produced by the scribe. Should be based on the "general filters" page, with those readings excluded that have not been deemed fit for analysis (e.g., nonsense readings and corrections thereof, itacisms etc.)</t>
      </text>
    </comment>
    <comment ref="A5" authorId="3" shapeId="0" xr:uid="{C535E301-39E7-4A07-B566-7A873FFFDF84}">
      <text>
        <t>[Threaded comment]
Your version of Excel allows you to read this threaded comment; however, any edits to it will get removed if the file is opened in a newer version of Excel. Learn more: https://go.microsoft.com/fwlink/?linkid=870924
Comment:
    The rate of error generation per 1000 words in the apograph. Figure includes itacisms, orthographic changes, nonsense readings etc.</t>
      </text>
    </comment>
    <comment ref="A6" authorId="4" shapeId="0" xr:uid="{8F8DA61D-089C-432E-B1D2-0B2DD63C1B91}">
      <text>
        <t>[Threaded comment]
Your version of Excel allows you to read this threaded comment; however, any edits to it will get removed if the file is opened in a newer version of Excel. Learn more: https://go.microsoft.com/fwlink/?linkid=870924
Comment:
    Frequency of "meaningful" errors per 1000 words in the apograph. "Meaningful" errors are defined by the general filters applied to the raw data. (Here, this means the exclusion of such readings as itacisms, orthographic changes, variants involving nonsense readings etc.)</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Jonathan Wilken</author>
    <author>tc={EDB8B4AC-3BBA-4CF2-9124-E7EB8C1DED14}</author>
    <author>tc={4A6E7644-07DF-4FD6-9302-D422929EAE16}</author>
    <author>tc={32705B44-288D-406D-BD26-12545BB4005C}</author>
    <author>tc={50EF6C78-A584-4EFD-962E-4F6FBECA67ED}</author>
  </authors>
  <commentList>
    <comment ref="A1" authorId="0" shapeId="0" xr:uid="{624FFE4E-68B6-49C0-997F-C15F119290CF}">
      <text>
        <r>
          <rPr>
            <b/>
            <sz val="9"/>
            <color indexed="81"/>
            <rFont val="Tahoma"/>
            <family val="2"/>
          </rPr>
          <t>Jonathan Wilken:</t>
        </r>
        <r>
          <rPr>
            <sz val="9"/>
            <color indexed="81"/>
            <rFont val="Tahoma"/>
            <family val="2"/>
          </rPr>
          <t xml:space="preserve">
Potential reasons why this reading should not be included in data analysis</t>
        </r>
      </text>
    </comment>
    <comment ref="B1" authorId="0" shapeId="0" xr:uid="{867C3485-A8B8-4FD7-999B-D490BA9B20EB}">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C1" authorId="0" shapeId="0" xr:uid="{61D8BE35-4CE7-43B6-8EAA-B26A4F0A7FD6}">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D1" authorId="0" shapeId="0" xr:uid="{51FEF18E-3630-4361-83FC-A5D77CF2C267}">
      <text>
        <r>
          <rPr>
            <b/>
            <sz val="9"/>
            <color indexed="81"/>
            <rFont val="Tahoma"/>
            <family val="2"/>
          </rPr>
          <t>Jonathan Wilken:</t>
        </r>
        <r>
          <rPr>
            <sz val="9"/>
            <color indexed="81"/>
            <rFont val="Tahoma"/>
            <family val="2"/>
          </rPr>
          <t xml:space="preserve">
Add, omit, transposition, substitution, combo</t>
        </r>
      </text>
    </comment>
    <comment ref="K3" authorId="1" shapeId="0" xr:uid="{EDB8B4AC-3BBA-4CF2-9124-E7EB8C1DED14}">
      <text>
        <t>[Threaded comment]
Your version of Excel allows you to read this threaded comment; however, any edits to it will get removed if the file is opened in a newer version of Excel. Learn more: https://go.microsoft.com/fwlink/?linkid=870924
Comment:
    The apograph reading is singular and the autograph reading is not. The singular readings method would detect this variant</t>
      </text>
    </comment>
    <comment ref="K4" authorId="2" shapeId="0" xr:uid="{4A6E7644-07DF-4FD6-9302-D422929EAE16}">
      <text>
        <t>[Threaded comment]
Your version of Excel allows you to read this threaded comment; however, any edits to it will get removed if the file is opened in a newer version of Excel. Learn more: https://go.microsoft.com/fwlink/?linkid=870924
Comment:
    That is, the autograph contains a singular reading and the apograph followed it</t>
      </text>
    </comment>
    <comment ref="K5" authorId="3" shapeId="0" xr:uid="{32705B44-288D-406D-BD26-12545BB4005C}">
      <text>
        <t>[Threaded comment]
Your version of Excel allows you to read this threaded comment; however, any edits to it will get removed if the file is opened in a newer version of Excel. Learn more: https://go.microsoft.com/fwlink/?linkid=870924
Comment:
    The apograph reading is not singular: other witnesses contain the same reading. These are real variants produced by the apograph scribe, but the singular readings method would not detect them</t>
      </text>
    </comment>
    <comment ref="M13" authorId="4" shapeId="0" xr:uid="{50EF6C78-A584-4EFD-962E-4F6FBECA67ED}">
      <text>
        <t>[Threaded comment]
Your version of Excel allows you to read this threaded comment; however, any edits to it will get removed if the file is opened in a newer version of Excel. Learn more: https://go.microsoft.com/fwlink/?linkid=870924
Comment:
    For words which have multiple common forms not impacting their inflection (e.g., ουκ-ουχ-ου, επι-επ-εφ)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Jonathan Wilken</author>
    <author>tc={3417BBE4-5539-4F37-912F-273EB8668D1E}</author>
    <author>tc={B616E8C4-B8B4-4124-9A6A-CD7AF8B990AA}</author>
  </authors>
  <commentList>
    <comment ref="B1" authorId="0" shapeId="0" xr:uid="{0CE86A06-C6AE-45B7-8CB0-FE0EC0FEA9E2}">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64655E58-4B0D-49C1-94C3-0423BFBC8A02}">
      <text>
        <r>
          <rPr>
            <b/>
            <sz val="9"/>
            <color indexed="81"/>
            <rFont val="Tahoma"/>
            <family val="2"/>
          </rPr>
          <t>Jonathan Wilken:</t>
        </r>
        <r>
          <rPr>
            <sz val="9"/>
            <color indexed="81"/>
            <rFont val="Tahoma"/>
            <family val="2"/>
          </rPr>
          <t xml:space="preserve">
Reading from apograph (i.e., younger copy)</t>
        </r>
      </text>
    </comment>
    <comment ref="D1" authorId="0" shapeId="0" xr:uid="{9624E701-564E-4C68-A02D-F930EA2D0E48}">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EC2E5E32-73DF-44E8-B3C9-99B55573F49E}">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3286DDF4-45DC-4271-A586-062979C0246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247108B6-A999-4DE1-8A10-4AA0F6B329BE}">
      <text>
        <r>
          <rPr>
            <b/>
            <sz val="9"/>
            <color indexed="81"/>
            <rFont val="Tahoma"/>
            <family val="2"/>
          </rPr>
          <t>Jonathan Wilken:</t>
        </r>
        <r>
          <rPr>
            <sz val="9"/>
            <color indexed="81"/>
            <rFont val="Tahoma"/>
            <family val="2"/>
          </rPr>
          <t xml:space="preserve">
Add, omit, transposition, substitution, combo</t>
        </r>
      </text>
    </comment>
    <comment ref="H1" authorId="0" shapeId="0" xr:uid="{67559592-FFA2-45F3-8D43-036A0E592C89}">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1C795C46-A2E9-402F-AEB5-57CFFE14C06B}">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EF3228D2-F24A-4693-B764-7CDE77471D75}">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9429AB7-0AAA-4E37-880B-CEA7A32E7A43}">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E00B2667-DAD3-4B4C-A85F-D93B7B5A1DD6}">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43A620D3-E15B-434C-8E24-97738D32988D}">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5F947932-4E09-4D61-B5FB-61551F4733F7}">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F11B7212-4E97-4649-9B58-29060D9A2CA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64322E0B-0C3B-4DE8-9E08-BBD0FF2623DA}">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183CAEC2-3871-493B-8101-969F16F087F2}">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3417BBE4-5539-4F37-912F-273EB8668D1E}">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B616E8C4-B8B4-4124-9A6A-CD7AF8B990A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5EADF534-37D9-46BA-8F6D-5469761AAF50}">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A2104A24-9AF8-4712-9845-D5C976DEDD48}">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092657D8-6CE9-4D22-B56A-6CAB0A63CBB3}">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E3BA62E5-4E61-4B72-A8F9-9D0B9A3AF84B}">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1F9E4C60-2F76-48B9-A8BD-5687F5ABA458}">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AF6B76C9-10DE-4D55-93BB-76325F620BF6}">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CC38AD93-5331-48CA-88BB-9977D1D5FDB0}">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Jonathan Wilken</author>
    <author>tc={C23A1B00-1583-4ADE-9161-9C223BDCF8D3}</author>
    <author>tc={53AD9DDF-A1FF-4BA4-9F3D-E2AA0CF54F0C}</author>
    <author>tc={CF7613BA-AA88-47D1-BEE1-4B54042F1360}</author>
    <author>tc={0CA7F449-64C2-44A7-B41C-C3DF228C04E4}</author>
    <author>tc={E8F96931-6E43-46B8-A390-C2D2BCEA5E1F}</author>
    <author>tc={1FA773D8-8117-4FAC-9A2D-1CDAF3C528D3}</author>
    <author>tc={AAC51305-1BD3-4B0A-ADE4-511B39A98C8E}</author>
    <author>tc={27E5CE20-FBE2-47AB-A632-C9F8B245D75E}</author>
    <author>tc={0445A165-01CA-46FB-A265-76B5B5B4CF03}</author>
    <author>tc={705CFCE9-6A16-4ABC-861C-D39465605590}</author>
    <author>tc={7B363F9F-F974-4A45-AA4D-89712D805D84}</author>
    <author>tc={4185B123-939F-4279-BFD9-C59E2751C3C0}</author>
    <author>tc={E8A7976F-EDE2-4F08-934F-556F8134DC67}</author>
    <author>tc={77509F4B-D164-4178-A8BA-DCE8E57E4065}</author>
    <author>tc={F2D9B19E-16D2-429C-8677-1F27AC2A3B3D}</author>
    <author>tc={AFE15772-95DD-4F26-95C7-B09421EF00D3}</author>
    <author>tc={BD61CEAD-C093-418D-9E39-A83239BB6EB8}</author>
    <author>tc={8A78D3C5-0EEA-4912-85DF-0EC391C4130A}</author>
    <author>tc={353E31BB-8988-45FF-BC55-409BD940B994}</author>
    <author>tc={A9D160BB-AFA7-4780-BBF6-1ACE21D3B8C5}</author>
    <author>tc={6251587F-6CB2-4547-8770-5561F0F949C4}</author>
    <author>tc={F03E8BB3-B7CB-4169-A3B1-C63CAD8F695B}</author>
    <author>tc={851A098C-4907-4FFE-B4F1-EDF9134D7391}</author>
    <author>tc={742B15AF-3E1E-4A5B-AC89-6ACCD358AF8E}</author>
    <author>tc={26E3771A-8731-4906-9685-8DAFA19CF7C1}</author>
    <author>tc={6491F7C2-DC4F-41B9-B387-4D60D6EFF1A5}</author>
    <author>tc={B7BD2288-DE16-401D-AAC3-5236EF113459}</author>
    <author>tc={E93100CA-834A-4545-8746-432C9AF69210}</author>
    <author>tc={EB9C9DD0-2A80-4DEC-8C80-4BE480C894D7}</author>
    <author>tc={31F43CF0-8A32-495F-B2F3-0CF7CED31249}</author>
    <author>tc={B78E19AF-099F-4744-91C7-5E61AFE9E78C}</author>
    <author>tc={0243DB30-3974-46CF-A7A9-924673400954}</author>
    <author>tc={C04A08F1-3709-4D61-B356-AC890A22FB20}</author>
    <author>tc={DCF4A6B3-A3DE-43AD-822B-C75FAE14DE36}</author>
    <author>tc={F926D467-996D-43CE-AD88-4AE7F3F35B25}</author>
    <author>tc={DC3BAB80-4D55-4D0E-81A8-88A379BDE6AA}</author>
    <author>tc={596135F2-2516-4C7E-9247-EACBCB92104E}</author>
    <author>tc={C55DDD56-C2FE-4D17-A461-EFAF7CA8B343}</author>
    <author>tc={8B38C1F1-1D24-45EF-ACD3-ADC6E1A2358E}</author>
    <author>tc={3D4A5FC2-4277-41D9-A01F-BD51294A2D7E}</author>
    <author>tc={4940D2AA-CBB5-4DC4-90FA-1F54EF13C77A}</author>
    <author>tc={877545E4-B885-4C0A-920F-34F36617692C}</author>
    <author>tc={5113D43E-5A8D-432D-BF81-65DC15C492A6}</author>
    <author>tc={4E1FC854-8E85-4880-AA2E-2CA26916F52C}</author>
    <author>tc={1FE615EC-BF4B-494F-A08A-9A3D4BD1E2B2}</author>
  </authors>
  <commentList>
    <comment ref="B1" authorId="0" shapeId="0" xr:uid="{A76A0AF0-DA28-4B9B-A55D-A2FF1CD4B7D3}">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976AEEB8-74DC-4DC2-A67E-5B27C475C0D9}">
      <text>
        <r>
          <rPr>
            <b/>
            <sz val="9"/>
            <color indexed="81"/>
            <rFont val="Tahoma"/>
            <family val="2"/>
          </rPr>
          <t>Jonathan Wilken:</t>
        </r>
        <r>
          <rPr>
            <sz val="9"/>
            <color indexed="81"/>
            <rFont val="Tahoma"/>
            <family val="2"/>
          </rPr>
          <t xml:space="preserve">
Reading from apograph (i.e., younger copy)</t>
        </r>
      </text>
    </comment>
    <comment ref="D1" authorId="0" shapeId="0" xr:uid="{239C525A-77EC-43C2-B07E-DAF03E0B8B97}">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F4321174-0650-41A2-9D0B-49B8622AC46A}">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0D43298D-04E7-4F8B-BA5B-A564E78347D8}">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ADB7596D-FCB3-41E9-96FE-07DA1A7AF8DA}">
      <text>
        <r>
          <rPr>
            <b/>
            <sz val="9"/>
            <color indexed="81"/>
            <rFont val="Tahoma"/>
            <family val="2"/>
          </rPr>
          <t>Jonathan Wilken:</t>
        </r>
        <r>
          <rPr>
            <sz val="9"/>
            <color indexed="81"/>
            <rFont val="Tahoma"/>
            <family val="2"/>
          </rPr>
          <t xml:space="preserve">
Add, omit, transposition, substitution, combo</t>
        </r>
      </text>
    </comment>
    <comment ref="H1" authorId="0" shapeId="0" xr:uid="{8FFD90E2-EB47-4547-81C7-C3BF4580AB62}">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3712CD9C-82B4-4E38-9FEF-9778FE876D9F}">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081D5B55-3BC7-40F3-90C4-C7DE69038A53}">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F8D4CEEE-ECE0-4E4F-A9FF-1EE8A65D6905}">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BAFDFE4E-C575-4184-8A59-77DD3ACD4BFB}">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7114A779-7BC6-4DA7-829A-451C2012545F}">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1B16D151-90A9-4913-A2BF-5627D1AC8558}">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9FE03062-E9E1-42F6-9F8D-95436E497278}">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E67433E9-BFCC-4632-BB21-C8697213CCEE}">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C23A1B00-1583-4ADE-9161-9C223BDCF8D3}">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CAA3D9C6-5CCB-4D02-89ED-EDBB05D03DCE}">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53AD9DDF-A1FF-4BA4-9F3D-E2AA0CF54F0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CF7613BA-AA88-47D1-BEE1-4B54042F1360}">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208BFF19-E2A7-4F87-B9D2-504B1669ADF2}">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003EEE01-E9E6-47F5-AC48-30B10D207BD2}">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45B2D159-3FF8-4154-8630-C940A9A21A7D}">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91CD2595-5923-472A-BFC4-F4CD41194FAC}">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AEDE9FBD-0A73-4284-B117-A19DE6E0D32E}">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4CFAE37A-AE2F-46A1-8402-D6427BB7D90F}">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4AC92185-8444-47AF-813A-376CC994B4B2}">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47" authorId="4" shapeId="0" xr:uid="{0CA7F449-64C2-44A7-B41C-C3DF228C04E4}">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48" authorId="5" shapeId="0" xr:uid="{E8F96931-6E43-46B8-A390-C2D2BCEA5E1F}">
      <text>
        <t>[Threaded comment]
Your version of Excel allows you to read this threaded comment; however, any edits to it will get removed if the file is opened in a newer version of Excel. Learn more: https://go.microsoft.com/fwlink/?linkid=870924
Comment:
    "Low Meaning" words</t>
      </text>
    </comment>
    <comment ref="C48" authorId="6" shapeId="0" xr:uid="{1FA773D8-8117-4FAC-9A2D-1CDAF3C528D3}">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48" authorId="7" shapeId="0" xr:uid="{AAC51305-1BD3-4B0A-ADE4-511B39A98C8E}">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49" authorId="8" shapeId="0" xr:uid="{27E5CE20-FBE2-47AB-A632-C9F8B245D75E}">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52" authorId="9" shapeId="0" xr:uid="{0445A165-01CA-46FB-A265-76B5B5B4CF03}">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53" authorId="10" shapeId="0" xr:uid="{705CFCE9-6A16-4ABC-861C-D39465605590}">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54" authorId="11" shapeId="0" xr:uid="{7B363F9F-F974-4A45-AA4D-89712D805D84}">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57" authorId="12" shapeId="0" xr:uid="{4185B123-939F-4279-BFD9-C59E2751C3C0}">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58" authorId="13" shapeId="0" xr:uid="{E8A7976F-EDE2-4F08-934F-556F8134DC67}">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59" authorId="14" shapeId="0" xr:uid="{77509F4B-D164-4178-A8BA-DCE8E57E4065}">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65" authorId="15" shapeId="0" xr:uid="{F2D9B19E-16D2-429C-8677-1F27AC2A3B3D}">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65" authorId="16" shapeId="0" xr:uid="{AFE15772-95DD-4F26-95C7-B09421EF00D3}">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65" authorId="17" shapeId="0" xr:uid="{BD61CEAD-C093-418D-9E39-A83239BB6EB8}">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66" authorId="18" shapeId="0" xr:uid="{8A78D3C5-0EEA-4912-85DF-0EC391C4130A}">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66" authorId="19" shapeId="0" xr:uid="{353E31BB-8988-45FF-BC55-409BD940B994}">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66" authorId="20" shapeId="0" xr:uid="{A9D160BB-AFA7-4780-BBF6-1ACE21D3B8C5}">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67" authorId="21" shapeId="0" xr:uid="{6251587F-6CB2-4547-8770-5561F0F949C4}">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67" authorId="22" shapeId="0" xr:uid="{F03E8BB3-B7CB-4169-A3B1-C63CAD8F695B}">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67" authorId="23" shapeId="0" xr:uid="{851A098C-4907-4FFE-B4F1-EDF9134D7391}">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71" authorId="24" shapeId="0" xr:uid="{742B15AF-3E1E-4A5B-AC89-6ACCD358AF8E}">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71" authorId="25" shapeId="0" xr:uid="{26E3771A-8731-4906-9685-8DAFA19CF7C1}">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72" authorId="26" shapeId="0" xr:uid="{6491F7C2-DC4F-41B9-B387-4D60D6EFF1A5}">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72" authorId="27" shapeId="0" xr:uid="{B7BD2288-DE16-401D-AAC3-5236EF113459}">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77" authorId="28" shapeId="0" xr:uid="{E93100CA-834A-4545-8746-432C9AF69210}">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77" authorId="29" shapeId="0" xr:uid="{EB9C9DD0-2A80-4DEC-8C80-4BE480C894D7}">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78" authorId="30" shapeId="0" xr:uid="{31F43CF0-8A32-495F-B2F3-0CF7CED31249}">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78" authorId="31" shapeId="0" xr:uid="{B78E19AF-099F-4744-91C7-5E61AFE9E78C}">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83" authorId="32" shapeId="0" xr:uid="{0243DB30-3974-46CF-A7A9-924673400954}">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83" authorId="33" shapeId="0" xr:uid="{C04A08F1-3709-4D61-B356-AC890A22FB20}">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83" authorId="34" shapeId="0" xr:uid="{DCF4A6B3-A3DE-43AD-822B-C75FAE14DE36}">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84" authorId="35" shapeId="0" xr:uid="{F926D467-996D-43CE-AD88-4AE7F3F35B25}">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84" authorId="36" shapeId="0" xr:uid="{DC3BAB80-4D55-4D0E-81A8-88A379BDE6AA}">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84" authorId="37" shapeId="0" xr:uid="{596135F2-2516-4C7E-9247-EACBCB92104E}">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85" authorId="38" shapeId="0" xr:uid="{C55DDD56-C2FE-4D17-A461-EFAF7CA8B343}">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85" authorId="39" shapeId="0" xr:uid="{8B38C1F1-1D24-45EF-ACD3-ADC6E1A2358E}">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85" authorId="40" shapeId="0" xr:uid="{3D4A5FC2-4277-41D9-A01F-BD51294A2D7E}">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88" authorId="41" shapeId="0" xr:uid="{4940D2AA-CBB5-4DC4-90FA-1F54EF13C77A}">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88" authorId="42" shapeId="0" xr:uid="{877545E4-B885-4C0A-920F-34F36617692C}">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88" authorId="43" shapeId="0" xr:uid="{5113D43E-5A8D-432D-BF81-65DC15C492A6}">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88" authorId="44" shapeId="0" xr:uid="{4E1FC854-8E85-4880-AA2E-2CA26916F52C}">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E96" authorId="45" shapeId="0" xr:uid="{1FE615EC-BF4B-494F-A08A-9A3D4BD1E2B2}">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Jonathan Wilken</author>
    <author>tc={986FA4D7-8585-4357-9BF5-FD68A6717264}</author>
    <author>tc={F31D48FD-CEE0-4DBC-905C-1C94BBB5BE13}</author>
    <author>tc={8BE963D0-E46A-4178-B0AC-BB0DA10F9E46}</author>
    <author>tc={536CB4A9-9743-4CD2-B633-214E17685ABC}</author>
    <author>tc={522D1F3F-B41C-40FB-823D-C62D93FFD990}</author>
    <author>tc={6C891F64-7FF1-40A4-B0F6-602FB98BF613}</author>
    <author>tc={25F84D6B-8F31-402B-B50D-AA464E41DAA7}</author>
    <author>tc={CC51A680-A9D5-4381-85A4-3055CEB28717}</author>
    <author>tc={A2CE3BB8-80FD-4591-951F-D1F44E6674B8}</author>
    <author>tc={576FA789-5827-4FD8-B84B-24873B58E43F}</author>
    <author>tc={454C97C2-CA0F-4B46-845B-793A1276693D}</author>
    <author>tc={51653D81-0C7A-4A2C-A718-5BE3AAD345C2}</author>
    <author>tc={352334D5-A1D8-419B-AFFD-55C07285CC53}</author>
    <author>tc={B97D8711-84D1-4C14-997D-87187C87374C}</author>
  </authors>
  <commentList>
    <comment ref="B1" authorId="0" shapeId="0" xr:uid="{A9E08205-630B-4008-B02D-BF67281A8D21}">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0C01D2AA-E721-4121-BB23-896DE14129A2}">
      <text>
        <r>
          <rPr>
            <b/>
            <sz val="9"/>
            <color indexed="81"/>
            <rFont val="Tahoma"/>
            <family val="2"/>
          </rPr>
          <t>Jonathan Wilken:</t>
        </r>
        <r>
          <rPr>
            <sz val="9"/>
            <color indexed="81"/>
            <rFont val="Tahoma"/>
            <family val="2"/>
          </rPr>
          <t xml:space="preserve">
Reading from apograph (i.e., younger copy)</t>
        </r>
      </text>
    </comment>
    <comment ref="D1" authorId="0" shapeId="0" xr:uid="{E4846C4B-2DE3-4FAA-9FED-EE653471412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6B577BC1-1AAA-4C04-AB5A-D5FB621F0CC5}">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00016C80-597F-42EB-B3A0-31626A733E03}">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DB966755-AFC2-4995-99F2-6B33080057AC}">
      <text>
        <r>
          <rPr>
            <b/>
            <sz val="9"/>
            <color indexed="81"/>
            <rFont val="Tahoma"/>
            <family val="2"/>
          </rPr>
          <t>Jonathan Wilken:</t>
        </r>
        <r>
          <rPr>
            <sz val="9"/>
            <color indexed="81"/>
            <rFont val="Tahoma"/>
            <family val="2"/>
          </rPr>
          <t xml:space="preserve">
Add, omit, transposition, substitution, combo</t>
        </r>
      </text>
    </comment>
    <comment ref="H1" authorId="0" shapeId="0" xr:uid="{9EBF217E-5795-49DD-ABED-0CD927EEA65B}">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1EE975B7-F473-4102-A76F-BC95EB7FD7C3}">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8137BBC1-D160-4086-B503-FEEA65FE0832}">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5F0AA0B1-5453-4182-ABDF-E1DE48A4C71F}">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A44F0E1C-D328-4427-8DE6-7C52D510C84B}">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00F368C0-7F3F-480D-BE2C-07412F26B070}">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73FCB35F-6FB6-4E10-9EC3-3AD9A2510495}">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74C178BE-C544-4F61-8049-6DD7BD4B73ED}">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D4B61C3D-C5A0-4254-92AF-5DC533DCE1DF}">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986FA4D7-8585-4357-9BF5-FD68A6717264}">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68D26A82-5198-45A0-9B07-28FBBDAE2C47}">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F31D48FD-CEE0-4DBC-905C-1C94BBB5BE13}">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8BE963D0-E46A-4178-B0AC-BB0DA10F9E46}">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F767B669-AA7A-486C-B976-0A334CDF23D0}">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B06C9A09-3187-4223-9455-66912DBFA19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929C7185-9B72-40A7-9E43-B7C18BB064E7}">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13027BD0-47AE-4417-B95F-77CB7E550208}">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60332DA3-C02B-420E-BD86-69338F402456}">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D1E52AF7-0A72-493F-B878-33552A9A16E3}">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8F71C207-EE80-437E-9C42-9CD4A1F497F3}">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8" authorId="4" shapeId="0" xr:uid="{536CB4A9-9743-4CD2-B633-214E17685ABC}">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29" authorId="5" shapeId="0" xr:uid="{522D1F3F-B41C-40FB-823D-C62D93FFD990}">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32" authorId="6" shapeId="0" xr:uid="{6C891F64-7FF1-40A4-B0F6-602FB98BF613}">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33" authorId="7" shapeId="0" xr:uid="{25F84D6B-8F31-402B-B50D-AA464E41DAA7}">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34" authorId="8" shapeId="0" xr:uid="{CC51A680-A9D5-4381-85A4-3055CEB28717}">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35" authorId="9" shapeId="0" xr:uid="{A2CE3BB8-80FD-4591-951F-D1F44E6674B8}">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36" authorId="10" shapeId="0" xr:uid="{576FA789-5827-4FD8-B84B-24873B58E43F}">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37" authorId="11" shapeId="0" xr:uid="{454C97C2-CA0F-4B46-845B-793A1276693D}">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40" authorId="12" shapeId="0" xr:uid="{51653D81-0C7A-4A2C-A718-5BE3AAD345C2}">
      <text>
        <t>[Threaded comment]
Your version of Excel allows you to read this threaded comment; however, any edits to it will get removed if the file is opened in a newer version of Excel. Learn more: https://go.microsoft.com/fwlink/?linkid=870924
Comment:
    Articular additions: the number of additions of an article</t>
      </text>
    </comment>
    <comment ref="D41" authorId="13" shapeId="0" xr:uid="{352334D5-A1D8-419B-AFFD-55C07285CC53}">
      <text>
        <t>[Threaded comment]
Your version of Excel allows you to read this threaded comment; however, any edits to it will get removed if the file is opened in a newer version of Excel. Learn more: https://go.microsoft.com/fwlink/?linkid=870924
Comment:
    Articular omissions: the number of omissions of an article</t>
      </text>
    </comment>
    <comment ref="D42" authorId="14" shapeId="0" xr:uid="{B97D8711-84D1-4C14-997D-87187C87374C}">
      <text>
        <t>[Threaded comment]
Your version of Excel allows you to read this threaded comment; however, any edits to it will get removed if the file is opened in a newer version of Excel. Learn more: https://go.microsoft.com/fwlink/?linkid=870924
Comment:
    Articular add ratio: the add ratio for the definite article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Jonathan Wilken</author>
    <author>tc={C712CAF5-35FA-442C-A949-AB389F3CB9EC}</author>
    <author>tc={21DF3F73-73F6-4157-98CE-B7387EB5CCD0}</author>
    <author>tc={1115D7AD-0D35-47C1-8241-522DB0DA86BE}</author>
    <author>tc={D690FFD5-7251-434E-B2BB-669A1B823666}</author>
    <author>tc={A4BDF17B-34C0-4CBB-9A12-DE313A77A280}</author>
    <author>tc={F2DA74AD-89E7-4723-B282-97D9D3D1BD46}</author>
    <author>tc={696D91BE-B62D-435C-A895-20D0551B30CB}</author>
    <author>tc={D81B2A79-C508-4BC3-9C9C-FAD2CCD4E42C}</author>
    <author>tc={33CEEBEE-1C82-4F41-8E34-D7FDB6424E35}</author>
    <author>tc={83A49F1B-5089-458C-B037-B5856C30B930}</author>
    <author>tc={7EA722D5-AC1E-489A-BAE8-C6E4AE88C316}</author>
    <author>tc={E4BC9DB3-BC37-4CF1-B2AC-B6B467D59ED4}</author>
  </authors>
  <commentList>
    <comment ref="B1" authorId="0" shapeId="0" xr:uid="{4EA858C9-F053-4A84-B5FE-FCDDA9CB83CC}">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74188720-0A1D-4A27-887F-8EB05DFE2222}">
      <text>
        <r>
          <rPr>
            <b/>
            <sz val="9"/>
            <color indexed="81"/>
            <rFont val="Tahoma"/>
            <family val="2"/>
          </rPr>
          <t>Jonathan Wilken:</t>
        </r>
        <r>
          <rPr>
            <sz val="9"/>
            <color indexed="81"/>
            <rFont val="Tahoma"/>
            <family val="2"/>
          </rPr>
          <t xml:space="preserve">
Reading from apograph (i.e., younger copy)</t>
        </r>
      </text>
    </comment>
    <comment ref="D1" authorId="0" shapeId="0" xr:uid="{76B6DCF2-4532-4FD8-8023-EE3F0F22075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5A07F841-0912-424C-A89C-931BF2D2D84C}">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6E1CDAFA-0AD2-432E-B628-56CD104C3683}">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E91A6C0D-4C3D-4998-A314-7C6DF99A95C3}">
      <text>
        <r>
          <rPr>
            <b/>
            <sz val="9"/>
            <color indexed="81"/>
            <rFont val="Tahoma"/>
            <family val="2"/>
          </rPr>
          <t>Jonathan Wilken:</t>
        </r>
        <r>
          <rPr>
            <sz val="9"/>
            <color indexed="81"/>
            <rFont val="Tahoma"/>
            <family val="2"/>
          </rPr>
          <t xml:space="preserve">
Add, omit, transposition, substitution, combo</t>
        </r>
      </text>
    </comment>
    <comment ref="H1" authorId="0" shapeId="0" xr:uid="{2B8DD4E7-6CC2-43A7-89F0-74BB513D371F}">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C5606D43-1BCC-422C-A545-1B2C8A2221DA}">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410A5DCF-F80C-406B-A3C3-D0DC218B434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142707AB-D114-4B5C-AD01-A09BBEAD5AC8}">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27BD2DAF-914D-4716-ACF8-0635ACE5690A}">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793AC9CC-8A92-4775-90E3-1F671E8321DF}">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ABCD99B9-0129-4363-920E-86866B4C17D9}">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2389CE65-ABB5-45ED-BA23-B457AFCB0145}">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D0A921D0-4321-45DF-904F-D1BA34287121}">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1" shapeId="0" xr:uid="{C712CAF5-35FA-442C-A949-AB389F3CB9EC}">
      <text>
        <t>[Threaded comment]
Your version of Excel allows you to read this threaded comment; however, any edits to it will get removed if the file is opened in a newer version of Excel. Learn more: https://go.microsoft.com/fwlink/?linkid=870924
Comment:
    Derived variable indicating the number of times per 1000 words the added or omitted word occurs. Thus, Freq-per-10,000 = (AO Word Frequency / Words in Corpus) * 10,000</t>
      </text>
    </comment>
    <comment ref="R1" authorId="0" shapeId="0" xr:uid="{C72A8565-F529-4923-BBC5-B5FF2D283199}">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2" shapeId="0" xr:uid="{21DF3F73-73F6-4157-98CE-B7387EB5CCD0}">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3" shapeId="0" xr:uid="{1115D7AD-0D35-47C1-8241-522DB0DA86BE}">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59DFBD9E-35BE-447E-BE4B-C76535046D15}">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82304BEE-9982-433D-B63D-B28062AA3EFE}">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A2D41E3A-2CF4-486F-AD5A-99B90B77359E}">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F0FBBF91-4224-4187-960A-A4A63DCFE968}">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5B0CA5CD-F590-44F3-A15C-0F9FAA0AD05E}">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84DC3290-0953-41B9-8A83-BB86D3B113F1}">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FEBE7B7C-B8E9-4BCA-9B90-6D59D09A1F1E}">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5" authorId="4" shapeId="0" xr:uid="{D690FFD5-7251-434E-B2BB-669A1B823666}">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6" authorId="5" shapeId="0" xr:uid="{A4BDF17B-34C0-4CBB-9A12-DE313A77A280}">
      <text>
        <t>[Threaded comment]
Your version of Excel allows you to read this threaded comment; however, any edits to it will get removed if the file is opened in a newer version of Excel. Learn more: https://go.microsoft.com/fwlink/?linkid=870924
Comment:
    Median word frequency</t>
      </text>
    </comment>
    <comment ref="D9" authorId="6" shapeId="0" xr:uid="{F2DA74AD-89E7-4723-B282-97D9D3D1BD46}">
      <text>
        <t>[Threaded comment]
Your version of Excel allows you to read this threaded comment; however, any edits to it will get removed if the file is opened in a newer version of Excel. Learn more: https://go.microsoft.com/fwlink/?linkid=870924
Comment:
    Higher-frequency additions: the number of additions among variants whose word frequency was equal to or above the median</t>
      </text>
    </comment>
    <comment ref="D10" authorId="7" shapeId="0" xr:uid="{696D91BE-B62D-435C-A895-20D0551B30CB}">
      <text>
        <t xml:space="preserve">[Threaded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equal to or above the median
</t>
      </text>
    </comment>
    <comment ref="D11" authorId="8" shapeId="0" xr:uid="{D81B2A79-C508-4BC3-9C9C-FAD2CCD4E42C}">
      <text>
        <t>[Threaded comment]
Your version of Excel allows you to read this threaded comment; however, any edits to it will get removed if the file is opened in a newer version of Excel. Learn more: https://go.microsoft.com/fwlink/?linkid=870924
Comment:
    Higher-frequency add ratio: the add ratio among variants whose word frequency was equal to or above the median</t>
      </text>
    </comment>
    <comment ref="D12" authorId="9" shapeId="0" xr:uid="{33CEEBEE-1C82-4F41-8E34-D7FDB6424E35}">
      <text>
        <t xml:space="preserve">[Threaded comment]
Your version of Excel allows you to read this threaded comment; however, any edits to it will get removed if the file is opened in a newer version of Excel. Learn more: https://go.microsoft.com/fwlink/?linkid=870924
Comment:
    Lower-frequency additions: the number of additions among variants whose word frequency was below the median
</t>
      </text>
    </comment>
    <comment ref="D13" authorId="10" shapeId="0" xr:uid="{83A49F1B-5089-458C-B037-B5856C30B930}">
      <text>
        <t>[Threaded comment]
Your version of Excel allows you to read this threaded comment; however, any edits to it will get removed if the file is opened in a newer version of Excel. Learn more: https://go.microsoft.com/fwlink/?linkid=870924
Comment:
    Higher-frequency omissions: the number of omissions among variants whose word frequency was below  the median</t>
      </text>
    </comment>
    <comment ref="D14" authorId="11" shapeId="0" xr:uid="{7EA722D5-AC1E-489A-BAE8-C6E4AE88C316}">
      <text>
        <t xml:space="preserve">[Threaded comment]
Your version of Excel allows you to read this threaded comment; however, any edits to it will get removed if the file is opened in a newer version of Excel. Learn more: https://go.microsoft.com/fwlink/?linkid=870924
Comment:
    Lower-frequency add ratio: the add ratio among variants whose word frequency was below the median
</t>
      </text>
    </comment>
    <comment ref="D15" authorId="12" shapeId="0" xr:uid="{E4BC9DB3-BC37-4CF1-B2AC-B6B467D59ED4}">
      <text>
        <t>[Threaded comment]
Your version of Excel allows you to read this threaded comment; however, any edits to it will get removed if the file is opened in a newer version of Excel. Learn more: https://go.microsoft.com/fwlink/?linkid=870924
Comment:
    The difference in add ratio based on word frequency category. If scribes exhibit preference for the familiar, the HF add ratio should usually be higher than the LF add ratio (thus, the Add Ratio Difference should be positive)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Jonathan Wilken</author>
    <author>tc={FF0B7DE6-5D75-47DE-812A-AC9A5DB73834}</author>
    <author>tc={0C956F1C-4816-4DE1-B872-FD841F7F7E3D}</author>
    <author>tc={87155E82-CECE-495D-AA6F-1F5483D13949}</author>
    <author>tc={A094D782-5F6E-4E15-ADCA-8E6F0A7F5C3A}</author>
    <author>tc={818486FC-A1D2-48A5-A60C-2B03DE03A032}</author>
    <author>tc={9D4C2EFC-CA9E-453F-8EE6-49B8BAB26156}</author>
    <author>tc={2E9D2787-C982-4FAC-ABAC-82B5F03ECDB1}</author>
    <author>tc={FF9461E3-D87C-49E2-A144-D996FCA02395}</author>
    <author>tc={F1C0A6F8-E392-4957-BBD8-953753BC9F4B}</author>
    <author>tc={109A3B3D-0B36-4032-8F93-057500C62A04}</author>
    <author>tc={943808C3-4DD6-49E2-85A3-7AF4A0320D1C}</author>
    <author>tc={37E2CF01-74DD-4753-BB97-061FF6F7CDC7}</author>
    <author>tc={2B187F19-3E0A-4047-9735-EEEB21895018}</author>
    <author>tc={E3E1F96E-EAB2-4CEE-A1E3-93A79590D6B0}</author>
    <author>tc={99F384ED-A39F-4D64-AF71-947605E2661A}</author>
  </authors>
  <commentList>
    <comment ref="B1" authorId="0" shapeId="0" xr:uid="{0CF3DB04-A8D1-411A-B356-19472B91AB8D}">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826C10C0-8E4D-435F-A581-5A831112CCE1}">
      <text>
        <r>
          <rPr>
            <b/>
            <sz val="9"/>
            <color indexed="81"/>
            <rFont val="Tahoma"/>
            <family val="2"/>
          </rPr>
          <t>Jonathan Wilken:</t>
        </r>
        <r>
          <rPr>
            <sz val="9"/>
            <color indexed="81"/>
            <rFont val="Tahoma"/>
            <family val="2"/>
          </rPr>
          <t xml:space="preserve">
Reading from apograph (i.e., younger copy)</t>
        </r>
      </text>
    </comment>
    <comment ref="D1" authorId="0" shapeId="0" xr:uid="{FF3AC121-C93D-4D62-86B7-EC8880AAEF7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20FD2F99-CBEF-47FC-A3D9-AC1C4CBEF310}">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56103075-FB7D-4355-860E-DBB3DA6C57AE}">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83137F57-F156-48D7-922D-1C713DCA5721}">
      <text>
        <r>
          <rPr>
            <b/>
            <sz val="9"/>
            <color indexed="81"/>
            <rFont val="Tahoma"/>
            <family val="2"/>
          </rPr>
          <t>Jonathan Wilken:</t>
        </r>
        <r>
          <rPr>
            <sz val="9"/>
            <color indexed="81"/>
            <rFont val="Tahoma"/>
            <family val="2"/>
          </rPr>
          <t xml:space="preserve">
Add, omit, transposition, substitution, combo</t>
        </r>
      </text>
    </comment>
    <comment ref="H1" authorId="0" shapeId="0" xr:uid="{79F42E44-05B1-422D-B1D5-074854327A7D}">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CA3FDA3C-B18A-4B1A-B8CF-D54E24AC0A11}">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6CEEB6F4-B9FE-431A-9337-54B78F397F69}">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B5664479-92BD-4017-B4BC-418BD52CBF8A}">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0FAB064D-827E-45ED-A29A-98A60DFC834C}">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AC57B9B5-73A3-42F9-8710-CA8DA670DFCC}">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5E1FC3BD-2B1B-4E93-9EB4-71C5FFE32CF9}">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8C9F05A6-37AF-4929-9755-DC2381FC5B0D}">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60B98AEB-99E8-466B-BC14-38A6ECF2230A}">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CB8FC02B-395B-44E7-B35C-0BC0BE8AF49F}">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FF0B7DE6-5D75-47DE-812A-AC9A5DB73834}">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0C956F1C-4816-4DE1-B872-FD841F7F7E3D}">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T1" authorId="3" shapeId="0" xr:uid="{87155E82-CECE-495D-AA6F-1F5483D13949}">
      <text>
        <t>[Threaded comment]
Your version of Excel allows you to read this threaded comment; however, any edits to it will get removed if the file is opened in a newer version of Excel. Learn more: https://go.microsoft.com/fwlink/?linkid=870924
Comment:
    Frequency occurrence of autograph reading per 10,000 words of text</t>
      </text>
    </comment>
    <comment ref="U1" authorId="4" shapeId="0" xr:uid="{A094D782-5F6E-4E15-ADCA-8E6F0A7F5C3A}">
      <text>
        <t>[Threaded comment]
Your version of Excel allows you to read this threaded comment; however, any edits to it will get removed if the file is opened in a newer version of Excel. Learn more: https://go.microsoft.com/fwlink/?linkid=870924
Comment:
    Frequency occurrence of apograph reading per 10,000 words of text</t>
      </text>
    </comment>
    <comment ref="V1" authorId="5" shapeId="0" xr:uid="{818486FC-A1D2-48A5-A60C-2B03DE03A032}">
      <text>
        <t>[Threaded comment]
Your version of Excel allows you to read this threaded comment; however, any edits to it will get removed if the file is opened in a newer version of Excel. Learn more: https://go.microsoft.com/fwlink/?linkid=870924
Comment:
    Difference in the P10K frequency of the autograph and apograph readings. Difference = apograph - autograph. Thus, positive values indicate the apograph reading was a more common/frequent word; negative values indicate the apograph reading was a less common/frequent word</t>
      </text>
    </comment>
    <comment ref="Y1" authorId="0" shapeId="0" xr:uid="{B54C073D-2FA8-4059-B9C6-05FB45266C2C}">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Z1" authorId="0" shapeId="0" xr:uid="{48930E29-FA6A-4EA7-9F1F-5B07EA4D4DC9}">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AA1" authorId="0" shapeId="0" xr:uid="{88331F14-2E5C-49B1-8067-C91C3D698492}">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AB1" authorId="0" shapeId="0" xr:uid="{68874891-C800-4408-8894-82E6DD9D682F}">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D1" authorId="0" shapeId="0" xr:uid="{8AF14E32-3CA9-4BBE-AEC1-B793522562B2}">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E1" authorId="0" shapeId="0" xr:uid="{82E5EEBB-D245-4A9B-939B-2A19E485F07E}">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F1" authorId="0" shapeId="0" xr:uid="{F0CD3C84-9C54-4EE1-9FFD-0658EF4DD9B7}">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18" authorId="6" shapeId="0" xr:uid="{9D4C2EFC-CA9E-453F-8EE6-49B8BAB26156}">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 ref="D21" authorId="7" shapeId="0" xr:uid="{2E9D2787-C982-4FAC-ABAC-82B5F03ECDB1}">
      <text>
        <t>[Threaded comment]
Your version of Excel allows you to read this threaded comment; however, any edits to it will get removed if the file is opened in a newer version of Excel. Learn more: https://go.microsoft.com/fwlink/?linkid=870924
Comment:
    Number of variants where the scribe used a more common/frequent word in place of a less common/frequent word</t>
      </text>
    </comment>
    <comment ref="D22" authorId="8" shapeId="0" xr:uid="{FF9461E3-D87C-49E2-A144-D996FCA02395}">
      <text>
        <t>[Threaded comment]
Your version of Excel allows you to read this threaded comment; however, any edits to it will get removed if the file is opened in a newer version of Excel. Learn more: https://go.microsoft.com/fwlink/?linkid=870924
Comment:
    Number of variants where the scribe used a less common/frequent word in place of a more  common/frequent word</t>
      </text>
    </comment>
    <comment ref="D23" authorId="9" shapeId="0" xr:uid="{F1C0A6F8-E392-4957-BBD8-953753BC9F4B}">
      <text>
        <t>[Threaded comment]
Your version of Excel allows you to read this threaded comment; however, any edits to it will get removed if the file is opened in a newer version of Excel. Learn more: https://go.microsoft.com/fwlink/?linkid=870924
Comment:
    Probability based on 2-tailed sign test: probability of obtaining a result as extreme as or more extreme than that shown above</t>
      </text>
    </comment>
    <comment ref="D25" authorId="10" shapeId="0" xr:uid="{109A3B3D-0B36-4032-8F93-057500C62A04}">
      <text>
        <t>[Threaded comment]
Your version of Excel allows you to read this threaded comment; however, any edits to it will get removed if the file is opened in a newer version of Excel. Learn more: https://go.microsoft.com/fwlink/?linkid=870924
Comment:
    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
      </text>
    </comment>
    <comment ref="D26" authorId="11" shapeId="0" xr:uid="{943808C3-4DD6-49E2-85A3-7AF4A0320D1C}">
      <text>
        <t>[Threaded comment]
Your version of Excel allows you to read this threaded comment; however, any edits to it will get removed if the file is opened in a newer version of Excel. Learn more: https://go.microsoft.com/fwlink/?linkid=870924
Comment:
    Standard deviation of the word frequency difference for substitutions</t>
      </text>
    </comment>
    <comment ref="D29" authorId="12" shapeId="0" xr:uid="{37E2CF01-74DD-4753-BB97-061FF6F7CDC7}">
      <text>
        <t>[Threaded comment]
Your version of Excel allows you to read this threaded comment; however, any edits to it will get removed if the file is opened in a newer version of Excel. Learn more: https://go.microsoft.com/fwlink/?linkid=870924
Comment:
    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
      </text>
    </comment>
    <comment ref="D30" authorId="13" shapeId="0" xr:uid="{2B187F19-3E0A-4047-9735-EEEB21895018}">
      <text>
        <t>[Threaded comment]
Your version of Excel allows you to read this threaded comment; however, any edits to it will get removed if the file is opened in a newer version of Excel. Learn more: https://go.microsoft.com/fwlink/?linkid=870924
Comment:
    Standard deviation of the change in word frequency, using the frequency measure of "occurrences per 10,000 words"</t>
      </text>
    </comment>
    <comment ref="D33" authorId="14" shapeId="0" xr:uid="{E3E1F96E-EAB2-4CEE-A1E3-93A79590D6B0}">
      <text>
        <t>[Threaded comment]
Your version of Excel allows you to read this threaded comment; however, any edits to it will get removed if the file is opened in a newer version of Excel. Learn more: https://go.microsoft.com/fwlink/?linkid=870924
Comment:
    Total number of substitutions for which a word frequency difference could be calculated</t>
      </text>
    </comment>
    <comment ref="D34" authorId="15" shapeId="0" xr:uid="{99F384ED-A39F-4D64-AF71-947605E2661A}">
      <text>
        <t>[Threaded comment]
Your version of Excel allows you to read this threaded comment; however, any edits to it will get removed if the file is opened in a newer version of Excel. Learn more: https://go.microsoft.com/fwlink/?linkid=870924
Comment:
    The standard deviation of word frequency difference scores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Jonathan Wilken</author>
    <author>tc={6B0668A6-5DBC-485C-BA65-17751DEC551C}</author>
    <author>tc={AC8776E7-AFF7-419D-BA47-24BB3D8C7939}</author>
    <author>tc={F68261FB-0759-419B-99E1-7FA6E8A96D8A}</author>
    <author>tc={D3AB1C5E-37EE-4B0D-8A88-F4E34FC5C971}</author>
    <author>tc={23119399-1739-43B4-B611-B745C310A73E}</author>
  </authors>
  <commentList>
    <comment ref="B1" authorId="0" shapeId="0" xr:uid="{8D88016F-DF6D-4157-B428-26D5A2649EB4}">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2AD539F6-7602-47D5-A41E-C9677391CDAF}">
      <text>
        <r>
          <rPr>
            <b/>
            <sz val="9"/>
            <color indexed="81"/>
            <rFont val="Tahoma"/>
            <family val="2"/>
          </rPr>
          <t>Jonathan Wilken:</t>
        </r>
        <r>
          <rPr>
            <sz val="9"/>
            <color indexed="81"/>
            <rFont val="Tahoma"/>
            <family val="2"/>
          </rPr>
          <t xml:space="preserve">
Reading from apograph (i.e., younger copy)</t>
        </r>
      </text>
    </comment>
    <comment ref="D1" authorId="0" shapeId="0" xr:uid="{2B808424-28F8-4A44-9341-50947F4047C6}">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5F7A8BD7-C9F7-469E-8549-1B48E46FE089}">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263B212B-1593-460F-81B2-C5702E092EF5}">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H1" authorId="0" shapeId="0" xr:uid="{8D13E7BC-68F1-40F2-8BDB-955B9880EB6E}">
      <text>
        <r>
          <rPr>
            <b/>
            <sz val="9"/>
            <color indexed="81"/>
            <rFont val="Tahoma"/>
            <family val="2"/>
          </rPr>
          <t>Jonathan Wilken:</t>
        </r>
        <r>
          <rPr>
            <sz val="9"/>
            <color indexed="81"/>
            <rFont val="Tahoma"/>
            <family val="2"/>
          </rPr>
          <t xml:space="preserve">
Add, omit, transposition, substitution, combo</t>
        </r>
      </text>
    </comment>
    <comment ref="I1" authorId="0" shapeId="0" xr:uid="{BE81C232-9657-41C1-971B-3C67014863A0}">
      <text>
        <r>
          <rPr>
            <b/>
            <sz val="9"/>
            <color indexed="81"/>
            <rFont val="Tahoma"/>
            <family val="2"/>
          </rPr>
          <t>Jonathan Wilken:</t>
        </r>
        <r>
          <rPr>
            <sz val="9"/>
            <color indexed="81"/>
            <rFont val="Tahoma"/>
            <family val="2"/>
          </rPr>
          <t xml:space="preserve">
For add/omits. Should only be used if complete phrases &gt;= 1. Set to 0 for &lt; 1.
</t>
        </r>
      </text>
    </comment>
    <comment ref="J1" authorId="0" shapeId="0" xr:uid="{A8C22FC6-7026-409D-AF3E-88E30905598E}">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K1" authorId="0" shapeId="0" xr:uid="{D36A42E9-F5BF-4107-9F07-BA431241A78D}">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L1" authorId="0" shapeId="0" xr:uid="{568B1D78-D04F-4C32-9DE0-DC29D7F2CA5E}">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M1" authorId="0" shapeId="0" xr:uid="{6791E8C3-1376-42D3-9B78-7B51FA749EB2}">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N1" authorId="0" shapeId="0" xr:uid="{48A82346-80F2-4C54-90C6-E027E3A74206}">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O1" authorId="0" shapeId="0" xr:uid="{18333E01-0695-4D9D-AD2D-BFEADA363AF5}">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P1" authorId="0" shapeId="0" xr:uid="{8248B4E9-F789-40CD-A8F1-D8C3AB019F0E}">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Q1" authorId="0" shapeId="0" xr:uid="{BC3C6780-1039-4CFC-B42D-8DCA3AEAB2B7}">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R1" authorId="0" shapeId="0" xr:uid="{7991719B-752E-4FF6-93E9-45689A4BF06C}">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S1" authorId="1" shapeId="0" xr:uid="{6B0668A6-5DBC-485C-BA65-17751DEC551C}">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T1" authorId="2" shapeId="0" xr:uid="{AC8776E7-AFF7-419D-BA47-24BB3D8C7939}">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W1" authorId="0" shapeId="0" xr:uid="{B552E300-4707-47D1-BFBD-AB0FF15F2C87}">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X1" authorId="0" shapeId="0" xr:uid="{9DD44A70-E978-454A-8B43-50059993E5A0}">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Y1" authorId="0" shapeId="0" xr:uid="{C147553B-3907-4389-A21E-F5EB4B11318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Z1" authorId="0" shapeId="0" xr:uid="{136849F0-345C-48CD-AD48-649189436E73}">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B1" authorId="0" shapeId="0" xr:uid="{5C05C3F3-58E1-485B-B282-50F5C6B3D0BF}">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C1" authorId="0" shapeId="0" xr:uid="{633D98EF-BF25-4107-801F-D20308C895C7}">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D1" authorId="0" shapeId="0" xr:uid="{56B4F415-8E62-46BA-9F59-271434352C92}">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D23" authorId="3" shapeId="0" xr:uid="{F68261FB-0759-419B-99E1-7FA6E8A96D8A}">
      <text>
        <t>[Threaded comment]
Your version of Excel allows you to read this threaded comment; however, any edits to it will get removed if the file is opened in a newer version of Excel. Learn more: https://go.microsoft.com/fwlink/?linkid=870924
Comment:
    The number of variants that harmonized to parallel phrases in the near context</t>
      </text>
    </comment>
    <comment ref="D24" authorId="4" shapeId="0" xr:uid="{D3AB1C5E-37EE-4B0D-8A88-F4E34FC5C971}">
      <text>
        <t>[Threaded comment]
Your version of Excel allows you to read this threaded comment; however, any edits to it will get removed if the file is opened in a newer version of Excel. Learn more: https://go.microsoft.com/fwlink/?linkid=870924
Comment:
    The number of variants that disharmonized from  parallel phrases in the near context</t>
      </text>
    </comment>
    <comment ref="D25" authorId="5" shapeId="0" xr:uid="{23119399-1739-43B4-B611-B745C310A73E}">
      <text>
        <t>[Threaded comment]
Your version of Excel allows you to read this threaded comment; however, any edits to it will get removed if the file is opened in a newer version of Excel. Learn more: https://go.microsoft.com/fwlink/?linkid=870924
Comment:
    The ratio of harmonizations to disharmonizations; = harmonizations / (harmonizations + disharmonizations)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Jonathan Wilken</author>
    <author>tc={45F99255-E8F4-4D3C-9F10-F7AB1DBBB3D3}</author>
    <author>tc={4AB60DD3-E7E5-476D-AD43-67EC90C4BB15}</author>
  </authors>
  <commentList>
    <comment ref="B1" authorId="0" shapeId="0" xr:uid="{210C1385-724D-4E2D-B519-AE33FA718596}">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7F4BB933-3085-4970-B3D7-1792E1498DE9}">
      <text>
        <r>
          <rPr>
            <b/>
            <sz val="9"/>
            <color indexed="81"/>
            <rFont val="Tahoma"/>
            <family val="2"/>
          </rPr>
          <t>Jonathan Wilken:</t>
        </r>
        <r>
          <rPr>
            <sz val="9"/>
            <color indexed="81"/>
            <rFont val="Tahoma"/>
            <family val="2"/>
          </rPr>
          <t xml:space="preserve">
Reading from apograph (i.e., younger copy)</t>
        </r>
      </text>
    </comment>
    <comment ref="D1" authorId="0" shapeId="0" xr:uid="{CBB3965C-B439-48F4-8340-EF985EF8D4C4}">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98C02F19-5614-4B82-A1CE-2E96D330BB32}">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CAAAD83C-F01D-42FF-8C38-1B79A798917D}">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2CB3CBDE-D77B-4AFD-BE5C-EB984C18E6D8}">
      <text>
        <r>
          <rPr>
            <b/>
            <sz val="9"/>
            <color indexed="81"/>
            <rFont val="Tahoma"/>
            <family val="2"/>
          </rPr>
          <t>Jonathan Wilken:</t>
        </r>
        <r>
          <rPr>
            <sz val="9"/>
            <color indexed="81"/>
            <rFont val="Tahoma"/>
            <family val="2"/>
          </rPr>
          <t xml:space="preserve">
Add, omit, transposition, substitution, combo</t>
        </r>
      </text>
    </comment>
    <comment ref="H1" authorId="0" shapeId="0" xr:uid="{8980F0D8-E49D-46F0-A78D-FC802E8ADFA7}">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57AF487B-9E3B-4CD5-9229-88D1C23D49B8}">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DCB05843-4D03-4D55-A569-0F28B14498D7}">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17AD6CF6-9664-45CA-B60D-4C91F479A1D1}">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8BD77309-7920-4AFB-AF3B-00C906A19FA3}">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A90EEB1C-0347-42CC-824B-53FAB019B14A}">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405570EF-CB15-48A0-A880-3BCC37521A6A}">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492542B5-429D-488C-BF86-DFA1A4F6320E}">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50C62AF5-0F18-4922-BE71-82B883511EBD}">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ED754D5B-0005-4710-BF57-29D564B01BB2}">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45F99255-E8F4-4D3C-9F10-F7AB1DBBB3D3}">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4AB60DD3-E7E5-476D-AD43-67EC90C4BB15}">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ACED791A-CBFE-4F25-A76D-91F9EEF86F56}">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03CEE7F4-7F35-4BFF-87E4-8EED4D33F3D5}">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82E8914F-1C13-4B0A-A5AB-6DD2B82BA089}">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6F926311-F5F8-4786-A6C0-242179FADC73}">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39415EB1-06CC-42DC-A215-21884840B01A}">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2AA98821-90F9-4E53-ACF0-3501382AF48C}">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DDE48F14-130E-48F1-86D1-39158191EDAC}">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Jonathan Wilken</author>
    <author>tc={93C30BAB-EC7F-4C8C-92A9-A3577D1DB6CB}</author>
    <author>tc={D56F109F-4F45-4D47-A251-6B98795D2F3A}</author>
    <author>tc={53339D52-E66D-471B-B9D1-5F4CDC36E47E}</author>
    <author>tc={D0113474-F489-4ADD-9773-F21293F7ECC4}</author>
    <author>tc={4C47EE01-3EBD-48CB-84ED-B05831C7BD9B}</author>
    <author>tc={9EFC231E-0D81-47FE-97A2-FD9D6FA6277C}</author>
    <author>tc={AAC56B60-896F-4573-9AA4-6954A0B386F3}</author>
    <author>tc={FDA91DEF-EFCE-4482-8511-EF43E8331542}</author>
    <author>tc={68E484CF-D3FB-4EB5-8B78-0A59788B4BB8}</author>
    <author>tc={FE0A6CE8-91E6-4078-95D7-ABE23FAF03B3}</author>
    <author>tc={D510725D-E8C1-4842-873A-C8BE57EE0BF5}</author>
    <author>tc={808E0F73-0A81-4B6A-8A77-3D2142F0746F}</author>
    <author>tc={7FAA2FA4-6F60-4AE6-9184-32C632CDB625}</author>
    <author>tc={4B4613A2-EF5C-4057-829D-A53C0A8AA91D}</author>
    <author>tc={6BEA8FB8-BFFB-466D-A67A-D7648F353B04}</author>
    <author>tc={DA9DA8B3-88CB-448B-A6FE-DD3EE517CA2A}</author>
    <author>tc={9E09ECF4-19C9-49E1-A53C-BA304F59FD2C}</author>
    <author>tc={3AA994ED-0900-47D4-82DE-EB5B743A97B6}</author>
    <author>tc={AFCB2B5C-0CBA-4B45-8BA1-FBD2BE33A5A7}</author>
    <author>tc={0F6C9121-BF1E-46ED-89A3-0A70D3379790}</author>
    <author>tc={0AA13F29-084B-4A75-82CB-CCD0E9D56BE9}</author>
    <author>tc={CADADB1C-CC12-4051-B5F9-68D7505E730F}</author>
    <author>tc={3F9C9933-845F-48EF-BD6D-951F0FC955B0}</author>
    <author>tc={4F3F4178-3FE2-4374-9D84-4F47427D704D}</author>
    <author>tc={FA922E71-FF16-4C27-AAAA-1C6EF03FDE6B}</author>
    <author>tc={A0873118-DEFC-48DE-BD03-7996D7ABAC64}</author>
    <author>tc={103E2CB6-4367-4B43-A41A-24FABEB987C3}</author>
    <author>tc={086A2A91-56CC-4D77-AA29-8465873AEBEB}</author>
    <author>tc={4C70634D-7E2B-4C09-9B1D-1E2CF001B5EE}</author>
    <author>tc={B0D5B59B-0531-468C-B9F9-EA49C02CE261}</author>
    <author>tc={7442653E-C768-4E25-B81B-E4E86CD927A1}</author>
    <author>tc={8A57B675-8D4C-4303-81A4-A2D6744F0B6F}</author>
    <author>tc={A7C931E7-F36B-4448-92AF-21BE728A0E14}</author>
    <author>tc={15C83E36-F275-4534-93DB-783815FC35C1}</author>
    <author>tc={9499FA1B-F43C-4285-B9C3-2F176684A93A}</author>
    <author>tc={12037796-8143-4555-9D94-B18B0819FC05}</author>
    <author>tc={22D07869-828D-46D4-A7E2-29CD538A0C26}</author>
    <author>tc={BB4FB229-AF50-47E4-8EEF-D220E370BF97}</author>
    <author>tc={57508CAB-DA6C-4A82-A6E6-FD49A6640B96}</author>
    <author>tc={CC68AE10-DBF9-4EB3-9D25-855A9BE0CB71}</author>
    <author>tc={E35C8F38-D7CF-493F-A308-AC2E557952C6}</author>
    <author>tc={24A87D07-1A47-4E3E-8F7E-0B5ACDB81A76}</author>
    <author>tc={FF9EB006-F59E-49FC-A5A7-C004C724413F}</author>
    <author>tc={725E411E-FA9D-4F56-8360-E539EB5E3B79}</author>
  </authors>
  <commentList>
    <comment ref="B1" authorId="0" shapeId="0" xr:uid="{242B79CD-D0D7-4387-A8D1-D4201A83F7BF}">
      <text>
        <r>
          <rPr>
            <b/>
            <sz val="9"/>
            <color indexed="81"/>
            <rFont val="Tahoma"/>
            <family val="2"/>
          </rPr>
          <t>Jonathan Wilken:</t>
        </r>
        <r>
          <rPr>
            <sz val="9"/>
            <color indexed="81"/>
            <rFont val="Tahoma"/>
            <family val="2"/>
          </rPr>
          <t xml:space="preserve">
Reading from autograph (i.e., the older MS that was copied)</t>
        </r>
      </text>
    </comment>
    <comment ref="C1" authorId="0" shapeId="0" xr:uid="{7750DBDB-F7C9-4AF4-B16B-AABDAC6A3825}">
      <text>
        <r>
          <rPr>
            <b/>
            <sz val="9"/>
            <color indexed="81"/>
            <rFont val="Tahoma"/>
            <family val="2"/>
          </rPr>
          <t>Jonathan Wilken:</t>
        </r>
        <r>
          <rPr>
            <sz val="9"/>
            <color indexed="81"/>
            <rFont val="Tahoma"/>
            <family val="2"/>
          </rPr>
          <t xml:space="preserve">
Reading from apograph (i.e., younger copy)</t>
        </r>
      </text>
    </comment>
    <comment ref="D1" authorId="0" shapeId="0" xr:uid="{F6D86628-00AA-4A9B-AD6D-0A25E0A6A722}">
      <text>
        <r>
          <rPr>
            <b/>
            <sz val="9"/>
            <color indexed="81"/>
            <rFont val="Tahoma"/>
            <family val="2"/>
          </rPr>
          <t>Jonathan Wilken:</t>
        </r>
        <r>
          <rPr>
            <sz val="9"/>
            <color indexed="81"/>
            <rFont val="Tahoma"/>
            <family val="2"/>
          </rPr>
          <t xml:space="preserve">
Potential reasons why this reading should not be included in data analysis</t>
        </r>
      </text>
    </comment>
    <comment ref="E1" authorId="0" shapeId="0" xr:uid="{96428480-8723-40C6-9BF2-E62A65DE0818}">
      <text>
        <r>
          <rPr>
            <b/>
            <sz val="9"/>
            <color indexed="81"/>
            <rFont val="Tahoma"/>
            <family val="2"/>
          </rPr>
          <t>Jonathan Wilken:</t>
        </r>
        <r>
          <rPr>
            <sz val="9"/>
            <color indexed="81"/>
            <rFont val="Tahoma"/>
            <family val="2"/>
          </rPr>
          <t xml:space="preserve">
If a correction occurs in the autograph, does the apograph follow the correction ("yes") or the initial reading ("no")</t>
        </r>
      </text>
    </comment>
    <comment ref="F1" authorId="0" shapeId="0" xr:uid="{6C73F93F-A005-48A3-AAF0-0E131B3B3B22}">
      <text>
        <r>
          <rPr>
            <b/>
            <sz val="9"/>
            <color indexed="81"/>
            <rFont val="Tahoma"/>
            <family val="2"/>
          </rPr>
          <t>Jonathan Wilken:</t>
        </r>
        <r>
          <rPr>
            <sz val="9"/>
            <color indexed="81"/>
            <rFont val="Tahoma"/>
            <family val="2"/>
          </rPr>
          <t xml:space="preserve">
Was the variant here documented corrected, whether by the firsthand or a later scribe</t>
        </r>
      </text>
    </comment>
    <comment ref="G1" authorId="0" shapeId="0" xr:uid="{107F284C-DDD6-4094-B992-190D4ECACC1C}">
      <text>
        <r>
          <rPr>
            <b/>
            <sz val="9"/>
            <color indexed="81"/>
            <rFont val="Tahoma"/>
            <family val="2"/>
          </rPr>
          <t>Jonathan Wilken:</t>
        </r>
        <r>
          <rPr>
            <sz val="9"/>
            <color indexed="81"/>
            <rFont val="Tahoma"/>
            <family val="2"/>
          </rPr>
          <t xml:space="preserve">
Add, omit, transposition, substitution, combo</t>
        </r>
      </text>
    </comment>
    <comment ref="H1" authorId="0" shapeId="0" xr:uid="{063977AB-CFCC-4D3C-992E-32EEDA17457C}">
      <text>
        <r>
          <rPr>
            <b/>
            <sz val="9"/>
            <color indexed="81"/>
            <rFont val="Tahoma"/>
            <family val="2"/>
          </rPr>
          <t>Jonathan Wilken:</t>
        </r>
        <r>
          <rPr>
            <sz val="9"/>
            <color indexed="81"/>
            <rFont val="Tahoma"/>
            <family val="2"/>
          </rPr>
          <t xml:space="preserve">
For add/omits. Should only be used if complete phrases &gt;= 1. Set to 0 for &lt; 1.
</t>
        </r>
      </text>
    </comment>
    <comment ref="I1" authorId="0" shapeId="0" xr:uid="{FEEA8170-0226-46FA-BA19-94446FFB0E65}">
      <text>
        <r>
          <rPr>
            <b/>
            <sz val="9"/>
            <color indexed="81"/>
            <rFont val="Tahoma"/>
            <family val="2"/>
          </rPr>
          <t>Jonathan Wilken:</t>
        </r>
        <r>
          <rPr>
            <sz val="9"/>
            <color indexed="81"/>
            <rFont val="Tahoma"/>
            <family val="2"/>
          </rPr>
          <t xml:space="preserve">
Jonathan Wilken:
For add/omits. Default and lower limit = 1. When only letters are omitted, this should be classified under "Substitions" or other relevant options (e.g., Nonsense reading)</t>
        </r>
      </text>
    </comment>
    <comment ref="J1" authorId="0" shapeId="0" xr:uid="{20E5242F-4D2A-460C-A566-42B087343EFB}">
      <text>
        <r>
          <rPr>
            <b/>
            <sz val="9"/>
            <color indexed="81"/>
            <rFont val="Tahoma"/>
            <family val="2"/>
          </rPr>
          <t>Jonathan Wilken:</t>
        </r>
        <r>
          <rPr>
            <sz val="9"/>
            <color indexed="81"/>
            <rFont val="Tahoma"/>
            <family val="2"/>
          </rPr>
          <t xml:space="preserve">
For add/omits. When an entire word is not added/omitted, a different field for letter length should be used.</t>
        </r>
      </text>
    </comment>
    <comment ref="K1" authorId="0" shapeId="0" xr:uid="{356ADB39-B571-4070-905F-81C576488A82}">
      <text>
        <r>
          <rPr>
            <b/>
            <sz val="9"/>
            <color indexed="81"/>
            <rFont val="Tahoma"/>
            <family val="2"/>
          </rPr>
          <t>Jonathan Wilken:</t>
        </r>
        <r>
          <rPr>
            <sz val="9"/>
            <color indexed="81"/>
            <rFont val="Tahoma"/>
            <family val="2"/>
          </rPr>
          <t xml:space="preserve">
To be used with add/omits. Should this field be limited to add/omits of 1 word? If not, need to decide how to account for all elements in multi-word add/omits</t>
        </r>
      </text>
    </comment>
    <comment ref="L1" authorId="0" shapeId="0" xr:uid="{AD8FD34D-FED8-401F-9E66-2785003B9549}">
      <text>
        <r>
          <rPr>
            <b/>
            <sz val="9"/>
            <color indexed="81"/>
            <rFont val="Tahoma"/>
            <family val="2"/>
          </rPr>
          <t>Jonathan Wilken:</t>
        </r>
        <r>
          <rPr>
            <sz val="9"/>
            <color indexed="81"/>
            <rFont val="Tahoma"/>
            <family val="2"/>
          </rPr>
          <t xml:space="preserve">
For add/omits. Should be "Present" or "Absent". The presence or absense of visual cues should be based on a minimum 3-letter similarity between at least one pair of critical regions. The identity of those critical regions and the magnitude of similarity should be documented in other fields</t>
        </r>
      </text>
    </comment>
    <comment ref="M1" authorId="0" shapeId="0" xr:uid="{5EFFFA01-0305-4DE7-9245-33212053B843}">
      <text>
        <r>
          <rPr>
            <b/>
            <sz val="9"/>
            <color indexed="81"/>
            <rFont val="Tahoma"/>
            <family val="2"/>
          </rPr>
          <t>Jonathan Wilken:</t>
        </r>
        <r>
          <rPr>
            <sz val="9"/>
            <color indexed="81"/>
            <rFont val="Tahoma"/>
            <family val="2"/>
          </rPr>
          <t xml:space="preserve">
Indicate with letter pairs which pairs of regions contain identical letter patterns. (E.g., AC or BD) When multiple similarities exist, separate region pairs with a semicolon. (E.g., AC:BD)</t>
        </r>
      </text>
    </comment>
    <comment ref="N1" authorId="0" shapeId="0" xr:uid="{69B9FB4F-2767-4924-ADBF-1F45AA9F00D9}">
      <text>
        <r>
          <rPr>
            <b/>
            <sz val="9"/>
            <color indexed="81"/>
            <rFont val="Tahoma"/>
            <family val="2"/>
          </rPr>
          <t>Jonathan Wilken:</t>
        </r>
        <r>
          <rPr>
            <sz val="9"/>
            <color indexed="81"/>
            <rFont val="Tahoma"/>
            <family val="2"/>
          </rPr>
          <t xml:space="preserve">
Record the number of letters shared by critical regions. Where multiple region pairs were indicated in the "Cue Region" field, list each magnitude separated by a semicolon in the order corresponding to that used in the "Cue Region" field. E.g., if Cue Region = AC:BD, Cue Length might = 5:4</t>
        </r>
      </text>
    </comment>
    <comment ref="O1" authorId="0" shapeId="0" xr:uid="{2C678991-A0D8-46DB-890B-FC7C25038AD9}">
      <text>
        <r>
          <rPr>
            <b/>
            <sz val="9"/>
            <color indexed="81"/>
            <rFont val="Tahoma"/>
            <family val="2"/>
          </rPr>
          <t>Jonathan Wilken:</t>
        </r>
        <r>
          <rPr>
            <sz val="9"/>
            <color indexed="81"/>
            <rFont val="Tahoma"/>
            <family val="2"/>
          </rPr>
          <t xml:space="preserve">
For use with add/omits. When the longer reading constitutes a duplication of tangential material (= Dittography) or material in the immediate context (i.e., on the same page; = repetition)
</t>
        </r>
      </text>
    </comment>
    <comment ref="P1" authorId="0" shapeId="0" xr:uid="{DCCC7628-1BE7-4733-B71D-FEED36436073}">
      <text>
        <r>
          <rPr>
            <b/>
            <sz val="9"/>
            <color indexed="81"/>
            <rFont val="Tahoma"/>
            <family val="2"/>
          </rPr>
          <t>Jonathan Wilken:</t>
        </r>
        <r>
          <rPr>
            <sz val="9"/>
            <color indexed="81"/>
            <rFont val="Tahoma"/>
            <family val="2"/>
          </rPr>
          <t xml:space="preserve">
For add/omits. The frequency of the word added or omitted within its corpus (or all corpora assessed?). For multi-word add/omits, the lowest frequency word should be used to represent the reading as a whole</t>
        </r>
      </text>
    </comment>
    <comment ref="Q1" authorId="0" shapeId="0" xr:uid="{E3B0C8FD-F5C3-4DB9-AE41-008FFDF56649}">
      <text>
        <r>
          <rPr>
            <b/>
            <sz val="9"/>
            <color indexed="81"/>
            <rFont val="Tahoma"/>
            <family val="2"/>
          </rPr>
          <t>Jonathan Wilken:</t>
        </r>
        <r>
          <rPr>
            <sz val="9"/>
            <color indexed="81"/>
            <rFont val="Tahoma"/>
            <family val="2"/>
          </rPr>
          <t xml:space="preserve">
For substitutions. The difference in frequency between the word written in the autograph and the word that replaced it in the apograph. If a common word is replaced with a less common word, this number will be positive. If the opposite, it will be negative</t>
        </r>
      </text>
    </comment>
    <comment ref="R1" authorId="1" shapeId="0" xr:uid="{93C30BAB-EC7F-4C8C-92A9-A3577D1DB6CB}">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apograph reading</t>
      </text>
    </comment>
    <comment ref="S1" authorId="2" shapeId="0" xr:uid="{D56F109F-4F45-4D47-A251-6B98795D2F3A}">
      <text>
        <t>[Threaded comment]
Your version of Excel allows you to read this threaded comment; however, any edits to it will get removed if the file is opened in a newer version of Excel. Learn more: https://go.microsoft.com/fwlink/?linkid=870924
Comment:
    For substitutions, the word frequency of the autograph reading</t>
      </text>
    </comment>
    <comment ref="V1" authorId="0" shapeId="0" xr:uid="{2AB6905E-46FA-4E22-89F8-9B85F90BD720}">
      <text>
        <r>
          <rPr>
            <b/>
            <sz val="9"/>
            <color indexed="81"/>
            <rFont val="Tahoma"/>
            <family val="2"/>
          </rPr>
          <t>Jonathan Wilken:</t>
        </r>
        <r>
          <rPr>
            <sz val="9"/>
            <color indexed="81"/>
            <rFont val="Tahoma"/>
            <family val="2"/>
          </rPr>
          <t xml:space="preserve">
Parallel passages will consist of passages that record the same or similar events in similar language, or quotations of other books. "Context" will refer to material present within one page of a given reading. "Harmonizing" means the apograph has supplied a reading more similar to the material in question; "disharmonizing" means the apograph has provided a less similar reading</t>
        </r>
      </text>
    </comment>
    <comment ref="W1" authorId="0" shapeId="0" xr:uid="{D7C45163-10E4-40D7-8C97-565E5F70628B}">
      <text>
        <r>
          <rPr>
            <b/>
            <sz val="9"/>
            <color indexed="81"/>
            <rFont val="Tahoma"/>
            <family val="2"/>
          </rPr>
          <t>Jonathan Wilken:</t>
        </r>
        <r>
          <rPr>
            <sz val="9"/>
            <color indexed="81"/>
            <rFont val="Tahoma"/>
            <family val="2"/>
          </rPr>
          <t xml:space="preserve">
Is the apograph reading "singular" or "dual"? "Dual" here will refer to readings that would appear singular without recourse to the autograph. Since this can only occur where the MS pair agrees, these readings will need to be identified at a later stage</t>
        </r>
      </text>
    </comment>
    <comment ref="X1" authorId="0" shapeId="0" xr:uid="{8AE74219-E840-4AAE-B9F6-B22137CB5478}">
      <text>
        <r>
          <rPr>
            <b/>
            <sz val="9"/>
            <color indexed="81"/>
            <rFont val="Tahoma"/>
            <family val="2"/>
          </rPr>
          <t>Jonathan Wilken:</t>
        </r>
        <r>
          <rPr>
            <sz val="9"/>
            <color indexed="81"/>
            <rFont val="Tahoma"/>
            <family val="2"/>
          </rPr>
          <t xml:space="preserve">
Is the apograph reading "secondary"? That is, does it deviate from its autograph? (Only dual readings could be coded as non-secondary. This field may therefore be redundant.)</t>
        </r>
      </text>
    </comment>
    <comment ref="Y1" authorId="0" shapeId="0" xr:uid="{50332B6E-76B7-485E-A23B-B90046C5F24E}">
      <text>
        <r>
          <rPr>
            <b/>
            <sz val="9"/>
            <color indexed="81"/>
            <rFont val="Tahoma"/>
            <family val="2"/>
          </rPr>
          <t>Jonathan Wilken:</t>
        </r>
        <r>
          <rPr>
            <sz val="9"/>
            <color indexed="81"/>
            <rFont val="Tahoma"/>
            <family val="2"/>
          </rPr>
          <t xml:space="preserve">
Royse, Colwell and others leave certain variants out of consideration. These include itacisms, moveable nu, breathings, accents, punctuation, iota adscript or subscript, and and abbreviation issues. (Scribal Habits, pp. 79-81) I have already exlucded abbreviations from my dataset. It may do to therefore also exclude the items listed above. If they are to remain in the dataset (for future study), it will be best to tag them and filter them out later</t>
        </r>
      </text>
    </comment>
    <comment ref="AA1" authorId="0" shapeId="0" xr:uid="{8A11C4DE-6D6B-4C43-9BFF-97251E138D5E}">
      <text>
        <r>
          <rPr>
            <b/>
            <sz val="9"/>
            <color indexed="81"/>
            <rFont val="Tahoma"/>
            <family val="2"/>
          </rPr>
          <t>Jonathan Wilken:</t>
        </r>
        <r>
          <rPr>
            <sz val="9"/>
            <color indexed="81"/>
            <rFont val="Tahoma"/>
            <family val="2"/>
          </rPr>
          <t xml:space="preserve">
This category seems vague to me, and I feel inclined not to use it. Royse says thse include "readings that can be reasonably seen as alternative spellings of the usual readings, or that involve well-established phonetic substitutions, for which I have relied chiefly on the work of Gignac." (Scribal Habits, p. 82) He grants many of these may be difficult to distinguish from nonsense readings.
It might be best for now to explicitly list here what suspected orthographic change is occuring (e.g., "νγ -&gt; γγ". Patterns can be identified as a second step, and line items filtered as necessary.</t>
        </r>
      </text>
    </comment>
    <comment ref="AB1" authorId="0" shapeId="0" xr:uid="{9EC6A08C-DB7D-4A30-9008-D1B0F9E287E9}">
      <text>
        <r>
          <rPr>
            <b/>
            <sz val="9"/>
            <color indexed="81"/>
            <rFont val="Tahoma"/>
            <family val="2"/>
          </rPr>
          <t>Jonathan Wilken:</t>
        </r>
        <r>
          <rPr>
            <sz val="9"/>
            <color indexed="81"/>
            <rFont val="Tahoma"/>
            <family val="2"/>
          </rPr>
          <t xml:space="preserve">
Royse appeals to Colwell's definition: "words unknown to grammar or lexicon, words that cannot be construed syntactically, or words that do not make sense in the context." (Royse, Scribal Habits, p. 90 quoting Colwell, Scribal Habits p. 111) Royse prefers to distinguish between "strictly nonsense" readings and "nonsense in context" readings.</t>
        </r>
      </text>
    </comment>
    <comment ref="AC1" authorId="0" shapeId="0" xr:uid="{F63349B3-14F9-4BF6-8DAE-8069C6863AC7}">
      <text>
        <r>
          <rPr>
            <b/>
            <sz val="9"/>
            <color indexed="81"/>
            <rFont val="Tahoma"/>
            <family val="2"/>
          </rPr>
          <t>Jonathan Wilken:</t>
        </r>
        <r>
          <rPr>
            <sz val="9"/>
            <color indexed="81"/>
            <rFont val="Tahoma"/>
            <family val="2"/>
          </rPr>
          <t xml:space="preserve">
If unique characteristics leave it unclear whether a variant should be included or excluded from analysis, mark them here for later review.</t>
        </r>
      </text>
    </comment>
    <comment ref="F37" authorId="3" shapeId="0" xr:uid="{53339D52-E66D-471B-B9D1-5F4CDC36E47E}">
      <text>
        <t>[Threaded comment]
Your version of Excel allows you to read this threaded comment; however, any edits to it will get removed if the file is opened in a newer version of Excel. Learn more: https://go.microsoft.com/fwlink/?linkid=870924
Comment:
    Raw number of additions</t>
      </text>
    </comment>
    <comment ref="B38" authorId="4" shapeId="0" xr:uid="{D0113474-F489-4ADD-9773-F21293F7ECC4}">
      <text>
        <t>[Threaded comment]
Your version of Excel allows you to read this threaded comment; however, any edits to it will get removed if the file is opened in a newer version of Excel. Learn more: https://go.microsoft.com/fwlink/?linkid=870924
Comment:
    "Low Meaning" words</t>
      </text>
    </comment>
    <comment ref="C38" authorId="5" shapeId="0" xr:uid="{4C47EE01-3EBD-48CB-84ED-B05831C7BD9B}">
      <text>
        <t>[Threaded comment]
Your version of Excel allows you to read this threaded comment; however, any edits to it will get removed if the file is opened in a newer version of Excel. Learn more: https://go.microsoft.com/fwlink/?linkid=870924
Comment:
    "High Meaning" words</t>
      </text>
    </comment>
    <comment ref="F38" authorId="6" shapeId="0" xr:uid="{9EFC231E-0D81-47FE-97A2-FD9D6FA6277C}">
      <text>
        <t>[Threaded comment]
Your version of Excel allows you to read this threaded comment; however, any edits to it will get removed if the file is opened in a newer version of Excel. Learn more: https://go.microsoft.com/fwlink/?linkid=870924
Comment:
    Raw number of omissions</t>
      </text>
    </comment>
    <comment ref="F39" authorId="7" shapeId="0" xr:uid="{AAC56B60-896F-4573-9AA4-6954A0B386F3}">
      <text>
        <t>[Threaded comment]
Your version of Excel allows you to read this threaded comment; however, any edits to it will get removed if the file is opened in a newer version of Excel. Learn more: https://go.microsoft.com/fwlink/?linkid=870924
Comment:
    % of add-omits that are additions</t>
      </text>
    </comment>
    <comment ref="F42" authorId="8" shapeId="0" xr:uid="{FDA91DEF-EFCE-4482-8511-EF43E8331542}">
      <text>
        <t>[Threaded comment]
Your version of Excel allows you to read this threaded comment; however, any edits to it will get removed if the file is opened in a newer version of Excel. Learn more: https://go.microsoft.com/fwlink/?linkid=870924
Comment:
    Raw number of additions of "low meaning" words. See LM column for included word types (and adjust equation as necessary)</t>
      </text>
    </comment>
    <comment ref="F43" authorId="9" shapeId="0" xr:uid="{68E484CF-D3FB-4EB5-8B78-0A59788B4BB8}">
      <text>
        <t>[Threaded comment]
Your version of Excel allows you to read this threaded comment; however, any edits to it will get removed if the file is opened in a newer version of Excel. Learn more: https://go.microsoft.com/fwlink/?linkid=870924
Comment:
    Raw number of omissions of "low meaning" words. See LM column for included word types (and adjust equation as necessary)</t>
      </text>
    </comment>
    <comment ref="F44" authorId="10" shapeId="0" xr:uid="{FE0A6CE8-91E6-4078-95D7-ABE23FAF03B3}">
      <text>
        <t>[Threaded comment]
Your version of Excel allows you to read this threaded comment; however, any edits to it will get removed if the file is opened in a newer version of Excel. Learn more: https://go.microsoft.com/fwlink/?linkid=870924
Comment:
    Addition rate for "low meaning" words. See LM column for included word types (and adjust equation as necessary)</t>
      </text>
    </comment>
    <comment ref="F47" authorId="11" shapeId="0" xr:uid="{D510725D-E8C1-4842-873A-C8BE57EE0BF5}">
      <text>
        <t>[Threaded comment]
Your version of Excel allows you to read this threaded comment; however, any edits to it will get removed if the file is opened in a newer version of Excel. Learn more: https://go.microsoft.com/fwlink/?linkid=870924
Comment:
    Raw number of additions of "high meaning" words. See HM column for included word types (and adjust equation as necessary)</t>
      </text>
    </comment>
    <comment ref="F48" authorId="12" shapeId="0" xr:uid="{808E0F73-0A81-4B6A-8A77-3D2142F0746F}">
      <text>
        <t>[Threaded comment]
Your version of Excel allows you to read this threaded comment; however, any edits to it will get removed if the file is opened in a newer version of Excel. Learn more: https://go.microsoft.com/fwlink/?linkid=870924
Comment:
    Raw number of omissions of "high meaning" words. See HM column for included word types (and adjust equation as necessary)</t>
      </text>
    </comment>
    <comment ref="F49" authorId="13" shapeId="0" xr:uid="{7FAA2FA4-6F60-4AE6-9184-32C632CDB625}">
      <text>
        <t>[Threaded comment]
Your version of Excel allows you to read this threaded comment; however, any edits to it will get removed if the file is opened in a newer version of Excel. Learn more: https://go.microsoft.com/fwlink/?linkid=870924
Comment:
    Addition rate for "high meaning" words. See HM column for included word types (and adjust equation as necessary)</t>
      </text>
    </comment>
    <comment ref="D55" authorId="14" shapeId="0" xr:uid="{4B4613A2-EF5C-4057-829D-A53C0A8AA91D}">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55" authorId="15" shapeId="0" xr:uid="{6BEA8FB8-BFFB-466D-A67A-D7648F353B04}">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F55" authorId="16" shapeId="0" xr:uid="{DA9DA8B3-88CB-448B-A6FE-DD3EE517CA2A}">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additions. I.e., a percent frequency indicating how often an addition generates visual cues</t>
      </text>
    </comment>
    <comment ref="D56" authorId="17" shapeId="0" xr:uid="{9E09ECF4-19C9-49E1-A53C-BA304F59FD2C}">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E56" authorId="18" shapeId="0" xr:uid="{3AA994ED-0900-47D4-82DE-EB5B743A97B6}">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F56" authorId="19" shapeId="0" xr:uid="{AFCB2B5C-0CBA-4B45-8BA1-FBD2BE33A5A7}">
      <text>
        <t>[Threaded comment]
Your version of Excel allows you to read this threaded comment; however, any edits to it will get removed if the file is opened in a newer version of Excel. Learn more: https://go.microsoft.com/fwlink/?linkid=870924
Comment:
    The percentage of add-omits where visual cues are present that are, in fact, omissions. I.e., the percentage of omissions that could plausibly be due to visual cues</t>
      </text>
    </comment>
    <comment ref="D57" authorId="20" shapeId="0" xr:uid="{0F6C9121-BF1E-46ED-89A3-0A70D3379790}">
      <text>
        <t>[Threaded comment]
Your version of Excel allows you to read this threaded comment; however, any edits to it will get removed if the file is opened in a newer version of Excel. Learn more: https://go.microsoft.com/fwlink/?linkid=870924
Comment:
    The total number of add-omits that involve visual cues</t>
      </text>
    </comment>
    <comment ref="E57" authorId="21" shapeId="0" xr:uid="{0AA13F29-084B-4A75-82CB-CCD0E9D56BE9}">
      <text>
        <t>[Threaded comment]
Your version of Excel allows you to read this threaded comment; however, any edits to it will get removed if the file is opened in a newer version of Excel. Learn more: https://go.microsoft.com/fwlink/?linkid=870924
Comment:
    The total number of add-omits that involve NO visual cues (given the definition of this project, i.e., 3-character minimum similarity in critical regions)</t>
      </text>
    </comment>
    <comment ref="F57" authorId="22" shapeId="0" xr:uid="{CADADB1C-CC12-4051-B5F9-68D7505E730F}">
      <text>
        <t>[Threaded comment]
Your version of Excel allows you to read this threaded comment; however, any edits to it will get removed if the file is opened in a newer version of Excel. Learn more: https://go.microsoft.com/fwlink/?linkid=870924
Comment:
    The percentage of all add-omits that involve visual cues</t>
      </text>
    </comment>
    <comment ref="D61" authorId="23" shapeId="0" xr:uid="{3F9C9933-845F-48EF-BD6D-951F0FC955B0}">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additions. I.e., the number of additions that generate no visual cues</t>
      </text>
    </comment>
    <comment ref="E61" authorId="24" shapeId="0" xr:uid="{4F3F4178-3FE2-4374-9D84-4F47427D704D}">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NOT present that are, in fact, omissions. I.e., the number of times that omissions occurred in the absence of visual cues</t>
      </text>
    </comment>
    <comment ref="D62" authorId="25" shapeId="0" xr:uid="{FA922E71-FF16-4C27-AAAA-1C6EF03FDE6B}">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additions. I.e., the number of additions that result in the presence of visual cues</t>
      </text>
    </comment>
    <comment ref="E62" authorId="26" shapeId="0" xr:uid="{A0873118-DEFC-48DE-BD03-7996D7ABAC64}">
      <text>
        <t>[Threaded comment]
Your version of Excel allows you to read this threaded comment; however, any edits to it will get removed if the file is opened in a newer version of Excel. Learn more: https://go.microsoft.com/fwlink/?linkid=870924
Comment:
    The number of add-omits where visual cues are present that are, in fact, omissions. I.e., the number of times that omissions occurred in the presence of visual cues</t>
      </text>
    </comment>
    <comment ref="D67" authorId="27" shapeId="0" xr:uid="{103E2CB6-4367-4B43-A41A-24FABEB987C3}">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additions. I.e., the number of additions that do not result in dittography</t>
      </text>
    </comment>
    <comment ref="E67" authorId="28" shapeId="0" xr:uid="{086A2A91-56CC-4D77-AA29-8465873AEBEB}">
      <text>
        <t>[Threaded comment]
Your version of Excel allows you to read this threaded comment; however, any edits to it will get removed if the file is opened in a newer version of Excel. Learn more: https://go.microsoft.com/fwlink/?linkid=870924
Comment:
    The number of non-dittographic add-omits that are, in fact, omissions. I.e., the number of omissions that did not undo a dittographic reading</t>
      </text>
    </comment>
    <comment ref="D68" authorId="29" shapeId="0" xr:uid="{4C70634D-7E2B-4C09-9B1D-1E2CF001B5EE}">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additions. I.e., the number of additions that result in dittography</t>
      </text>
    </comment>
    <comment ref="E68" authorId="30" shapeId="0" xr:uid="{B0D5B59B-0531-468C-B9F9-EA49C02CE261}">
      <text>
        <t>[Threaded comment]
Your version of Excel allows you to read this threaded comment; however, any edits to it will get removed if the file is opened in a newer version of Excel. Learn more: https://go.microsoft.com/fwlink/?linkid=870924
Comment:
    The number of dittographic add-omits that are, in fact, omissions. I.e., the number omissions where the omitted word(s) is/are dittographies</t>
      </text>
    </comment>
    <comment ref="D73" authorId="31" shapeId="0" xr:uid="{7442653E-C768-4E25-B81B-E4E86CD927A1}">
      <text>
        <t>[Threaded comment]
Your version of Excel allows you to read this threaded comment; however, any edits to it will get removed if the file is opened in a newer version of Excel. Learn more: https://go.microsoft.com/fwlink/?linkid=870924
Comment:
    Additions of one word</t>
      </text>
    </comment>
    <comment ref="E73" authorId="32" shapeId="0" xr:uid="{8A57B675-8D4C-4303-81A4-A2D6744F0B6F}">
      <text>
        <t>[Threaded comment]
Your version of Excel allows you to read this threaded comment; however, any edits to it will get removed if the file is opened in a newer version of Excel. Learn more: https://go.microsoft.com/fwlink/?linkid=870924
Comment:
    Omissions of one word</t>
      </text>
    </comment>
    <comment ref="F73" authorId="33" shapeId="0" xr:uid="{A7C931E7-F36B-4448-92AF-21BE728A0E14}">
      <text>
        <t>[Threaded comment]
Your version of Excel allows you to read this threaded comment; however, any edits to it will get removed if the file is opened in a newer version of Excel. Learn more: https://go.microsoft.com/fwlink/?linkid=870924
Comment:
    Add ratio for single-word variants</t>
      </text>
    </comment>
    <comment ref="D74" authorId="34" shapeId="0" xr:uid="{15C83E36-F275-4534-93DB-783815FC35C1}">
      <text>
        <t>[Threaded comment]
Your version of Excel allows you to read this threaded comment; however, any edits to it will get removed if the file is opened in a newer version of Excel. Learn more: https://go.microsoft.com/fwlink/?linkid=870924
Comment:
    Additions of 2-3 words</t>
      </text>
    </comment>
    <comment ref="E74" authorId="35" shapeId="0" xr:uid="{9499FA1B-F43C-4285-B9C3-2F176684A93A}">
      <text>
        <t>[Threaded comment]
Your version of Excel allows you to read this threaded comment; however, any edits to it will get removed if the file is opened in a newer version of Excel. Learn more: https://go.microsoft.com/fwlink/?linkid=870924
Comment:
    Omissions of 2-3 words</t>
      </text>
    </comment>
    <comment ref="F74" authorId="36" shapeId="0" xr:uid="{12037796-8143-4555-9D94-B18B0819FC05}">
      <text>
        <t>[Threaded comment]
Your version of Excel allows you to read this threaded comment; however, any edits to it will get removed if the file is opened in a newer version of Excel. Learn more: https://go.microsoft.com/fwlink/?linkid=870924
Comment:
    Add ratio for variants of 2-3 words</t>
      </text>
    </comment>
    <comment ref="D75" authorId="37" shapeId="0" xr:uid="{22D07869-828D-46D4-A7E2-29CD538A0C26}">
      <text>
        <t>[Threaded comment]
Your version of Excel allows you to read this threaded comment; however, any edits to it will get removed if the file is opened in a newer version of Excel. Learn more: https://go.microsoft.com/fwlink/?linkid=870924
Comment:
    Additions of 4 or more words</t>
      </text>
    </comment>
    <comment ref="E75" authorId="38" shapeId="0" xr:uid="{BB4FB229-AF50-47E4-8EEF-D220E370BF97}">
      <text>
        <t>[Threaded comment]
Your version of Excel allows you to read this threaded comment; however, any edits to it will get removed if the file is opened in a newer version of Excel. Learn more: https://go.microsoft.com/fwlink/?linkid=870924
Comment:
    Omissions of 4 or more words</t>
      </text>
    </comment>
    <comment ref="F75" authorId="39" shapeId="0" xr:uid="{57508CAB-DA6C-4A82-A6E6-FD49A6640B96}">
      <text>
        <t>[Threaded comment]
Your version of Excel allows you to read this threaded comment; however, any edits to it will get removed if the file is opened in a newer version of Excel. Learn more: https://go.microsoft.com/fwlink/?linkid=870924
Comment:
    Add ratio for variants of 4 or more words</t>
      </text>
    </comment>
    <comment ref="C78" authorId="40" shapeId="0" xr:uid="{CC68AE10-DBF9-4EB3-9D25-855A9BE0CB71}">
      <text>
        <t>[Threaded comment]
Your version of Excel allows you to read this threaded comment; however, any edits to it will get removed if the file is opened in a newer version of Excel. Learn more: https://go.microsoft.com/fwlink/?linkid=870924
Comment:
    Number of words added or omitted</t>
      </text>
    </comment>
    <comment ref="D78" authorId="41" shapeId="0" xr:uid="{E35C8F38-D7CF-493F-A308-AC2E557952C6}">
      <text>
        <t>[Threaded comment]
Your version of Excel allows you to read this threaded comment; however, any edits to it will get removed if the file is opened in a newer version of Excel. Learn more: https://go.microsoft.com/fwlink/?linkid=870924
Comment:
    Number of additions involving the number of words specified in the "Length" column</t>
      </text>
    </comment>
    <comment ref="E78" authorId="42" shapeId="0" xr:uid="{24A87D07-1A47-4E3E-8F7E-0B5ACDB81A76}">
      <text>
        <t>[Threaded comment]
Your version of Excel allows you to read this threaded comment; however, any edits to it will get removed if the file is opened in a newer version of Excel. Learn more: https://go.microsoft.com/fwlink/?linkid=870924
Comment:
    Number of omissions involving the number of words specified in the "Length" column</t>
      </text>
    </comment>
    <comment ref="F78" authorId="43" shapeId="0" xr:uid="{FF9EB006-F59E-49FC-A5A7-C004C724413F}">
      <text>
        <t>[Threaded comment]
Your version of Excel allows you to read this threaded comment; however, any edits to it will get removed if the file is opened in a newer version of Excel. Learn more: https://go.microsoft.com/fwlink/?linkid=870924
Comment:
    The addition rate for add-omits involving the number of words indicated in the "Length" column</t>
      </text>
    </comment>
    <comment ref="E86" authorId="44" shapeId="0" xr:uid="{725E411E-FA9D-4F56-8360-E539EB5E3B79}">
      <text>
        <t>[Threaded comment]
Your version of Excel allows you to read this threaded comment; however, any edits to it will get removed if the file is opened in a newer version of Excel. Learn more: https://go.microsoft.com/fwlink/?linkid=870924
Comment:
    Total word count for corpus. Figure taken from Accordance "Word Count Totals" analysis. Search for word "*" specifying [RANGE &lt;CONTENT&gt;]. E.g., for 1 Samuel - 2 Kings in Alexandrinus, search for "* [RANGE 1 Sam - 2 Kings]" in LXX Rahlfs.</t>
      </text>
    </comment>
  </commentList>
</comments>
</file>

<file path=xl/sharedStrings.xml><?xml version="1.0" encoding="utf-8"?>
<sst xmlns="http://schemas.openxmlformats.org/spreadsheetml/2006/main" count="5708" uniqueCount="904">
  <si>
    <t>Verse Ref</t>
  </si>
  <si>
    <t>Phys Loc 1</t>
  </si>
  <si>
    <t>Phys Loc 2</t>
  </si>
  <si>
    <t>Basic Type</t>
  </si>
  <si>
    <t>Harmonizing</t>
  </si>
  <si>
    <t>πασαν εργασιαν</t>
  </si>
  <si>
    <t>πασαν την εργασιαν</t>
  </si>
  <si>
    <t>Exod.39.1</t>
  </si>
  <si>
    <t>Detail</t>
  </si>
  <si>
    <t>Exod.36.10</t>
  </si>
  <si>
    <t>κεκλωμεμνη</t>
  </si>
  <si>
    <t>κεκλωσμενη</t>
  </si>
  <si>
    <t>συμπεπλεγμενα</t>
  </si>
  <si>
    <t>Exod.36.12</t>
  </si>
  <si>
    <t>συνπεπλεγμενα</t>
  </si>
  <si>
    <t>αυτου</t>
  </si>
  <si>
    <t>αυτο</t>
  </si>
  <si>
    <t>Exod.36.13</t>
  </si>
  <si>
    <t>συνπεπορπημενους</t>
  </si>
  <si>
    <t>συμπεπορπημενους</t>
  </si>
  <si>
    <t>Exod.36.17</t>
  </si>
  <si>
    <t>Exod.36.19</t>
  </si>
  <si>
    <t>Exod.36.20</t>
  </si>
  <si>
    <t>χρυσειω</t>
  </si>
  <si>
    <t>Exod.36.21</t>
  </si>
  <si>
    <t>Exod.36.22</t>
  </si>
  <si>
    <t>ενπλοκιου</t>
  </si>
  <si>
    <t>εμπλοκιου</t>
  </si>
  <si>
    <t>χρυσιου</t>
  </si>
  <si>
    <t>χρυσειου</t>
  </si>
  <si>
    <t>Exod.36.25</t>
  </si>
  <si>
    <t>Exod.36.27</t>
  </si>
  <si>
    <t>επωμειδος</t>
  </si>
  <si>
    <t>επωμειμειδος</t>
  </si>
  <si>
    <t>Exod.36.28</t>
  </si>
  <si>
    <t>συνεσφιγξεν</t>
  </si>
  <si>
    <t>συνεσφιξεν</t>
  </si>
  <si>
    <t>Exod.37.3</t>
  </si>
  <si>
    <t>αυτον</t>
  </si>
  <si>
    <t>Exod.38.1</t>
  </si>
  <si>
    <t>δυοπηχεων</t>
  </si>
  <si>
    <t>Exod.38.3</t>
  </si>
  <si>
    <t>τσσσαρας</t>
  </si>
  <si>
    <t>τεσσαρας</t>
  </si>
  <si>
    <t>Exod.38.4</t>
  </si>
  <si>
    <t>εκ</t>
  </si>
  <si>
    <t>Exod.38.7</t>
  </si>
  <si>
    <t>επανωθεν</t>
  </si>
  <si>
    <t>επαωθεν</t>
  </si>
  <si>
    <t>Exod.38.8</t>
  </si>
  <si>
    <t>Exod.38.9</t>
  </si>
  <si>
    <t>τραπεζαν</t>
  </si>
  <si>
    <t>τρατεζαν</t>
  </si>
  <si>
    <t>Exod.38.10</t>
  </si>
  <si>
    <t>ζωστηρσιν</t>
  </si>
  <si>
    <t>σωστηρσιν</t>
  </si>
  <si>
    <t>Exod.38.11</t>
  </si>
  <si>
    <t>στεφανην</t>
  </si>
  <si>
    <t>στεφαναν</t>
  </si>
  <si>
    <t>Exod.38.12</t>
  </si>
  <si>
    <t>σπεισει</t>
  </si>
  <si>
    <t>σπεσει</t>
  </si>
  <si>
    <t>Exod.38.14</t>
  </si>
  <si>
    <t>Exod.38.16</t>
  </si>
  <si>
    <t>ανθεμιον</t>
  </si>
  <si>
    <t>Exod.38.17</t>
  </si>
  <si>
    <t>καρυισκους</t>
  </si>
  <si>
    <t>καρυιρυισκους</t>
  </si>
  <si>
    <t>καλαμισκω</t>
  </si>
  <si>
    <t>Exod.39.2</t>
  </si>
  <si>
    <t>Exod.39.3</t>
  </si>
  <si>
    <t>Exod.39.5</t>
  </si>
  <si>
    <t>εβδομηκοντα</t>
  </si>
  <si>
    <t>κατεκοσμησεν</t>
  </si>
  <si>
    <t>Exod.39.7</t>
  </si>
  <si>
    <t>Exod.39.8</t>
  </si>
  <si>
    <t>παντους</t>
  </si>
  <si>
    <t>Exod.39.15</t>
  </si>
  <si>
    <t>Exod.40.4</t>
  </si>
  <si>
    <t>Exod.40.9</t>
  </si>
  <si>
    <t>Exod.40.17</t>
  </si>
  <si>
    <t>Exod.40.18</t>
  </si>
  <si>
    <t>εθηκεν</t>
  </si>
  <si>
    <t>εστηκεν</t>
  </si>
  <si>
    <t>Exod.40.19</t>
  </si>
  <si>
    <t>εξετεινεν</t>
  </si>
  <si>
    <t>εξετεινε</t>
  </si>
  <si>
    <t>Exod.40.23</t>
  </si>
  <si>
    <t>προεθηκεν</t>
  </si>
  <si>
    <t>προσεθηκεν</t>
  </si>
  <si>
    <t>Exod.40.24</t>
  </si>
  <si>
    <t>Exod.40.28</t>
  </si>
  <si>
    <t>Exod.40.29</t>
  </si>
  <si>
    <t>ολοκαυτωσιν</t>
  </si>
  <si>
    <t>ολοκαυτοσιν</t>
  </si>
  <si>
    <t>Exod.40.33</t>
  </si>
  <si>
    <t>Exod.40.36</t>
  </si>
  <si>
    <t>Lev.1.3</t>
  </si>
  <si>
    <t>Lev.1.9</t>
  </si>
  <si>
    <t>πλυνουσιν</t>
  </si>
  <si>
    <t>οσμη</t>
  </si>
  <si>
    <t>οσμης</t>
  </si>
  <si>
    <t>Lev.1.14</t>
  </si>
  <si>
    <t>πετεινων</t>
  </si>
  <si>
    <t>πετηνων</t>
  </si>
  <si>
    <t>Lev.1.17</t>
  </si>
  <si>
    <t>επιθησει</t>
  </si>
  <si>
    <t>επιθησισει</t>
  </si>
  <si>
    <t>θυσια</t>
  </si>
  <si>
    <t>θυσιας</t>
  </si>
  <si>
    <t>Lev.2.2</t>
  </si>
  <si>
    <t>Lev.2.3</t>
  </si>
  <si>
    <t>Lev.2.4</t>
  </si>
  <si>
    <t>διακεχρεισμενα</t>
  </si>
  <si>
    <t>διακεχρωσμενα</t>
  </si>
  <si>
    <t>Lev.2.5</t>
  </si>
  <si>
    <t>πειφυραμενη</t>
  </si>
  <si>
    <t>πεφυραμενη</t>
  </si>
  <si>
    <t>Lev.2.8</t>
  </si>
  <si>
    <t>Lev.2.10</t>
  </si>
  <si>
    <t>Lev.2.11</t>
  </si>
  <si>
    <t>Lev.2.12</t>
  </si>
  <si>
    <t>αναβησεται</t>
  </si>
  <si>
    <t>αναβιβασετε</t>
  </si>
  <si>
    <t>Lev.3.8</t>
  </si>
  <si>
    <t>Lev.3.13</t>
  </si>
  <si>
    <t>Lev.3.16</t>
  </si>
  <si>
    <t>οσμην</t>
  </si>
  <si>
    <t>Lev.4.2</t>
  </si>
  <si>
    <t>απαντων</t>
  </si>
  <si>
    <t>Lev.4.5</t>
  </si>
  <si>
    <t>χρειστος</t>
  </si>
  <si>
    <t>χριστος</t>
  </si>
  <si>
    <t>Lev.4.7</t>
  </si>
  <si>
    <t>Lev.4.10</t>
  </si>
  <si>
    <t>αφαιρειται</t>
  </si>
  <si>
    <t>απαιρειται</t>
  </si>
  <si>
    <t>Lev.4.13</t>
  </si>
  <si>
    <t>πλημμελησωσιν</t>
  </si>
  <si>
    <t>Lev.4.14</t>
  </si>
  <si>
    <t>γνωσθη</t>
  </si>
  <si>
    <t>εγνωσθη</t>
  </si>
  <si>
    <t>ιερευς</t>
  </si>
  <si>
    <t>Lev.4.20</t>
  </si>
  <si>
    <t>εξειλασετε</t>
  </si>
  <si>
    <t>εξειλασεται</t>
  </si>
  <si>
    <t>Lev.4.21</t>
  </si>
  <si>
    <t>Lev.4.22</t>
  </si>
  <si>
    <t>πλημμεληση</t>
  </si>
  <si>
    <t>πλημμεληθη</t>
  </si>
  <si>
    <t>Lev.4.23</t>
  </si>
  <si>
    <t>Lev.4.24</t>
  </si>
  <si>
    <t>σφαξουσιν</t>
  </si>
  <si>
    <t>σραξουσιν</t>
  </si>
  <si>
    <t>τοπω</t>
  </si>
  <si>
    <t>Lev.4.25</t>
  </si>
  <si>
    <t>Lev.4.26</t>
  </si>
  <si>
    <t>Lev.13.49</t>
  </si>
  <si>
    <t>Lev.13.51</t>
  </si>
  <si>
    <t>εβδομη</t>
  </si>
  <si>
    <t>Lev.13.55</t>
  </si>
  <si>
    <t>πλυθηναι</t>
  </si>
  <si>
    <t>πλυνθηναι</t>
  </si>
  <si>
    <t>εστηρισται</t>
  </si>
  <si>
    <t>εστηρικται</t>
  </si>
  <si>
    <t>Lev.13.56</t>
  </si>
  <si>
    <t>Lev.13.58</t>
  </si>
  <si>
    <t>Lev.13.59</t>
  </si>
  <si>
    <t>στιππυινου</t>
  </si>
  <si>
    <t>στιππυπινου</t>
  </si>
  <si>
    <t>Lev.14.3</t>
  </si>
  <si>
    <t>Lev.14.4</t>
  </si>
  <si>
    <t>υσσωπον</t>
  </si>
  <si>
    <t>υσσωπωον</t>
  </si>
  <si>
    <t>Lev.14.6</t>
  </si>
  <si>
    <t>ορνειθιον</t>
  </si>
  <si>
    <t>Lev.14.33</t>
  </si>
  <si>
    <t>Lev.14.35</t>
  </si>
  <si>
    <t>εξει</t>
  </si>
  <si>
    <t>ηξει</t>
  </si>
  <si>
    <t>εοραται</t>
  </si>
  <si>
    <t>εωραται</t>
  </si>
  <si>
    <t>Lev.14.37</t>
  </si>
  <si>
    <t>πυρριζουσας</t>
  </si>
  <si>
    <t>πρρριζουσας</t>
  </si>
  <si>
    <t>Lev.14.38</t>
  </si>
  <si>
    <t>Lev.14.39</t>
  </si>
  <si>
    <t>επανηξει</t>
  </si>
  <si>
    <t>οπανηξει</t>
  </si>
  <si>
    <t>διεχυθη</t>
  </si>
  <si>
    <t>διεχυθιθη</t>
  </si>
  <si>
    <t>Lev.14.45</t>
  </si>
  <si>
    <t>Lev.14.48</t>
  </si>
  <si>
    <t>εισσελθη</t>
  </si>
  <si>
    <t>εισελθη</t>
  </si>
  <si>
    <t>Lev.15.24</t>
  </si>
  <si>
    <t>Lev.15.25</t>
  </si>
  <si>
    <t>Lev.15.26</t>
  </si>
  <si>
    <t>πασα</t>
  </si>
  <si>
    <t>Lev.15.27</t>
  </si>
  <si>
    <t>απτονενος</t>
  </si>
  <si>
    <t>απτομενος</t>
  </si>
  <si>
    <t>Lev.15.30</t>
  </si>
  <si>
    <t>Lev.15.32</t>
  </si>
  <si>
    <t>Lev.15.33</t>
  </si>
  <si>
    <t>εμορροουση</t>
  </si>
  <si>
    <t>αρσενει</t>
  </si>
  <si>
    <t>αρσενι</t>
  </si>
  <si>
    <t>Lev.16.1</t>
  </si>
  <si>
    <t>ετελευτησεν</t>
  </si>
  <si>
    <t>ετελευτησαν</t>
  </si>
  <si>
    <t>Lev.16.2</t>
  </si>
  <si>
    <t>Lev.16.5</t>
  </si>
  <si>
    <t>λημψεται</t>
  </si>
  <si>
    <t>λημψεψεται</t>
  </si>
  <si>
    <t>Lev.16.6</t>
  </si>
  <si>
    <t>Lev.16.10</t>
  </si>
  <si>
    <t>εξαποστειλαι</t>
  </si>
  <si>
    <t>Lev.16.13</t>
  </si>
  <si>
    <t>Lev.16.14</t>
  </si>
  <si>
    <t>Lev.16.16</t>
  </si>
  <si>
    <t>ουτως</t>
  </si>
  <si>
    <t>ουτω</t>
  </si>
  <si>
    <t>Lev.16.17</t>
  </si>
  <si>
    <t>Lev.16.21</t>
  </si>
  <si>
    <t>εξαγορευσει</t>
  </si>
  <si>
    <t>Lev.16.24</t>
  </si>
  <si>
    <t>εκειλασεται</t>
  </si>
  <si>
    <t>Lev.16.26</t>
  </si>
  <si>
    <t>πλυνει</t>
  </si>
  <si>
    <t>πληνει</t>
  </si>
  <si>
    <t>Lev.16.27</t>
  </si>
  <si>
    <t>Lev.16.29</t>
  </si>
  <si>
    <t>Lev.16.32</t>
  </si>
  <si>
    <t>Lev.16.33</t>
  </si>
  <si>
    <t>Lev.16.34</t>
  </si>
  <si>
    <t>ποιηθησετε</t>
  </si>
  <si>
    <t>ποιηθησεται</t>
  </si>
  <si>
    <t>Lev.17.4</t>
  </si>
  <si>
    <t>εξκ</t>
  </si>
  <si>
    <t>Lev.17.5</t>
  </si>
  <si>
    <t>Lev.17.7</t>
  </si>
  <si>
    <t>Lev.17.8</t>
  </si>
  <si>
    <t>Lev.17.9</t>
  </si>
  <si>
    <t>εξολεθρευθησεται</t>
  </si>
  <si>
    <t>εξολοθρευθησεται</t>
  </si>
  <si>
    <t>Lev.17.10</t>
  </si>
  <si>
    <t>Lev.18.29</t>
  </si>
  <si>
    <t>εξολεθρευθησονται</t>
  </si>
  <si>
    <t>ποιουσαι</t>
  </si>
  <si>
    <t>ποιουται</t>
  </si>
  <si>
    <t>Lev.18.30</t>
  </si>
  <si>
    <t>Lev.19.2</t>
  </si>
  <si>
    <t>Lev.19.3</t>
  </si>
  <si>
    <t>Lev.19.8</t>
  </si>
  <si>
    <t>εβεβηλωσεν</t>
  </si>
  <si>
    <t>εβεβηλωκεν</t>
  </si>
  <si>
    <t>Lev.19.11</t>
  </si>
  <si>
    <t>Lev.19.18</t>
  </si>
  <si>
    <t>εδικαται</t>
  </si>
  <si>
    <t>εκδικαται</t>
  </si>
  <si>
    <t>Lev.19.19</t>
  </si>
  <si>
    <t>κατοχετευσεις</t>
  </si>
  <si>
    <t>Lev.19.20</t>
  </si>
  <si>
    <t>λελυτρωται</t>
  </si>
  <si>
    <t>λελυτρωταιται</t>
  </si>
  <si>
    <t>Lev.19.21</t>
  </si>
  <si>
    <t>πλημμελειας</t>
  </si>
  <si>
    <t>Lev.19.22</t>
  </si>
  <si>
    <t>Lev.19.23</t>
  </si>
  <si>
    <t>Lev.19.24</t>
  </si>
  <si>
    <t>Lev.19.25</t>
  </si>
  <si>
    <t>Lev.19.28</t>
  </si>
  <si>
    <t>ποιησετε</t>
  </si>
  <si>
    <t>Lev.19.29</t>
  </si>
  <si>
    <t>βεβηλωσεις</t>
  </si>
  <si>
    <t>εκπορνευσει</t>
  </si>
  <si>
    <t>Lev.19.32</t>
  </si>
  <si>
    <t>Lev.19.34</t>
  </si>
  <si>
    <t>Num.25.4</t>
  </si>
  <si>
    <t>παραδιγματισον</t>
  </si>
  <si>
    <t>Num.25.5</t>
  </si>
  <si>
    <t>αποκτειναται</t>
  </si>
  <si>
    <t>αποκτεινατε</t>
  </si>
  <si>
    <t>Num.25.7</t>
  </si>
  <si>
    <t>Num.25.8</t>
  </si>
  <si>
    <t>ισραηλειτου</t>
  </si>
  <si>
    <t>ισραηλιτου</t>
  </si>
  <si>
    <t>ισραηλειτην</t>
  </si>
  <si>
    <t>ισραηλιτην</t>
  </si>
  <si>
    <t>Num.25.11</t>
  </si>
  <si>
    <t>Num.25.12</t>
  </si>
  <si>
    <t>ειδου</t>
  </si>
  <si>
    <t>ιδου</t>
  </si>
  <si>
    <t>Num.25.13</t>
  </si>
  <si>
    <t>ιερατιας</t>
  </si>
  <si>
    <t>εξειλασατο</t>
  </si>
  <si>
    <t>εξειλωσατο</t>
  </si>
  <si>
    <t>Num.25.14</t>
  </si>
  <si>
    <t>ι̅η̅λ̅λειτου</t>
  </si>
  <si>
    <t>σαλωμ</t>
  </si>
  <si>
    <t>σαλων</t>
  </si>
  <si>
    <t>Num.25.15</t>
  </si>
  <si>
    <t>σου</t>
  </si>
  <si>
    <t>σουρ</t>
  </si>
  <si>
    <t>Num.25.17</t>
  </si>
  <si>
    <t>εχθρενετε</t>
  </si>
  <si>
    <t>εκθρενετε</t>
  </si>
  <si>
    <t>Num.25.18</t>
  </si>
  <si>
    <t>χασσβει</t>
  </si>
  <si>
    <t>χασβει</t>
  </si>
  <si>
    <t>Num.26.1</t>
  </si>
  <si>
    <t>λεγγων</t>
  </si>
  <si>
    <t>Num.29.13</t>
  </si>
  <si>
    <t>Num.29.16</t>
  </si>
  <si>
    <t>Num.29.18</t>
  </si>
  <si>
    <t>Num.29.19</t>
  </si>
  <si>
    <t>χειμαρρον</t>
  </si>
  <si>
    <t>χιμαρρον</t>
  </si>
  <si>
    <t>Num.29.20</t>
  </si>
  <si>
    <t>ενιαυσιους</t>
  </si>
  <si>
    <t>Num.29.21</t>
  </si>
  <si>
    <t>αυ____</t>
  </si>
  <si>
    <t>συγκρισιμ</t>
  </si>
  <si>
    <t>συγκρισιν</t>
  </si>
  <si>
    <t>Num.29.23</t>
  </si>
  <si>
    <t>Num.29.24</t>
  </si>
  <si>
    <t>Num.29.28</t>
  </si>
  <si>
    <t>χειμαρον</t>
  </si>
  <si>
    <t>Num.29.29</t>
  </si>
  <si>
    <t>Num.29.30</t>
  </si>
  <si>
    <t>Num.29.32</t>
  </si>
  <si>
    <t>κρειους</t>
  </si>
  <si>
    <t>κριους</t>
  </si>
  <si>
    <t>ενιαυσειους</t>
  </si>
  <si>
    <t>Num.29.33</t>
  </si>
  <si>
    <t>autograph retraced</t>
  </si>
  <si>
    <t>Exclusion grounds</t>
  </si>
  <si>
    <t>Corrector followed</t>
  </si>
  <si>
    <t>yes</t>
  </si>
  <si>
    <t>ο στιχος ο εις</t>
  </si>
  <si>
    <t>ο στιχος εις</t>
  </si>
  <si>
    <t>ο στιχος ο τριτος</t>
  </si>
  <si>
    <t>ο στιχος τριτος</t>
  </si>
  <si>
    <t>χρυσιω(1)</t>
  </si>
  <si>
    <t>εις τας δυο συμβολας</t>
  </si>
  <si>
    <t>επι τας δυο συμβολας</t>
  </si>
  <si>
    <t>Apograph corrected</t>
  </si>
  <si>
    <t>επωμειδος(1)</t>
  </si>
  <si>
    <t>επωμειδος(2)</t>
  </si>
  <si>
    <t>επωειδος μειδος</t>
  </si>
  <si>
    <t>δυπεχεων</t>
  </si>
  <si>
    <t>εχωνευσεν</t>
  </si>
  <si>
    <t>εχωνευσενσεν</t>
  </si>
  <si>
    <t>αυτη κυματιον</t>
  </si>
  <si>
    <t>αυτη τη κυματιον</t>
  </si>
  <si>
    <t>τεσσαρας δακτυλιους</t>
  </si>
  <si>
    <t>τεσσαρας ρας δακτυλιους</t>
  </si>
  <si>
    <t>τεσσαρων ποδων</t>
  </si>
  <si>
    <t>τεσσαρων π ποδων</t>
  </si>
  <si>
    <t>ανθειμον</t>
  </si>
  <si>
    <t>εποιησεν την λυχνειαν</t>
  </si>
  <si>
    <t>εποιησεν την την λυχνειαν</t>
  </si>
  <si>
    <t>κλιτους αυτης του δευτερου</t>
  </si>
  <si>
    <t>κλιτους αυτης εκ δευτερου</t>
  </si>
  <si>
    <t>κρατηρες ρεστυπωμενοι</t>
  </si>
  <si>
    <t>κρατηρες εκτετυπωμενοι</t>
  </si>
  <si>
    <t>καλαμισκω σκω</t>
  </si>
  <si>
    <t>οι σφαιρωτηρες αυτης</t>
  </si>
  <si>
    <t>οι σφαιρωτηρες αυτων</t>
  </si>
  <si>
    <t>εικοσι ταλαντα και τριακοντα και επτακοσιοι</t>
  </si>
  <si>
    <t>εικοσι και επτακοσιοι</t>
  </si>
  <si>
    <t>omission of 1 line (1r.1.5; no obvious visual cues present)</t>
  </si>
  <si>
    <t>omission of 5 lines (4v.2.13-18; visual cues present)</t>
  </si>
  <si>
    <t>παρα των επεσκεμμενων</t>
  </si>
  <si>
    <t>παρα των εεπεσκεμμενων</t>
  </si>
  <si>
    <t>εβδοηηκοντα</t>
  </si>
  <si>
    <t>κατεοσμησεν</t>
  </si>
  <si>
    <t>παντας τους</t>
  </si>
  <si>
    <t>χαλκουν το αυ[τω]</t>
  </si>
  <si>
    <t>χαλκουν το</t>
  </si>
  <si>
    <t>[και εισοισεις] την τρα[πεζαν και προ]θησεις [την προθεσιν αυτ]ης</t>
  </si>
  <si>
    <t>______την τρα</t>
  </si>
  <si>
    <t>[και α]γιασεις αυτην</t>
  </si>
  <si>
    <t>____τα εις αυτην</t>
  </si>
  <si>
    <t>μηνι τω πρωτω</t>
  </si>
  <si>
    <t>μηνι πρωτω</t>
  </si>
  <si>
    <t>απεναντι της τραπεζης</t>
  </si>
  <si>
    <t>απεναντι τρ της τραπεζης</t>
  </si>
  <si>
    <t>ηνικα δ αν ανεβη</t>
  </si>
  <si>
    <t>ηνικα δ ανεββη</t>
  </si>
  <si>
    <r>
      <t xml:space="preserve">ηνικα δ </t>
    </r>
    <r>
      <rPr>
        <b/>
        <sz val="11"/>
        <color theme="1"/>
        <rFont val="Calibri"/>
        <family val="2"/>
        <scheme val="minor"/>
      </rPr>
      <t>αν</t>
    </r>
    <r>
      <rPr>
        <sz val="11"/>
        <color theme="1"/>
        <rFont val="Calibri"/>
        <family val="2"/>
        <scheme val="minor"/>
      </rPr>
      <t xml:space="preserve"> ανεβη</t>
    </r>
  </si>
  <si>
    <r>
      <t>ηνικα δ ανε</t>
    </r>
    <r>
      <rPr>
        <b/>
        <sz val="11"/>
        <color theme="1"/>
        <rFont val="Calibri"/>
        <family val="2"/>
        <scheme val="minor"/>
      </rPr>
      <t>β</t>
    </r>
    <r>
      <rPr>
        <sz val="11"/>
        <color theme="1"/>
        <rFont val="Calibri"/>
        <family val="2"/>
        <scheme val="minor"/>
      </rPr>
      <t>βη</t>
    </r>
  </si>
  <si>
    <t>αρσεν πρ αμωμον προσαξει</t>
  </si>
  <si>
    <t>αρσεν αμωμον προσαξει</t>
  </si>
  <si>
    <t>πλ[lac]λυνουσιν</t>
  </si>
  <si>
    <t>αγιον των αγιον</t>
  </si>
  <si>
    <t>αγιον των αγιων</t>
  </si>
  <si>
    <t>αγια των αγιων</t>
  </si>
  <si>
    <t>αγια αγιων</t>
  </si>
  <si>
    <t>προσοισετε απ αυτου</t>
  </si>
  <si>
    <t>προσοισετε απο αυτου</t>
  </si>
  <si>
    <t>note that the corrector was followed for the βη -&gt; βιβα change, but not for the ται -&gt; τε change</t>
  </si>
  <si>
    <t>αιμα αυτου επι</t>
  </si>
  <si>
    <t>αιμα αυτου και πρ επι</t>
  </si>
  <si>
    <t>απο παντων</t>
  </si>
  <si>
    <t>κερατα του θυσιαστηριου του θυμιαματος της συνθεσεως εναντι κυ ο εστιν εν τη σκηνη του μαρτυριου και παν</t>
  </si>
  <si>
    <t>κερατα του θυσιαστηριου και παν</t>
  </si>
  <si>
    <t>πλημμελησησωσιν</t>
  </si>
  <si>
    <t>ρ unclear</t>
  </si>
  <si>
    <t>τοπτοπω</t>
  </si>
  <si>
    <t>και παν το στεαρ</t>
  </si>
  <si>
    <t>και το παν στεαρ</t>
  </si>
  <si>
    <t>[lac]φδομη</t>
  </si>
  <si>
    <t>original reading of apograph unclear, but corrected</t>
  </si>
  <si>
    <t>ιερρευς</t>
  </si>
  <si>
    <t>ιερευς και ιδου</t>
  </si>
  <si>
    <t>ιερευς και λεμψονται ρευς και ιδου</t>
  </si>
  <si>
    <t>ορνιθειον</t>
  </si>
  <si>
    <t>και πασα</t>
  </si>
  <si>
    <t>αυτον καθαρτον</t>
  </si>
  <si>
    <t>αυτο ακαθαρτον</t>
  </si>
  <si>
    <t>αιμορροουση</t>
  </si>
  <si>
    <t>εις προσωπον</t>
  </si>
  <si>
    <t>εις το προσωπον</t>
  </si>
  <si>
    <t>απαποστειλαι</t>
  </si>
  <si>
    <t>ιλαστηριου ρανει</t>
  </si>
  <si>
    <t>ιλαστηριου και ρανει</t>
  </si>
  <si>
    <t>ακαθαρσιων των υιων ιηλ</t>
  </si>
  <si>
    <t>ακαθαρσιων αυτων περι πασων ιων ισραηλ</t>
  </si>
  <si>
    <t>περι αυτου και του οικου αυτου και περι</t>
  </si>
  <si>
    <t>περι αυτου και περι</t>
  </si>
  <si>
    <t>skipped a line (16v.2.24; visual cues present)</t>
  </si>
  <si>
    <t>συναγωγης ιηλ</t>
  </si>
  <si>
    <t>συναγωγης της ισραηλ</t>
  </si>
  <si>
    <t>του χιμαρου</t>
  </si>
  <si>
    <t>του[lac] χειμαρου</t>
  </si>
  <si>
    <t>εξαγορευ[2]ει</t>
  </si>
  <si>
    <t>Lev.16.21-22</t>
  </si>
  <si>
    <t>(v. 21) ζωντος και εξαποστελει (v. 22) τον χιμαρον εις την ερημον</t>
  </si>
  <si>
    <t>ολοκαρπωμα αυτου λαου</t>
  </si>
  <si>
    <t>ολοκαρπωμα του λαου</t>
  </si>
  <si>
    <t>αυτο[lac]υ</t>
  </si>
  <si>
    <t>τον μοσχον τον περι της αμαρτιας</t>
  </si>
  <si>
    <t>τον μοσχον τον περι αμαρτιας</t>
  </si>
  <si>
    <t>τον χιμαραον τον περι της αμαρτιας</t>
  </si>
  <si>
    <t>τον χιμαραον τον περι αμαρτιας</t>
  </si>
  <si>
    <t>τουτο ημιν</t>
  </si>
  <si>
    <t>τουτο υμιν</t>
  </si>
  <si>
    <t>θυσιαστηριον εξειλασεται και περι των ιερεων και περι πασης</t>
  </si>
  <si>
    <t>θυσιαστηριον εξειλασεται και περι πασης</t>
  </si>
  <si>
    <t>omits 1 line (18r.1.21; visual cues present)</t>
  </si>
  <si>
    <t>ωστε προσενεγκαι</t>
  </si>
  <si>
    <t>ωστε μη προσενεγκαι</t>
  </si>
  <si>
    <t>οπως αν φερωσιν</t>
  </si>
  <si>
    <t>οπως αναφερωσιν</t>
  </si>
  <si>
    <t>χενεανεας corrected to χενεας</t>
  </si>
  <si>
    <t>προσκειμενων εν υμιν</t>
  </si>
  <si>
    <t>κς ο θς</t>
  </si>
  <si>
    <t>κυριος θεος</t>
  </si>
  <si>
    <t>μητερα αυτου και πατερα αυτου φοβεισθω</t>
  </si>
  <si>
    <t>μητερα αυτου φοβεισθω</t>
  </si>
  <si>
    <t>omits 1 line (19r.1.24; visual cues present)</t>
  </si>
  <si>
    <t>Lev.19.4</t>
  </si>
  <si>
    <t>οτι τα αγια</t>
  </si>
  <si>
    <t>οτι αγια</t>
  </si>
  <si>
    <t>αι ψυχαι αι εσθουσαι</t>
  </si>
  <si>
    <t>αι ψυχαι διεσθουσαι</t>
  </si>
  <si>
    <t>κλεψετε και ου ψευσεσθε</t>
  </si>
  <si>
    <t>κλεψετε ουδε ψευσεσθε</t>
  </si>
  <si>
    <t>[lac]χετευσεις</t>
  </si>
  <si>
    <t>και ιματιον</t>
  </si>
  <si>
    <t>και το ιματιον</t>
  </si>
  <si>
    <t>πλημμελ[2]ας</t>
  </si>
  <si>
    <t>ποιησεσετε</t>
  </si>
  <si>
    <t>βεβελωσεις</t>
  </si>
  <si>
    <t>Grec 17 retraced, but seems clear</t>
  </si>
  <si>
    <t>εκπρρνευσει</t>
  </si>
  <si>
    <t>παραδιγματισισον</t>
  </si>
  <si>
    <t>Grec 17 faded, but seems clear enough</t>
  </si>
  <si>
    <t>πατριας συμεων</t>
  </si>
  <si>
    <t>πατριας των συμεων</t>
  </si>
  <si>
    <t>προσαξεται ολοκαυτωματα καρπωμα</t>
  </si>
  <si>
    <t>προσαξεται καρπωμα</t>
  </si>
  <si>
    <t>θυσιαι αυτων και αι σπονδαι αυτων (v. 17) και τη ημερα</t>
  </si>
  <si>
    <t>θυσιαι αυτων (v. 17) και τη ημερα</t>
  </si>
  <si>
    <t>τοι μοσχοις</t>
  </si>
  <si>
    <t>τοις μοσχοις</t>
  </si>
  <si>
    <t>εννιαυσιους</t>
  </si>
  <si>
    <t>τη ημερα τη δ</t>
  </si>
  <si>
    <t>τη ημερα δ</t>
  </si>
  <si>
    <t>τη ημερα τη ς</t>
  </si>
  <si>
    <t>τη ημερα στ</t>
  </si>
  <si>
    <t>κρειους β αμνους ενιαυσιους δ και ι αμωμους (v. 30) αι θυσιαι</t>
  </si>
  <si>
    <t>τοις μοσχοις και τοις κρειοις και τοις αμνοις</t>
  </si>
  <si>
    <t>τοις μοσχοις και τοις αμνοις</t>
  </si>
  <si>
    <t>Autograph</t>
  </si>
  <si>
    <t>Apograph</t>
  </si>
  <si>
    <t>Autograph unclear</t>
  </si>
  <si>
    <t>Yes</t>
  </si>
  <si>
    <t>Addition</t>
  </si>
  <si>
    <t>Autograph unclear (but clear enough)</t>
  </si>
  <si>
    <t>Yes, but still an error</t>
  </si>
  <si>
    <t>Yes, partially</t>
  </si>
  <si>
    <t>Omission</t>
  </si>
  <si>
    <t>Autograph unclear (Apograph reading likely)</t>
  </si>
  <si>
    <t>No</t>
  </si>
  <si>
    <t>Yes, to another error</t>
  </si>
  <si>
    <t>Apograph unclear</t>
  </si>
  <si>
    <t>Transposition</t>
  </si>
  <si>
    <t>Apograph unclear (but clear enough)</t>
  </si>
  <si>
    <t>Multiple</t>
  </si>
  <si>
    <t>Apograph unclear (Autograph reading likely)</t>
  </si>
  <si>
    <t>Unclear due to correction</t>
  </si>
  <si>
    <t>Damage to autograph</t>
  </si>
  <si>
    <t>Marked Regularization?</t>
  </si>
  <si>
    <t>Autograph transcript error, but still a variant</t>
  </si>
  <si>
    <t>Apograph transcript error, but still a variant</t>
  </si>
  <si>
    <t>Both transcripts in error, but still a variant</t>
  </si>
  <si>
    <t>Not a variant: autograph transcript error</t>
  </si>
  <si>
    <t>Not a variant: apograph transcript error</t>
  </si>
  <si>
    <t>Not a variant: error in both transcripts</t>
  </si>
  <si>
    <t>Not a variant, but correction is</t>
  </si>
  <si>
    <t>Other</t>
  </si>
  <si>
    <t>Speech part add/omitted</t>
  </si>
  <si>
    <t>Visual Cues</t>
  </si>
  <si>
    <t>Duplicate Material</t>
  </si>
  <si>
    <t>Harmonization - Context</t>
  </si>
  <si>
    <t>Parallel Present</t>
  </si>
  <si>
    <t>Harmonization - Parallel</t>
  </si>
  <si>
    <t>Singularity</t>
  </si>
  <si>
    <t>Secondary</t>
  </si>
  <si>
    <t>Minutiae</t>
  </si>
  <si>
    <t>Nonsense</t>
  </si>
  <si>
    <t>Review</t>
  </si>
  <si>
    <t>Adjective</t>
  </si>
  <si>
    <t>Present</t>
  </si>
  <si>
    <t>Dittography</t>
  </si>
  <si>
    <t>Singular</t>
  </si>
  <si>
    <t>Itacism</t>
  </si>
  <si>
    <t>Generated - strict</t>
  </si>
  <si>
    <t>Article</t>
  </si>
  <si>
    <t>Absent</t>
  </si>
  <si>
    <t>Repetition</t>
  </si>
  <si>
    <t>Disharmonizing</t>
  </si>
  <si>
    <t>Non-singular</t>
  </si>
  <si>
    <t>Movable ν</t>
  </si>
  <si>
    <t>Generated - contextual</t>
  </si>
  <si>
    <t>Substitution - Word</t>
  </si>
  <si>
    <t>Adverb</t>
  </si>
  <si>
    <t>NA</t>
  </si>
  <si>
    <t>Iota Adscript</t>
  </si>
  <si>
    <t>Removed - strict</t>
  </si>
  <si>
    <t>Substitution - Form</t>
  </si>
  <si>
    <t>Conjunction</t>
  </si>
  <si>
    <t>Iota Subscript</t>
  </si>
  <si>
    <t>Removed - contextual</t>
  </si>
  <si>
    <t>Substitution - Both</t>
  </si>
  <si>
    <t>Compound word</t>
  </si>
  <si>
    <t>Abbreviation</t>
  </si>
  <si>
    <t>Noun</t>
  </si>
  <si>
    <t>Breathings</t>
  </si>
  <si>
    <t>Pronoun</t>
  </si>
  <si>
    <t>Accents</t>
  </si>
  <si>
    <t>Preposition</t>
  </si>
  <si>
    <t>Punctuation</t>
  </si>
  <si>
    <t>Participle</t>
  </si>
  <si>
    <t>Below word level</t>
  </si>
  <si>
    <t>Particle</t>
  </si>
  <si>
    <t>Vocative</t>
  </si>
  <si>
    <t>Exclusion Grounds</t>
  </si>
  <si>
    <t>Corrector Followed</t>
  </si>
  <si>
    <t>Apograph Corrected</t>
  </si>
  <si>
    <t>Phrase Length</t>
  </si>
  <si>
    <t>Words Length</t>
  </si>
  <si>
    <t>Letters Length</t>
  </si>
  <si>
    <t>Speech Part Add/Omitted</t>
  </si>
  <si>
    <t>Cue Regions</t>
  </si>
  <si>
    <t>Cue Length</t>
  </si>
  <si>
    <t>AO Word Frequency</t>
  </si>
  <si>
    <t>SUB Frequency Difference</t>
  </si>
  <si>
    <t>Mere Minutiae</t>
  </si>
  <si>
    <t>Orthography</t>
  </si>
  <si>
    <t>ΝΑ</t>
  </si>
  <si>
    <t>εξ αυτου εποιησαν</t>
  </si>
  <si>
    <t>εξ αυτο εποιησαν</t>
  </si>
  <si>
    <t>Disharmonizing b/c vv. 17-19 in the autograph all follow the pattern art. + στιχος + art. + num.</t>
  </si>
  <si>
    <t>ι-ει</t>
  </si>
  <si>
    <t>των ονοματων</t>
  </si>
  <si>
    <t>των οονοματων</t>
  </si>
  <si>
    <t>Formatting correction?</t>
  </si>
  <si>
    <t>contextual harmonization as επι sees regular use starting in v. 23, with multiple instances of επι + art. + δυο + noun</t>
  </si>
  <si>
    <t>επωμειδος εξεναντιας</t>
  </si>
  <si>
    <t>Verb</t>
  </si>
  <si>
    <t>AC</t>
  </si>
  <si>
    <t>3</t>
  </si>
  <si>
    <t>6</t>
  </si>
  <si>
    <t>εκ ξυλων</t>
  </si>
  <si>
    <t>εξ ξυλων</t>
  </si>
  <si>
    <t>συνσκιαζοντες ταις πτερυξιν</t>
  </si>
  <si>
    <r>
      <rPr>
        <b/>
        <sz val="11"/>
        <color theme="1"/>
        <rFont val="Calibri"/>
        <family val="2"/>
        <scheme val="minor"/>
      </rPr>
      <t>συνσκιαζοντες</t>
    </r>
    <r>
      <rPr>
        <sz val="11"/>
        <color theme="1"/>
        <rFont val="Calibri"/>
        <family val="2"/>
        <scheme val="minor"/>
      </rPr>
      <t xml:space="preserve"> ταις πτερυξιν</t>
    </r>
  </si>
  <si>
    <r>
      <rPr>
        <b/>
        <sz val="11"/>
        <color theme="1"/>
        <rFont val="Calibri"/>
        <family val="2"/>
        <scheme val="minor"/>
      </rPr>
      <t>συσκιαζοντες</t>
    </r>
    <r>
      <rPr>
        <sz val="11"/>
        <color theme="1"/>
        <rFont val="Calibri"/>
        <family val="2"/>
        <scheme val="minor"/>
      </rPr>
      <t xml:space="preserve"> ταις τες ταις πτερυξιν</t>
    </r>
  </si>
  <si>
    <r>
      <t>συσκιαζον</t>
    </r>
    <r>
      <rPr>
        <b/>
        <sz val="11"/>
        <color theme="1"/>
        <rFont val="Calibri"/>
        <family val="2"/>
        <scheme val="minor"/>
      </rPr>
      <t>τες ταις</t>
    </r>
    <r>
      <rPr>
        <sz val="11"/>
        <color theme="1"/>
        <rFont val="Calibri"/>
        <family val="2"/>
        <scheme val="minor"/>
      </rPr>
      <t xml:space="preserve"> τες ταις πτερυξιν</t>
    </r>
  </si>
  <si>
    <t>BD</t>
  </si>
  <si>
    <t>7</t>
  </si>
  <si>
    <t>Unfiltered variants:</t>
  </si>
  <si>
    <t>Total variants:</t>
  </si>
  <si>
    <t>εξ αμφωτερων των μερων</t>
  </si>
  <si>
    <t>εξ αμφωτερων μερων</t>
  </si>
  <si>
    <t>επι των ακρων καρυωτα εξ αυτων και</t>
  </si>
  <si>
    <t>επι των ακρων και</t>
  </si>
  <si>
    <t>72</t>
  </si>
  <si>
    <t>5</t>
  </si>
  <si>
    <t>10</t>
  </si>
  <si>
    <t/>
  </si>
  <si>
    <t xml:space="preserve">εις τας εξηκοντα μυριαδας </t>
  </si>
  <si>
    <t xml:space="preserve">εις τα εξηκοντα μυριαδας </t>
  </si>
  <si>
    <t>(7) χαλκουν του θυσιαστηριου (8) και τας βασεις</t>
  </si>
  <si>
    <t>(7) χαλκουν του θυσιαστηριου και παντα τα σκευη του θυσιαστηριου (8) και τας βασεις</t>
  </si>
  <si>
    <t>συνεταξεν κς</t>
  </si>
  <si>
    <t>συνεταξεν ο κυριος</t>
  </si>
  <si>
    <t>εθηκεν το επισπαστρον</t>
  </si>
  <si>
    <t>εθηκεν τα επισπαστρον</t>
  </si>
  <si>
    <t>ω-ο</t>
  </si>
  <si>
    <t>εθηκεν το πισπαστρον</t>
  </si>
  <si>
    <t>και οισει αυτο προς τους</t>
  </si>
  <si>
    <t>και οισει αυτα προς τους</t>
  </si>
  <si>
    <t>επιθησει την χειρα αυτου</t>
  </si>
  <si>
    <t>σφαξει αυτο</t>
  </si>
  <si>
    <t>σφαξεις αυτο</t>
  </si>
  <si>
    <t>ει-ι</t>
  </si>
  <si>
    <t xml:space="preserve">αιματος του μοσχου και εισοισει αυτο </t>
  </si>
  <si>
    <t xml:space="preserve">αιματος του μοσχου και εισοισει μοσχου και εισοισει αυτο </t>
  </si>
  <si>
    <t>17</t>
  </si>
  <si>
    <t>8</t>
  </si>
  <si>
    <t>omitted 4 lines (11v.1.3-6; visual cues present); max cue = τουτριου</t>
  </si>
  <si>
    <r>
      <t xml:space="preserve">κατακαυσουσιν τον μο </t>
    </r>
    <r>
      <rPr>
        <b/>
        <sz val="11"/>
        <color theme="1"/>
        <rFont val="Calibri"/>
        <family val="2"/>
        <scheme val="minor"/>
      </rPr>
      <t>και τους δυο νεφρους και το στεαρ το επ αυτων</t>
    </r>
    <r>
      <rPr>
        <sz val="11"/>
        <color theme="1"/>
        <rFont val="Calibri"/>
        <family val="2"/>
        <scheme val="minor"/>
      </rPr>
      <t xml:space="preserve"> σχον τον προτερον σχον ον τροπον</t>
    </r>
  </si>
  <si>
    <r>
      <t xml:space="preserve">κατακαυσουσιν τον μο και τους νεφρους και το στεαρ το επ αυτων </t>
    </r>
    <r>
      <rPr>
        <b/>
        <sz val="11"/>
        <color theme="1"/>
        <rFont val="Calibri"/>
        <family val="2"/>
        <scheme val="minor"/>
      </rPr>
      <t>σχον τον προτερον</t>
    </r>
    <r>
      <rPr>
        <sz val="11"/>
        <color theme="1"/>
        <rFont val="Calibri"/>
        <family val="2"/>
        <scheme val="minor"/>
      </rPr>
      <t xml:space="preserve"> σχον ον τροπον</t>
    </r>
  </si>
  <si>
    <t>δωσει επι τα κερατα</t>
  </si>
  <si>
    <t>δωσει επι κερατα</t>
  </si>
  <si>
    <t>η εν τω δερματι</t>
  </si>
  <si>
    <t>η εν των δερματι</t>
  </si>
  <si>
    <t>AC:BD</t>
  </si>
  <si>
    <t>15:3</t>
  </si>
  <si>
    <t>omission of 2 lines (1v.1.4-5; visual cues present); cues = τουθυσιαστηριου and και</t>
  </si>
  <si>
    <t>AB:AC</t>
  </si>
  <si>
    <t>3:3</t>
  </si>
  <si>
    <t>εκ του κλιτους αυτης του ενος</t>
  </si>
  <si>
    <t>εκ του κλιτους τους αυτης του ενος</t>
  </si>
  <si>
    <t>4:4</t>
  </si>
  <si>
    <t>διαχεηται η αφη</t>
  </si>
  <si>
    <t>διαδεχηται η αφη</t>
  </si>
  <si>
    <t>ηδη μη μετεβαλη την οψιν</t>
  </si>
  <si>
    <r>
      <t xml:space="preserve">μετα </t>
    </r>
    <r>
      <rPr>
        <b/>
        <sz val="11"/>
        <color theme="1"/>
        <rFont val="Calibri"/>
        <family val="2"/>
        <scheme val="minor"/>
      </rPr>
      <t>το</t>
    </r>
    <r>
      <rPr>
        <sz val="11"/>
        <color theme="1"/>
        <rFont val="Calibri"/>
        <family val="2"/>
        <scheme val="minor"/>
      </rPr>
      <t xml:space="preserve"> πλυθηναι</t>
    </r>
  </si>
  <si>
    <r>
      <t xml:space="preserve">μετα </t>
    </r>
    <r>
      <rPr>
        <b/>
        <sz val="11"/>
        <color theme="1"/>
        <rFont val="Calibri"/>
        <family val="2"/>
        <scheme val="minor"/>
      </rPr>
      <t>του</t>
    </r>
    <r>
      <rPr>
        <sz val="11"/>
        <color theme="1"/>
        <rFont val="Calibri"/>
        <family val="2"/>
        <scheme val="minor"/>
      </rPr>
      <t xml:space="preserve"> πλυθυναι</t>
    </r>
  </si>
  <si>
    <r>
      <t xml:space="preserve">μετα το </t>
    </r>
    <r>
      <rPr>
        <b/>
        <sz val="11"/>
        <color theme="1"/>
        <rFont val="Calibri"/>
        <family val="2"/>
        <scheme val="minor"/>
      </rPr>
      <t>πλυθηναι</t>
    </r>
  </si>
  <si>
    <r>
      <t xml:space="preserve">μετα του </t>
    </r>
    <r>
      <rPr>
        <b/>
        <sz val="11"/>
        <color theme="1"/>
        <rFont val="Calibri"/>
        <family val="2"/>
        <scheme val="minor"/>
      </rPr>
      <t>πλυθυναι</t>
    </r>
  </si>
  <si>
    <t>η ο στημων</t>
  </si>
  <si>
    <t>η το στημων</t>
  </si>
  <si>
    <t>απ αυτου αφη</t>
  </si>
  <si>
    <t>απ αυτου η αφη</t>
  </si>
  <si>
    <t>4:3</t>
  </si>
  <si>
    <t>ελαλησεν κς</t>
  </si>
  <si>
    <t>ελαλησεν ο κυριος</t>
  </si>
  <si>
    <t>(37) των τοιχων (38) και εξελθων</t>
  </si>
  <si>
    <t>(37) των τοιχων (38) εξ εξελθων</t>
  </si>
  <si>
    <t>καθελουσιν αυτην οικιαν</t>
  </si>
  <si>
    <t>καθελουσιν την οικιαν</t>
  </si>
  <si>
    <r>
      <t xml:space="preserve">τον χουν </t>
    </r>
    <r>
      <rPr>
        <b/>
        <sz val="11"/>
        <color theme="1"/>
        <rFont val="Calibri"/>
        <family val="2"/>
        <scheme val="minor"/>
      </rPr>
      <t>αυτης</t>
    </r>
    <r>
      <rPr>
        <sz val="11"/>
        <color theme="1"/>
        <rFont val="Calibri"/>
        <family val="2"/>
        <scheme val="minor"/>
      </rPr>
      <t xml:space="preserve"> οικιας οισουσιν εξω</t>
    </r>
  </si>
  <si>
    <r>
      <t xml:space="preserve">τον χουν αυτης οικιας </t>
    </r>
    <r>
      <rPr>
        <b/>
        <sz val="11"/>
        <color theme="1"/>
        <rFont val="Calibri"/>
        <family val="2"/>
        <scheme val="minor"/>
      </rPr>
      <t>οισουσιν</t>
    </r>
    <r>
      <rPr>
        <sz val="11"/>
        <color theme="1"/>
        <rFont val="Calibri"/>
        <family val="2"/>
        <scheme val="minor"/>
      </rPr>
      <t xml:space="preserve"> εξω</t>
    </r>
  </si>
  <si>
    <t>κοιμηθη επ αυτης</t>
  </si>
  <si>
    <t>κοιμηθη εν αυτη</t>
  </si>
  <si>
    <t>αφεδρον αυτης πασαι αι ημεραι ρυσεως ακαθαρσιας αυτης καθαπερ αι ημεραι της αφεδρου αυτης εσται ακαθαρτος</t>
  </si>
  <si>
    <t>σκευος εφ ο αν καθιση</t>
  </si>
  <si>
    <t>σκευος εφ ω αν καθιση</t>
  </si>
  <si>
    <t>ποιησει ο ιερευς την μιαν</t>
  </si>
  <si>
    <t>ποιησει ο ιερευς την μεν</t>
  </si>
  <si>
    <t>και εαν τινι εξελθη</t>
  </si>
  <si>
    <t>και εαν εξελθη</t>
  </si>
  <si>
    <t xml:space="preserve">προσωπον του ιλαστηριου </t>
  </si>
  <si>
    <t xml:space="preserve">προσωπον πον του ιλαστηριου </t>
  </si>
  <si>
    <t>AC:AB</t>
  </si>
  <si>
    <t>περι αυτου και του οικου αυτου (7) και λημψεται</t>
  </si>
  <si>
    <t>περι αυτου (7) και λημψεται</t>
  </si>
  <si>
    <t>corrected to ατμις</t>
  </si>
  <si>
    <t>καλυψει ατμς</t>
  </si>
  <si>
    <r>
      <t xml:space="preserve">καλυψει </t>
    </r>
    <r>
      <rPr>
        <b/>
        <sz val="11"/>
        <color theme="1"/>
        <rFont val="Calibri"/>
        <family val="2"/>
        <scheme val="minor"/>
      </rPr>
      <t>η</t>
    </r>
    <r>
      <rPr>
        <sz val="11"/>
        <color theme="1"/>
        <rFont val="Calibri"/>
        <family val="2"/>
        <scheme val="minor"/>
      </rPr>
      <t xml:space="preserve"> ατμεις</t>
    </r>
  </si>
  <si>
    <r>
      <t xml:space="preserve">καλυψει η </t>
    </r>
    <r>
      <rPr>
        <b/>
        <sz val="11"/>
        <color theme="1"/>
        <rFont val="Calibri"/>
        <family val="2"/>
        <scheme val="minor"/>
      </rPr>
      <t>ατμεις</t>
    </r>
  </si>
  <si>
    <r>
      <t xml:space="preserve">καλυψει </t>
    </r>
    <r>
      <rPr>
        <b/>
        <sz val="11"/>
        <color theme="1"/>
        <rFont val="Calibri"/>
        <family val="2"/>
        <scheme val="minor"/>
      </rPr>
      <t>ατμς</t>
    </r>
  </si>
  <si>
    <t>επι το θυσιαστηριον</t>
  </si>
  <si>
    <t>επι το ιλαστηριον</t>
  </si>
  <si>
    <t>before correcting, skipped two lines (Grec 17 16v.2.8-9; visual cues present), the result is therefore a substitution of των υιων -&gt; αυτων περι πασων ιων</t>
  </si>
  <si>
    <t>5:3</t>
  </si>
  <si>
    <t>14</t>
  </si>
  <si>
    <t>omits part of v. 21 and most of 22 = 7 lines (17r.2.11-17; visual cues present); frequency from αβατος</t>
  </si>
  <si>
    <t>εξειλασεται το αγιον του αγιου</t>
  </si>
  <si>
    <t>εξειλασεται τον αγιον του αγιου</t>
  </si>
  <si>
    <t xml:space="preserve">απο πασων των αμαρτιων αυτων </t>
  </si>
  <si>
    <t>απο πασων των αμαρτιων αυτου</t>
  </si>
  <si>
    <r>
      <t xml:space="preserve">θυσιας αυτων </t>
    </r>
    <r>
      <rPr>
        <b/>
        <sz val="11"/>
        <color theme="1"/>
        <rFont val="Calibri"/>
        <family val="2"/>
        <scheme val="minor"/>
      </rPr>
      <t>οσα</t>
    </r>
    <r>
      <rPr>
        <sz val="11"/>
        <color theme="1"/>
        <rFont val="Calibri"/>
        <family val="2"/>
        <scheme val="minor"/>
      </rPr>
      <t xml:space="preserve"> αν αυτοι σφαζωσιν</t>
    </r>
  </si>
  <si>
    <r>
      <t xml:space="preserve">θυσιας αυτων </t>
    </r>
    <r>
      <rPr>
        <b/>
        <sz val="11"/>
        <color theme="1"/>
        <rFont val="Calibri"/>
        <family val="2"/>
        <scheme val="minor"/>
      </rPr>
      <t>οσας</t>
    </r>
    <r>
      <rPr>
        <sz val="11"/>
        <color theme="1"/>
        <rFont val="Calibri"/>
        <family val="2"/>
        <scheme val="minor"/>
      </rPr>
      <t xml:space="preserve"> αν αυτοι σφαξουσιν</t>
    </r>
  </si>
  <si>
    <r>
      <t xml:space="preserve">θυσιας αυτων οσα αν αυτοι </t>
    </r>
    <r>
      <rPr>
        <b/>
        <sz val="11"/>
        <color theme="1"/>
        <rFont val="Calibri"/>
        <family val="2"/>
        <scheme val="minor"/>
      </rPr>
      <t>σφαζωσιν</t>
    </r>
  </si>
  <si>
    <r>
      <t xml:space="preserve">θυσιας αυτων οσας αν αυτοι </t>
    </r>
    <r>
      <rPr>
        <b/>
        <sz val="11"/>
        <color theme="1"/>
        <rFont val="Calibri"/>
        <family val="2"/>
        <scheme val="minor"/>
      </rPr>
      <t>σφαξουσιν</t>
    </r>
  </si>
  <si>
    <t>εις τας γενεας</t>
  </si>
  <si>
    <t>εις τας χενεανεας</t>
  </si>
  <si>
    <t>προσκειμενων υμιν εν υμιν</t>
  </si>
  <si>
    <t>ανος των υιων ιηλ η των προσ-</t>
  </si>
  <si>
    <r>
      <t xml:space="preserve">ανθρωπος </t>
    </r>
    <r>
      <rPr>
        <b/>
        <sz val="11"/>
        <color theme="1"/>
        <rFont val="Calibri"/>
        <family val="2"/>
        <scheme val="minor"/>
      </rPr>
      <t>εκ</t>
    </r>
    <r>
      <rPr>
        <sz val="11"/>
        <color theme="1"/>
        <rFont val="Calibri"/>
        <family val="2"/>
        <scheme val="minor"/>
      </rPr>
      <t xml:space="preserve"> των υιων ισραηλ η προ προσ-</t>
    </r>
  </si>
  <si>
    <r>
      <t xml:space="preserve">ανθρωπος εκ των υιων ισραηλ η </t>
    </r>
    <r>
      <rPr>
        <b/>
        <sz val="11"/>
        <color theme="1"/>
        <rFont val="Calibri"/>
        <family val="2"/>
        <scheme val="minor"/>
      </rPr>
      <t>προ</t>
    </r>
    <r>
      <rPr>
        <sz val="11"/>
        <color theme="1"/>
        <rFont val="Calibri"/>
        <family val="2"/>
        <scheme val="minor"/>
      </rPr>
      <t xml:space="preserve"> προσ-</t>
    </r>
  </si>
  <si>
    <r>
      <t xml:space="preserve">ανος των υιων ιηλ η </t>
    </r>
    <r>
      <rPr>
        <b/>
        <sz val="11"/>
        <color theme="1"/>
        <rFont val="Calibri"/>
        <family val="2"/>
        <scheme val="minor"/>
      </rPr>
      <t>των</t>
    </r>
    <r>
      <rPr>
        <sz val="11"/>
        <color theme="1"/>
        <rFont val="Calibri"/>
        <family val="2"/>
        <scheme val="minor"/>
      </rPr>
      <t xml:space="preserve"> προσ-</t>
    </r>
  </si>
  <si>
    <t>ος εαν ποιηση</t>
  </si>
  <si>
    <t>ος αν ποιηση</t>
  </si>
  <si>
    <t>αγιοι εσεσθε</t>
  </si>
  <si>
    <t>αγιοι εσεσθει</t>
  </si>
  <si>
    <t>9</t>
  </si>
  <si>
    <t>ο θς υμων (v. 4) ουκ επακολουθησετε</t>
  </si>
  <si>
    <t>ο θεος υμων επακολο υμων (v. 4) ουκ εποκολουθησετε</t>
  </si>
  <si>
    <t>και τον αμπελωνα</t>
  </si>
  <si>
    <t>και τον α αμπλλωνα</t>
  </si>
  <si>
    <t>αυτη οικετις διαπεφυλαγμενη</t>
  </si>
  <si>
    <t>αυτη οικετις πεφυλαγμγμενη</t>
  </si>
  <si>
    <t>αφεθησεται αυτω η αμαρτια αυτου</t>
  </si>
  <si>
    <t>αφεθησεται αυτων η αμαρτια αυτου</t>
  </si>
  <si>
    <t>βρωσιμον και περικαθαριειτε</t>
  </si>
  <si>
    <t>βρωσιμον π περικαθαριειτε</t>
  </si>
  <si>
    <t>καρπος αυτου αγιος</t>
  </si>
  <si>
    <t>καρπος αυτης αγιος</t>
  </si>
  <si>
    <t>φαγεσθε τον καρπον</t>
  </si>
  <si>
    <t>φαγετε τον καρπον</t>
  </si>
  <si>
    <t>αυτην και ουκ</t>
  </si>
  <si>
    <t>αυτην ουκ</t>
  </si>
  <si>
    <t>προσωπον πρεσβυτερο[υ] και</t>
  </si>
  <si>
    <t>προσωπον πρεσβυ πρεσβυτερου και</t>
  </si>
  <si>
    <t>προς υμας και</t>
  </si>
  <si>
    <t>προς υμας υμας και</t>
  </si>
  <si>
    <t>3:3:3:6:6</t>
  </si>
  <si>
    <t>AB:AC:AD:BD:CD</t>
  </si>
  <si>
    <t>προσηλυτοι εγενηθητε</t>
  </si>
  <si>
    <t>προσηλυτος εγενηθητε</t>
  </si>
  <si>
    <t>εν γη αιγυπτω</t>
  </si>
  <si>
    <t>εν γη αιγυπτου</t>
  </si>
  <si>
    <t>η οργη κυ μου κυ απο ιηλ</t>
  </si>
  <si>
    <t>η οργη θυμου κυριου</t>
  </si>
  <si>
    <t>Grec 17 corrects κυ -&gt; θυ, but it remains a nomen sacrum</t>
  </si>
  <si>
    <t>εξανε[στη]εν μεσου</t>
  </si>
  <si>
    <t>εξανεστη εκ μεσου</t>
  </si>
  <si>
    <t>BD:CD</t>
  </si>
  <si>
    <t>7:3</t>
  </si>
  <si>
    <r>
      <t xml:space="preserve">δ και </t>
    </r>
    <r>
      <rPr>
        <b/>
        <sz val="11"/>
        <color theme="1"/>
        <rFont val="Calibri"/>
        <family val="2"/>
        <scheme val="minor"/>
      </rPr>
      <t>ι̅</t>
    </r>
    <r>
      <rPr>
        <sz val="11"/>
        <color theme="1"/>
        <rFont val="Calibri"/>
        <family val="2"/>
        <scheme val="minor"/>
      </rPr>
      <t xml:space="preserve"> αμωμους</t>
    </r>
  </si>
  <si>
    <r>
      <t xml:space="preserve">δ και </t>
    </r>
    <r>
      <rPr>
        <b/>
        <sz val="11"/>
        <color theme="1"/>
        <rFont val="Calibri"/>
        <family val="2"/>
        <scheme val="minor"/>
      </rPr>
      <t>ι̅α̅</t>
    </r>
    <r>
      <rPr>
        <sz val="11"/>
        <color theme="1"/>
        <rFont val="Calibri"/>
        <family val="2"/>
        <scheme val="minor"/>
      </rPr>
      <t xml:space="preserve"> αμνους</t>
    </r>
  </si>
  <si>
    <t>frequency = ενδεκα - δεκα</t>
  </si>
  <si>
    <t xml:space="preserve">και αι σπονδαι αυτων κατα την συγκρισιν </t>
  </si>
  <si>
    <r>
      <t xml:space="preserve">και αι σπονδαι αυτων </t>
    </r>
    <r>
      <rPr>
        <b/>
        <sz val="11"/>
        <color theme="1"/>
        <rFont val="Calibri"/>
        <family val="2"/>
        <scheme val="minor"/>
      </rPr>
      <t>τοις μοσχοις και τοις κρειοις και τοις αμνοις κατ αριθμον αυτων</t>
    </r>
    <r>
      <rPr>
        <sz val="11"/>
        <color theme="1"/>
        <rFont val="Calibri"/>
        <family val="2"/>
        <scheme val="minor"/>
      </rPr>
      <t xml:space="preserve"> κατα την συνκρισιν </t>
    </r>
  </si>
  <si>
    <r>
      <t xml:space="preserve">και αι σπονδαι αυτων τοις μοσχοις και τοις κρειοις και τοις αμνοις κατ αριθμον αυτων κατα την </t>
    </r>
    <r>
      <rPr>
        <b/>
        <sz val="11"/>
        <color theme="1"/>
        <rFont val="Calibri"/>
        <family val="2"/>
        <scheme val="minor"/>
      </rPr>
      <t>συνκρισιν</t>
    </r>
    <r>
      <rPr>
        <sz val="11"/>
        <color theme="1"/>
        <rFont val="Calibri"/>
        <family val="2"/>
        <scheme val="minor"/>
      </rPr>
      <t xml:space="preserve"> </t>
    </r>
  </si>
  <si>
    <r>
      <t xml:space="preserve">και αι σπονδαι αυτων κατα την </t>
    </r>
    <r>
      <rPr>
        <b/>
        <sz val="11"/>
        <color theme="1"/>
        <rFont val="Calibri"/>
        <family val="2"/>
        <scheme val="minor"/>
      </rPr>
      <t>συγκρισιν</t>
    </r>
    <r>
      <rPr>
        <sz val="11"/>
        <color theme="1"/>
        <rFont val="Calibri"/>
        <family val="2"/>
        <scheme val="minor"/>
      </rPr>
      <t xml:space="preserve"> </t>
    </r>
  </si>
  <si>
    <t>omits 3 lines (22v.1.7-9; visual cues present); frequency from αριθμος</t>
  </si>
  <si>
    <r>
      <t xml:space="preserve">κρειους </t>
    </r>
    <r>
      <rPr>
        <b/>
        <sz val="11"/>
        <color theme="1"/>
        <rFont val="Calibri"/>
        <family val="2"/>
        <scheme val="minor"/>
      </rPr>
      <t>δ και ι αμωμους αι θυσιαι</t>
    </r>
    <r>
      <rPr>
        <sz val="11"/>
        <color theme="1"/>
        <rFont val="Calibri"/>
        <family val="2"/>
        <scheme val="minor"/>
      </rPr>
      <t xml:space="preserve"> αμνους ενιαυσιος δ και ι αμωμους (30) αι θυσιαι</t>
    </r>
  </si>
  <si>
    <t>10:3</t>
  </si>
  <si>
    <t>τοις κρειοις και τοις</t>
  </si>
  <si>
    <t>τοις κρειοις κρειοις και τοις</t>
  </si>
  <si>
    <t>7:7</t>
  </si>
  <si>
    <t>κατεχρυσωσεν αυτους χρυσιω</t>
  </si>
  <si>
    <t>κατεχρυσωσεν αυτους χρυσω</t>
  </si>
  <si>
    <t>Frequency = χρυσος - χρυσιον; disharmonizing because the phrase κατεκρυσωσεν αυτους χρυσιω has consistently occurred in Ex 38:4 and 3x in 38:11</t>
  </si>
  <si>
    <t>The phrase συνεταξεν κς τω μωση occurs 4x in this area, always in that format: Ex 40:19,21,23,25,27; the apograph reading therefore disharmonizes</t>
  </si>
  <si>
    <r>
      <t xml:space="preserve">καρπωμα εστιν θυσιας </t>
    </r>
    <r>
      <rPr>
        <b/>
        <sz val="11"/>
        <color theme="1"/>
        <rFont val="Calibri"/>
        <family val="2"/>
        <scheme val="minor"/>
      </rPr>
      <t>οσμη</t>
    </r>
    <r>
      <rPr>
        <sz val="11"/>
        <color theme="1"/>
        <rFont val="Calibri"/>
        <family val="2"/>
        <scheme val="minor"/>
      </rPr>
      <t xml:space="preserve"> ευωδιας</t>
    </r>
  </si>
  <si>
    <r>
      <t xml:space="preserve">καρπωμα εστιν θυσιας </t>
    </r>
    <r>
      <rPr>
        <b/>
        <sz val="11"/>
        <color theme="1"/>
        <rFont val="Calibri"/>
        <family val="2"/>
        <scheme val="minor"/>
      </rPr>
      <t>οσμης</t>
    </r>
    <r>
      <rPr>
        <sz val="11"/>
        <color theme="1"/>
        <rFont val="Calibri"/>
        <family val="2"/>
        <scheme val="minor"/>
      </rPr>
      <t xml:space="preserve"> ευωδιας</t>
    </r>
  </si>
  <si>
    <t>ην αν ποιηση εκ τουτων</t>
  </si>
  <si>
    <t>ην αν ποιησει εκ τουτων</t>
  </si>
  <si>
    <t>Autograph reading matches the structure found in Lev 3:2,13 = και επιθησει τας χειρας αυτου, nor is the difference explicable by the identity of the subject; apograph disharmonizes</t>
  </si>
  <si>
    <t>αμαρτια ην ημαρτεν</t>
  </si>
  <si>
    <t>αμαρτια ης ημαρτεν</t>
  </si>
  <si>
    <t>both possible, but autograph matches usage from 4:14 on prior page (αμαρτια ην ημαρτον)</t>
  </si>
  <si>
    <t>Autograph reading matches structure from Lev 13:55 (μετα το πλυθηναι); apograph disharmonizes</t>
  </si>
  <si>
    <t>Autograph conforms to reading in Lev 15:26 (κοιμηθη επ αυτης)</t>
  </si>
  <si>
    <t>Autograph reading nearly identical to first half of Lev 16:11, where the phrase και του οικου αυτου is also included; apograph disharmonizes</t>
  </si>
  <si>
    <t>Autograph matches Lev 16:15, where again the blood is to be sprinkled επι το ιλαστηριον; apograph disharmonizes</t>
  </si>
  <si>
    <t>Autograph matches pattern from Lev 17:3 (ανος ανος των υιων ιηλ); apograph disharmonizes</t>
  </si>
  <si>
    <t>In the near context, every instance of κς (ο) θς occurs with the article (cff. Lev 19:1,2,3,4,10, 12); apograph disharmonizes</t>
  </si>
  <si>
    <t>omitted 1 line (22r.1.25; multiple visual cues present); Autograph matches consistent formula setting θυσια and σπονδη together (θυσια αυτων και η σπονδη αυτων; cff. Num 29:18,21,22,24,25); apograph disharmonizes</t>
  </si>
  <si>
    <t>Autograph matches consistent pattern in near context of τη ημερα τη &lt;numeral&gt; (cff. Num 29:13,17,20,26,29,32); apograph disharmonizes</t>
  </si>
  <si>
    <t>Autograph matches consistent pattern in near context of τη ημερα τη &lt;numeral&gt; (cff. Num 29:13,17,20,23,26,32); apograph disharmonizes</t>
  </si>
  <si>
    <t>skipped 3 words (visual cues present); in near context, the accounting of μοσχοι and αμνοι is always intervened by κριοι (cff. Num 29:14(x2),17,18,21,23,24,29,32,33); apograph disharmonizes</t>
  </si>
  <si>
    <t>autograph form corresponds to earlier construction in this verse of κλιτους αυτης του ενος</t>
  </si>
  <si>
    <t>SimGem</t>
  </si>
  <si>
    <t>AltForm</t>
  </si>
  <si>
    <t>ο-ω</t>
  </si>
  <si>
    <t>ε-η</t>
  </si>
  <si>
    <t>η-ε</t>
  </si>
  <si>
    <t>Name Spelling</t>
  </si>
  <si>
    <t>Contraction</t>
  </si>
  <si>
    <t>Dual?</t>
  </si>
  <si>
    <t>This is just nasal assimilation, same with several above: consider cutting across the board. Do itacisms and things explain a lot of these dual readings?</t>
  </si>
  <si>
    <t>orth?</t>
  </si>
  <si>
    <t>Add rate:</t>
  </si>
  <si>
    <t>adds:</t>
  </si>
  <si>
    <t>omits:</t>
  </si>
  <si>
    <t>LM</t>
  </si>
  <si>
    <t>HM</t>
  </si>
  <si>
    <t>LM-adds:</t>
  </si>
  <si>
    <t>LM-omits:</t>
  </si>
  <si>
    <t>LM-add rate:</t>
  </si>
  <si>
    <t>Length</t>
  </si>
  <si>
    <t>Adds</t>
  </si>
  <si>
    <t>Omits</t>
  </si>
  <si>
    <t>AddRate</t>
  </si>
  <si>
    <t>HM-adds:</t>
  </si>
  <si>
    <t>HM-omits:</t>
  </si>
  <si>
    <t>HM-add rate:</t>
  </si>
  <si>
    <t>Cues</t>
  </si>
  <si>
    <t>Not</t>
  </si>
  <si>
    <t>% present</t>
  </si>
  <si>
    <t>Total</t>
  </si>
  <si>
    <t>χρυσους δυο επι του κλιτους του ενος</t>
  </si>
  <si>
    <t>χρυσους του ενος</t>
  </si>
  <si>
    <t>omits 1 line (3v.2.20; visual cues present); cue = ους; word frequency from κλιτος</t>
  </si>
  <si>
    <t>Add ratio diff</t>
  </si>
  <si>
    <t>Add Ratio</t>
  </si>
  <si>
    <t>Cues Abs.</t>
  </si>
  <si>
    <t>Cues Pres.</t>
  </si>
  <si>
    <t>Non-ditt.</t>
  </si>
  <si>
    <t>Ditt.</t>
  </si>
  <si>
    <t>2-3</t>
  </si>
  <si>
    <t>4+</t>
  </si>
  <si>
    <t>&gt;=5</t>
  </si>
  <si>
    <t>Words in corpus (Genesis - Deuteronomy)</t>
  </si>
  <si>
    <t>SUB_Aut_Freq</t>
  </si>
  <si>
    <t>SUB_Apog_Freq</t>
  </si>
  <si>
    <t>Aut_P10K_Freq</t>
  </si>
  <si>
    <t>Apog_P10K_Freq</t>
  </si>
  <si>
    <t>P10K_Freq_Diff</t>
  </si>
  <si>
    <t>Freq-per-10000</t>
  </si>
  <si>
    <t>Med-word-freq</t>
  </si>
  <si>
    <t>HF-adds</t>
  </si>
  <si>
    <t>HF-omits</t>
  </si>
  <si>
    <t>HF-add-ratio</t>
  </si>
  <si>
    <t>LF-adds</t>
  </si>
  <si>
    <t>LF-omits</t>
  </si>
  <si>
    <t>LF-add-ratio</t>
  </si>
  <si>
    <t>not enough data</t>
  </si>
  <si>
    <t>art-adds</t>
  </si>
  <si>
    <t>art-omits</t>
  </si>
  <si>
    <t>art-add-rate</t>
  </si>
  <si>
    <t>pos</t>
  </si>
  <si>
    <t>neg</t>
  </si>
  <si>
    <t>p =</t>
  </si>
  <si>
    <t>avg_diff</t>
  </si>
  <si>
    <t>stdv</t>
  </si>
  <si>
    <t>avg_P10K_diff</t>
  </si>
  <si>
    <t>P10K_stdv</t>
  </si>
  <si>
    <t>AddRatioDiff</t>
  </si>
  <si>
    <t>total_subs</t>
  </si>
  <si>
    <t>std_dev</t>
  </si>
  <si>
    <t>Harmonizations</t>
  </si>
  <si>
    <t>Disharmonizations</t>
  </si>
  <si>
    <t>Harm_Ratio</t>
  </si>
  <si>
    <t>Words copied</t>
  </si>
  <si>
    <t>Raw Errors</t>
  </si>
  <si>
    <t>Variants</t>
  </si>
  <si>
    <t>Raw PKW Error Rate</t>
  </si>
  <si>
    <t>PKW Meaningful Error Rate</t>
  </si>
  <si>
    <t>Pseudo-singular</t>
  </si>
  <si>
    <t>Correction Readings Followed</t>
  </si>
  <si>
    <t>% Yes</t>
  </si>
  <si>
    <t>Variant Corrected</t>
  </si>
  <si>
    <t>Count</t>
  </si>
  <si>
    <t>% of Variants</t>
  </si>
  <si>
    <t>Proportion of "Corrections"</t>
  </si>
  <si>
    <t>Partially</t>
  </si>
  <si>
    <t>To Other Variant</t>
  </si>
  <si>
    <t>autograph should = ηδε μη…</t>
  </si>
  <si>
    <t>Diff.:</t>
  </si>
  <si>
    <t>επωμειδος δος εξ εναντιας</t>
  </si>
  <si>
    <r>
      <t xml:space="preserve"> σφαιρωτηρ και κρινον </t>
    </r>
    <r>
      <rPr>
        <b/>
        <sz val="11"/>
        <color theme="1"/>
        <rFont val="Calibri"/>
        <family val="2"/>
        <scheme val="minor"/>
      </rPr>
      <t>και τρεις κρατηρες εκτετυπωμενοι καρυισκους εν τω καλαμισκω τω ενι σφαιρωτηρ και κρινον</t>
    </r>
    <r>
      <rPr>
        <sz val="11"/>
        <color theme="1"/>
        <rFont val="Calibri"/>
        <family val="2"/>
        <scheme val="minor"/>
      </rPr>
      <t xml:space="preserve"> ουτως τοις εξ καλαμισκοις </t>
    </r>
  </si>
  <si>
    <t xml:space="preserve">σφαιρωτηρ και κρινον ουτως τοις εξ καλαμισκοις </t>
  </si>
  <si>
    <r>
      <t xml:space="preserve">εξ καλαμισκοις </t>
    </r>
    <r>
      <rPr>
        <b/>
        <sz val="11"/>
        <color theme="1"/>
        <rFont val="Calibri"/>
        <family val="2"/>
        <scheme val="minor"/>
      </rPr>
      <t>τοις εκπορευομενοις</t>
    </r>
    <r>
      <rPr>
        <sz val="11"/>
        <color theme="1"/>
        <rFont val="Calibri"/>
        <family val="2"/>
        <scheme val="minor"/>
      </rPr>
      <t xml:space="preserve"> εκ της λυχνειας και εν τη λυχνεια τεσσαρες</t>
    </r>
  </si>
  <si>
    <r>
      <t xml:space="preserve">εξ καλαμισκοις τοις εκπορευομενοις εκ της λυχνειας </t>
    </r>
    <r>
      <rPr>
        <b/>
        <sz val="11"/>
        <color theme="1"/>
        <rFont val="Calibri"/>
        <family val="2"/>
        <scheme val="minor"/>
      </rPr>
      <t>και εν τη λυχνεια</t>
    </r>
    <r>
      <rPr>
        <sz val="11"/>
        <color theme="1"/>
        <rFont val="Calibri"/>
        <family val="2"/>
        <scheme val="minor"/>
      </rPr>
      <t xml:space="preserve"> τεσσαρες</t>
    </r>
  </si>
  <si>
    <t>εξ καλαμισκοις εκ της λυχνειας τεσσαρες</t>
  </si>
  <si>
    <t>επιεπιθησεις την χειρα αυτου</t>
  </si>
  <si>
    <t>error seems to be partial repetition of και προσχεουσιν which occurred 3 lines above</t>
  </si>
  <si>
    <t>κατακαυσουσιν τον μοσχον ον τροπον</t>
  </si>
  <si>
    <t>χιμ[αρον] εξ α[ιγων]</t>
  </si>
  <si>
    <t>χιμ ...</t>
  </si>
  <si>
    <t>ηδε μη μετεβαλεν την οψιν</t>
  </si>
  <si>
    <r>
      <t xml:space="preserve">τον χουν </t>
    </r>
    <r>
      <rPr>
        <b/>
        <sz val="11"/>
        <color theme="1"/>
        <rFont val="Calibri"/>
        <family val="2"/>
        <scheme val="minor"/>
      </rPr>
      <t>της</t>
    </r>
    <r>
      <rPr>
        <sz val="11"/>
        <color theme="1"/>
        <rFont val="Calibri"/>
        <family val="2"/>
        <scheme val="minor"/>
      </rPr>
      <t xml:space="preserve"> οικιας εξξοισουσιν εξω</t>
    </r>
  </si>
  <si>
    <r>
      <t xml:space="preserve">τον χουν της οικιας </t>
    </r>
    <r>
      <rPr>
        <b/>
        <sz val="11"/>
        <color theme="1"/>
        <rFont val="Calibri"/>
        <family val="2"/>
        <scheme val="minor"/>
      </rPr>
      <t>εξξοισουσιν</t>
    </r>
    <r>
      <rPr>
        <sz val="11"/>
        <color theme="1"/>
        <rFont val="Calibri"/>
        <family val="2"/>
        <scheme val="minor"/>
      </rPr>
      <t xml:space="preserve"> εξω</t>
    </r>
  </si>
  <si>
    <r>
      <t>αφεδρον αυτης πασαι αι ημεραι ρυσεως ακαθαρτος</t>
    </r>
    <r>
      <rPr>
        <b/>
        <sz val="11"/>
        <color theme="1"/>
        <rFont val="Calibri"/>
        <family val="2"/>
        <scheme val="minor"/>
      </rPr>
      <t xml:space="preserve"> εσται πασαι αι ημεραι ρυσεως</t>
    </r>
    <r>
      <rPr>
        <sz val="11"/>
        <color theme="1"/>
        <rFont val="Calibri"/>
        <family val="2"/>
        <scheme val="minor"/>
      </rPr>
      <t xml:space="preserve"> </t>
    </r>
    <r>
      <rPr>
        <b/>
        <sz val="11"/>
        <color theme="1"/>
        <rFont val="Calibri"/>
        <family val="2"/>
        <scheme val="minor"/>
      </rPr>
      <t>ακαθαρσιας</t>
    </r>
    <r>
      <rPr>
        <sz val="11"/>
        <color theme="1"/>
        <rFont val="Calibri"/>
        <family val="2"/>
        <scheme val="minor"/>
      </rPr>
      <t xml:space="preserve"> αυτης καθαπερ αι ημεραι της αφεδρου αυτης εσται ακαθαρτος</t>
    </r>
  </si>
  <si>
    <t>26</t>
  </si>
  <si>
    <t>frequency = ρυσις</t>
  </si>
  <si>
    <t>(v. 21) ζωντος και εξαποστελει ε[ν] χειρι ανθρωπου ετοιμου εις την ερημον (v. 22) και λημψεται ο χιμαρος εφ αυτω πασας τας αδικιας αυτων εις την αβατον και εξαποστελει τον χιμαρον εις την ερημον</t>
  </si>
  <si>
    <t>λ[ε]γων</t>
  </si>
  <si>
    <t>[αυτ]ων(3)</t>
  </si>
  <si>
    <t>ιερα[τε]ιας</t>
  </si>
  <si>
    <r>
      <t xml:space="preserve">δ και ι̅ </t>
    </r>
    <r>
      <rPr>
        <b/>
        <sz val="11"/>
        <color theme="1"/>
        <rFont val="Calibri"/>
        <family val="2"/>
        <scheme val="minor"/>
      </rPr>
      <t>αμωμους</t>
    </r>
  </si>
  <si>
    <r>
      <t xml:space="preserve">δ και ι̅α̅ </t>
    </r>
    <r>
      <rPr>
        <b/>
        <sz val="11"/>
        <color theme="1"/>
        <rFont val="Calibri"/>
        <family val="2"/>
        <scheme val="minor"/>
      </rPr>
      <t>αμνους</t>
    </r>
  </si>
  <si>
    <t>omission of full line; cue = αων</t>
  </si>
  <si>
    <t>omission of 1 line (4v.2.20; visual cues present)</t>
  </si>
  <si>
    <t>omission of 1 line (4v.2.22; visual cues present)</t>
  </si>
  <si>
    <t>initially skipped 4 lines, skipping to 14:4, before correcting (13v.2.11-14; visual cues present)</t>
  </si>
  <si>
    <t>twice in this verse the autograph follows the structure τον μοσχον/χιμαρον τον περι της αμαρτιας; the apograph deviates both times</t>
  </si>
  <si>
    <t>twice in this verse the autograph follows the structure τον μοσχον/χιμαρον τον περι της αμαρτιας; the apograph deviates both times; for now, I will call these both disharmonizations, since they depart from a pattern in the autograph</t>
  </si>
  <si>
    <t>initially skipped a line (22v.2.7-8; possible visual cues present), then partially corrected but still left the numeral β omitted; frequency = αμωμοσ - δυο</t>
  </si>
  <si>
    <t>the autograph that applies consistently the structure from Lev 1:13,17, where οσμη is consistently nominative, matching the case of καρπωμα; the apograph can therefore be consisdered disharmonizing</t>
  </si>
  <si>
    <t>autograph matches usage from 4:14 on prior page (αμαρτια ην ημαρτον)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</si>
</sst>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0"/>
      <color theme="1"/>
      <name val="Arial Unicode MS"/>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0" borderId="0" xfId="0" applyAlignment="1">
      <alignment vertical="center" wrapText="1"/>
    </xf>
    <xf numFmtId="0" fontId="1" fillId="0" borderId="0" xfId="0" applyFont="1"/>
    <xf numFmtId="0" fontId="0" fillId="2" borderId="0" xfId="0" applyFill="1"/>
    <xf numFmtId="0" fontId="0" fillId="3" borderId="0" xfId="0" applyFill="1" applyAlignment="1">
      <alignment vertical="center" wrapText="1"/>
    </xf>
    <xf numFmtId="0" fontId="0" fillId="4" borderId="0" xfId="0" applyFill="1" applyAlignment="1">
      <alignment vertical="center" wrapText="1"/>
    </xf>
    <xf numFmtId="49" fontId="1" fillId="0" borderId="0" xfId="0" applyNumberFormat="1" applyFont="1"/>
    <xf numFmtId="0" fontId="0" fillId="5" borderId="1" xfId="0" applyFill="1" applyBorder="1"/>
    <xf numFmtId="49" fontId="0" fillId="5" borderId="1" xfId="0" applyNumberFormat="1" applyFill="1" applyBorder="1"/>
    <xf numFmtId="0" fontId="0" fillId="0" borderId="0" xfId="0" applyAlignment="1">
      <alignment vertical="center"/>
    </xf>
    <xf numFmtId="0" fontId="0" fillId="0" borderId="0" xfId="0" applyAlignment="1">
      <alignment wrapText="1"/>
    </xf>
    <xf numFmtId="49" fontId="0" fillId="0" borderId="0" xfId="0" applyNumberFormat="1"/>
    <xf numFmtId="0" fontId="4" fillId="0" borderId="0" xfId="0" applyFont="1" applyAlignment="1">
      <alignment vertical="center"/>
    </xf>
    <xf numFmtId="0" fontId="0" fillId="0" borderId="0" xfId="0" applyAlignment="1">
      <alignment horizontal="center"/>
    </xf>
  </cellXfs>
  <cellStyles count="1">
    <cellStyle name="Normal" xfId="0" builtinId="0"/>
  </cellStyles>
  <dxfs count="366">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
      <fill>
        <patternFill>
          <bgColor rgb="FFFFFF00"/>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patternType="solid">
          <bgColor rgb="FFFFFF00"/>
        </patternFill>
      </fill>
      <border>
        <vertical/>
        <horizontal/>
      </border>
    </dxf>
    <dxf>
      <fill>
        <patternFill patternType="none">
          <bgColor auto="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0000"/>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border>
        <vertical/>
        <horizontal/>
      </border>
    </dxf>
    <dxf>
      <fill>
        <patternFill patternType="none">
          <bgColor auto="1"/>
        </patternFill>
      </fill>
      <border>
        <vertical/>
        <horizontal/>
      </border>
    </dxf>
    <dxf>
      <fill>
        <patternFill patternType="none">
          <bgColor auto="1"/>
        </patternFill>
      </fill>
    </dxf>
    <dxf>
      <fill>
        <patternFill patternType="none">
          <bgColor auto="1"/>
        </patternFill>
      </fill>
    </dxf>
    <dxf>
      <fill>
        <patternFill patternType="none">
          <bgColor auto="1"/>
        </patternFill>
      </fill>
    </dxf>
    <dxf>
      <fill>
        <patternFill>
          <bgColor theme="0" tint="-0.14996795556505021"/>
        </patternFill>
      </fill>
      <border>
        <vertical/>
        <horizontal/>
      </border>
    </dxf>
    <dxf>
      <fill>
        <patternFill>
          <bgColor theme="0" tint="-0.14996795556505021"/>
        </patternFill>
      </fill>
      <border>
        <vertical/>
        <horizontal/>
      </border>
    </dxf>
    <dxf>
      <fill>
        <patternFill>
          <bgColor theme="0" tint="-0.14996795556505021"/>
        </patternFill>
      </fill>
      <border>
        <vertical/>
        <horizontal/>
      </border>
    </dxf>
    <dxf>
      <fill>
        <patternFill>
          <bgColor rgb="FFFFFF00"/>
        </patternFill>
      </fill>
    </dxf>
    <dxf>
      <fill>
        <patternFill>
          <bgColor theme="0" tint="-0.14996795556505021"/>
        </patternFill>
      </fill>
      <border>
        <vertical/>
        <horizontal/>
      </border>
    </dxf>
    <dxf>
      <fill>
        <patternFill patternType="none">
          <bgColor auto="1"/>
        </patternFill>
      </fill>
      <border>
        <vertical/>
        <horizontal/>
      </border>
    </dxf>
    <dxf>
      <fill>
        <patternFill>
          <bgColor theme="0" tint="-0.14996795556505021"/>
        </patternFill>
      </fill>
      <border>
        <vertical/>
        <horizontal/>
      </border>
    </dxf>
    <dxf>
      <fill>
        <patternFill>
          <bgColor rgb="FFFFFF00"/>
        </patternFill>
      </fill>
    </dxf>
    <dxf>
      <fill>
        <patternFill>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nathan Wilken" id="{726B0DE7-C665-4EBE-970E-5803EF78B313}" userId="186593bc330ab858"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4-01-16T10:00:06.98" personId="{726B0DE7-C665-4EBE-970E-5803EF78B313}" id="{7F096C60-6786-400C-A894-2D36FDBF8E54}">
    <text>For substitutions, the word frequency of the apograph reading</text>
  </threadedComment>
  <threadedComment ref="V1" dT="2024-01-16T09:59:48.08" personId="{726B0DE7-C665-4EBE-970E-5803EF78B313}" id="{C320CD97-F209-4F62-A919-B41C19D8CF9A}">
    <text>For substitutions, the word frequency of the autograph reading</text>
  </threadedComment>
</ThreadedComments>
</file>

<file path=xl/threadedComments/threadedComment10.xml><?xml version="1.0" encoding="utf-8"?>
<ThreadedComments xmlns="http://schemas.microsoft.com/office/spreadsheetml/2018/threadedcomments" xmlns:x="http://schemas.openxmlformats.org/spreadsheetml/2006/main">
  <threadedComment ref="Q1" dT="2024-01-15T15:51:08.85" personId="{726B0DE7-C665-4EBE-970E-5803EF78B313}" id="{D6E7C4A1-59E3-4BA0-9744-05F3C7D8FB7F}">
    <text>Derived variable indicating the number of times per 1000 words the added or omitted word occurs. Thus, Freq-per-10,000 = (AO Word Frequency / Words in Corpus) * 10,000</text>
  </threadedComment>
  <threadedComment ref="S1" dT="2024-01-16T10:00:06.98" personId="{726B0DE7-C665-4EBE-970E-5803EF78B313}" id="{510309C2-4D3A-43A6-8866-C09ABA75A096}">
    <text>For substitutions, the word frequency of the apograph reading</text>
  </threadedComment>
  <threadedComment ref="T1" dT="2024-01-16T09:59:48.08" personId="{726B0DE7-C665-4EBE-970E-5803EF78B313}" id="{E2E20EFF-7C73-42C7-9AA7-65C48EE14F3A}">
    <text>For substitutions, the word frequency of the autograph reading</text>
  </threadedComment>
  <threadedComment ref="D20" dT="2024-01-15T11:53:38.99" personId="{726B0DE7-C665-4EBE-970E-5803EF78B313}" id="{C83261E8-65F4-44D8-9EFD-0B1AC1CA2002}">
    <text>Total word count for corpus. Figure taken from Accordance "Word Count Totals" analysis. Search for word "*" specifying [RANGE &lt;CONTENT&gt;]. E.g., for 1 Samuel - 2 Kings in Alexandrinus, search for "* [RANGE 1 Sam - 2 Kings]" in LXX Rahlfs.</text>
  </threadedComment>
  <threadedComment ref="D21" dT="2024-01-15T16:09:47.97" personId="{726B0DE7-C665-4EBE-970E-5803EF78B313}" id="{37125BD1-AABD-4FAD-A9B9-BB0B53A9038E}">
    <text>Median word frequency</text>
  </threadedComment>
  <threadedComment ref="D24" dT="2024-01-16T15:49:15.06" personId="{726B0DE7-C665-4EBE-970E-5803EF78B313}" id="{B13013C5-03C4-452A-8F7D-6211B7507DD2}">
    <text>Higher-frequency additions: the number of additions among variants whose word frequency was equal to or above the median</text>
  </threadedComment>
  <threadedComment ref="D25" dT="2024-01-16T15:49:42.55" personId="{726B0DE7-C665-4EBE-970E-5803EF78B313}" id="{70AB4F17-C9AD-4BE4-98A7-674E1800DED7}">
    <text xml:space="preserve">Higher-frequency omissions: the number of omissions among variants whose word frequency was equal to or above the median
</text>
  </threadedComment>
  <threadedComment ref="D26" dT="2024-01-16T15:50:17.80" personId="{726B0DE7-C665-4EBE-970E-5803EF78B313}" id="{7A095C16-336C-4C0B-B5B7-FF34D1F5D8CE}">
    <text>Higher-frequency add ratio: the add ratio among variants whose word frequency was equal to or above the median</text>
  </threadedComment>
  <threadedComment ref="D27" dT="2024-01-16T15:50:43.11" personId="{726B0DE7-C665-4EBE-970E-5803EF78B313}" id="{A97D7A7E-22E0-4BA1-B62D-2BB26D4C4614}">
    <text xml:space="preserve">Lower-frequency additions: the number of additions among variants whose word frequency was below the median
</text>
  </threadedComment>
  <threadedComment ref="D28" dT="2024-01-16T15:52:18.36" personId="{726B0DE7-C665-4EBE-970E-5803EF78B313}" id="{A437D96B-9977-47AE-9F40-220FBA8EB8BA}">
    <text>Higher-frequency omissions: the number of omissions among variants whose word frequency was below  the median</text>
  </threadedComment>
  <threadedComment ref="D29" dT="2024-01-16T15:51:50.24" personId="{726B0DE7-C665-4EBE-970E-5803EF78B313}" id="{B57AF15F-9DBB-43F3-8CBF-36FEB51DD4D8}">
    <text xml:space="preserve">Lower-frequency add ratio: the add ratio among variants whose word frequency was below the median
</text>
  </threadedComment>
  <threadedComment ref="D32" dT="2024-01-16T15:56:55.41" personId="{726B0DE7-C665-4EBE-970E-5803EF78B313}" id="{1B31C539-664C-4682-A985-7D390FD8D0DB}">
    <text>Articular additions: the number of additions of an article</text>
  </threadedComment>
  <threadedComment ref="D33" dT="2024-01-16T16:01:25.48" personId="{726B0DE7-C665-4EBE-970E-5803EF78B313}" id="{47D23F95-EDEF-4BA6-B2BB-85411D0CFE71}">
    <text>Articular omissions: the number of omissions of an article</text>
  </threadedComment>
  <threadedComment ref="D34" dT="2024-01-16T16:01:49.04" personId="{726B0DE7-C665-4EBE-970E-5803EF78B313}" id="{D2AA0F8F-6F96-4023-8F04-3E58B903ECBC}">
    <text>Articular add ratio: the add ratio for the definite article</text>
  </threadedComment>
</ThreadedComments>
</file>

<file path=xl/threadedComments/threadedComment11.xml><?xml version="1.0" encoding="utf-8"?>
<ThreadedComments xmlns="http://schemas.microsoft.com/office/spreadsheetml/2018/threadedcomments" xmlns:x="http://schemas.openxmlformats.org/spreadsheetml/2006/main">
  <threadedComment ref="Q1" dT="2024-01-15T15:51:08.85" personId="{726B0DE7-C665-4EBE-970E-5803EF78B313}" id="{EEFA56A4-D381-4B97-91F7-41990BAA0ECE}">
    <text>Derived variable indicating the number of times per 1000 words the added or omitted word occurs. Thus, Freq-per-10,000 = (AO Word Frequency / Words in Corpus) * 10,000</text>
  </threadedComment>
  <threadedComment ref="S1" dT="2024-01-16T10:00:06.98" personId="{726B0DE7-C665-4EBE-970E-5803EF78B313}" id="{9E397117-3903-4693-94E8-D50C20DDB094}">
    <text>For substitutions, the word frequency of the apograph reading</text>
  </threadedComment>
  <threadedComment ref="T1" dT="2024-01-16T09:59:48.08" personId="{726B0DE7-C665-4EBE-970E-5803EF78B313}" id="{2C6E5857-8E86-460E-9882-D18EBAADB4AC}">
    <text>For substitutions, the word frequency of the autograph reading</text>
  </threadedComment>
  <threadedComment ref="D5" dT="2024-01-15T11:53:38.99" personId="{726B0DE7-C665-4EBE-970E-5803EF78B313}" id="{85FCA7B3-A955-455F-9CB3-E04B334857B3}">
    <text>Total word count for corpus. Figure taken from Accordance "Word Count Totals" analysis. Search for word "*" specifying [RANGE &lt;CONTENT&gt;]. E.g., for 1 Samuel - 2 Kings in Alexandrinus, search for "* [RANGE 1 Sam - 2 Kings]" in LXX Rahlfs.</text>
  </threadedComment>
  <threadedComment ref="D6" dT="2024-01-15T16:09:47.97" personId="{726B0DE7-C665-4EBE-970E-5803EF78B313}" id="{15614CED-7C53-44E4-AD1C-1BFEBC7CDE1C}">
    <text>Median word frequency</text>
  </threadedComment>
  <threadedComment ref="D9" dT="2024-01-16T15:49:15.06" personId="{726B0DE7-C665-4EBE-970E-5803EF78B313}" id="{7E24F2E6-72FA-45F2-A30E-22CD6A7C64ED}">
    <text>Higher-frequency additions: the number of additions among variants whose word frequency was equal to or above the median</text>
  </threadedComment>
  <threadedComment ref="D10" dT="2024-01-16T15:49:42.55" personId="{726B0DE7-C665-4EBE-970E-5803EF78B313}" id="{C0B1C877-164D-489B-9DBC-563FE969B6D0}">
    <text xml:space="preserve">Higher-frequency omissions: the number of omissions among variants whose word frequency was equal to or above the median
</text>
  </threadedComment>
  <threadedComment ref="D11" dT="2024-01-16T15:50:17.80" personId="{726B0DE7-C665-4EBE-970E-5803EF78B313}" id="{3C644275-964F-4393-9357-131440827047}">
    <text>Higher-frequency add ratio: the add ratio among variants whose word frequency was equal to or above the median</text>
  </threadedComment>
  <threadedComment ref="D12" dT="2024-01-16T15:50:43.11" personId="{726B0DE7-C665-4EBE-970E-5803EF78B313}" id="{92072FFD-580A-43C3-9DD3-6B310DE1D631}">
    <text xml:space="preserve">Lower-frequency additions: the number of additions among variants whose word frequency was below the median
</text>
  </threadedComment>
  <threadedComment ref="D13" dT="2024-01-16T15:52:18.36" personId="{726B0DE7-C665-4EBE-970E-5803EF78B313}" id="{6EA14E37-7249-4B7A-984E-95722C9E67EA}">
    <text>Higher-frequency omissions: the number of omissions among variants whose word frequency was below  the median</text>
  </threadedComment>
  <threadedComment ref="D14" dT="2024-01-16T15:51:50.24" personId="{726B0DE7-C665-4EBE-970E-5803EF78B313}" id="{DB73D32D-2896-456C-BE23-C3D469A10D25}">
    <text xml:space="preserve">Lower-frequency add ratio: the add ratio among variants whose word frequency was below the median
</text>
  </threadedComment>
  <threadedComment ref="D15" dT="2024-01-22T14:15:25.14" personId="{726B0DE7-C665-4EBE-970E-5803EF78B313}" id="{63885E5E-22E8-4E0F-8F03-A945FAEC0D52}">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12.xml><?xml version="1.0" encoding="utf-8"?>
<ThreadedComments xmlns="http://schemas.microsoft.com/office/spreadsheetml/2018/threadedcomments" xmlns:x="http://schemas.openxmlformats.org/spreadsheetml/2006/main">
  <threadedComment ref="R1" dT="2024-01-16T10:00:06.98" personId="{726B0DE7-C665-4EBE-970E-5803EF78B313}" id="{4C904593-78F7-4BE9-B57A-4EC49ADF4FCA}">
    <text>For substitutions, the word frequency of the apograph reading</text>
  </threadedComment>
  <threadedComment ref="S1" dT="2024-01-16T09:59:48.08" personId="{726B0DE7-C665-4EBE-970E-5803EF78B313}" id="{E9A1AE6E-67C7-49CD-93C3-7DB11DE5A3C7}">
    <text>For substitutions, the word frequency of the autograph reading</text>
  </threadedComment>
  <threadedComment ref="T1" dT="2024-01-16T12:04:07.25" personId="{726B0DE7-C665-4EBE-970E-5803EF78B313}" id="{215D4020-F22F-4115-B436-0E46A1B95BDF}">
    <text>Frequency occurrence of autograph reading per 10,000 words of text</text>
  </threadedComment>
  <threadedComment ref="U1" dT="2024-01-16T12:04:21.22" personId="{726B0DE7-C665-4EBE-970E-5803EF78B313}" id="{C920D472-3234-4A66-B149-B652C00BCA75}">
    <text>Frequency occurrence of apograph reading per 10,000 words of text</text>
  </threadedComment>
  <threadedComment ref="V1" dT="2024-01-16T12:05:32.46" personId="{726B0DE7-C665-4EBE-970E-5803EF78B313}" id="{BF51C5AE-CEDB-47E0-BF89-3296CB7C9E21}">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12" dT="2024-01-15T11:53:38.99" personId="{726B0DE7-C665-4EBE-970E-5803EF78B313}" id="{D60C73F6-D1FD-4AFF-AA79-A667BA9F7758}">
    <text>Total word count for corpus. Figure taken from Accordance "Word Count Totals" analysis. Search for word "*" specifying [RANGE &lt;CONTENT&gt;]. E.g., for 1 Samuel - 2 Kings in Alexandrinus, search for "* [RANGE 1 Sam - 2 Kings]" in LXX Rahlfs.</text>
  </threadedComment>
  <threadedComment ref="D15" dT="2024-01-16T16:24:54.84" personId="{726B0DE7-C665-4EBE-970E-5803EF78B313}" id="{87DE0AB8-B035-4A79-86ED-449D16BF33B5}">
    <text>Number of variants where the scribe used a more common/frequent word in place of a less common/frequent word</text>
  </threadedComment>
  <threadedComment ref="D16" dT="2024-01-16T16:25:18.29" personId="{726B0DE7-C665-4EBE-970E-5803EF78B313}" id="{A359AD42-BF2E-472E-97D6-6638CC9A72CD}">
    <text>Number of variants where the scribe used a less common/frequent word in place of a more  common/frequent word</text>
  </threadedComment>
  <threadedComment ref="D17" dT="2024-01-16T16:26:16.57" personId="{726B0DE7-C665-4EBE-970E-5803EF78B313}" id="{A3130E25-9705-4657-BA65-10FE9FBB9EE8}">
    <text>Probability based on 2-tailed sign test: probability of obtaining a result as extreme as or more extreme than that shown above</text>
  </threadedComment>
  <threadedComment ref="D19" dT="2024-01-16T16:28:22.68" personId="{726B0DE7-C665-4EBE-970E-5803EF78B313}" id="{F7B47C93-5089-45C5-B3ED-6AAE7C4F8DE7}">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20" dT="2024-01-16T16:28:51.78" personId="{726B0DE7-C665-4EBE-970E-5803EF78B313}" id="{8A33CE00-BB19-4952-B1F4-1521DD78D8C3}">
    <text>Standard deviation of the word frequency difference for substitutions</text>
  </threadedComment>
  <threadedComment ref="D23" dT="2024-01-16T16:30:57.18" personId="{726B0DE7-C665-4EBE-970E-5803EF78B313}" id="{83907420-82D8-480A-BBDD-1666E1B265E3}">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24" dT="2024-01-16T16:31:30.62" personId="{726B0DE7-C665-4EBE-970E-5803EF78B313}" id="{5506F822-5968-4504-9782-F47AA0531516}">
    <text>Standard deviation of the change in word frequency, using the frequency measure of "occurrences per 10,000 words"</text>
  </threadedComment>
  <threadedComment ref="D27" dT="2024-01-22T16:14:41.99" personId="{726B0DE7-C665-4EBE-970E-5803EF78B313}" id="{716344C8-87F0-4485-9E4B-828323521BEE}">
    <text>Total number of substitutions for which a word frequency difference could be calculated</text>
  </threadedComment>
  <threadedComment ref="D28" dT="2024-01-22T17:13:39.02" personId="{726B0DE7-C665-4EBE-970E-5803EF78B313}" id="{F30182DF-E7EC-463A-B204-0C3F1BA5C903}">
    <text>The standard deviation of word frequency difference scores</text>
  </threadedComment>
</ThreadedComments>
</file>

<file path=xl/threadedComments/threadedComment13.xml><?xml version="1.0" encoding="utf-8"?>
<ThreadedComments xmlns="http://schemas.microsoft.com/office/spreadsheetml/2018/threadedcomments" xmlns:x="http://schemas.openxmlformats.org/spreadsheetml/2006/main">
  <threadedComment ref="S1" dT="2024-01-16T10:00:06.98" personId="{726B0DE7-C665-4EBE-970E-5803EF78B313}" id="{1DADB59E-AFCA-47DA-9CC3-A6F1D1926EDF}">
    <text>For substitutions, the word frequency of the apograph reading</text>
  </threadedComment>
  <threadedComment ref="T1" dT="2024-01-16T09:59:48.08" personId="{726B0DE7-C665-4EBE-970E-5803EF78B313}" id="{7D0F0819-F314-44D2-8676-B26B3DADBD37}">
    <text>For substitutions, the word frequency of the autograph reading</text>
  </threadedComment>
  <threadedComment ref="D13" dT="2024-01-24T17:15:11.25" personId="{726B0DE7-C665-4EBE-970E-5803EF78B313}" id="{2E137862-4F64-4708-9E15-347B1D3C02B6}">
    <text>The number of variants that harmonized to parallel phrases in the near context</text>
  </threadedComment>
  <threadedComment ref="D14" dT="2024-01-24T17:15:35.01" personId="{726B0DE7-C665-4EBE-970E-5803EF78B313}" id="{8815700D-36AA-4FB8-AF8E-41A4B7606096}">
    <text>The number of variants that disharmonized from  parallel phrases in the near context</text>
  </threadedComment>
  <threadedComment ref="D15" dT="2024-01-24T17:16:15.06" personId="{726B0DE7-C665-4EBE-970E-5803EF78B313}" id="{ABD68C27-D4A9-44EE-AF6F-3CB8BDA6A138}">
    <text>The ratio of harmonizations to disharmonizations; = harmonizations / (harmonizations + disharmonizations)</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4-01-30T16:42:58.97" personId="{726B0DE7-C665-4EBE-970E-5803EF78B313}" id="{90124E5A-CFA0-4F6E-875D-D94BC6ACBEB3}">
    <text>Word count of the apograph, for the extent of text copied from the exemplar. Not necessarily equal to the word count of a corpus, or the exemplar. Apograph word count was chosen over autograph since it would remain stable across comparisons to other potential autographa, when the exemplar is not known.</text>
  </threadedComment>
  <threadedComment ref="A2" dT="2024-01-30T16:43:29.06" personId="{726B0DE7-C665-4EBE-970E-5803EF78B313}" id="{A59AA5C6-F26A-4671-999E-349F7F218FD4}">
    <text>The number of total deviations from the exemplar. Includes itacisms, orthographic changes, nonsense readings etc.</text>
  </threadedComment>
  <threadedComment ref="A3" dT="2024-01-30T16:44:34.54" personId="{726B0DE7-C665-4EBE-970E-5803EF78B313}" id="{8B35E969-0937-4310-A3D2-0EEA6ECE5CB1}">
    <text>The number of "meaningful" variants produced by the scribe. Should be based on the "general filters" page, with those readings excluded that have not been deemed fit for analysis (e.g., nonsense readings and corrections thereof, itacisms etc.)</text>
  </threadedComment>
  <threadedComment ref="A5" dT="2024-01-31T15:17:30.66" personId="{726B0DE7-C665-4EBE-970E-5803EF78B313}" id="{C535E301-39E7-4A07-B566-7A873FFFDF84}">
    <text>The rate of error generation per 1000 words in the apograph. Figure includes itacisms, orthographic changes, nonsense readings etc.</text>
  </threadedComment>
  <threadedComment ref="A6" dT="2024-01-31T15:18:45.83" personId="{726B0DE7-C665-4EBE-970E-5803EF78B313}" id="{8F8DA61D-089C-432E-B1D2-0B2DD63C1B91}">
    <text>Frequency of "meaningful" errors per 1000 words in the apograph. "Meaningful" errors are defined by the general filters applied to the raw data. (Here, this means the exclusion of such readings as itacisms, orthographic changes, variants involving nonsense readings etc.)</text>
  </threadedComment>
</ThreadedComments>
</file>

<file path=xl/threadedComments/threadedComment15.xml><?xml version="1.0" encoding="utf-8"?>
<ThreadedComments xmlns="http://schemas.microsoft.com/office/spreadsheetml/2018/threadedcomments" xmlns:x="http://schemas.openxmlformats.org/spreadsheetml/2006/main">
  <threadedComment ref="K3" dT="2023-08-03T13:34:30.53" personId="{726B0DE7-C665-4EBE-970E-5803EF78B313}" id="{EDB8B4AC-3BBA-4CF2-9124-E7EB8C1DED14}">
    <text>The apograph reading is singular and the autograph reading is not. The singular readings method would detect this variant</text>
  </threadedComment>
  <threadedComment ref="K4" dT="2023-08-03T13:33:28.57" personId="{726B0DE7-C665-4EBE-970E-5803EF78B313}" id="{4A6E7644-07DF-4FD6-9302-D422929EAE16}">
    <text>That is, the autograph contains a singular reading and the apograph followed it</text>
  </threadedComment>
  <threadedComment ref="K5" dT="2023-08-03T13:35:10.13" personId="{726B0DE7-C665-4EBE-970E-5803EF78B313}" id="{32705B44-288D-406D-BD26-12545BB4005C}">
    <text>The apograph reading is not singular: other witnesses contain the same reading. These are real variants produced by the apograph scribe, but the singular readings method would not detect them</text>
  </threadedComment>
  <threadedComment ref="M13" dT="2023-08-14T14:21:11.11" personId="{726B0DE7-C665-4EBE-970E-5803EF78B313}" id="{50EF6C78-A584-4EFD-962E-4F6FBECA67ED}">
    <text>For words which have multiple common forms not impacting their inflection (e.g., ουκ-ουχ-ου, επι-επ-εφ)</text>
  </threadedComment>
</ThreadedComments>
</file>

<file path=xl/threadedComments/threadedComment2.xml><?xml version="1.0" encoding="utf-8"?>
<ThreadedComments xmlns="http://schemas.microsoft.com/office/spreadsheetml/2018/threadedcomments" xmlns:x="http://schemas.openxmlformats.org/spreadsheetml/2006/main">
  <threadedComment ref="R1" dT="2024-01-16T10:00:06.98" personId="{726B0DE7-C665-4EBE-970E-5803EF78B313}" id="{3417BBE4-5539-4F37-912F-273EB8668D1E}">
    <text>For substitutions, the word frequency of the apograph reading</text>
  </threadedComment>
  <threadedComment ref="S1" dT="2024-01-16T09:59:48.08" personId="{726B0DE7-C665-4EBE-970E-5803EF78B313}" id="{B616E8C4-B8B4-4124-9A6A-CD7AF8B990AA}">
    <text>For substitutions, the word frequency of the autograph reading</text>
  </threadedComment>
</ThreadedComments>
</file>

<file path=xl/threadedComments/threadedComment3.xml><?xml version="1.0" encoding="utf-8"?>
<ThreadedComments xmlns="http://schemas.microsoft.com/office/spreadsheetml/2018/threadedcomments" xmlns:x="http://schemas.openxmlformats.org/spreadsheetml/2006/main">
  <threadedComment ref="Q1" dT="2024-01-15T15:51:08.85" personId="{726B0DE7-C665-4EBE-970E-5803EF78B313}" id="{C23A1B00-1583-4ADE-9161-9C223BDCF8D3}">
    <text>Derived variable indicating the number of times per 1000 words the added or omitted word occurs. Thus, Freq-per-10,000 = (AO Word Frequency / Words in Corpus) * 10,000</text>
  </threadedComment>
  <threadedComment ref="S1" dT="2024-01-16T10:00:06.98" personId="{726B0DE7-C665-4EBE-970E-5803EF78B313}" id="{53AD9DDF-A1FF-4BA4-9F3D-E2AA0CF54F0C}">
    <text>For substitutions, the word frequency of the apograph reading</text>
  </threadedComment>
  <threadedComment ref="T1" dT="2024-01-16T09:59:48.08" personId="{726B0DE7-C665-4EBE-970E-5803EF78B313}" id="{CF7613BA-AA88-47D1-BEE1-4B54042F1360}">
    <text>For substitutions, the word frequency of the autograph reading</text>
  </threadedComment>
  <threadedComment ref="F47" dT="2023-09-09T16:20:24.92" personId="{726B0DE7-C665-4EBE-970E-5803EF78B313}" id="{0CA7F449-64C2-44A7-B41C-C3DF228C04E4}">
    <text>Raw number of additions</text>
  </threadedComment>
  <threadedComment ref="B48" dT="2023-09-09T13:15:24.43" personId="{726B0DE7-C665-4EBE-970E-5803EF78B313}" id="{E8F96931-6E43-46B8-A390-C2D2BCEA5E1F}">
    <text>"Low Meaning" words</text>
  </threadedComment>
  <threadedComment ref="C48" dT="2023-09-09T13:15:40.92" personId="{726B0DE7-C665-4EBE-970E-5803EF78B313}" id="{1FA773D8-8117-4FAC-9A2D-1CDAF3C528D3}">
    <text>"High Meaning" words</text>
  </threadedComment>
  <threadedComment ref="F48" dT="2023-09-09T16:20:41.93" personId="{726B0DE7-C665-4EBE-970E-5803EF78B313}" id="{AAC51305-1BD3-4B0A-ADE4-511B39A98C8E}">
    <text>Raw number of omissions</text>
  </threadedComment>
  <threadedComment ref="F49" dT="2023-09-09T16:21:30.82" personId="{726B0DE7-C665-4EBE-970E-5803EF78B313}" id="{27E5CE20-FBE2-47AB-A632-C9F8B245D75E}">
    <text>% of add-omits that are additions</text>
  </threadedComment>
  <threadedComment ref="F52" dT="2023-09-09T16:22:43.13" personId="{726B0DE7-C665-4EBE-970E-5803EF78B313}" id="{0445A165-01CA-46FB-A265-76B5B5B4CF03}">
    <text>Raw number of additions of "low meaning" words. See LM column for included word types (and adjust equation as necessary)</text>
  </threadedComment>
  <threadedComment ref="F53" dT="2023-09-09T16:23:00.73" personId="{726B0DE7-C665-4EBE-970E-5803EF78B313}" id="{705CFCE9-6A16-4ABC-861C-D39465605590}">
    <text>Raw number of omissions of "low meaning" words. See LM column for included word types (and adjust equation as necessary)</text>
  </threadedComment>
  <threadedComment ref="F54" dT="2023-09-09T16:23:25.50" personId="{726B0DE7-C665-4EBE-970E-5803EF78B313}" id="{7B363F9F-F974-4A45-AA4D-89712D805D84}">
    <text>Addition rate for "low meaning" words. See LM column for included word types (and adjust equation as necessary)</text>
  </threadedComment>
  <threadedComment ref="F57" dT="2023-09-09T16:26:23.57" personId="{726B0DE7-C665-4EBE-970E-5803EF78B313}" id="{4185B123-939F-4279-BFD9-C59E2751C3C0}">
    <text>Raw number of additions of "high meaning" words. See HM column for included word types (and adjust equation as necessary)</text>
  </threadedComment>
  <threadedComment ref="F58" dT="2023-09-09T16:26:53.68" personId="{726B0DE7-C665-4EBE-970E-5803EF78B313}" id="{E8A7976F-EDE2-4F08-934F-556F8134DC67}">
    <text>Raw number of omissions of "high meaning" words. See HM column for included word types (and adjust equation as necessary)</text>
  </threadedComment>
  <threadedComment ref="F59" dT="2023-09-09T16:27:24.75" personId="{726B0DE7-C665-4EBE-970E-5803EF78B313}" id="{77509F4B-D164-4178-A8BA-DCE8E57E4065}">
    <text>Addition rate for "high meaning" words. See HM column for included word types (and adjust equation as necessary)</text>
  </threadedComment>
  <threadedComment ref="D65" dT="2023-09-09T16:31:02.72" personId="{726B0DE7-C665-4EBE-970E-5803EF78B313}" id="{F2D9B19E-16D2-429C-8677-1F27AC2A3B3D}">
    <text>The number of add-omits where visual cues are present that are, in fact, additions. I.e., the number of additions that result in the presence of visual cues</text>
  </threadedComment>
  <threadedComment ref="E65" dT="2023-09-09T16:31:50.60" personId="{726B0DE7-C665-4EBE-970E-5803EF78B313}" id="{AFE15772-95DD-4F26-95C7-B09421EF00D3}">
    <text>The number of add-omits where visual cues are NOT present that are, in fact, additions. I.e., the number of additions that generate no visual cues</text>
  </threadedComment>
  <threadedComment ref="F65" dT="2023-09-09T16:33:25.83" personId="{726B0DE7-C665-4EBE-970E-5803EF78B313}" id="{BD61CEAD-C093-418D-9E39-A83239BB6EB8}">
    <text>The percentage of add-omits where visual cues are present that are, in fact, additions. I.e., a percent frequency indicating how often an addition generates visual cues</text>
  </threadedComment>
  <threadedComment ref="D66" dT="2023-09-09T16:34:19.48" personId="{726B0DE7-C665-4EBE-970E-5803EF78B313}" id="{8A78D3C5-0EEA-4912-85DF-0EC391C4130A}">
    <text>The number of add-omits where visual cues are present that are, in fact, omissions. I.e., the number of times that omissions occurred in the presence of visual cues</text>
  </threadedComment>
  <threadedComment ref="E66" dT="2023-09-09T16:34:51.06" personId="{726B0DE7-C665-4EBE-970E-5803EF78B313}" id="{353E31BB-8988-45FF-BC55-409BD940B994}">
    <text>The number of add-omits where visual cues are NOT present that are, in fact, omissions. I.e., the number of times that omissions occurred in the absence of visual cues</text>
  </threadedComment>
  <threadedComment ref="F66" dT="2023-09-09T16:35:41.16" personId="{726B0DE7-C665-4EBE-970E-5803EF78B313}" id="{A9D160BB-AFA7-4780-BBF6-1ACE21D3B8C5}">
    <text>The percentage of add-omits where visual cues are present that are, in fact, omissions. I.e., the percentage of omissions that could plausibly be due to visual cues</text>
  </threadedComment>
  <threadedComment ref="D67" dT="2023-09-09T16:36:05.81" personId="{726B0DE7-C665-4EBE-970E-5803EF78B313}" id="{6251587F-6CB2-4547-8770-5561F0F949C4}">
    <text>The total number of add-omits that involve visual cues</text>
  </threadedComment>
  <threadedComment ref="E67" dT="2023-09-09T16:38:54.43" personId="{726B0DE7-C665-4EBE-970E-5803EF78B313}" id="{F03E8BB3-B7CB-4169-A3B1-C63CAD8F695B}">
    <text>The total number of add-omits that involve NO visual cues (given the definition of this project, i.e., 3-character minimum similarity in critical regions)</text>
  </threadedComment>
  <threadedComment ref="F67" dT="2023-09-09T16:39:12.76" personId="{726B0DE7-C665-4EBE-970E-5803EF78B313}" id="{851A098C-4907-4FFE-B4F1-EDF9134D7391}">
    <text>The percentage of all add-omits that involve visual cues</text>
  </threadedComment>
  <threadedComment ref="D71" dT="2023-09-09T16:31:50.60" personId="{726B0DE7-C665-4EBE-970E-5803EF78B313}" id="{742B15AF-3E1E-4A5B-AC89-6ACCD358AF8E}">
    <text>The number of add-omits where visual cues are NOT present that are, in fact, additions. I.e., the number of additions that generate no visual cues</text>
  </threadedComment>
  <threadedComment ref="E71" dT="2023-09-09T16:34:51.06" personId="{726B0DE7-C665-4EBE-970E-5803EF78B313}" id="{26E3771A-8731-4906-9685-8DAFA19CF7C1}">
    <text>The number of add-omits where visual cues are NOT present that are, in fact, omissions. I.e., the number of times that omissions occurred in the absence of visual cues</text>
  </threadedComment>
  <threadedComment ref="D72" dT="2023-09-09T16:31:02.72" personId="{726B0DE7-C665-4EBE-970E-5803EF78B313}" id="{6491F7C2-DC4F-41B9-B387-4D60D6EFF1A5}">
    <text>The number of add-omits where visual cues are present that are, in fact, additions. I.e., the number of additions that result in the presence of visual cues</text>
  </threadedComment>
  <threadedComment ref="E72" dT="2023-09-09T16:34:19.48" personId="{726B0DE7-C665-4EBE-970E-5803EF78B313}" id="{B7BD2288-DE16-401D-AAC3-5236EF113459}">
    <text>The number of add-omits where visual cues are present that are, in fact, omissions. I.e., the number of times that omissions occurred in the presence of visual cues</text>
  </threadedComment>
  <threadedComment ref="D77" dT="2023-09-09T16:31:50.60" personId="{726B0DE7-C665-4EBE-970E-5803EF78B313}" id="{E93100CA-834A-4545-8746-432C9AF69210}">
    <text>The number of non-dittographic add-omits that are, in fact, additions. I.e., the number of additions that do not result in dittography</text>
  </threadedComment>
  <threadedComment ref="E77" dT="2023-09-09T16:34:51.06" personId="{726B0DE7-C665-4EBE-970E-5803EF78B313}" id="{EB9C9DD0-2A80-4DEC-8C80-4BE480C894D7}">
    <text>The number of non-dittographic add-omits that are, in fact, omissions. I.e., the number of omissions that did not undo a dittographic reading</text>
  </threadedComment>
  <threadedComment ref="D78" dT="2023-09-09T16:31:02.72" personId="{726B0DE7-C665-4EBE-970E-5803EF78B313}" id="{31F43CF0-8A32-495F-B2F3-0CF7CED31249}">
    <text>The number of dittographic add-omits that are, in fact, additions. I.e., the number of additions that result in dittography</text>
  </threadedComment>
  <threadedComment ref="E78" dT="2023-09-09T16:34:19.48" personId="{726B0DE7-C665-4EBE-970E-5803EF78B313}" id="{B78E19AF-099F-4744-91C7-5E61AFE9E78C}">
    <text>The number of dittographic add-omits that are, in fact, omissions. I.e., the number omissions where the omitted word(s) is/are dittographies</text>
  </threadedComment>
  <threadedComment ref="D83" dT="2024-01-06T19:48:13.17" personId="{726B0DE7-C665-4EBE-970E-5803EF78B313}" id="{0243DB30-3974-46CF-A7A9-924673400954}">
    <text>Additions of one word</text>
  </threadedComment>
  <threadedComment ref="E83" dT="2024-01-06T19:48:24.08" personId="{726B0DE7-C665-4EBE-970E-5803EF78B313}" id="{C04A08F1-3709-4D61-B356-AC890A22FB20}">
    <text>Omissions of one word</text>
  </threadedComment>
  <threadedComment ref="F83" dT="2024-01-06T19:49:49.67" personId="{726B0DE7-C665-4EBE-970E-5803EF78B313}" id="{DCF4A6B3-A3DE-43AD-822B-C75FAE14DE36}">
    <text>Add ratio for single-word variants</text>
  </threadedComment>
  <threadedComment ref="D84" dT="2024-01-06T19:48:46.30" personId="{726B0DE7-C665-4EBE-970E-5803EF78B313}" id="{F926D467-996D-43CE-AD88-4AE7F3F35B25}">
    <text>Additions of 2-3 words</text>
  </threadedComment>
  <threadedComment ref="E84" dT="2024-01-06T19:49:11.26" personId="{726B0DE7-C665-4EBE-970E-5803EF78B313}" id="{DC3BAB80-4D55-4D0E-81A8-88A379BDE6AA}">
    <text>Omissions of 2-3 words</text>
  </threadedComment>
  <threadedComment ref="F84" dT="2024-01-06T19:50:08.15" personId="{726B0DE7-C665-4EBE-970E-5803EF78B313}" id="{596135F2-2516-4C7E-9247-EACBCB92104E}">
    <text>Add ratio for variants of 2-3 words</text>
  </threadedComment>
  <threadedComment ref="D85" dT="2024-01-06T19:48:58.81" personId="{726B0DE7-C665-4EBE-970E-5803EF78B313}" id="{C55DDD56-C2FE-4D17-A461-EFAF7CA8B343}">
    <text>Additions of 4 or more words</text>
  </threadedComment>
  <threadedComment ref="E85" dT="2024-01-06T19:49:22.83" personId="{726B0DE7-C665-4EBE-970E-5803EF78B313}" id="{8B38C1F1-1D24-45EF-ACD3-ADC6E1A2358E}">
    <text>Omissions of 4 or more words</text>
  </threadedComment>
  <threadedComment ref="F85" dT="2024-01-06T19:50:20.70" personId="{726B0DE7-C665-4EBE-970E-5803EF78B313}" id="{3D4A5FC2-4277-41D9-A01F-BD51294A2D7E}">
    <text>Add ratio for variants of 4 or more words</text>
  </threadedComment>
  <threadedComment ref="C88" dT="2023-09-09T16:27:49.68" personId="{726B0DE7-C665-4EBE-970E-5803EF78B313}" id="{4940D2AA-CBB5-4DC4-90FA-1F54EF13C77A}">
    <text>Number of words added or omitted</text>
  </threadedComment>
  <threadedComment ref="D88" dT="2023-09-09T16:28:21.63" personId="{726B0DE7-C665-4EBE-970E-5803EF78B313}" id="{877545E4-B885-4C0A-920F-34F36617692C}">
    <text>Number of additions involving the number of words specified in the "Length" column</text>
  </threadedComment>
  <threadedComment ref="E88" dT="2023-09-09T16:28:41.21" personId="{726B0DE7-C665-4EBE-970E-5803EF78B313}" id="{5113D43E-5A8D-432D-BF81-65DC15C492A6}">
    <text>Number of omissions involving the number of words specified in the "Length" column</text>
  </threadedComment>
  <threadedComment ref="F88" dT="2023-09-09T16:29:25.88" personId="{726B0DE7-C665-4EBE-970E-5803EF78B313}" id="{4E1FC854-8E85-4880-AA2E-2CA26916F52C}">
    <text>The addition rate for add-omits involving the number of words indicated in the "Length" column</text>
  </threadedComment>
  <threadedComment ref="E96" dT="2024-01-15T11:53:38.99" personId="{726B0DE7-C665-4EBE-970E-5803EF78B313}" id="{1FE615EC-BF4B-494F-A08A-9A3D4BD1E2B2}">
    <text>Total word count for corpus. Figure taken from Accordance "Word Count Totals" analysis. Search for word "*" specifying [RANGE &lt;CONTENT&gt;]. E.g., for 1 Samuel - 2 Kings in Alexandrinus, search for "* [RANGE 1 Sam - 2 Kings]" in LXX Rahlfs.</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4-01-15T15:51:08.85" personId="{726B0DE7-C665-4EBE-970E-5803EF78B313}" id="{986FA4D7-8585-4357-9BF5-FD68A6717264}">
    <text>Derived variable indicating the number of times per 1000 words the added or omitted word occurs. Thus, Freq-per-10,000 = (AO Word Frequency / Words in Corpus) * 10,000</text>
  </threadedComment>
  <threadedComment ref="S1" dT="2024-01-16T10:00:06.98" personId="{726B0DE7-C665-4EBE-970E-5803EF78B313}" id="{F31D48FD-CEE0-4DBC-905C-1C94BBB5BE13}">
    <text>For substitutions, the word frequency of the apograph reading</text>
  </threadedComment>
  <threadedComment ref="T1" dT="2024-01-16T09:59:48.08" personId="{726B0DE7-C665-4EBE-970E-5803EF78B313}" id="{8BE963D0-E46A-4178-B0AC-BB0DA10F9E46}">
    <text>For substitutions, the word frequency of the autograph reading</text>
  </threadedComment>
  <threadedComment ref="D28" dT="2024-01-15T11:53:38.99" personId="{726B0DE7-C665-4EBE-970E-5803EF78B313}" id="{536CB4A9-9743-4CD2-B633-214E17685ABC}">
    <text>Total word count for corpus. Figure taken from Accordance "Word Count Totals" analysis. Search for word "*" specifying [RANGE &lt;CONTENT&gt;]. E.g., for 1 Samuel - 2 Kings in Alexandrinus, search for "* [RANGE 1 Sam - 2 Kings]" in LXX Rahlfs.</text>
  </threadedComment>
  <threadedComment ref="D29" dT="2024-01-15T16:09:47.97" personId="{726B0DE7-C665-4EBE-970E-5803EF78B313}" id="{522D1F3F-B41C-40FB-823D-C62D93FFD990}">
    <text>Median word frequency</text>
  </threadedComment>
  <threadedComment ref="D32" dT="2024-01-16T15:49:15.06" personId="{726B0DE7-C665-4EBE-970E-5803EF78B313}" id="{6C891F64-7FF1-40A4-B0F6-602FB98BF613}">
    <text>Higher-frequency additions: the number of additions among variants whose word frequency was equal to or above the median</text>
  </threadedComment>
  <threadedComment ref="D33" dT="2024-01-16T15:49:42.55" personId="{726B0DE7-C665-4EBE-970E-5803EF78B313}" id="{25F84D6B-8F31-402B-B50D-AA464E41DAA7}">
    <text xml:space="preserve">Higher-frequency omissions: the number of omissions among variants whose word frequency was equal to or above the median
</text>
  </threadedComment>
  <threadedComment ref="D34" dT="2024-01-16T15:50:17.80" personId="{726B0DE7-C665-4EBE-970E-5803EF78B313}" id="{CC51A680-A9D5-4381-85A4-3055CEB28717}">
    <text>Higher-frequency add ratio: the add ratio among variants whose word frequency was equal to or above the median</text>
  </threadedComment>
  <threadedComment ref="D35" dT="2024-01-16T15:50:43.11" personId="{726B0DE7-C665-4EBE-970E-5803EF78B313}" id="{A2CE3BB8-80FD-4591-951F-D1F44E6674B8}">
    <text xml:space="preserve">Lower-frequency additions: the number of additions among variants whose word frequency was below the median
</text>
  </threadedComment>
  <threadedComment ref="D36" dT="2024-01-16T15:52:18.36" personId="{726B0DE7-C665-4EBE-970E-5803EF78B313}" id="{576FA789-5827-4FD8-B84B-24873B58E43F}">
    <text>Higher-frequency omissions: the number of omissions among variants whose word frequency was below  the median</text>
  </threadedComment>
  <threadedComment ref="D37" dT="2024-01-16T15:51:50.24" personId="{726B0DE7-C665-4EBE-970E-5803EF78B313}" id="{454C97C2-CA0F-4B46-845B-793A1276693D}">
    <text xml:space="preserve">Lower-frequency add ratio: the add ratio among variants whose word frequency was below the median
</text>
  </threadedComment>
  <threadedComment ref="D40" dT="2024-01-16T15:56:55.41" personId="{726B0DE7-C665-4EBE-970E-5803EF78B313}" id="{51653D81-0C7A-4A2C-A718-5BE3AAD345C2}">
    <text>Articular additions: the number of additions of an article</text>
  </threadedComment>
  <threadedComment ref="D41" dT="2024-01-16T16:01:25.48" personId="{726B0DE7-C665-4EBE-970E-5803EF78B313}" id="{352334D5-A1D8-419B-AFFD-55C07285CC53}">
    <text>Articular omissions: the number of omissions of an article</text>
  </threadedComment>
  <threadedComment ref="D42" dT="2024-01-16T16:01:49.04" personId="{726B0DE7-C665-4EBE-970E-5803EF78B313}" id="{B97D8711-84D1-4C14-997D-87187C87374C}">
    <text>Articular add ratio: the add ratio for the definite article</text>
  </threadedComment>
</ThreadedComments>
</file>

<file path=xl/threadedComments/threadedComment5.xml><?xml version="1.0" encoding="utf-8"?>
<ThreadedComments xmlns="http://schemas.microsoft.com/office/spreadsheetml/2018/threadedcomments" xmlns:x="http://schemas.openxmlformats.org/spreadsheetml/2006/main">
  <threadedComment ref="Q1" dT="2024-01-15T15:51:08.85" personId="{726B0DE7-C665-4EBE-970E-5803EF78B313}" id="{C712CAF5-35FA-442C-A949-AB389F3CB9EC}">
    <text>Derived variable indicating the number of times per 1000 words the added or omitted word occurs. Thus, Freq-per-10,000 = (AO Word Frequency / Words in Corpus) * 10,000</text>
  </threadedComment>
  <threadedComment ref="S1" dT="2024-01-16T10:00:06.98" personId="{726B0DE7-C665-4EBE-970E-5803EF78B313}" id="{21DF3F73-73F6-4157-98CE-B7387EB5CCD0}">
    <text>For substitutions, the word frequency of the apograph reading</text>
  </threadedComment>
  <threadedComment ref="T1" dT="2024-01-16T09:59:48.08" personId="{726B0DE7-C665-4EBE-970E-5803EF78B313}" id="{1115D7AD-0D35-47C1-8241-522DB0DA86BE}">
    <text>For substitutions, the word frequency of the autograph reading</text>
  </threadedComment>
  <threadedComment ref="D5" dT="2024-01-15T11:53:38.99" personId="{726B0DE7-C665-4EBE-970E-5803EF78B313}" id="{D690FFD5-7251-434E-B2BB-669A1B823666}">
    <text>Total word count for corpus. Figure taken from Accordance "Word Count Totals" analysis. Search for word "*" specifying [RANGE &lt;CONTENT&gt;]. E.g., for 1 Samuel - 2 Kings in Alexandrinus, search for "* [RANGE 1 Sam - 2 Kings]" in LXX Rahlfs.</text>
  </threadedComment>
  <threadedComment ref="D6" dT="2024-01-15T16:09:47.97" personId="{726B0DE7-C665-4EBE-970E-5803EF78B313}" id="{A4BDF17B-34C0-4CBB-9A12-DE313A77A280}">
    <text>Median word frequency</text>
  </threadedComment>
  <threadedComment ref="D9" dT="2024-01-16T15:49:15.06" personId="{726B0DE7-C665-4EBE-970E-5803EF78B313}" id="{F2DA74AD-89E7-4723-B282-97D9D3D1BD46}">
    <text>Higher-frequency additions: the number of additions among variants whose word frequency was equal to or above the median</text>
  </threadedComment>
  <threadedComment ref="D10" dT="2024-01-16T15:49:42.55" personId="{726B0DE7-C665-4EBE-970E-5803EF78B313}" id="{696D91BE-B62D-435C-A895-20D0551B30CB}">
    <text xml:space="preserve">Higher-frequency omissions: the number of omissions among variants whose word frequency was equal to or above the median
</text>
  </threadedComment>
  <threadedComment ref="D11" dT="2024-01-16T15:50:17.80" personId="{726B0DE7-C665-4EBE-970E-5803EF78B313}" id="{D81B2A79-C508-4BC3-9C9C-FAD2CCD4E42C}">
    <text>Higher-frequency add ratio: the add ratio among variants whose word frequency was equal to or above the median</text>
  </threadedComment>
  <threadedComment ref="D12" dT="2024-01-16T15:50:43.11" personId="{726B0DE7-C665-4EBE-970E-5803EF78B313}" id="{33CEEBEE-1C82-4F41-8E34-D7FDB6424E35}">
    <text xml:space="preserve">Lower-frequency additions: the number of additions among variants whose word frequency was below the median
</text>
  </threadedComment>
  <threadedComment ref="D13" dT="2024-01-16T15:52:18.36" personId="{726B0DE7-C665-4EBE-970E-5803EF78B313}" id="{83A49F1B-5089-458C-B037-B5856C30B930}">
    <text>Higher-frequency omissions: the number of omissions among variants whose word frequency was below  the median</text>
  </threadedComment>
  <threadedComment ref="D14" dT="2024-01-16T15:51:50.24" personId="{726B0DE7-C665-4EBE-970E-5803EF78B313}" id="{7EA722D5-AC1E-489A-BAE8-C6E4AE88C316}">
    <text xml:space="preserve">Lower-frequency add ratio: the add ratio among variants whose word frequency was below the median
</text>
  </threadedComment>
  <threadedComment ref="D15" dT="2024-01-22T14:15:25.14" personId="{726B0DE7-C665-4EBE-970E-5803EF78B313}" id="{E4BC9DB3-BC37-4CF1-B2AC-B6B467D59ED4}">
    <text>The difference in add ratio based on word frequency category. If scribes exhibit preference for the familiar, the HF add ratio should usually be higher than the LF add ratio (thus, the Add Ratio Difference should be positive)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R1" dT="2024-01-16T10:00:06.98" personId="{726B0DE7-C665-4EBE-970E-5803EF78B313}" id="{FF0B7DE6-5D75-47DE-812A-AC9A5DB73834}">
    <text>For substitutions, the word frequency of the apograph reading</text>
  </threadedComment>
  <threadedComment ref="S1" dT="2024-01-16T09:59:48.08" personId="{726B0DE7-C665-4EBE-970E-5803EF78B313}" id="{0C956F1C-4816-4DE1-B872-FD841F7F7E3D}">
    <text>For substitutions, the word frequency of the autograph reading</text>
  </threadedComment>
  <threadedComment ref="T1" dT="2024-01-16T12:04:07.25" personId="{726B0DE7-C665-4EBE-970E-5803EF78B313}" id="{87155E82-CECE-495D-AA6F-1F5483D13949}">
    <text>Frequency occurrence of autograph reading per 10,000 words of text</text>
  </threadedComment>
  <threadedComment ref="U1" dT="2024-01-16T12:04:21.22" personId="{726B0DE7-C665-4EBE-970E-5803EF78B313}" id="{A094D782-5F6E-4E15-ADCA-8E6F0A7F5C3A}">
    <text>Frequency occurrence of apograph reading per 10,000 words of text</text>
  </threadedComment>
  <threadedComment ref="V1" dT="2024-01-16T12:05:32.46" personId="{726B0DE7-C665-4EBE-970E-5803EF78B313}" id="{818486FC-A1D2-48A5-A60C-2B03DE03A032}">
    <text>Difference in the P10K frequency of the autograph and apograph readings. Difference = apograph - autograph. Thus, positive values indicate the apograph reading was a more common/frequent word; negative values indicate the apograph reading was a less common/frequent word</text>
  </threadedComment>
  <threadedComment ref="D18" dT="2024-01-15T11:53:38.99" personId="{726B0DE7-C665-4EBE-970E-5803EF78B313}" id="{9D4C2EFC-CA9E-453F-8EE6-49B8BAB26156}">
    <text>Total word count for corpus. Figure taken from Accordance "Word Count Totals" analysis. Search for word "*" specifying [RANGE &lt;CONTENT&gt;]. E.g., for 1 Samuel - 2 Kings in Alexandrinus, search for "* [RANGE 1 Sam - 2 Kings]" in LXX Rahlfs.</text>
  </threadedComment>
  <threadedComment ref="D21" dT="2024-01-16T16:24:54.84" personId="{726B0DE7-C665-4EBE-970E-5803EF78B313}" id="{2E9D2787-C982-4FAC-ABAC-82B5F03ECDB1}">
    <text>Number of variants where the scribe used a more common/frequent word in place of a less common/frequent word</text>
  </threadedComment>
  <threadedComment ref="D22" dT="2024-01-16T16:25:18.29" personId="{726B0DE7-C665-4EBE-970E-5803EF78B313}" id="{FF9461E3-D87C-49E2-A144-D996FCA02395}">
    <text>Number of variants where the scribe used a less common/frequent word in place of a more  common/frequent word</text>
  </threadedComment>
  <threadedComment ref="D23" dT="2024-01-16T16:26:16.57" personId="{726B0DE7-C665-4EBE-970E-5803EF78B313}" id="{F1C0A6F8-E392-4957-BBD8-953753BC9F4B}">
    <text>Probability based on 2-tailed sign test: probability of obtaining a result as extreme as or more extreme than that shown above</text>
  </threadedComment>
  <threadedComment ref="D25" dT="2024-01-16T16:28:22.68" personId="{726B0DE7-C665-4EBE-970E-5803EF78B313}" id="{109A3B3D-0B36-4032-8F93-057500C62A04}">
    <text>The mean frequency difference between the reading of the autograph and that of the apograph. Positive value = tendency of the scribe to replace less common words in the exemplar with more common alternatives; negative = tendency of the scribe to replace more common words in the exemplar with less common alternatives</text>
  </threadedComment>
  <threadedComment ref="D26" dT="2024-01-16T16:28:51.78" personId="{726B0DE7-C665-4EBE-970E-5803EF78B313}" id="{943808C3-4DD6-49E2-85A3-7AF4A0320D1C}">
    <text>Standard deviation of the word frequency difference for substitutions</text>
  </threadedComment>
  <threadedComment ref="D29" dT="2024-01-16T16:30:57.18" personId="{726B0DE7-C665-4EBE-970E-5803EF78B313}" id="{37E2CF01-74DD-4753-BB97-061FF6F7CDC7}">
    <text>The mean difference in word frequency for substitutions, measuring word frequency according to "occurrences per 10,000 words". As above, positive values indicate a trend toward substituting in more common alternatives; negative values indicate a trend toward substituting in less common alternatives</text>
  </threadedComment>
  <threadedComment ref="D30" dT="2024-01-16T16:31:30.62" personId="{726B0DE7-C665-4EBE-970E-5803EF78B313}" id="{2B187F19-3E0A-4047-9735-EEEB21895018}">
    <text>Standard deviation of the change in word frequency, using the frequency measure of "occurrences per 10,000 words"</text>
  </threadedComment>
  <threadedComment ref="D33" dT="2024-01-22T16:14:41.99" personId="{726B0DE7-C665-4EBE-970E-5803EF78B313}" id="{E3E1F96E-EAB2-4CEE-A1E3-93A79590D6B0}">
    <text>Total number of substitutions for which a word frequency difference could be calculated</text>
  </threadedComment>
  <threadedComment ref="D34" dT="2024-01-22T17:13:39.02" personId="{726B0DE7-C665-4EBE-970E-5803EF78B313}" id="{99F384ED-A39F-4D64-AF71-947605E2661A}">
    <text>The standard deviation of word frequency difference scores</text>
  </threadedComment>
</ThreadedComments>
</file>

<file path=xl/threadedComments/threadedComment7.xml><?xml version="1.0" encoding="utf-8"?>
<ThreadedComments xmlns="http://schemas.microsoft.com/office/spreadsheetml/2018/threadedcomments" xmlns:x="http://schemas.openxmlformats.org/spreadsheetml/2006/main">
  <threadedComment ref="S1" dT="2024-01-16T10:00:06.98" personId="{726B0DE7-C665-4EBE-970E-5803EF78B313}" id="{6B0668A6-5DBC-485C-BA65-17751DEC551C}">
    <text>For substitutions, the word frequency of the apograph reading</text>
  </threadedComment>
  <threadedComment ref="T1" dT="2024-01-16T09:59:48.08" personId="{726B0DE7-C665-4EBE-970E-5803EF78B313}" id="{AC8776E7-AFF7-419D-BA47-24BB3D8C7939}">
    <text>For substitutions, the word frequency of the autograph reading</text>
  </threadedComment>
  <threadedComment ref="D23" dT="2024-01-24T17:15:11.25" personId="{726B0DE7-C665-4EBE-970E-5803EF78B313}" id="{F68261FB-0759-419B-99E1-7FA6E8A96D8A}">
    <text>The number of variants that harmonized to parallel phrases in the near context</text>
  </threadedComment>
  <threadedComment ref="D24" dT="2024-01-24T17:15:35.01" personId="{726B0DE7-C665-4EBE-970E-5803EF78B313}" id="{D3AB1C5E-37EE-4B0D-8A88-F4E34FC5C971}">
    <text>The number of variants that disharmonized from  parallel phrases in the near context</text>
  </threadedComment>
  <threadedComment ref="D25" dT="2024-01-24T17:16:15.06" personId="{726B0DE7-C665-4EBE-970E-5803EF78B313}" id="{23119399-1739-43B4-B611-B745C310A73E}">
    <text>The ratio of harmonizations to disharmonizations; = harmonizations / (harmonizations + disharmonizations)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1" dT="2024-01-16T10:00:06.98" personId="{726B0DE7-C665-4EBE-970E-5803EF78B313}" id="{45F99255-E8F4-4D3C-9F10-F7AB1DBBB3D3}">
    <text>For substitutions, the word frequency of the apograph reading</text>
  </threadedComment>
  <threadedComment ref="S1" dT="2024-01-16T09:59:48.08" personId="{726B0DE7-C665-4EBE-970E-5803EF78B313}" id="{4AB60DD3-E7E5-476D-AD43-67EC90C4BB15}">
    <text>For substitutions, the word frequency of the autograph reading</text>
  </threadedComment>
</ThreadedComments>
</file>

<file path=xl/threadedComments/threadedComment9.xml><?xml version="1.0" encoding="utf-8"?>
<ThreadedComments xmlns="http://schemas.microsoft.com/office/spreadsheetml/2018/threadedcomments" xmlns:x="http://schemas.openxmlformats.org/spreadsheetml/2006/main">
  <threadedComment ref="R1" dT="2024-01-16T10:00:06.98" personId="{726B0DE7-C665-4EBE-970E-5803EF78B313}" id="{93C30BAB-EC7F-4C8C-92A9-A3577D1DB6CB}">
    <text>For substitutions, the word frequency of the apograph reading</text>
  </threadedComment>
  <threadedComment ref="S1" dT="2024-01-16T09:59:48.08" personId="{726B0DE7-C665-4EBE-970E-5803EF78B313}" id="{D56F109F-4F45-4D47-A251-6B98795D2F3A}">
    <text>For substitutions, the word frequency of the autograph reading</text>
  </threadedComment>
  <threadedComment ref="F37" dT="2023-09-09T16:20:24.92" personId="{726B0DE7-C665-4EBE-970E-5803EF78B313}" id="{53339D52-E66D-471B-B9D1-5F4CDC36E47E}">
    <text>Raw number of additions</text>
  </threadedComment>
  <threadedComment ref="B38" dT="2023-09-09T13:15:24.43" personId="{726B0DE7-C665-4EBE-970E-5803EF78B313}" id="{D0113474-F489-4ADD-9773-F21293F7ECC4}">
    <text>"Low Meaning" words</text>
  </threadedComment>
  <threadedComment ref="C38" dT="2023-09-09T13:15:40.92" personId="{726B0DE7-C665-4EBE-970E-5803EF78B313}" id="{4C47EE01-3EBD-48CB-84ED-B05831C7BD9B}">
    <text>"High Meaning" words</text>
  </threadedComment>
  <threadedComment ref="F38" dT="2023-09-09T16:20:41.93" personId="{726B0DE7-C665-4EBE-970E-5803EF78B313}" id="{9EFC231E-0D81-47FE-97A2-FD9D6FA6277C}">
    <text>Raw number of omissions</text>
  </threadedComment>
  <threadedComment ref="F39" dT="2023-09-09T16:21:30.82" personId="{726B0DE7-C665-4EBE-970E-5803EF78B313}" id="{AAC56B60-896F-4573-9AA4-6954A0B386F3}">
    <text>% of add-omits that are additions</text>
  </threadedComment>
  <threadedComment ref="F42" dT="2023-09-09T16:22:43.13" personId="{726B0DE7-C665-4EBE-970E-5803EF78B313}" id="{FDA91DEF-EFCE-4482-8511-EF43E8331542}">
    <text>Raw number of additions of "low meaning" words. See LM column for included word types (and adjust equation as necessary)</text>
  </threadedComment>
  <threadedComment ref="F43" dT="2023-09-09T16:23:00.73" personId="{726B0DE7-C665-4EBE-970E-5803EF78B313}" id="{68E484CF-D3FB-4EB5-8B78-0A59788B4BB8}">
    <text>Raw number of omissions of "low meaning" words. See LM column for included word types (and adjust equation as necessary)</text>
  </threadedComment>
  <threadedComment ref="F44" dT="2023-09-09T16:23:25.50" personId="{726B0DE7-C665-4EBE-970E-5803EF78B313}" id="{FE0A6CE8-91E6-4078-95D7-ABE23FAF03B3}">
    <text>Addition rate for "low meaning" words. See LM column for included word types (and adjust equation as necessary)</text>
  </threadedComment>
  <threadedComment ref="F47" dT="2023-09-09T16:26:23.57" personId="{726B0DE7-C665-4EBE-970E-5803EF78B313}" id="{D510725D-E8C1-4842-873A-C8BE57EE0BF5}">
    <text>Raw number of additions of "high meaning" words. See HM column for included word types (and adjust equation as necessary)</text>
  </threadedComment>
  <threadedComment ref="F48" dT="2023-09-09T16:26:53.68" personId="{726B0DE7-C665-4EBE-970E-5803EF78B313}" id="{808E0F73-0A81-4B6A-8A77-3D2142F0746F}">
    <text>Raw number of omissions of "high meaning" words. See HM column for included word types (and adjust equation as necessary)</text>
  </threadedComment>
  <threadedComment ref="F49" dT="2023-09-09T16:27:24.75" personId="{726B0DE7-C665-4EBE-970E-5803EF78B313}" id="{7FAA2FA4-6F60-4AE6-9184-32C632CDB625}">
    <text>Addition rate for "high meaning" words. See HM column for included word types (and adjust equation as necessary)</text>
  </threadedComment>
  <threadedComment ref="D55" dT="2023-09-09T16:31:02.72" personId="{726B0DE7-C665-4EBE-970E-5803EF78B313}" id="{4B4613A2-EF5C-4057-829D-A53C0A8AA91D}">
    <text>The number of add-omits where visual cues are present that are, in fact, additions. I.e., the number of additions that result in the presence of visual cues</text>
  </threadedComment>
  <threadedComment ref="E55" dT="2023-09-09T16:31:50.60" personId="{726B0DE7-C665-4EBE-970E-5803EF78B313}" id="{6BEA8FB8-BFFB-466D-A67A-D7648F353B04}">
    <text>The number of add-omits where visual cues are NOT present that are, in fact, additions. I.e., the number of additions that generate no visual cues</text>
  </threadedComment>
  <threadedComment ref="F55" dT="2023-09-09T16:33:25.83" personId="{726B0DE7-C665-4EBE-970E-5803EF78B313}" id="{DA9DA8B3-88CB-448B-A6FE-DD3EE517CA2A}">
    <text>The percentage of add-omits where visual cues are present that are, in fact, additions. I.e., a percent frequency indicating how often an addition generates visual cues</text>
  </threadedComment>
  <threadedComment ref="D56" dT="2023-09-09T16:34:19.48" personId="{726B0DE7-C665-4EBE-970E-5803EF78B313}" id="{9E09ECF4-19C9-49E1-A53C-BA304F59FD2C}">
    <text>The number of add-omits where visual cues are present that are, in fact, omissions. I.e., the number of times that omissions occurred in the presence of visual cues</text>
  </threadedComment>
  <threadedComment ref="E56" dT="2023-09-09T16:34:51.06" personId="{726B0DE7-C665-4EBE-970E-5803EF78B313}" id="{3AA994ED-0900-47D4-82DE-EB5B743A97B6}">
    <text>The number of add-omits where visual cues are NOT present that are, in fact, omissions. I.e., the number of times that omissions occurred in the absence of visual cues</text>
  </threadedComment>
  <threadedComment ref="F56" dT="2023-09-09T16:35:41.16" personId="{726B0DE7-C665-4EBE-970E-5803EF78B313}" id="{AFCB2B5C-0CBA-4B45-8BA1-FBD2BE33A5A7}">
    <text>The percentage of add-omits where visual cues are present that are, in fact, omissions. I.e., the percentage of omissions that could plausibly be due to visual cues</text>
  </threadedComment>
  <threadedComment ref="D57" dT="2023-09-09T16:36:05.81" personId="{726B0DE7-C665-4EBE-970E-5803EF78B313}" id="{0F6C9121-BF1E-46ED-89A3-0A70D3379790}">
    <text>The total number of add-omits that involve visual cues</text>
  </threadedComment>
  <threadedComment ref="E57" dT="2023-09-09T16:38:54.43" personId="{726B0DE7-C665-4EBE-970E-5803EF78B313}" id="{0AA13F29-084B-4A75-82CB-CCD0E9D56BE9}">
    <text>The total number of add-omits that involve NO visual cues (given the definition of this project, i.e., 3-character minimum similarity in critical regions)</text>
  </threadedComment>
  <threadedComment ref="F57" dT="2023-09-09T16:39:12.76" personId="{726B0DE7-C665-4EBE-970E-5803EF78B313}" id="{CADADB1C-CC12-4051-B5F9-68D7505E730F}">
    <text>The percentage of all add-omits that involve visual cues</text>
  </threadedComment>
  <threadedComment ref="D61" dT="2023-09-09T16:31:50.60" personId="{726B0DE7-C665-4EBE-970E-5803EF78B313}" id="{3F9C9933-845F-48EF-BD6D-951F0FC955B0}">
    <text>The number of add-omits where visual cues are NOT present that are, in fact, additions. I.e., the number of additions that generate no visual cues</text>
  </threadedComment>
  <threadedComment ref="E61" dT="2023-09-09T16:34:51.06" personId="{726B0DE7-C665-4EBE-970E-5803EF78B313}" id="{4F3F4178-3FE2-4374-9D84-4F47427D704D}">
    <text>The number of add-omits where visual cues are NOT present that are, in fact, omissions. I.e., the number of times that omissions occurred in the absence of visual cues</text>
  </threadedComment>
  <threadedComment ref="D62" dT="2023-09-09T16:31:02.72" personId="{726B0DE7-C665-4EBE-970E-5803EF78B313}" id="{FA922E71-FF16-4C27-AAAA-1C6EF03FDE6B}">
    <text>The number of add-omits where visual cues are present that are, in fact, additions. I.e., the number of additions that result in the presence of visual cues</text>
  </threadedComment>
  <threadedComment ref="E62" dT="2023-09-09T16:34:19.48" personId="{726B0DE7-C665-4EBE-970E-5803EF78B313}" id="{A0873118-DEFC-48DE-BD03-7996D7ABAC64}">
    <text>The number of add-omits where visual cues are present that are, in fact, omissions. I.e., the number of times that omissions occurred in the presence of visual cues</text>
  </threadedComment>
  <threadedComment ref="D67" dT="2023-09-09T16:31:50.60" personId="{726B0DE7-C665-4EBE-970E-5803EF78B313}" id="{103E2CB6-4367-4B43-A41A-24FABEB987C3}">
    <text>The number of non-dittographic add-omits that are, in fact, additions. I.e., the number of additions that do not result in dittography</text>
  </threadedComment>
  <threadedComment ref="E67" dT="2023-09-09T16:34:51.06" personId="{726B0DE7-C665-4EBE-970E-5803EF78B313}" id="{086A2A91-56CC-4D77-AA29-8465873AEBEB}">
    <text>The number of non-dittographic add-omits that are, in fact, omissions. I.e., the number of omissions that did not undo a dittographic reading</text>
  </threadedComment>
  <threadedComment ref="D68" dT="2023-09-09T16:31:02.72" personId="{726B0DE7-C665-4EBE-970E-5803EF78B313}" id="{4C70634D-7E2B-4C09-9B1D-1E2CF001B5EE}">
    <text>The number of dittographic add-omits that are, in fact, additions. I.e., the number of additions that result in dittography</text>
  </threadedComment>
  <threadedComment ref="E68" dT="2023-09-09T16:34:19.48" personId="{726B0DE7-C665-4EBE-970E-5803EF78B313}" id="{B0D5B59B-0531-468C-B9F9-EA49C02CE261}">
    <text>The number of dittographic add-omits that are, in fact, omissions. I.e., the number omissions where the omitted word(s) is/are dittographies</text>
  </threadedComment>
  <threadedComment ref="D73" dT="2024-01-06T19:48:13.17" personId="{726B0DE7-C665-4EBE-970E-5803EF78B313}" id="{7442653E-C768-4E25-B81B-E4E86CD927A1}">
    <text>Additions of one word</text>
  </threadedComment>
  <threadedComment ref="E73" dT="2024-01-06T19:48:24.08" personId="{726B0DE7-C665-4EBE-970E-5803EF78B313}" id="{8A57B675-8D4C-4303-81A4-A2D6744F0B6F}">
    <text>Omissions of one word</text>
  </threadedComment>
  <threadedComment ref="F73" dT="2024-01-06T19:49:49.67" personId="{726B0DE7-C665-4EBE-970E-5803EF78B313}" id="{A7C931E7-F36B-4448-92AF-21BE728A0E14}">
    <text>Add ratio for single-word variants</text>
  </threadedComment>
  <threadedComment ref="D74" dT="2024-01-06T19:48:46.30" personId="{726B0DE7-C665-4EBE-970E-5803EF78B313}" id="{15C83E36-F275-4534-93DB-783815FC35C1}">
    <text>Additions of 2-3 words</text>
  </threadedComment>
  <threadedComment ref="E74" dT="2024-01-06T19:49:11.26" personId="{726B0DE7-C665-4EBE-970E-5803EF78B313}" id="{9499FA1B-F43C-4285-B9C3-2F176684A93A}">
    <text>Omissions of 2-3 words</text>
  </threadedComment>
  <threadedComment ref="F74" dT="2024-01-06T19:50:08.15" personId="{726B0DE7-C665-4EBE-970E-5803EF78B313}" id="{12037796-8143-4555-9D94-B18B0819FC05}">
    <text>Add ratio for variants of 2-3 words</text>
  </threadedComment>
  <threadedComment ref="D75" dT="2024-01-06T19:48:58.81" personId="{726B0DE7-C665-4EBE-970E-5803EF78B313}" id="{22D07869-828D-46D4-A7E2-29CD538A0C26}">
    <text>Additions of 4 or more words</text>
  </threadedComment>
  <threadedComment ref="E75" dT="2024-01-06T19:49:22.83" personId="{726B0DE7-C665-4EBE-970E-5803EF78B313}" id="{BB4FB229-AF50-47E4-8EEF-D220E370BF97}">
    <text>Omissions of 4 or more words</text>
  </threadedComment>
  <threadedComment ref="F75" dT="2024-01-06T19:50:20.70" personId="{726B0DE7-C665-4EBE-970E-5803EF78B313}" id="{57508CAB-DA6C-4A82-A6E6-FD49A6640B96}">
    <text>Add ratio for variants of 4 or more words</text>
  </threadedComment>
  <threadedComment ref="C78" dT="2023-09-09T16:27:49.68" personId="{726B0DE7-C665-4EBE-970E-5803EF78B313}" id="{CC68AE10-DBF9-4EB3-9D25-855A9BE0CB71}">
    <text>Number of words added or omitted</text>
  </threadedComment>
  <threadedComment ref="D78" dT="2023-09-09T16:28:21.63" personId="{726B0DE7-C665-4EBE-970E-5803EF78B313}" id="{E35C8F38-D7CF-493F-A308-AC2E557952C6}">
    <text>Number of additions involving the number of words specified in the "Length" column</text>
  </threadedComment>
  <threadedComment ref="E78" dT="2023-09-09T16:28:41.21" personId="{726B0DE7-C665-4EBE-970E-5803EF78B313}" id="{24A87D07-1A47-4E3E-8F7E-0B5ACDB81A76}">
    <text>Number of omissions involving the number of words specified in the "Length" column</text>
  </threadedComment>
  <threadedComment ref="F78" dT="2023-09-09T16:29:25.88" personId="{726B0DE7-C665-4EBE-970E-5803EF78B313}" id="{FF9EB006-F59E-49FC-A5A7-C004C724413F}">
    <text>The addition rate for add-omits involving the number of words indicated in the "Length" column</text>
  </threadedComment>
  <threadedComment ref="E86" dT="2024-01-15T11:53:38.99" personId="{726B0DE7-C665-4EBE-970E-5803EF78B313}" id="{725E411E-FA9D-4F56-8360-E539EB5E3B79}">
    <text>Total word count for corpus. Figure taken from Accordance "Word Count Totals" analysis. Search for word "*" specifying [RANGE &lt;CONTENT&gt;]. E.g., for 1 Samuel - 2 Kings in Alexandrinus, search for "* [RANGE 1 Sam - 2 Kings]" in LXX Rahlfs.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4" Type="http://schemas.microsoft.com/office/2017/10/relationships/threadedComment" Target="../threadedComments/threadedComment7.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7.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4991-2036-4936-8ECE-AA604E1C2B0C}">
  <dimension ref="A1:AH253"/>
  <sheetViews>
    <sheetView tabSelected="1" workbookViewId="0">
      <pane xSplit="5" ySplit="1" topLeftCell="F243" activePane="bottomRight" state="frozen"/>
      <selection pane="topRight" activeCell="F1" sqref="F1"/>
      <selection pane="bottomLeft" activeCell="A2" sqref="A2"/>
      <selection pane="bottomRight" activeCell="A254" sqref="A254:XFD1048576"/>
    </sheetView>
  </sheetViews>
  <sheetFormatPr defaultRowHeight="14.5"/>
  <cols>
    <col min="1" max="1" width="10.81640625" customWidth="1"/>
    <col min="2" max="3" width="8.90625" hidden="1" customWidth="1"/>
    <col min="4" max="5" width="20.81640625" customWidth="1"/>
    <col min="6" max="6" width="27.81640625" customWidth="1"/>
    <col min="7" max="8" width="10.81640625" customWidth="1"/>
    <col min="9" max="9" width="9.54296875" customWidth="1"/>
    <col min="10" max="18" width="8.90625" style="7" customWidth="1"/>
    <col min="19" max="19" width="18.36328125" style="7" customWidth="1"/>
    <col min="20" max="22" width="8.90625" style="7" customWidth="1"/>
    <col min="23" max="25" width="13.81640625" style="7" customWidth="1"/>
    <col min="26" max="32" width="8.90625" style="7" customWidth="1"/>
  </cols>
  <sheetData>
    <row r="1" spans="1:34" s="2" customFormat="1">
      <c r="A1" s="2" t="s">
        <v>0</v>
      </c>
      <c r="B1" s="2" t="s">
        <v>1</v>
      </c>
      <c r="C1" s="2" t="s">
        <v>2</v>
      </c>
      <c r="D1" s="2" t="s">
        <v>496</v>
      </c>
      <c r="E1" s="2" t="s">
        <v>497</v>
      </c>
      <c r="F1" s="2" t="s">
        <v>570</v>
      </c>
      <c r="G1" s="2" t="s">
        <v>571</v>
      </c>
      <c r="H1" s="2" t="s">
        <v>572</v>
      </c>
      <c r="I1" s="2" t="s">
        <v>8</v>
      </c>
      <c r="J1" s="2" t="s">
        <v>3</v>
      </c>
      <c r="K1" s="2" t="s">
        <v>573</v>
      </c>
      <c r="L1" s="2" t="s">
        <v>574</v>
      </c>
      <c r="M1" s="2" t="s">
        <v>575</v>
      </c>
      <c r="N1" s="2" t="s">
        <v>576</v>
      </c>
      <c r="O1" s="2" t="s">
        <v>525</v>
      </c>
      <c r="P1" s="2" t="s">
        <v>577</v>
      </c>
      <c r="Q1" s="6" t="s">
        <v>578</v>
      </c>
      <c r="R1" s="2" t="s">
        <v>526</v>
      </c>
      <c r="S1" s="2" t="s">
        <v>579</v>
      </c>
      <c r="T1" s="2" t="s">
        <v>580</v>
      </c>
      <c r="U1" s="2" t="s">
        <v>826</v>
      </c>
      <c r="V1" s="2" t="s">
        <v>827</v>
      </c>
      <c r="W1" s="2" t="s">
        <v>527</v>
      </c>
      <c r="X1" s="2" t="s">
        <v>528</v>
      </c>
      <c r="Y1" s="2" t="s">
        <v>529</v>
      </c>
      <c r="Z1" s="2" t="s">
        <v>530</v>
      </c>
      <c r="AA1" s="2" t="s">
        <v>531</v>
      </c>
      <c r="AB1" s="2" t="s">
        <v>532</v>
      </c>
      <c r="AC1" s="2" t="s">
        <v>582</v>
      </c>
      <c r="AD1" s="2" t="s">
        <v>581</v>
      </c>
      <c r="AE1" s="2" t="s">
        <v>533</v>
      </c>
      <c r="AF1" s="2" t="s">
        <v>534</v>
      </c>
      <c r="AG1" s="2" t="s">
        <v>791</v>
      </c>
    </row>
    <row r="2" spans="1:34">
      <c r="A2" s="1" t="s">
        <v>9</v>
      </c>
      <c r="D2" s="1" t="s">
        <v>10</v>
      </c>
      <c r="E2" s="1" t="s">
        <v>11</v>
      </c>
      <c r="F2" s="1"/>
      <c r="G2" s="1" t="s">
        <v>339</v>
      </c>
      <c r="H2" s="1"/>
      <c r="J2" s="7" t="s">
        <v>548</v>
      </c>
      <c r="Q2" s="8"/>
      <c r="T2" s="7" t="s">
        <v>550</v>
      </c>
      <c r="U2" s="7" t="str">
        <f t="shared" ref="U2:U59" ca="1" si="0">IF(ISNUMBER(T2),VALUE(MID(_xlfn.FORMULATEXT(T2),SEARCH("-",_xlfn.FORMULATEXT(T2))+1,LEN(_xlfn.FORMULATEXT(T2))-SEARCH("-",_xlfn.FORMULATEXT(T2)))), "")</f>
        <v/>
      </c>
      <c r="V2" s="7" t="str">
        <f t="shared" ref="V2:V59" ca="1" si="1">IF(ISNUMBER(T2), VALUE(MID(_xlfn.FORMULATEXT(T2), 2, SEARCH("-", _xlfn.FORMULATEXT(T2)) - 2)), "")</f>
        <v/>
      </c>
      <c r="AA2" s="7" t="s">
        <v>499</v>
      </c>
      <c r="AE2" s="7" t="s">
        <v>552</v>
      </c>
    </row>
    <row r="3" spans="1:34">
      <c r="A3" s="1" t="s">
        <v>13</v>
      </c>
      <c r="D3" s="1" t="s">
        <v>14</v>
      </c>
      <c r="E3" s="1" t="s">
        <v>12</v>
      </c>
      <c r="F3" s="1"/>
      <c r="G3" s="1"/>
      <c r="H3" s="1"/>
      <c r="J3" s="7" t="s">
        <v>553</v>
      </c>
      <c r="Q3" s="8"/>
      <c r="U3" s="7" t="str">
        <f t="shared" ca="1" si="0"/>
        <v/>
      </c>
      <c r="V3" s="7" t="str">
        <f t="shared" ca="1" si="1"/>
        <v/>
      </c>
      <c r="AA3" s="7" t="s">
        <v>499</v>
      </c>
      <c r="AB3" s="7" t="s">
        <v>785</v>
      </c>
      <c r="AD3" s="7" t="s">
        <v>499</v>
      </c>
    </row>
    <row r="4" spans="1:34" ht="29">
      <c r="A4" s="1" t="s">
        <v>13</v>
      </c>
      <c r="D4" s="1" t="s">
        <v>584</v>
      </c>
      <c r="E4" s="1" t="s">
        <v>585</v>
      </c>
      <c r="F4" s="1" t="s">
        <v>520</v>
      </c>
      <c r="G4" s="1"/>
      <c r="H4" s="1"/>
      <c r="J4" s="7" t="s">
        <v>553</v>
      </c>
      <c r="Q4" s="8"/>
      <c r="U4" s="7" t="str">
        <f t="shared" ca="1" si="0"/>
        <v/>
      </c>
      <c r="V4" s="7" t="str">
        <f t="shared" ca="1" si="1"/>
        <v/>
      </c>
      <c r="AA4" s="7" t="s">
        <v>499</v>
      </c>
      <c r="AE4" s="7" t="s">
        <v>547</v>
      </c>
    </row>
    <row r="5" spans="1:34">
      <c r="A5" s="1" t="s">
        <v>17</v>
      </c>
      <c r="D5" s="1" t="s">
        <v>18</v>
      </c>
      <c r="E5" s="1" t="s">
        <v>19</v>
      </c>
      <c r="F5" s="1"/>
      <c r="G5" s="1"/>
      <c r="H5" s="1"/>
      <c r="J5" s="7" t="s">
        <v>553</v>
      </c>
      <c r="Q5" s="8"/>
      <c r="U5" s="7" t="str">
        <f t="shared" ca="1" si="0"/>
        <v/>
      </c>
      <c r="V5" s="7" t="str">
        <f t="shared" ca="1" si="1"/>
        <v/>
      </c>
      <c r="AA5" s="7" t="s">
        <v>499</v>
      </c>
      <c r="AB5" s="7" t="s">
        <v>785</v>
      </c>
      <c r="AD5" s="7" t="s">
        <v>499</v>
      </c>
    </row>
    <row r="6" spans="1:34">
      <c r="A6" s="1" t="s">
        <v>20</v>
      </c>
      <c r="D6" s="1" t="s">
        <v>340</v>
      </c>
      <c r="E6" s="1" t="s">
        <v>341</v>
      </c>
      <c r="F6" s="1"/>
      <c r="G6" s="1"/>
      <c r="H6" s="1"/>
      <c r="I6" t="s">
        <v>586</v>
      </c>
      <c r="J6" s="7" t="s">
        <v>504</v>
      </c>
      <c r="K6" s="7">
        <v>0</v>
      </c>
      <c r="L6" s="7">
        <v>1</v>
      </c>
      <c r="M6" s="7">
        <v>1</v>
      </c>
      <c r="N6" s="7" t="s">
        <v>541</v>
      </c>
      <c r="O6" s="7" t="s">
        <v>550</v>
      </c>
      <c r="Q6" s="8"/>
      <c r="S6" s="7">
        <v>19277</v>
      </c>
      <c r="U6" s="7" t="str">
        <f t="shared" ca="1" si="0"/>
        <v/>
      </c>
      <c r="V6" s="7" t="str">
        <f t="shared" ca="1" si="1"/>
        <v/>
      </c>
      <c r="W6" s="7" t="s">
        <v>544</v>
      </c>
      <c r="AA6" s="7" t="s">
        <v>499</v>
      </c>
      <c r="AG6" t="s">
        <v>499</v>
      </c>
    </row>
    <row r="7" spans="1:34">
      <c r="A7" s="1" t="s">
        <v>21</v>
      </c>
      <c r="D7" s="1" t="s">
        <v>342</v>
      </c>
      <c r="E7" s="1" t="s">
        <v>343</v>
      </c>
      <c r="F7" s="1"/>
      <c r="G7" s="1"/>
      <c r="H7" s="1"/>
      <c r="I7" t="s">
        <v>586</v>
      </c>
      <c r="J7" s="7" t="s">
        <v>504</v>
      </c>
      <c r="K7" s="7">
        <v>0</v>
      </c>
      <c r="L7" s="7">
        <v>1</v>
      </c>
      <c r="M7" s="7">
        <v>1</v>
      </c>
      <c r="N7" s="7" t="s">
        <v>541</v>
      </c>
      <c r="O7" s="7" t="s">
        <v>550</v>
      </c>
      <c r="Q7" s="8"/>
      <c r="S7" s="7">
        <v>19277</v>
      </c>
      <c r="U7" s="7" t="str">
        <f t="shared" ca="1" si="0"/>
        <v/>
      </c>
      <c r="V7" s="7" t="str">
        <f t="shared" ca="1" si="1"/>
        <v/>
      </c>
      <c r="W7" s="7" t="s">
        <v>544</v>
      </c>
      <c r="AA7" s="7" t="s">
        <v>499</v>
      </c>
      <c r="AG7" t="s">
        <v>499</v>
      </c>
    </row>
    <row r="8" spans="1:34">
      <c r="A8" s="1" t="s">
        <v>22</v>
      </c>
      <c r="D8" s="1" t="s">
        <v>344</v>
      </c>
      <c r="E8" s="1" t="s">
        <v>23</v>
      </c>
      <c r="F8" s="1"/>
      <c r="G8" s="1"/>
      <c r="H8" s="1"/>
      <c r="J8" s="7" t="s">
        <v>553</v>
      </c>
      <c r="Q8" s="8"/>
      <c r="U8" s="7" t="str">
        <f t="shared" ca="1" si="0"/>
        <v/>
      </c>
      <c r="V8" s="7" t="str">
        <f t="shared" ca="1" si="1"/>
        <v/>
      </c>
      <c r="AA8" s="7" t="s">
        <v>499</v>
      </c>
      <c r="AC8" s="7" t="s">
        <v>587</v>
      </c>
      <c r="AD8" s="7" t="s">
        <v>499</v>
      </c>
      <c r="AG8" t="s">
        <v>506</v>
      </c>
    </row>
    <row r="9" spans="1:34">
      <c r="A9" s="1" t="s">
        <v>24</v>
      </c>
      <c r="D9" s="1" t="s">
        <v>588</v>
      </c>
      <c r="E9" s="1" t="s">
        <v>589</v>
      </c>
      <c r="F9" s="1" t="s">
        <v>590</v>
      </c>
      <c r="G9" s="1"/>
      <c r="H9" s="1" t="s">
        <v>339</v>
      </c>
      <c r="J9" s="7" t="s">
        <v>548</v>
      </c>
      <c r="Q9" s="8"/>
      <c r="R9" s="7" t="s">
        <v>537</v>
      </c>
      <c r="T9" s="7" t="s">
        <v>583</v>
      </c>
      <c r="U9" s="7" t="str">
        <f t="shared" ca="1" si="0"/>
        <v/>
      </c>
      <c r="V9" s="7" t="str">
        <f t="shared" ca="1" si="1"/>
        <v/>
      </c>
      <c r="AA9" s="7" t="s">
        <v>499</v>
      </c>
      <c r="AE9" s="7" t="s">
        <v>540</v>
      </c>
    </row>
    <row r="10" spans="1:34">
      <c r="A10" s="1" t="s">
        <v>25</v>
      </c>
      <c r="D10" s="1" t="s">
        <v>26</v>
      </c>
      <c r="E10" s="1" t="s">
        <v>27</v>
      </c>
      <c r="F10" s="1"/>
      <c r="G10" s="1"/>
      <c r="H10" s="1"/>
      <c r="J10" s="7" t="s">
        <v>553</v>
      </c>
      <c r="Q10" s="8"/>
      <c r="U10" s="7" t="str">
        <f t="shared" ca="1" si="0"/>
        <v/>
      </c>
      <c r="V10" s="7" t="str">
        <f t="shared" ca="1" si="1"/>
        <v/>
      </c>
      <c r="AA10" s="7" t="s">
        <v>499</v>
      </c>
      <c r="AG10" t="s">
        <v>499</v>
      </c>
      <c r="AH10" t="s">
        <v>793</v>
      </c>
    </row>
    <row r="11" spans="1:34">
      <c r="A11" s="1" t="s">
        <v>25</v>
      </c>
      <c r="D11" s="1" t="s">
        <v>28</v>
      </c>
      <c r="E11" s="1" t="s">
        <v>29</v>
      </c>
      <c r="F11" s="1"/>
      <c r="G11" s="1"/>
      <c r="H11" s="1"/>
      <c r="J11" s="7" t="s">
        <v>553</v>
      </c>
      <c r="Q11" s="8"/>
      <c r="U11" s="7" t="str">
        <f t="shared" ca="1" si="0"/>
        <v/>
      </c>
      <c r="V11" s="7" t="str">
        <f t="shared" ca="1" si="1"/>
        <v/>
      </c>
      <c r="AA11" s="7" t="s">
        <v>499</v>
      </c>
      <c r="AC11" s="7" t="s">
        <v>587</v>
      </c>
      <c r="AD11" s="7" t="s">
        <v>499</v>
      </c>
    </row>
    <row r="12" spans="1:34">
      <c r="A12" s="1" t="s">
        <v>30</v>
      </c>
      <c r="D12" s="1" t="s">
        <v>345</v>
      </c>
      <c r="E12" s="1" t="s">
        <v>346</v>
      </c>
      <c r="F12" s="1"/>
      <c r="G12" s="1"/>
      <c r="H12" s="1"/>
      <c r="I12" t="s">
        <v>591</v>
      </c>
      <c r="J12" s="7" t="s">
        <v>548</v>
      </c>
      <c r="Q12" s="8"/>
      <c r="T12" s="7">
        <f>1420-1204</f>
        <v>216</v>
      </c>
      <c r="U12" s="7">
        <f t="shared" ca="1" si="0"/>
        <v>1204</v>
      </c>
      <c r="V12" s="7">
        <f t="shared" ca="1" si="1"/>
        <v>1420</v>
      </c>
      <c r="W12" s="7" t="s">
        <v>4</v>
      </c>
      <c r="AA12" s="7" t="s">
        <v>499</v>
      </c>
      <c r="AG12" t="s">
        <v>499</v>
      </c>
    </row>
    <row r="13" spans="1:34" ht="29">
      <c r="A13" s="1" t="s">
        <v>30</v>
      </c>
      <c r="D13" s="1" t="s">
        <v>592</v>
      </c>
      <c r="E13" s="1" t="s">
        <v>872</v>
      </c>
      <c r="F13" s="1" t="s">
        <v>590</v>
      </c>
      <c r="G13" s="1"/>
      <c r="H13" s="1" t="s">
        <v>339</v>
      </c>
      <c r="J13" s="7" t="s">
        <v>500</v>
      </c>
      <c r="K13" s="7">
        <v>0</v>
      </c>
      <c r="L13" s="7">
        <v>1</v>
      </c>
      <c r="M13" s="7">
        <v>3</v>
      </c>
      <c r="N13" s="7" t="s">
        <v>593</v>
      </c>
      <c r="O13" s="7" t="s">
        <v>536</v>
      </c>
      <c r="P13" s="7" t="s">
        <v>594</v>
      </c>
      <c r="Q13" s="8" t="s">
        <v>595</v>
      </c>
      <c r="R13" s="7" t="s">
        <v>537</v>
      </c>
      <c r="S13" s="7">
        <v>467</v>
      </c>
      <c r="U13" s="7" t="str">
        <f t="shared" ca="1" si="0"/>
        <v/>
      </c>
      <c r="V13" s="7" t="str">
        <f t="shared" ca="1" si="1"/>
        <v/>
      </c>
      <c r="AA13" s="7" t="s">
        <v>499</v>
      </c>
      <c r="AE13" s="7" t="s">
        <v>547</v>
      </c>
    </row>
    <row r="14" spans="1:34">
      <c r="A14" s="1" t="s">
        <v>31</v>
      </c>
      <c r="D14" s="1" t="s">
        <v>32</v>
      </c>
      <c r="E14" s="1" t="s">
        <v>33</v>
      </c>
      <c r="F14" s="1" t="s">
        <v>590</v>
      </c>
      <c r="G14" s="1"/>
      <c r="H14" s="1" t="s">
        <v>339</v>
      </c>
      <c r="J14" s="7" t="s">
        <v>548</v>
      </c>
      <c r="Q14" s="8"/>
      <c r="T14" s="7" t="s">
        <v>550</v>
      </c>
      <c r="U14" s="7" t="str">
        <f t="shared" ca="1" si="0"/>
        <v/>
      </c>
      <c r="V14" s="7" t="str">
        <f t="shared" ca="1" si="1"/>
        <v/>
      </c>
      <c r="AA14" s="7" t="s">
        <v>499</v>
      </c>
      <c r="AE14" s="7" t="s">
        <v>540</v>
      </c>
    </row>
    <row r="15" spans="1:34">
      <c r="A15" s="1" t="s">
        <v>34</v>
      </c>
      <c r="D15" s="1" t="s">
        <v>35</v>
      </c>
      <c r="E15" s="1" t="s">
        <v>36</v>
      </c>
      <c r="F15" s="1"/>
      <c r="G15" s="1"/>
      <c r="H15" s="1"/>
      <c r="J15" s="7" t="s">
        <v>548</v>
      </c>
      <c r="Q15" s="8"/>
      <c r="T15" s="7" t="s">
        <v>583</v>
      </c>
      <c r="U15" s="7" t="str">
        <f t="shared" ca="1" si="0"/>
        <v/>
      </c>
      <c r="V15" s="7" t="str">
        <f t="shared" ca="1" si="1"/>
        <v/>
      </c>
      <c r="AA15" s="7" t="s">
        <v>499</v>
      </c>
      <c r="AE15" s="7" t="s">
        <v>540</v>
      </c>
    </row>
    <row r="16" spans="1:34">
      <c r="A16" s="1" t="s">
        <v>34</v>
      </c>
      <c r="D16" s="1" t="s">
        <v>348</v>
      </c>
      <c r="E16" s="1" t="s">
        <v>33</v>
      </c>
      <c r="F16" s="1" t="s">
        <v>590</v>
      </c>
      <c r="G16" s="1"/>
      <c r="H16" s="1" t="s">
        <v>339</v>
      </c>
      <c r="J16" s="7" t="s">
        <v>548</v>
      </c>
      <c r="Q16" s="8"/>
      <c r="R16" s="7" t="s">
        <v>537</v>
      </c>
      <c r="T16" s="7" t="s">
        <v>550</v>
      </c>
      <c r="U16" s="7" t="str">
        <f t="shared" ca="1" si="0"/>
        <v/>
      </c>
      <c r="V16" s="7" t="str">
        <f t="shared" ca="1" si="1"/>
        <v/>
      </c>
      <c r="AA16" s="7" t="s">
        <v>499</v>
      </c>
      <c r="AE16" s="7" t="s">
        <v>540</v>
      </c>
    </row>
    <row r="17" spans="1:34">
      <c r="A17" s="1" t="s">
        <v>34</v>
      </c>
      <c r="D17" s="1" t="s">
        <v>349</v>
      </c>
      <c r="E17" s="1" t="s">
        <v>350</v>
      </c>
      <c r="F17" s="1" t="s">
        <v>590</v>
      </c>
      <c r="G17" s="1"/>
      <c r="H17" s="1" t="s">
        <v>339</v>
      </c>
      <c r="J17" s="7" t="s">
        <v>500</v>
      </c>
      <c r="K17" s="7">
        <v>0</v>
      </c>
      <c r="L17" s="7">
        <v>1</v>
      </c>
      <c r="M17" s="7">
        <v>6</v>
      </c>
      <c r="N17" s="7" t="s">
        <v>535</v>
      </c>
      <c r="O17" s="7" t="s">
        <v>536</v>
      </c>
      <c r="P17" s="7" t="s">
        <v>594</v>
      </c>
      <c r="Q17" s="8" t="s">
        <v>596</v>
      </c>
      <c r="R17" s="7" t="s">
        <v>537</v>
      </c>
      <c r="S17" s="7" t="s">
        <v>583</v>
      </c>
      <c r="U17" s="7" t="str">
        <f t="shared" ca="1" si="0"/>
        <v/>
      </c>
      <c r="V17" s="7" t="str">
        <f t="shared" ca="1" si="1"/>
        <v/>
      </c>
      <c r="AA17" s="7" t="s">
        <v>499</v>
      </c>
      <c r="AE17" s="7" t="s">
        <v>540</v>
      </c>
    </row>
    <row r="18" spans="1:34">
      <c r="A18" s="1" t="s">
        <v>37</v>
      </c>
      <c r="D18" s="1" t="s">
        <v>16</v>
      </c>
      <c r="E18" s="1" t="s">
        <v>38</v>
      </c>
      <c r="F18" s="1"/>
      <c r="G18" s="1"/>
      <c r="H18" s="1"/>
      <c r="J18" s="7" t="s">
        <v>553</v>
      </c>
      <c r="Q18" s="8"/>
      <c r="U18" s="7" t="str">
        <f t="shared" ca="1" si="0"/>
        <v/>
      </c>
      <c r="V18" s="7" t="str">
        <f t="shared" ca="1" si="1"/>
        <v/>
      </c>
      <c r="AA18" s="7" t="s">
        <v>499</v>
      </c>
      <c r="AG18" t="s">
        <v>506</v>
      </c>
    </row>
    <row r="19" spans="1:34">
      <c r="A19" s="1" t="s">
        <v>39</v>
      </c>
      <c r="D19" s="1" t="s">
        <v>40</v>
      </c>
      <c r="E19" s="1" t="s">
        <v>351</v>
      </c>
      <c r="F19" s="1"/>
      <c r="G19" s="1"/>
      <c r="H19" s="1"/>
      <c r="J19" s="7" t="s">
        <v>553</v>
      </c>
      <c r="Q19" s="8"/>
      <c r="U19" s="7" t="str">
        <f t="shared" ca="1" si="0"/>
        <v/>
      </c>
      <c r="V19" s="7" t="str">
        <f t="shared" ca="1" si="1"/>
        <v/>
      </c>
      <c r="AA19" s="7" t="s">
        <v>499</v>
      </c>
      <c r="AG19" t="s">
        <v>506</v>
      </c>
    </row>
    <row r="20" spans="1:34">
      <c r="A20" s="1" t="s">
        <v>41</v>
      </c>
      <c r="D20" s="1" t="s">
        <v>42</v>
      </c>
      <c r="E20" s="1" t="s">
        <v>43</v>
      </c>
      <c r="F20" s="1"/>
      <c r="G20" s="1"/>
      <c r="H20" s="1"/>
      <c r="J20" s="7" t="s">
        <v>548</v>
      </c>
      <c r="Q20" s="8"/>
      <c r="T20" s="7" t="s">
        <v>550</v>
      </c>
      <c r="U20" s="7" t="str">
        <f t="shared" ca="1" si="0"/>
        <v/>
      </c>
      <c r="V20" s="7" t="str">
        <f t="shared" ca="1" si="1"/>
        <v/>
      </c>
      <c r="AA20" s="7" t="s">
        <v>499</v>
      </c>
      <c r="AE20" s="7" t="s">
        <v>552</v>
      </c>
    </row>
    <row r="21" spans="1:34">
      <c r="A21" s="1" t="s">
        <v>44</v>
      </c>
      <c r="D21" s="1" t="s">
        <v>597</v>
      </c>
      <c r="E21" s="1" t="s">
        <v>598</v>
      </c>
      <c r="F21" s="1"/>
      <c r="G21" s="1"/>
      <c r="H21" s="1"/>
      <c r="J21" s="7" t="s">
        <v>553</v>
      </c>
      <c r="Q21" s="8"/>
      <c r="U21" s="7" t="str">
        <f t="shared" ca="1" si="0"/>
        <v/>
      </c>
      <c r="V21" s="7" t="str">
        <f t="shared" ca="1" si="1"/>
        <v/>
      </c>
      <c r="AA21" s="7" t="s">
        <v>499</v>
      </c>
      <c r="AB21" s="7" t="s">
        <v>785</v>
      </c>
      <c r="AD21" s="7" t="s">
        <v>499</v>
      </c>
    </row>
    <row r="22" spans="1:34">
      <c r="A22" s="1" t="s">
        <v>46</v>
      </c>
      <c r="D22" s="1" t="s">
        <v>47</v>
      </c>
      <c r="E22" s="1" t="s">
        <v>48</v>
      </c>
      <c r="F22" s="1"/>
      <c r="G22" s="1"/>
      <c r="H22" s="1"/>
      <c r="J22" s="7" t="s">
        <v>548</v>
      </c>
      <c r="Q22" s="8"/>
      <c r="T22" s="7" t="s">
        <v>583</v>
      </c>
      <c r="U22" s="7" t="str">
        <f t="shared" ca="1" si="0"/>
        <v/>
      </c>
      <c r="V22" s="7" t="str">
        <f t="shared" ca="1" si="1"/>
        <v/>
      </c>
      <c r="AA22" s="7" t="s">
        <v>499</v>
      </c>
      <c r="AE22" s="7" t="s">
        <v>540</v>
      </c>
    </row>
    <row r="23" spans="1:34" ht="29">
      <c r="A23" s="1" t="s">
        <v>49</v>
      </c>
      <c r="D23" s="1" t="s">
        <v>600</v>
      </c>
      <c r="E23" s="1" t="s">
        <v>601</v>
      </c>
      <c r="F23" s="1"/>
      <c r="G23" s="1"/>
      <c r="H23" s="1"/>
      <c r="J23" s="7" t="s">
        <v>553</v>
      </c>
      <c r="Q23" s="8"/>
      <c r="U23" s="7" t="str">
        <f t="shared" ca="1" si="0"/>
        <v/>
      </c>
      <c r="V23" s="7" t="str">
        <f t="shared" ca="1" si="1"/>
        <v/>
      </c>
      <c r="AA23" s="7" t="s">
        <v>499</v>
      </c>
      <c r="AG23" t="s">
        <v>499</v>
      </c>
      <c r="AH23" t="s">
        <v>792</v>
      </c>
    </row>
    <row r="24" spans="1:34" ht="29">
      <c r="A24" s="1" t="s">
        <v>49</v>
      </c>
      <c r="D24" s="1" t="s">
        <v>599</v>
      </c>
      <c r="E24" s="1" t="s">
        <v>602</v>
      </c>
      <c r="F24" s="1" t="s">
        <v>590</v>
      </c>
      <c r="G24" s="1"/>
      <c r="H24" s="1" t="s">
        <v>339</v>
      </c>
      <c r="I24" s="9"/>
      <c r="J24" s="7" t="s">
        <v>500</v>
      </c>
      <c r="K24" s="7">
        <v>0</v>
      </c>
      <c r="L24" s="7">
        <v>2</v>
      </c>
      <c r="M24" s="7">
        <v>7</v>
      </c>
      <c r="O24" s="7" t="s">
        <v>536</v>
      </c>
      <c r="P24" s="7" t="s">
        <v>603</v>
      </c>
      <c r="Q24" s="8" t="s">
        <v>604</v>
      </c>
      <c r="R24" s="7" t="s">
        <v>537</v>
      </c>
      <c r="S24" s="7" t="s">
        <v>550</v>
      </c>
      <c r="U24" s="7" t="str">
        <f t="shared" ca="1" si="0"/>
        <v/>
      </c>
      <c r="V24" s="7" t="str">
        <f t="shared" ca="1" si="1"/>
        <v/>
      </c>
      <c r="AA24" s="7" t="s">
        <v>499</v>
      </c>
      <c r="AE24" s="7" t="s">
        <v>540</v>
      </c>
    </row>
    <row r="25" spans="1:34">
      <c r="A25" s="1" t="s">
        <v>50</v>
      </c>
      <c r="D25" s="1" t="s">
        <v>51</v>
      </c>
      <c r="E25" s="1" t="s">
        <v>52</v>
      </c>
      <c r="F25" s="1"/>
      <c r="G25" s="1"/>
      <c r="H25" s="1"/>
      <c r="J25" s="7" t="s">
        <v>548</v>
      </c>
      <c r="Q25" s="8"/>
      <c r="T25" s="7" t="s">
        <v>550</v>
      </c>
      <c r="U25" s="7" t="str">
        <f t="shared" ca="1" si="0"/>
        <v/>
      </c>
      <c r="V25" s="7" t="str">
        <f t="shared" ca="1" si="1"/>
        <v/>
      </c>
      <c r="AA25" s="7" t="s">
        <v>499</v>
      </c>
      <c r="AE25" s="7" t="s">
        <v>540</v>
      </c>
    </row>
    <row r="26" spans="1:34">
      <c r="A26" s="1" t="s">
        <v>53</v>
      </c>
      <c r="D26" s="1" t="s">
        <v>352</v>
      </c>
      <c r="E26" s="1" t="s">
        <v>353</v>
      </c>
      <c r="F26" s="1" t="s">
        <v>590</v>
      </c>
      <c r="G26" s="1"/>
      <c r="H26" s="1" t="s">
        <v>339</v>
      </c>
      <c r="J26" s="7" t="s">
        <v>548</v>
      </c>
      <c r="Q26" s="8"/>
      <c r="T26" s="7" t="s">
        <v>550</v>
      </c>
      <c r="U26" s="7" t="str">
        <f t="shared" ca="1" si="0"/>
        <v/>
      </c>
      <c r="V26" s="7" t="str">
        <f t="shared" ca="1" si="1"/>
        <v/>
      </c>
      <c r="AA26" s="7" t="s">
        <v>499</v>
      </c>
      <c r="AE26" s="7" t="s">
        <v>540</v>
      </c>
    </row>
    <row r="27" spans="1:34" ht="29">
      <c r="A27" t="s">
        <v>53</v>
      </c>
      <c r="D27" s="10" t="s">
        <v>813</v>
      </c>
      <c r="E27" s="10" t="s">
        <v>814</v>
      </c>
      <c r="I27" t="s">
        <v>815</v>
      </c>
      <c r="J27" s="7" t="s">
        <v>504</v>
      </c>
      <c r="L27" s="7">
        <v>4</v>
      </c>
      <c r="M27" s="7">
        <v>16</v>
      </c>
      <c r="O27" s="7" t="s">
        <v>536</v>
      </c>
      <c r="P27" s="7" t="s">
        <v>594</v>
      </c>
      <c r="Q27" s="8" t="s">
        <v>595</v>
      </c>
      <c r="S27" s="7">
        <v>38</v>
      </c>
      <c r="U27" s="7" t="str">
        <f t="shared" ca="1" si="0"/>
        <v/>
      </c>
      <c r="V27" s="7" t="str">
        <f t="shared" ca="1" si="1"/>
        <v/>
      </c>
      <c r="AA27" s="7" t="s">
        <v>499</v>
      </c>
      <c r="AG27" t="s">
        <v>499</v>
      </c>
    </row>
    <row r="28" spans="1:34">
      <c r="A28" s="1" t="s">
        <v>53</v>
      </c>
      <c r="D28" s="1" t="s">
        <v>54</v>
      </c>
      <c r="E28" s="1" t="s">
        <v>55</v>
      </c>
      <c r="F28" s="1"/>
      <c r="G28" s="1"/>
      <c r="H28" s="1" t="s">
        <v>339</v>
      </c>
      <c r="J28" s="7" t="s">
        <v>548</v>
      </c>
      <c r="Q28" s="8"/>
      <c r="T28" s="7" t="s">
        <v>583</v>
      </c>
      <c r="U28" s="7" t="str">
        <f t="shared" ca="1" si="0"/>
        <v/>
      </c>
      <c r="V28" s="7" t="str">
        <f t="shared" ca="1" si="1"/>
        <v/>
      </c>
      <c r="AA28" s="7" t="s">
        <v>499</v>
      </c>
      <c r="AE28" s="7" t="s">
        <v>540</v>
      </c>
    </row>
    <row r="29" spans="1:34">
      <c r="A29" s="1" t="s">
        <v>56</v>
      </c>
      <c r="D29" s="1" t="s">
        <v>354</v>
      </c>
      <c r="E29" s="1" t="s">
        <v>355</v>
      </c>
      <c r="F29" s="1" t="s">
        <v>590</v>
      </c>
      <c r="G29" s="1"/>
      <c r="H29" s="1" t="s">
        <v>339</v>
      </c>
      <c r="J29" s="7" t="s">
        <v>500</v>
      </c>
      <c r="K29" s="7">
        <v>0</v>
      </c>
      <c r="L29" s="7">
        <v>1</v>
      </c>
      <c r="M29" s="7">
        <v>2</v>
      </c>
      <c r="N29" s="7" t="s">
        <v>541</v>
      </c>
      <c r="O29" s="7" t="s">
        <v>550</v>
      </c>
      <c r="Q29" s="8"/>
      <c r="S29" s="7">
        <v>19277</v>
      </c>
      <c r="U29" s="7" t="str">
        <f t="shared" ca="1" si="0"/>
        <v/>
      </c>
      <c r="V29" s="7" t="str">
        <f t="shared" ca="1" si="1"/>
        <v/>
      </c>
      <c r="AA29" s="7" t="s">
        <v>499</v>
      </c>
      <c r="AE29" s="7" t="s">
        <v>547</v>
      </c>
    </row>
    <row r="30" spans="1:34">
      <c r="A30" s="1" t="s">
        <v>56</v>
      </c>
      <c r="D30" s="1" t="s">
        <v>57</v>
      </c>
      <c r="E30" s="1" t="s">
        <v>58</v>
      </c>
      <c r="F30" s="1"/>
      <c r="G30" s="1"/>
      <c r="H30" s="1" t="s">
        <v>339</v>
      </c>
      <c r="I30" s="9"/>
      <c r="J30" s="7" t="s">
        <v>553</v>
      </c>
      <c r="Q30" s="8"/>
      <c r="U30" s="7" t="str">
        <f t="shared" ca="1" si="0"/>
        <v/>
      </c>
      <c r="V30" s="7" t="str">
        <f t="shared" ca="1" si="1"/>
        <v/>
      </c>
      <c r="AA30" s="7" t="s">
        <v>499</v>
      </c>
      <c r="AG30" t="s">
        <v>506</v>
      </c>
    </row>
    <row r="31" spans="1:34" ht="29">
      <c r="A31" s="1" t="s">
        <v>56</v>
      </c>
      <c r="D31" s="1" t="s">
        <v>356</v>
      </c>
      <c r="E31" s="1" t="s">
        <v>357</v>
      </c>
      <c r="F31" s="1" t="s">
        <v>590</v>
      </c>
      <c r="G31" s="1"/>
      <c r="H31" s="1" t="s">
        <v>339</v>
      </c>
      <c r="J31" s="7" t="s">
        <v>500</v>
      </c>
      <c r="K31" s="7">
        <v>0</v>
      </c>
      <c r="L31" s="7">
        <v>1</v>
      </c>
      <c r="M31" s="7">
        <v>3</v>
      </c>
      <c r="N31" s="7" t="s">
        <v>560</v>
      </c>
      <c r="O31" s="7" t="s">
        <v>536</v>
      </c>
      <c r="P31" s="7" t="s">
        <v>645</v>
      </c>
      <c r="Q31" s="8" t="s">
        <v>646</v>
      </c>
      <c r="R31" s="7" t="s">
        <v>537</v>
      </c>
      <c r="S31" s="7" t="s">
        <v>550</v>
      </c>
      <c r="U31" s="7" t="str">
        <f t="shared" ca="1" si="0"/>
        <v/>
      </c>
      <c r="V31" s="7" t="str">
        <f t="shared" ca="1" si="1"/>
        <v/>
      </c>
      <c r="AA31" s="7" t="s">
        <v>499</v>
      </c>
      <c r="AE31" s="7" t="s">
        <v>540</v>
      </c>
    </row>
    <row r="32" spans="1:34">
      <c r="A32" s="1" t="s">
        <v>56</v>
      </c>
      <c r="D32" s="1" t="s">
        <v>358</v>
      </c>
      <c r="E32" s="1" t="s">
        <v>359</v>
      </c>
      <c r="F32" s="1" t="s">
        <v>590</v>
      </c>
      <c r="G32" s="1"/>
      <c r="H32" s="1" t="s">
        <v>339</v>
      </c>
      <c r="I32" s="9"/>
      <c r="J32" s="7" t="s">
        <v>500</v>
      </c>
      <c r="K32" s="7">
        <v>0</v>
      </c>
      <c r="L32" s="7">
        <v>1</v>
      </c>
      <c r="M32" s="7">
        <v>1</v>
      </c>
      <c r="N32" s="7" t="s">
        <v>535</v>
      </c>
      <c r="O32" s="7" t="s">
        <v>550</v>
      </c>
      <c r="Q32" s="8"/>
      <c r="R32" s="7" t="s">
        <v>537</v>
      </c>
      <c r="S32" s="7">
        <v>7</v>
      </c>
      <c r="U32" s="7" t="str">
        <f t="shared" ca="1" si="0"/>
        <v/>
      </c>
      <c r="V32" s="7" t="str">
        <f t="shared" ca="1" si="1"/>
        <v/>
      </c>
      <c r="AA32" s="7" t="s">
        <v>499</v>
      </c>
    </row>
    <row r="33" spans="1:33" ht="29">
      <c r="A33" s="1" t="s">
        <v>56</v>
      </c>
      <c r="D33" s="1" t="s">
        <v>761</v>
      </c>
      <c r="E33" s="1" t="s">
        <v>762</v>
      </c>
      <c r="F33" s="1"/>
      <c r="G33" s="1"/>
      <c r="H33" s="1"/>
      <c r="I33" t="s">
        <v>763</v>
      </c>
      <c r="J33" s="7" t="s">
        <v>548</v>
      </c>
      <c r="Q33" s="8"/>
      <c r="T33" s="7">
        <f>0-67</f>
        <v>-67</v>
      </c>
      <c r="U33" s="7">
        <f t="shared" ca="1" si="0"/>
        <v>67</v>
      </c>
      <c r="V33" s="7">
        <f t="shared" ca="1" si="1"/>
        <v>0</v>
      </c>
      <c r="W33" s="7" t="s">
        <v>544</v>
      </c>
      <c r="AA33" s="7" t="s">
        <v>499</v>
      </c>
      <c r="AG33" t="s">
        <v>506</v>
      </c>
    </row>
    <row r="34" spans="1:33">
      <c r="A34" s="1" t="s">
        <v>59</v>
      </c>
      <c r="D34" s="1" t="s">
        <v>60</v>
      </c>
      <c r="E34" s="1" t="s">
        <v>61</v>
      </c>
      <c r="F34" s="1"/>
      <c r="G34" s="1"/>
      <c r="H34" s="1"/>
      <c r="J34" s="7" t="s">
        <v>548</v>
      </c>
      <c r="Q34" s="8"/>
      <c r="T34" s="7" t="s">
        <v>550</v>
      </c>
      <c r="U34" s="7" t="str">
        <f t="shared" ca="1" si="0"/>
        <v/>
      </c>
      <c r="V34" s="7" t="str">
        <f t="shared" ca="1" si="1"/>
        <v/>
      </c>
      <c r="AA34" s="7" t="s">
        <v>499</v>
      </c>
      <c r="AE34" s="7" t="s">
        <v>540</v>
      </c>
    </row>
    <row r="35" spans="1:33" ht="29">
      <c r="A35" s="1" t="s">
        <v>62</v>
      </c>
      <c r="D35" s="1" t="s">
        <v>607</v>
      </c>
      <c r="E35" s="1" t="s">
        <v>608</v>
      </c>
      <c r="F35" s="1"/>
      <c r="G35" s="1"/>
      <c r="H35" s="1"/>
      <c r="J35" s="7" t="s">
        <v>504</v>
      </c>
      <c r="K35" s="7">
        <v>0</v>
      </c>
      <c r="L35" s="7">
        <v>1</v>
      </c>
      <c r="M35" s="7">
        <v>3</v>
      </c>
      <c r="N35" s="7" t="s">
        <v>541</v>
      </c>
      <c r="O35" s="7" t="s">
        <v>536</v>
      </c>
      <c r="P35" s="7" t="s">
        <v>594</v>
      </c>
      <c r="Q35" s="8" t="s">
        <v>595</v>
      </c>
      <c r="S35" s="7">
        <v>19277</v>
      </c>
      <c r="U35" s="7" t="str">
        <f t="shared" ca="1" si="0"/>
        <v/>
      </c>
      <c r="V35" s="7" t="str">
        <f t="shared" ca="1" si="1"/>
        <v/>
      </c>
      <c r="AA35" s="7" t="s">
        <v>499</v>
      </c>
      <c r="AG35" t="s">
        <v>506</v>
      </c>
    </row>
    <row r="36" spans="1:33" ht="29">
      <c r="A36" s="1" t="s">
        <v>63</v>
      </c>
      <c r="D36" s="1" t="s">
        <v>609</v>
      </c>
      <c r="E36" s="1" t="s">
        <v>610</v>
      </c>
      <c r="F36" s="1"/>
      <c r="G36" s="1"/>
      <c r="H36" s="1"/>
      <c r="I36" t="s">
        <v>895</v>
      </c>
      <c r="J36" s="7" t="s">
        <v>504</v>
      </c>
      <c r="K36" s="7">
        <v>1</v>
      </c>
      <c r="L36" s="7">
        <v>3</v>
      </c>
      <c r="M36" s="7">
        <v>14</v>
      </c>
      <c r="O36" s="7" t="s">
        <v>536</v>
      </c>
      <c r="P36" s="7" t="s">
        <v>594</v>
      </c>
      <c r="Q36" s="8" t="s">
        <v>595</v>
      </c>
      <c r="S36" s="7">
        <v>1</v>
      </c>
      <c r="U36" s="7" t="str">
        <f t="shared" ca="1" si="0"/>
        <v/>
      </c>
      <c r="V36" s="7" t="str">
        <f t="shared" ca="1" si="1"/>
        <v/>
      </c>
      <c r="AA36" s="7" t="s">
        <v>499</v>
      </c>
      <c r="AG36" t="s">
        <v>506</v>
      </c>
    </row>
    <row r="37" spans="1:33">
      <c r="A37" s="1" t="s">
        <v>63</v>
      </c>
      <c r="D37" s="1" t="s">
        <v>64</v>
      </c>
      <c r="E37" s="1" t="s">
        <v>360</v>
      </c>
      <c r="F37" s="1"/>
      <c r="G37" s="1"/>
      <c r="H37" s="1"/>
      <c r="J37" s="7" t="s">
        <v>548</v>
      </c>
      <c r="Q37" s="8"/>
      <c r="T37" s="7" t="s">
        <v>583</v>
      </c>
      <c r="U37" s="7" t="str">
        <f t="shared" ca="1" si="0"/>
        <v/>
      </c>
      <c r="V37" s="7" t="str">
        <f t="shared" ca="1" si="1"/>
        <v/>
      </c>
      <c r="AA37" s="7" t="s">
        <v>499</v>
      </c>
      <c r="AE37" s="7" t="s">
        <v>540</v>
      </c>
    </row>
    <row r="38" spans="1:33" ht="29">
      <c r="A38" s="1" t="s">
        <v>65</v>
      </c>
      <c r="D38" s="1" t="s">
        <v>361</v>
      </c>
      <c r="E38" s="1" t="s">
        <v>362</v>
      </c>
      <c r="F38" s="1" t="s">
        <v>590</v>
      </c>
      <c r="G38" s="1"/>
      <c r="H38" s="1" t="s">
        <v>339</v>
      </c>
      <c r="J38" s="7" t="s">
        <v>500</v>
      </c>
      <c r="K38" s="7">
        <v>0</v>
      </c>
      <c r="L38" s="7">
        <v>1</v>
      </c>
      <c r="M38" s="7">
        <v>3</v>
      </c>
      <c r="N38" s="7" t="s">
        <v>541</v>
      </c>
      <c r="O38" s="7" t="s">
        <v>536</v>
      </c>
      <c r="P38" s="7" t="s">
        <v>645</v>
      </c>
      <c r="Q38" s="8" t="s">
        <v>646</v>
      </c>
      <c r="R38" s="7" t="s">
        <v>537</v>
      </c>
      <c r="S38" s="7">
        <v>19277</v>
      </c>
      <c r="U38" s="7" t="str">
        <f t="shared" ca="1" si="0"/>
        <v/>
      </c>
      <c r="V38" s="7" t="str">
        <f t="shared" ca="1" si="1"/>
        <v/>
      </c>
      <c r="AA38" s="7" t="s">
        <v>499</v>
      </c>
      <c r="AE38" s="7" t="s">
        <v>547</v>
      </c>
    </row>
    <row r="39" spans="1:33" ht="29">
      <c r="A39" s="1" t="s">
        <v>65</v>
      </c>
      <c r="D39" s="1" t="s">
        <v>647</v>
      </c>
      <c r="E39" s="1" t="s">
        <v>648</v>
      </c>
      <c r="F39" s="1" t="s">
        <v>590</v>
      </c>
      <c r="G39" s="1"/>
      <c r="H39" s="1" t="s">
        <v>339</v>
      </c>
      <c r="J39" s="7" t="s">
        <v>500</v>
      </c>
      <c r="K39" s="7">
        <v>0</v>
      </c>
      <c r="L39" s="7">
        <v>1</v>
      </c>
      <c r="M39" s="7">
        <v>3</v>
      </c>
      <c r="N39" s="7" t="s">
        <v>541</v>
      </c>
      <c r="O39" s="7" t="s">
        <v>536</v>
      </c>
      <c r="P39" s="7" t="s">
        <v>645</v>
      </c>
      <c r="Q39" s="8" t="s">
        <v>649</v>
      </c>
      <c r="R39" s="7" t="s">
        <v>537</v>
      </c>
      <c r="S39" s="7">
        <v>19277</v>
      </c>
      <c r="U39" s="7" t="str">
        <f t="shared" ca="1" si="0"/>
        <v/>
      </c>
      <c r="V39" s="7" t="str">
        <f t="shared" ca="1" si="1"/>
        <v/>
      </c>
      <c r="AA39" s="7" t="s">
        <v>499</v>
      </c>
      <c r="AE39" s="7" t="s">
        <v>547</v>
      </c>
    </row>
    <row r="40" spans="1:33" ht="29">
      <c r="A40" s="1" t="s">
        <v>65</v>
      </c>
      <c r="D40" s="1" t="s">
        <v>363</v>
      </c>
      <c r="E40" s="1" t="s">
        <v>364</v>
      </c>
      <c r="F40" s="1"/>
      <c r="G40" s="1"/>
      <c r="H40" s="1" t="s">
        <v>339</v>
      </c>
      <c r="I40" s="9" t="s">
        <v>783</v>
      </c>
      <c r="J40" s="7" t="s">
        <v>548</v>
      </c>
      <c r="Q40" s="8"/>
      <c r="T40" s="7">
        <f>903-19277</f>
        <v>-18374</v>
      </c>
      <c r="U40" s="7">
        <f t="shared" ca="1" si="0"/>
        <v>19277</v>
      </c>
      <c r="V40" s="7">
        <f t="shared" ca="1" si="1"/>
        <v>903</v>
      </c>
      <c r="AA40" s="7" t="s">
        <v>499</v>
      </c>
      <c r="AE40" s="7" t="s">
        <v>547</v>
      </c>
    </row>
    <row r="41" spans="1:33" ht="29">
      <c r="A41" s="1" t="s">
        <v>65</v>
      </c>
      <c r="D41" s="1" t="s">
        <v>366</v>
      </c>
      <c r="E41" s="1" t="s">
        <v>365</v>
      </c>
      <c r="F41" s="1" t="s">
        <v>590</v>
      </c>
      <c r="G41" s="1"/>
      <c r="H41" s="1" t="s">
        <v>339</v>
      </c>
      <c r="J41" s="7" t="s">
        <v>548</v>
      </c>
      <c r="Q41" s="8"/>
      <c r="R41" s="7" t="s">
        <v>537</v>
      </c>
      <c r="T41" s="7" t="s">
        <v>583</v>
      </c>
      <c r="U41" s="7" t="str">
        <f t="shared" ca="1" si="0"/>
        <v/>
      </c>
      <c r="V41" s="7" t="str">
        <f t="shared" ca="1" si="1"/>
        <v/>
      </c>
      <c r="AA41" s="7" t="s">
        <v>499</v>
      </c>
      <c r="AE41" s="7" t="s">
        <v>540</v>
      </c>
    </row>
    <row r="42" spans="1:33">
      <c r="A42" s="1" t="s">
        <v>65</v>
      </c>
      <c r="D42" s="1" t="s">
        <v>66</v>
      </c>
      <c r="E42" s="1" t="s">
        <v>67</v>
      </c>
      <c r="F42" s="1" t="s">
        <v>590</v>
      </c>
      <c r="G42" s="1"/>
      <c r="H42" s="1" t="s">
        <v>339</v>
      </c>
      <c r="J42" s="7" t="s">
        <v>548</v>
      </c>
      <c r="Q42" s="8"/>
      <c r="R42" s="7" t="s">
        <v>537</v>
      </c>
      <c r="T42" s="7" t="s">
        <v>583</v>
      </c>
      <c r="U42" s="7" t="str">
        <f t="shared" ca="1" si="0"/>
        <v/>
      </c>
      <c r="V42" s="7" t="str">
        <f t="shared" ca="1" si="1"/>
        <v/>
      </c>
      <c r="AA42" s="7" t="s">
        <v>499</v>
      </c>
      <c r="AE42" s="7" t="s">
        <v>540</v>
      </c>
    </row>
    <row r="43" spans="1:33">
      <c r="A43" s="1" t="s">
        <v>65</v>
      </c>
      <c r="D43" s="1" t="s">
        <v>68</v>
      </c>
      <c r="E43" s="1" t="s">
        <v>367</v>
      </c>
      <c r="F43" s="1" t="s">
        <v>590</v>
      </c>
      <c r="G43" s="1"/>
      <c r="H43" s="1" t="s">
        <v>339</v>
      </c>
      <c r="I43" s="9"/>
      <c r="J43" s="7" t="s">
        <v>500</v>
      </c>
      <c r="K43" s="7">
        <v>0</v>
      </c>
      <c r="L43" s="7">
        <v>1</v>
      </c>
      <c r="M43" s="7">
        <v>3</v>
      </c>
      <c r="N43" s="7" t="s">
        <v>560</v>
      </c>
      <c r="O43" s="7" t="s">
        <v>536</v>
      </c>
      <c r="P43" s="7" t="s">
        <v>645</v>
      </c>
      <c r="Q43" s="8" t="s">
        <v>646</v>
      </c>
      <c r="R43" s="7" t="s">
        <v>537</v>
      </c>
      <c r="S43" s="7" t="s">
        <v>550</v>
      </c>
      <c r="U43" s="7" t="str">
        <f t="shared" ca="1" si="0"/>
        <v/>
      </c>
      <c r="V43" s="7" t="str">
        <f t="shared" ca="1" si="1"/>
        <v/>
      </c>
      <c r="AA43" s="7" t="s">
        <v>499</v>
      </c>
      <c r="AE43" s="7" t="s">
        <v>540</v>
      </c>
    </row>
    <row r="44" spans="1:33" ht="116">
      <c r="A44" s="1" t="s">
        <v>65</v>
      </c>
      <c r="D44" s="1" t="s">
        <v>873</v>
      </c>
      <c r="E44" s="1" t="s">
        <v>874</v>
      </c>
      <c r="F44" s="1"/>
      <c r="G44" s="1"/>
      <c r="H44" s="1"/>
      <c r="I44" t="s">
        <v>373</v>
      </c>
      <c r="J44" s="7" t="s">
        <v>504</v>
      </c>
      <c r="K44" s="7">
        <v>4</v>
      </c>
      <c r="L44" s="7">
        <v>13</v>
      </c>
      <c r="M44" s="7">
        <v>75</v>
      </c>
      <c r="O44" s="7" t="s">
        <v>536</v>
      </c>
      <c r="P44" s="7" t="s">
        <v>594</v>
      </c>
      <c r="Q44" s="8" t="s">
        <v>611</v>
      </c>
      <c r="R44" s="7" t="s">
        <v>537</v>
      </c>
      <c r="S44" s="7">
        <v>2</v>
      </c>
      <c r="U44" s="7" t="str">
        <f t="shared" ca="1" si="0"/>
        <v/>
      </c>
      <c r="V44" s="7" t="str">
        <f t="shared" ca="1" si="1"/>
        <v/>
      </c>
      <c r="AA44" s="7" t="s">
        <v>499</v>
      </c>
      <c r="AG44" t="s">
        <v>506</v>
      </c>
    </row>
    <row r="45" spans="1:33" ht="58">
      <c r="A45" s="1" t="s">
        <v>65</v>
      </c>
      <c r="D45" s="1" t="s">
        <v>875</v>
      </c>
      <c r="E45" s="1" t="s">
        <v>877</v>
      </c>
      <c r="F45" s="1"/>
      <c r="G45" s="1"/>
      <c r="H45" s="1"/>
      <c r="I45" t="s">
        <v>896</v>
      </c>
      <c r="J45" s="7" t="s">
        <v>504</v>
      </c>
      <c r="K45" s="7">
        <v>0</v>
      </c>
      <c r="L45" s="7">
        <v>2</v>
      </c>
      <c r="M45" s="7">
        <v>18</v>
      </c>
      <c r="O45" s="7" t="s">
        <v>536</v>
      </c>
      <c r="P45" s="7" t="s">
        <v>594</v>
      </c>
      <c r="Q45" s="8" t="s">
        <v>612</v>
      </c>
      <c r="S45" s="7">
        <v>49</v>
      </c>
      <c r="U45" s="7" t="str">
        <f t="shared" ca="1" si="0"/>
        <v/>
      </c>
      <c r="V45" s="7" t="str">
        <f t="shared" ca="1" si="1"/>
        <v/>
      </c>
      <c r="AA45" s="7" t="s">
        <v>499</v>
      </c>
      <c r="AG45" t="s">
        <v>506</v>
      </c>
    </row>
    <row r="46" spans="1:33" ht="58">
      <c r="A46" s="1" t="s">
        <v>65</v>
      </c>
      <c r="D46" s="1" t="s">
        <v>876</v>
      </c>
      <c r="E46" s="1" t="s">
        <v>877</v>
      </c>
      <c r="F46" s="1"/>
      <c r="G46" s="1"/>
      <c r="H46" s="1"/>
      <c r="I46" t="s">
        <v>897</v>
      </c>
      <c r="J46" s="7" t="s">
        <v>504</v>
      </c>
      <c r="K46" s="7">
        <v>1</v>
      </c>
      <c r="L46" s="7">
        <v>4</v>
      </c>
      <c r="M46" s="7">
        <v>14</v>
      </c>
      <c r="O46" s="7" t="s">
        <v>536</v>
      </c>
      <c r="P46" s="7" t="s">
        <v>594</v>
      </c>
      <c r="Q46" s="8" t="s">
        <v>613</v>
      </c>
      <c r="S46" s="7">
        <v>22</v>
      </c>
      <c r="U46" s="7" t="str">
        <f t="shared" ca="1" si="0"/>
        <v/>
      </c>
      <c r="V46" s="7" t="str">
        <f t="shared" ca="1" si="1"/>
        <v/>
      </c>
      <c r="AA46" s="7" t="s">
        <v>499</v>
      </c>
      <c r="AG46" t="s">
        <v>506</v>
      </c>
    </row>
    <row r="47" spans="1:33">
      <c r="A47" s="1" t="s">
        <v>65</v>
      </c>
      <c r="D47" s="1" t="s">
        <v>368</v>
      </c>
      <c r="E47" s="1" t="s">
        <v>369</v>
      </c>
      <c r="F47" s="1"/>
      <c r="G47" s="1"/>
      <c r="H47" s="1" t="s">
        <v>339</v>
      </c>
      <c r="I47" s="9"/>
      <c r="J47" s="7" t="s">
        <v>553</v>
      </c>
      <c r="Q47" s="8"/>
      <c r="U47" s="7" t="str">
        <f t="shared" ca="1" si="0"/>
        <v/>
      </c>
      <c r="V47" s="7" t="str">
        <f t="shared" ca="1" si="1"/>
        <v/>
      </c>
      <c r="AA47" s="7" t="s">
        <v>499</v>
      </c>
      <c r="AG47" t="s">
        <v>506</v>
      </c>
    </row>
    <row r="48" spans="1:33">
      <c r="A48" s="1" t="s">
        <v>7</v>
      </c>
      <c r="D48" s="1" t="s">
        <v>6</v>
      </c>
      <c r="E48" s="1" t="s">
        <v>5</v>
      </c>
      <c r="F48" s="1"/>
      <c r="G48" s="1"/>
      <c r="H48" s="1"/>
      <c r="J48" s="7" t="s">
        <v>504</v>
      </c>
      <c r="K48" s="7">
        <v>0</v>
      </c>
      <c r="L48" s="7">
        <v>1</v>
      </c>
      <c r="M48" s="7">
        <v>3</v>
      </c>
      <c r="N48" s="7" t="s">
        <v>541</v>
      </c>
      <c r="O48" s="7" t="s">
        <v>542</v>
      </c>
      <c r="Q48" s="8"/>
      <c r="S48" s="7">
        <v>19277</v>
      </c>
      <c r="U48" s="7" t="str">
        <f t="shared" ca="1" si="0"/>
        <v/>
      </c>
      <c r="V48" s="7" t="str">
        <f t="shared" ca="1" si="1"/>
        <v/>
      </c>
      <c r="AA48" s="7" t="s">
        <v>499</v>
      </c>
      <c r="AG48" t="s">
        <v>506</v>
      </c>
    </row>
    <row r="49" spans="1:34" ht="43.5">
      <c r="A49" s="1" t="s">
        <v>7</v>
      </c>
      <c r="D49" s="1" t="s">
        <v>370</v>
      </c>
      <c r="E49" s="1" t="s">
        <v>371</v>
      </c>
      <c r="F49" s="1"/>
      <c r="G49" s="1"/>
      <c r="H49" s="1"/>
      <c r="I49" t="s">
        <v>372</v>
      </c>
      <c r="J49" s="7" t="s">
        <v>504</v>
      </c>
      <c r="K49" s="7">
        <v>0</v>
      </c>
      <c r="L49" s="7">
        <v>3</v>
      </c>
      <c r="M49" s="7">
        <v>19</v>
      </c>
      <c r="O49" s="7" t="s">
        <v>542</v>
      </c>
      <c r="Q49" s="8"/>
      <c r="S49" s="7">
        <v>7</v>
      </c>
      <c r="U49" s="7" t="str">
        <f t="shared" ca="1" si="0"/>
        <v/>
      </c>
      <c r="V49" s="7" t="str">
        <f t="shared" ca="1" si="1"/>
        <v/>
      </c>
      <c r="AA49" s="7" t="s">
        <v>499</v>
      </c>
      <c r="AG49" t="s">
        <v>506</v>
      </c>
    </row>
    <row r="50" spans="1:34" ht="29">
      <c r="A50" s="1" t="s">
        <v>69</v>
      </c>
      <c r="D50" s="1" t="s">
        <v>374</v>
      </c>
      <c r="E50" s="1" t="s">
        <v>375</v>
      </c>
      <c r="F50" s="1"/>
      <c r="G50" s="1"/>
      <c r="H50" s="1" t="s">
        <v>339</v>
      </c>
      <c r="J50" s="7" t="s">
        <v>548</v>
      </c>
      <c r="Q50" s="8"/>
      <c r="T50" s="7" t="s">
        <v>550</v>
      </c>
      <c r="U50" s="7" t="str">
        <f t="shared" ca="1" si="0"/>
        <v/>
      </c>
      <c r="V50" s="7" t="str">
        <f t="shared" ca="1" si="1"/>
        <v/>
      </c>
      <c r="AA50" s="7" t="s">
        <v>499</v>
      </c>
      <c r="AE50" s="7" t="s">
        <v>540</v>
      </c>
    </row>
    <row r="51" spans="1:34" ht="29">
      <c r="A51" s="1" t="s">
        <v>70</v>
      </c>
      <c r="D51" s="10" t="s">
        <v>615</v>
      </c>
      <c r="E51" s="10" t="s">
        <v>616</v>
      </c>
      <c r="F51" s="1" t="s">
        <v>508</v>
      </c>
      <c r="G51" s="1"/>
      <c r="H51" s="1"/>
      <c r="J51" s="7" t="s">
        <v>553</v>
      </c>
      <c r="Q51" s="8"/>
      <c r="U51" s="7" t="str">
        <f t="shared" ca="1" si="0"/>
        <v/>
      </c>
      <c r="V51" s="7" t="str">
        <f t="shared" ca="1" si="1"/>
        <v/>
      </c>
      <c r="AA51" s="7" t="s">
        <v>499</v>
      </c>
      <c r="AE51" s="7" t="s">
        <v>547</v>
      </c>
    </row>
    <row r="52" spans="1:34">
      <c r="A52" s="1" t="s">
        <v>71</v>
      </c>
      <c r="D52" s="1" t="s">
        <v>72</v>
      </c>
      <c r="E52" s="1" t="s">
        <v>376</v>
      </c>
      <c r="F52" s="1"/>
      <c r="G52" s="1"/>
      <c r="H52" s="1" t="s">
        <v>339</v>
      </c>
      <c r="J52" s="7" t="s">
        <v>548</v>
      </c>
      <c r="Q52" s="8"/>
      <c r="T52" s="7" t="s">
        <v>550</v>
      </c>
      <c r="U52" s="7" t="str">
        <f t="shared" ca="1" si="0"/>
        <v/>
      </c>
      <c r="V52" s="7" t="str">
        <f t="shared" ca="1" si="1"/>
        <v/>
      </c>
      <c r="AA52" s="7" t="s">
        <v>499</v>
      </c>
      <c r="AE52" s="7" t="s">
        <v>540</v>
      </c>
    </row>
    <row r="53" spans="1:34">
      <c r="A53" s="1" t="s">
        <v>71</v>
      </c>
      <c r="D53" s="1" t="s">
        <v>377</v>
      </c>
      <c r="E53" s="1" t="s">
        <v>73</v>
      </c>
      <c r="F53" s="1"/>
      <c r="G53" s="1" t="s">
        <v>339</v>
      </c>
      <c r="H53" s="1"/>
      <c r="J53" s="7" t="s">
        <v>548</v>
      </c>
      <c r="Q53" s="8"/>
      <c r="T53" s="7" t="s">
        <v>550</v>
      </c>
      <c r="U53" s="7" t="str">
        <f t="shared" ca="1" si="0"/>
        <v/>
      </c>
      <c r="V53" s="7" t="str">
        <f t="shared" ca="1" si="1"/>
        <v/>
      </c>
      <c r="AA53" s="7" t="s">
        <v>499</v>
      </c>
      <c r="AE53" s="7" t="s">
        <v>552</v>
      </c>
    </row>
    <row r="54" spans="1:34" ht="72.5">
      <c r="A54" s="1" t="s">
        <v>74</v>
      </c>
      <c r="D54" s="1" t="s">
        <v>618</v>
      </c>
      <c r="E54" s="1" t="s">
        <v>617</v>
      </c>
      <c r="F54" s="1"/>
      <c r="G54" s="1"/>
      <c r="H54" s="1"/>
      <c r="I54" t="s">
        <v>644</v>
      </c>
      <c r="J54" s="7" t="s">
        <v>504</v>
      </c>
      <c r="K54" s="7">
        <v>1</v>
      </c>
      <c r="L54" s="7">
        <v>6</v>
      </c>
      <c r="M54" s="7">
        <v>30</v>
      </c>
      <c r="O54" s="7" t="s">
        <v>536</v>
      </c>
      <c r="P54" s="7" t="s">
        <v>642</v>
      </c>
      <c r="Q54" s="8" t="s">
        <v>643</v>
      </c>
      <c r="S54" s="7">
        <v>0</v>
      </c>
      <c r="U54" s="7" t="str">
        <f t="shared" ca="1" si="0"/>
        <v/>
      </c>
      <c r="V54" s="7" t="str">
        <f t="shared" ca="1" si="1"/>
        <v/>
      </c>
      <c r="AA54" s="7" t="s">
        <v>499</v>
      </c>
      <c r="AG54" t="s">
        <v>506</v>
      </c>
    </row>
    <row r="55" spans="1:34">
      <c r="A55" s="1" t="s">
        <v>75</v>
      </c>
      <c r="D55" s="1" t="s">
        <v>76</v>
      </c>
      <c r="E55" s="1" t="s">
        <v>378</v>
      </c>
      <c r="F55" s="1"/>
      <c r="G55" s="1"/>
      <c r="H55" s="1"/>
      <c r="J55" s="7" t="s">
        <v>548</v>
      </c>
      <c r="Q55" s="8"/>
      <c r="T55" s="7" t="s">
        <v>583</v>
      </c>
      <c r="U55" s="7" t="str">
        <f t="shared" ca="1" si="0"/>
        <v/>
      </c>
      <c r="V55" s="7" t="str">
        <f t="shared" ca="1" si="1"/>
        <v/>
      </c>
      <c r="AA55" s="7" t="s">
        <v>499</v>
      </c>
      <c r="AE55" s="7" t="s">
        <v>540</v>
      </c>
    </row>
    <row r="56" spans="1:34">
      <c r="A56" s="1" t="s">
        <v>77</v>
      </c>
      <c r="D56" s="1" t="s">
        <v>379</v>
      </c>
      <c r="E56" s="1" t="s">
        <v>380</v>
      </c>
      <c r="F56" s="1" t="s">
        <v>567</v>
      </c>
      <c r="G56" s="1"/>
      <c r="H56" s="1"/>
      <c r="Q56" s="8"/>
      <c r="U56" s="7" t="str">
        <f t="shared" ca="1" si="0"/>
        <v/>
      </c>
      <c r="V56" s="7" t="str">
        <f t="shared" ca="1" si="1"/>
        <v/>
      </c>
    </row>
    <row r="57" spans="1:34" ht="58">
      <c r="A57" s="1" t="s">
        <v>78</v>
      </c>
      <c r="D57" s="1" t="s">
        <v>381</v>
      </c>
      <c r="E57" s="1" t="s">
        <v>382</v>
      </c>
      <c r="F57" s="1" t="s">
        <v>498</v>
      </c>
      <c r="G57" s="1"/>
      <c r="H57" s="1"/>
      <c r="Q57" s="8"/>
      <c r="U57" s="7" t="str">
        <f t="shared" ca="1" si="0"/>
        <v/>
      </c>
      <c r="V57" s="7" t="str">
        <f t="shared" ca="1" si="1"/>
        <v/>
      </c>
    </row>
    <row r="58" spans="1:34">
      <c r="A58" s="1" t="s">
        <v>79</v>
      </c>
      <c r="D58" s="1" t="s">
        <v>383</v>
      </c>
      <c r="E58" s="1" t="s">
        <v>384</v>
      </c>
      <c r="F58" s="1" t="s">
        <v>498</v>
      </c>
      <c r="G58" s="1"/>
      <c r="H58" s="1"/>
      <c r="Q58" s="8"/>
      <c r="U58" s="7" t="str">
        <f t="shared" ca="1" si="0"/>
        <v/>
      </c>
      <c r="V58" s="7" t="str">
        <f t="shared" ca="1" si="1"/>
        <v/>
      </c>
    </row>
    <row r="59" spans="1:34">
      <c r="A59" s="1" t="s">
        <v>80</v>
      </c>
      <c r="D59" s="1" t="s">
        <v>385</v>
      </c>
      <c r="E59" s="1" t="s">
        <v>386</v>
      </c>
      <c r="F59" s="1"/>
      <c r="G59" s="1"/>
      <c r="H59" s="1"/>
      <c r="J59" s="7" t="s">
        <v>504</v>
      </c>
      <c r="K59" s="7">
        <v>0</v>
      </c>
      <c r="L59" s="7">
        <v>1</v>
      </c>
      <c r="M59" s="7">
        <v>2</v>
      </c>
      <c r="N59" s="7" t="s">
        <v>541</v>
      </c>
      <c r="O59" s="7" t="s">
        <v>550</v>
      </c>
      <c r="Q59" s="8"/>
      <c r="S59" s="7">
        <v>19277</v>
      </c>
      <c r="U59" s="7" t="str">
        <f t="shared" ca="1" si="0"/>
        <v/>
      </c>
      <c r="V59" s="7" t="str">
        <f t="shared" ca="1" si="1"/>
        <v/>
      </c>
      <c r="AA59" s="7" t="s">
        <v>499</v>
      </c>
      <c r="AG59" t="s">
        <v>506</v>
      </c>
    </row>
    <row r="60" spans="1:34">
      <c r="A60" s="1" t="s">
        <v>81</v>
      </c>
      <c r="D60" s="1" t="s">
        <v>82</v>
      </c>
      <c r="E60" s="1" t="s">
        <v>83</v>
      </c>
      <c r="F60" s="1"/>
      <c r="G60" s="1"/>
      <c r="H60" s="1"/>
      <c r="J60" s="7" t="s">
        <v>548</v>
      </c>
      <c r="Q60" s="8"/>
      <c r="T60" s="7">
        <f>133-66</f>
        <v>67</v>
      </c>
      <c r="U60" s="7">
        <f t="shared" ref="U60:U122" ca="1" si="2">IF(ISNUMBER(T60),VALUE(MID(_xlfn.FORMULATEXT(T60),SEARCH("-",_xlfn.FORMULATEXT(T60))+1,LEN(_xlfn.FORMULATEXT(T60))-SEARCH("-",_xlfn.FORMULATEXT(T60)))), "")</f>
        <v>66</v>
      </c>
      <c r="V60" s="7">
        <f t="shared" ref="V60:V122" ca="1" si="3">IF(ISNUMBER(T60), VALUE(MID(_xlfn.FORMULATEXT(T60), 2, SEARCH("-", _xlfn.FORMULATEXT(T60)) - 2)), "")</f>
        <v>133</v>
      </c>
      <c r="AA60" s="7" t="s">
        <v>499</v>
      </c>
      <c r="AG60" t="s">
        <v>506</v>
      </c>
    </row>
    <row r="61" spans="1:34">
      <c r="A61" s="1" t="s">
        <v>84</v>
      </c>
      <c r="D61" s="1" t="s">
        <v>85</v>
      </c>
      <c r="E61" s="1" t="s">
        <v>86</v>
      </c>
      <c r="F61" s="1"/>
      <c r="G61" s="1"/>
      <c r="H61" s="1"/>
      <c r="J61" s="7" t="s">
        <v>553</v>
      </c>
      <c r="Q61" s="8"/>
      <c r="U61" s="7" t="str">
        <f t="shared" ca="1" si="2"/>
        <v/>
      </c>
      <c r="V61" s="7" t="str">
        <f t="shared" ca="1" si="3"/>
        <v/>
      </c>
      <c r="AA61" s="7" t="s">
        <v>499</v>
      </c>
      <c r="AB61" s="7" t="s">
        <v>546</v>
      </c>
      <c r="AD61" s="7" t="s">
        <v>499</v>
      </c>
    </row>
    <row r="62" spans="1:34">
      <c r="A62" s="1" t="s">
        <v>84</v>
      </c>
      <c r="D62" s="1" t="s">
        <v>619</v>
      </c>
      <c r="E62" s="1" t="s">
        <v>620</v>
      </c>
      <c r="F62" s="1"/>
      <c r="G62" s="1"/>
      <c r="H62" s="1" t="s">
        <v>339</v>
      </c>
      <c r="I62" s="9" t="s">
        <v>764</v>
      </c>
      <c r="J62" s="7" t="s">
        <v>500</v>
      </c>
      <c r="K62" s="7">
        <v>0</v>
      </c>
      <c r="L62" s="7">
        <v>1</v>
      </c>
      <c r="M62" s="7">
        <v>1</v>
      </c>
      <c r="N62" s="7" t="s">
        <v>541</v>
      </c>
      <c r="O62" s="7" t="s">
        <v>550</v>
      </c>
      <c r="Q62" s="8"/>
      <c r="S62" s="7">
        <v>19277</v>
      </c>
      <c r="U62" s="7" t="str">
        <f t="shared" ca="1" si="2"/>
        <v/>
      </c>
      <c r="V62" s="7" t="str">
        <f t="shared" ca="1" si="3"/>
        <v/>
      </c>
      <c r="W62" s="7" t="s">
        <v>544</v>
      </c>
      <c r="AA62" s="7" t="s">
        <v>499</v>
      </c>
      <c r="AG62" t="s">
        <v>506</v>
      </c>
    </row>
    <row r="63" spans="1:34">
      <c r="A63" s="1" t="s">
        <v>87</v>
      </c>
      <c r="D63" s="1" t="s">
        <v>88</v>
      </c>
      <c r="E63" s="1" t="s">
        <v>89</v>
      </c>
      <c r="F63" s="1"/>
      <c r="G63" s="1"/>
      <c r="H63" s="1"/>
      <c r="J63" s="7" t="s">
        <v>548</v>
      </c>
      <c r="Q63" s="8"/>
      <c r="T63" s="7">
        <f>75-4</f>
        <v>71</v>
      </c>
      <c r="U63" s="7">
        <f t="shared" ca="1" si="2"/>
        <v>4</v>
      </c>
      <c r="V63" s="7">
        <f t="shared" ca="1" si="3"/>
        <v>75</v>
      </c>
      <c r="AA63" s="7" t="s">
        <v>499</v>
      </c>
      <c r="AG63" t="s">
        <v>499</v>
      </c>
      <c r="AH63" t="s">
        <v>793</v>
      </c>
    </row>
    <row r="64" spans="1:34" ht="29">
      <c r="A64" s="1" t="s">
        <v>90</v>
      </c>
      <c r="D64" s="1" t="s">
        <v>387</v>
      </c>
      <c r="E64" s="1" t="s">
        <v>388</v>
      </c>
      <c r="F64" s="1"/>
      <c r="G64" s="1"/>
      <c r="H64" s="1" t="s">
        <v>339</v>
      </c>
      <c r="J64" s="7" t="s">
        <v>500</v>
      </c>
      <c r="K64" s="7">
        <v>0</v>
      </c>
      <c r="L64" s="7">
        <v>1</v>
      </c>
      <c r="M64" s="7">
        <v>2</v>
      </c>
      <c r="N64" s="7" t="s">
        <v>568</v>
      </c>
      <c r="O64" s="7" t="s">
        <v>550</v>
      </c>
      <c r="Q64" s="8"/>
      <c r="R64" s="7" t="s">
        <v>543</v>
      </c>
      <c r="S64" s="7" t="s">
        <v>550</v>
      </c>
      <c r="U64" s="7" t="str">
        <f t="shared" ca="1" si="2"/>
        <v/>
      </c>
      <c r="V64" s="7" t="str">
        <f t="shared" ca="1" si="3"/>
        <v/>
      </c>
      <c r="AA64" s="7" t="s">
        <v>499</v>
      </c>
      <c r="AE64" s="7" t="s">
        <v>540</v>
      </c>
    </row>
    <row r="65" spans="1:33">
      <c r="A65" s="1" t="s">
        <v>91</v>
      </c>
      <c r="D65" s="1" t="s">
        <v>621</v>
      </c>
      <c r="E65" s="1" t="s">
        <v>622</v>
      </c>
      <c r="F65" s="1"/>
      <c r="G65" s="1"/>
      <c r="H65" s="1"/>
      <c r="J65" s="7" t="s">
        <v>553</v>
      </c>
      <c r="Q65" s="8"/>
      <c r="U65" s="7" t="str">
        <f t="shared" ca="1" si="2"/>
        <v/>
      </c>
      <c r="V65" s="7" t="str">
        <f t="shared" ca="1" si="3"/>
        <v/>
      </c>
      <c r="AA65" s="7" t="s">
        <v>499</v>
      </c>
      <c r="AE65" s="7" t="s">
        <v>547</v>
      </c>
    </row>
    <row r="66" spans="1:33">
      <c r="A66" s="1" t="s">
        <v>92</v>
      </c>
      <c r="D66" s="1" t="s">
        <v>93</v>
      </c>
      <c r="E66" s="1" t="s">
        <v>94</v>
      </c>
      <c r="F66" s="1"/>
      <c r="G66" s="1"/>
      <c r="H66" s="1"/>
      <c r="J66" s="7" t="s">
        <v>553</v>
      </c>
      <c r="Q66" s="8"/>
      <c r="U66" s="7" t="str">
        <f t="shared" ca="1" si="2"/>
        <v/>
      </c>
      <c r="V66" s="7" t="str">
        <f t="shared" ca="1" si="3"/>
        <v/>
      </c>
      <c r="AA66" s="7" t="s">
        <v>499</v>
      </c>
      <c r="AC66" s="7" t="s">
        <v>623</v>
      </c>
      <c r="AD66" s="7" t="s">
        <v>499</v>
      </c>
    </row>
    <row r="67" spans="1:33">
      <c r="A67" s="1" t="s">
        <v>95</v>
      </c>
      <c r="D67" s="1" t="s">
        <v>621</v>
      </c>
      <c r="E67" s="1" t="s">
        <v>624</v>
      </c>
      <c r="F67" s="1"/>
      <c r="G67" s="1"/>
      <c r="H67" s="1"/>
      <c r="J67" s="7" t="s">
        <v>548</v>
      </c>
      <c r="Q67" s="8"/>
      <c r="T67" s="7" t="s">
        <v>550</v>
      </c>
      <c r="U67" s="7" t="str">
        <f t="shared" ca="1" si="2"/>
        <v/>
      </c>
      <c r="V67" s="7" t="str">
        <f t="shared" ca="1" si="3"/>
        <v/>
      </c>
      <c r="AA67" s="7" t="s">
        <v>499</v>
      </c>
      <c r="AE67" s="7" t="s">
        <v>540</v>
      </c>
    </row>
    <row r="68" spans="1:33">
      <c r="A68" s="1" t="s">
        <v>96</v>
      </c>
      <c r="D68" s="1" t="s">
        <v>391</v>
      </c>
      <c r="E68" s="1" t="s">
        <v>390</v>
      </c>
      <c r="F68" s="1"/>
      <c r="G68" s="1"/>
      <c r="H68" s="1"/>
      <c r="J68" s="7" t="s">
        <v>504</v>
      </c>
      <c r="K68" s="7">
        <v>0</v>
      </c>
      <c r="L68" s="7">
        <v>1</v>
      </c>
      <c r="M68" s="7">
        <v>2</v>
      </c>
      <c r="N68" s="7" t="s">
        <v>568</v>
      </c>
      <c r="O68" s="7" t="s">
        <v>550</v>
      </c>
      <c r="Q68" s="8"/>
      <c r="R68" s="7" t="s">
        <v>537</v>
      </c>
      <c r="S68" s="7">
        <v>273</v>
      </c>
      <c r="U68" s="7" t="str">
        <f t="shared" ca="1" si="2"/>
        <v/>
      </c>
      <c r="V68" s="7" t="str">
        <f t="shared" ca="1" si="3"/>
        <v/>
      </c>
      <c r="AA68" s="7" t="s">
        <v>499</v>
      </c>
      <c r="AG68" t="s">
        <v>499</v>
      </c>
    </row>
    <row r="69" spans="1:33">
      <c r="A69" s="1" t="s">
        <v>96</v>
      </c>
      <c r="D69" s="1" t="s">
        <v>389</v>
      </c>
      <c r="E69" s="1" t="s">
        <v>392</v>
      </c>
      <c r="F69" s="1" t="s">
        <v>590</v>
      </c>
      <c r="G69" s="1"/>
      <c r="H69" s="1" t="s">
        <v>339</v>
      </c>
      <c r="I69" s="9"/>
      <c r="J69" s="7" t="s">
        <v>548</v>
      </c>
      <c r="Q69" s="8"/>
      <c r="R69" s="7" t="s">
        <v>537</v>
      </c>
      <c r="T69" s="7" t="s">
        <v>550</v>
      </c>
      <c r="U69" s="7" t="str">
        <f t="shared" ca="1" si="2"/>
        <v/>
      </c>
      <c r="V69" s="7" t="str">
        <f t="shared" ca="1" si="3"/>
        <v/>
      </c>
      <c r="AA69" s="7" t="s">
        <v>499</v>
      </c>
      <c r="AC69" s="7" t="s">
        <v>784</v>
      </c>
      <c r="AD69" s="7" t="s">
        <v>499</v>
      </c>
      <c r="AE69" s="7" t="s">
        <v>540</v>
      </c>
    </row>
    <row r="70" spans="1:33" ht="29">
      <c r="A70" s="1" t="s">
        <v>97</v>
      </c>
      <c r="D70" s="1" t="s">
        <v>394</v>
      </c>
      <c r="E70" s="1" t="s">
        <v>393</v>
      </c>
      <c r="F70" s="1"/>
      <c r="G70" s="1"/>
      <c r="H70" s="1" t="s">
        <v>339</v>
      </c>
      <c r="J70" s="7" t="s">
        <v>500</v>
      </c>
      <c r="K70" s="7">
        <v>0</v>
      </c>
      <c r="L70" s="7">
        <v>1</v>
      </c>
      <c r="M70" s="7">
        <v>2</v>
      </c>
      <c r="N70" s="7" t="s">
        <v>568</v>
      </c>
      <c r="O70" s="7" t="s">
        <v>550</v>
      </c>
      <c r="Q70" s="8"/>
      <c r="R70" s="7" t="s">
        <v>543</v>
      </c>
      <c r="S70" s="7" t="s">
        <v>550</v>
      </c>
      <c r="U70" s="7" t="str">
        <f t="shared" ca="1" si="2"/>
        <v/>
      </c>
      <c r="V70" s="7" t="str">
        <f t="shared" ca="1" si="3"/>
        <v/>
      </c>
      <c r="AA70" s="7" t="s">
        <v>499</v>
      </c>
      <c r="AE70" s="7" t="s">
        <v>540</v>
      </c>
    </row>
    <row r="71" spans="1:33">
      <c r="A71" s="1" t="s">
        <v>98</v>
      </c>
      <c r="D71" s="1" t="s">
        <v>99</v>
      </c>
      <c r="E71" s="1" t="s">
        <v>395</v>
      </c>
      <c r="F71" s="1"/>
      <c r="G71" s="1"/>
      <c r="H71" s="1" t="s">
        <v>339</v>
      </c>
      <c r="I71" s="9"/>
      <c r="J71" s="7" t="s">
        <v>548</v>
      </c>
      <c r="Q71" s="8"/>
      <c r="T71" s="7" t="s">
        <v>550</v>
      </c>
      <c r="U71" s="7" t="str">
        <f t="shared" ca="1" si="2"/>
        <v/>
      </c>
      <c r="V71" s="7" t="str">
        <f t="shared" ca="1" si="3"/>
        <v/>
      </c>
      <c r="AA71" s="7" t="s">
        <v>499</v>
      </c>
      <c r="AC71" s="7" t="s">
        <v>784</v>
      </c>
      <c r="AD71" s="7" t="s">
        <v>499</v>
      </c>
      <c r="AE71" s="7" t="s">
        <v>540</v>
      </c>
    </row>
    <row r="72" spans="1:33" ht="29">
      <c r="A72" s="1" t="s">
        <v>98</v>
      </c>
      <c r="D72" s="1" t="s">
        <v>765</v>
      </c>
      <c r="E72" s="1" t="s">
        <v>766</v>
      </c>
      <c r="F72" s="1"/>
      <c r="G72" s="1"/>
      <c r="H72" s="1"/>
      <c r="J72" s="7" t="s">
        <v>553</v>
      </c>
      <c r="Q72" s="8"/>
      <c r="U72" s="7" t="str">
        <f t="shared" ca="1" si="2"/>
        <v/>
      </c>
      <c r="V72" s="7" t="str">
        <f t="shared" ca="1" si="3"/>
        <v/>
      </c>
      <c r="W72" s="7" t="s">
        <v>544</v>
      </c>
      <c r="AA72" s="7" t="s">
        <v>499</v>
      </c>
      <c r="AG72" t="s">
        <v>499</v>
      </c>
    </row>
    <row r="73" spans="1:33">
      <c r="A73" s="1" t="s">
        <v>102</v>
      </c>
      <c r="D73" s="1" t="s">
        <v>103</v>
      </c>
      <c r="E73" s="1" t="s">
        <v>104</v>
      </c>
      <c r="F73" s="1" t="s">
        <v>498</v>
      </c>
      <c r="G73" s="1" t="s">
        <v>339</v>
      </c>
      <c r="H73" s="1"/>
      <c r="I73" t="s">
        <v>336</v>
      </c>
      <c r="Q73" s="8"/>
      <c r="U73" s="7" t="str">
        <f t="shared" ca="1" si="2"/>
        <v/>
      </c>
      <c r="V73" s="7" t="str">
        <f t="shared" ca="1" si="3"/>
        <v/>
      </c>
      <c r="AA73" s="7" t="s">
        <v>614</v>
      </c>
    </row>
    <row r="74" spans="1:33">
      <c r="A74" s="1" t="s">
        <v>105</v>
      </c>
      <c r="D74" s="1" t="s">
        <v>106</v>
      </c>
      <c r="E74" s="1" t="s">
        <v>107</v>
      </c>
      <c r="F74" s="1" t="s">
        <v>590</v>
      </c>
      <c r="G74" s="1"/>
      <c r="H74" s="1" t="s">
        <v>339</v>
      </c>
      <c r="J74" s="7" t="s">
        <v>548</v>
      </c>
      <c r="Q74" s="8"/>
      <c r="T74" s="7" t="s">
        <v>550</v>
      </c>
      <c r="U74" s="7" t="str">
        <f t="shared" ca="1" si="2"/>
        <v/>
      </c>
      <c r="V74" s="7" t="str">
        <f t="shared" ca="1" si="3"/>
        <v/>
      </c>
      <c r="AA74" s="7" t="s">
        <v>499</v>
      </c>
      <c r="AE74" s="7" t="s">
        <v>540</v>
      </c>
    </row>
    <row r="75" spans="1:33">
      <c r="A75" s="1" t="s">
        <v>105</v>
      </c>
      <c r="D75" s="1" t="s">
        <v>108</v>
      </c>
      <c r="E75" s="1" t="s">
        <v>109</v>
      </c>
      <c r="F75" s="1"/>
      <c r="G75" s="1"/>
      <c r="H75" s="1"/>
      <c r="J75" s="7" t="s">
        <v>553</v>
      </c>
      <c r="Q75" s="8"/>
      <c r="U75" s="7" t="str">
        <f t="shared" ca="1" si="2"/>
        <v/>
      </c>
      <c r="V75" s="7" t="str">
        <f t="shared" ca="1" si="3"/>
        <v/>
      </c>
      <c r="AA75" s="7" t="s">
        <v>499</v>
      </c>
      <c r="AG75" t="s">
        <v>506</v>
      </c>
    </row>
    <row r="76" spans="1:33" ht="29">
      <c r="A76" s="1" t="s">
        <v>110</v>
      </c>
      <c r="D76" s="1" t="s">
        <v>625</v>
      </c>
      <c r="E76" s="1" t="s">
        <v>626</v>
      </c>
      <c r="F76" s="1"/>
      <c r="G76" s="1"/>
      <c r="H76" s="1"/>
      <c r="J76" s="7" t="s">
        <v>553</v>
      </c>
      <c r="Q76" s="8"/>
      <c r="U76" s="7" t="str">
        <f t="shared" ca="1" si="2"/>
        <v/>
      </c>
      <c r="V76" s="7" t="str">
        <f t="shared" ca="1" si="3"/>
        <v/>
      </c>
      <c r="AA76" s="7" t="s">
        <v>499</v>
      </c>
      <c r="AG76" t="s">
        <v>506</v>
      </c>
    </row>
    <row r="77" spans="1:33">
      <c r="A77" s="1" t="s">
        <v>110</v>
      </c>
      <c r="D77" s="1" t="s">
        <v>100</v>
      </c>
      <c r="E77" s="1" t="s">
        <v>101</v>
      </c>
      <c r="F77" s="1"/>
      <c r="G77" s="1"/>
      <c r="H77" s="1"/>
      <c r="J77" s="7" t="s">
        <v>553</v>
      </c>
      <c r="Q77" s="8"/>
      <c r="U77" s="7" t="str">
        <f t="shared" ca="1" si="2"/>
        <v/>
      </c>
      <c r="V77" s="7" t="str">
        <f t="shared" ca="1" si="3"/>
        <v/>
      </c>
      <c r="AA77" s="7" t="s">
        <v>499</v>
      </c>
      <c r="AG77" t="s">
        <v>499</v>
      </c>
    </row>
    <row r="78" spans="1:33">
      <c r="A78" s="1" t="s">
        <v>111</v>
      </c>
      <c r="D78" s="1" t="s">
        <v>396</v>
      </c>
      <c r="E78" s="1" t="s">
        <v>397</v>
      </c>
      <c r="F78" s="1"/>
      <c r="G78" s="1" t="s">
        <v>499</v>
      </c>
      <c r="H78" s="1"/>
      <c r="J78" s="7" t="s">
        <v>553</v>
      </c>
      <c r="Q78" s="8"/>
      <c r="U78" s="7" t="str">
        <f t="shared" ca="1" si="2"/>
        <v/>
      </c>
      <c r="V78" s="7" t="str">
        <f t="shared" ca="1" si="3"/>
        <v/>
      </c>
      <c r="AA78" s="7" t="s">
        <v>499</v>
      </c>
      <c r="AC78" s="7" t="s">
        <v>786</v>
      </c>
      <c r="AD78" s="7" t="s">
        <v>499</v>
      </c>
      <c r="AE78" s="7" t="s">
        <v>556</v>
      </c>
    </row>
    <row r="79" spans="1:33">
      <c r="A79" s="1" t="s">
        <v>112</v>
      </c>
      <c r="D79" s="1" t="s">
        <v>113</v>
      </c>
      <c r="E79" s="1" t="s">
        <v>114</v>
      </c>
      <c r="F79" s="1"/>
      <c r="G79" s="1"/>
      <c r="H79" s="1"/>
      <c r="J79" s="7" t="s">
        <v>548</v>
      </c>
      <c r="Q79" s="8"/>
      <c r="T79" s="7" t="s">
        <v>550</v>
      </c>
      <c r="U79" s="7" t="str">
        <f t="shared" ca="1" si="2"/>
        <v/>
      </c>
      <c r="V79" s="7" t="str">
        <f t="shared" ca="1" si="3"/>
        <v/>
      </c>
      <c r="AA79" s="7" t="s">
        <v>499</v>
      </c>
      <c r="AE79" s="7" t="s">
        <v>540</v>
      </c>
    </row>
    <row r="80" spans="1:33">
      <c r="A80" s="1" t="s">
        <v>115</v>
      </c>
      <c r="D80" s="1" t="s">
        <v>116</v>
      </c>
      <c r="E80" s="1" t="s">
        <v>117</v>
      </c>
      <c r="F80" s="1"/>
      <c r="G80" s="1"/>
      <c r="H80" s="1"/>
      <c r="J80" s="7" t="s">
        <v>553</v>
      </c>
      <c r="Q80" s="8"/>
      <c r="U80" s="7" t="str">
        <f t="shared" ca="1" si="2"/>
        <v/>
      </c>
      <c r="V80" s="7" t="str">
        <f t="shared" ca="1" si="3"/>
        <v/>
      </c>
      <c r="AA80" s="7" t="s">
        <v>499</v>
      </c>
      <c r="AE80" s="7" t="s">
        <v>552</v>
      </c>
    </row>
    <row r="81" spans="1:33" ht="29">
      <c r="A81" s="1" t="s">
        <v>118</v>
      </c>
      <c r="D81" s="1" t="s">
        <v>767</v>
      </c>
      <c r="E81" s="1" t="s">
        <v>768</v>
      </c>
      <c r="F81" s="1"/>
      <c r="G81" s="1"/>
      <c r="H81" s="1" t="s">
        <v>339</v>
      </c>
      <c r="I81" s="9"/>
      <c r="J81" s="7" t="s">
        <v>553</v>
      </c>
      <c r="Q81" s="8"/>
      <c r="U81" s="7" t="str">
        <f t="shared" ca="1" si="2"/>
        <v/>
      </c>
      <c r="V81" s="7" t="str">
        <f t="shared" ca="1" si="3"/>
        <v/>
      </c>
      <c r="AA81" s="7" t="s">
        <v>499</v>
      </c>
      <c r="AG81" t="s">
        <v>506</v>
      </c>
    </row>
    <row r="82" spans="1:33">
      <c r="A82" s="1" t="s">
        <v>119</v>
      </c>
      <c r="D82" s="1" t="s">
        <v>398</v>
      </c>
      <c r="E82" s="1" t="s">
        <v>399</v>
      </c>
      <c r="F82" s="1"/>
      <c r="G82" s="1"/>
      <c r="H82" s="1"/>
      <c r="J82" s="7" t="s">
        <v>504</v>
      </c>
      <c r="K82" s="7">
        <v>0</v>
      </c>
      <c r="L82" s="7">
        <v>1</v>
      </c>
      <c r="M82" s="7">
        <v>3</v>
      </c>
      <c r="N82" s="7" t="s">
        <v>541</v>
      </c>
      <c r="O82" s="7" t="s">
        <v>550</v>
      </c>
      <c r="Q82" s="8"/>
      <c r="S82" s="7">
        <v>19277</v>
      </c>
      <c r="U82" s="7" t="str">
        <f t="shared" ca="1" si="2"/>
        <v/>
      </c>
      <c r="V82" s="7" t="str">
        <f t="shared" ca="1" si="3"/>
        <v/>
      </c>
      <c r="AA82" s="7" t="s">
        <v>499</v>
      </c>
      <c r="AG82" t="s">
        <v>506</v>
      </c>
    </row>
    <row r="83" spans="1:33">
      <c r="A83" s="1" t="s">
        <v>120</v>
      </c>
      <c r="D83" s="1" t="s">
        <v>400</v>
      </c>
      <c r="E83" s="1" t="s">
        <v>401</v>
      </c>
      <c r="F83" s="1"/>
      <c r="G83" s="1"/>
      <c r="H83" s="1" t="s">
        <v>339</v>
      </c>
      <c r="I83" s="9"/>
      <c r="J83" s="7" t="s">
        <v>553</v>
      </c>
      <c r="Q83" s="8"/>
      <c r="U83" s="7" t="str">
        <f t="shared" ca="1" si="2"/>
        <v/>
      </c>
      <c r="V83" s="7" t="str">
        <f t="shared" ca="1" si="3"/>
        <v/>
      </c>
      <c r="AA83" s="7" t="s">
        <v>499</v>
      </c>
      <c r="AB83" s="7" t="s">
        <v>785</v>
      </c>
      <c r="AD83" s="7" t="s">
        <v>499</v>
      </c>
    </row>
    <row r="84" spans="1:33" ht="29">
      <c r="A84" s="1" t="s">
        <v>121</v>
      </c>
      <c r="D84" s="1" t="s">
        <v>122</v>
      </c>
      <c r="E84" s="1" t="s">
        <v>123</v>
      </c>
      <c r="F84" s="1"/>
      <c r="G84" s="1" t="s">
        <v>502</v>
      </c>
      <c r="H84" s="1"/>
      <c r="I84" t="s">
        <v>402</v>
      </c>
      <c r="J84" s="7" t="s">
        <v>557</v>
      </c>
      <c r="Q84" s="8"/>
      <c r="T84" s="7">
        <f>18-116</f>
        <v>-98</v>
      </c>
      <c r="U84" s="7">
        <f t="shared" ca="1" si="2"/>
        <v>116</v>
      </c>
      <c r="V84" s="7">
        <f t="shared" ca="1" si="3"/>
        <v>18</v>
      </c>
      <c r="AA84" s="7" t="s">
        <v>499</v>
      </c>
    </row>
    <row r="85" spans="1:33" ht="29">
      <c r="A85" s="1" t="s">
        <v>124</v>
      </c>
      <c r="D85" s="1" t="s">
        <v>627</v>
      </c>
      <c r="E85" s="1" t="s">
        <v>878</v>
      </c>
      <c r="F85" s="1" t="s">
        <v>590</v>
      </c>
      <c r="G85" s="1"/>
      <c r="H85" s="1"/>
      <c r="I85" s="9" t="s">
        <v>769</v>
      </c>
      <c r="J85" s="7" t="s">
        <v>557</v>
      </c>
      <c r="Q85" s="8"/>
      <c r="U85" s="7" t="str">
        <f t="shared" ca="1" si="2"/>
        <v/>
      </c>
      <c r="V85" s="7" t="str">
        <f t="shared" ca="1" si="3"/>
        <v/>
      </c>
      <c r="W85" s="7" t="s">
        <v>544</v>
      </c>
      <c r="AA85" s="7" t="s">
        <v>499</v>
      </c>
      <c r="AE85" s="7" t="s">
        <v>540</v>
      </c>
      <c r="AG85" t="s">
        <v>499</v>
      </c>
    </row>
    <row r="86" spans="1:33">
      <c r="A86" s="1" t="s">
        <v>124</v>
      </c>
      <c r="D86" s="1" t="s">
        <v>628</v>
      </c>
      <c r="E86" s="1" t="s">
        <v>629</v>
      </c>
      <c r="F86" s="1"/>
      <c r="G86" s="1"/>
      <c r="H86" s="1"/>
      <c r="I86" s="9"/>
      <c r="J86" s="7" t="s">
        <v>553</v>
      </c>
      <c r="Q86" s="8"/>
      <c r="U86" s="7" t="str">
        <f t="shared" ca="1" si="2"/>
        <v/>
      </c>
      <c r="V86" s="7" t="str">
        <f t="shared" ca="1" si="3"/>
        <v/>
      </c>
      <c r="AA86" s="7" t="s">
        <v>499</v>
      </c>
      <c r="AG86" t="s">
        <v>499</v>
      </c>
    </row>
    <row r="87" spans="1:33">
      <c r="A87" s="1" t="s">
        <v>125</v>
      </c>
      <c r="D87" s="1" t="s">
        <v>403</v>
      </c>
      <c r="E87" s="1" t="s">
        <v>404</v>
      </c>
      <c r="F87" s="1"/>
      <c r="G87" s="1"/>
      <c r="H87" s="1" t="s">
        <v>339</v>
      </c>
      <c r="I87" s="9" t="s">
        <v>879</v>
      </c>
      <c r="J87" s="7" t="s">
        <v>500</v>
      </c>
      <c r="K87" s="7">
        <v>0</v>
      </c>
      <c r="L87" s="7">
        <v>2</v>
      </c>
      <c r="M87" s="7">
        <v>5</v>
      </c>
      <c r="O87" s="7" t="s">
        <v>542</v>
      </c>
      <c r="Q87" s="8"/>
      <c r="R87" s="7" t="s">
        <v>543</v>
      </c>
      <c r="S87" s="7" t="s">
        <v>550</v>
      </c>
      <c r="U87" s="7" t="str">
        <f t="shared" ca="1" si="2"/>
        <v/>
      </c>
      <c r="V87" s="7" t="str">
        <f t="shared" ca="1" si="3"/>
        <v/>
      </c>
      <c r="AA87" s="7" t="s">
        <v>499</v>
      </c>
      <c r="AE87" s="7" t="s">
        <v>540</v>
      </c>
    </row>
    <row r="88" spans="1:33">
      <c r="A88" s="1" t="s">
        <v>126</v>
      </c>
      <c r="D88" s="1" t="s">
        <v>127</v>
      </c>
      <c r="E88" s="1" t="s">
        <v>101</v>
      </c>
      <c r="F88" s="1"/>
      <c r="G88" s="1"/>
      <c r="H88" s="1"/>
      <c r="I88" s="9"/>
      <c r="J88" s="7" t="s">
        <v>553</v>
      </c>
      <c r="Q88" s="8"/>
      <c r="U88" s="7" t="str">
        <f t="shared" ca="1" si="2"/>
        <v/>
      </c>
      <c r="V88" s="7" t="str">
        <f t="shared" ca="1" si="3"/>
        <v/>
      </c>
      <c r="AA88" s="7" t="s">
        <v>499</v>
      </c>
      <c r="AG88" t="s">
        <v>499</v>
      </c>
    </row>
    <row r="89" spans="1:33">
      <c r="A89" s="1" t="s">
        <v>128</v>
      </c>
      <c r="D89" s="1" t="s">
        <v>129</v>
      </c>
      <c r="E89" s="1" t="s">
        <v>405</v>
      </c>
      <c r="F89" s="1"/>
      <c r="G89" s="1" t="s">
        <v>499</v>
      </c>
      <c r="H89" s="1"/>
      <c r="I89" s="9"/>
      <c r="J89" s="7" t="s">
        <v>548</v>
      </c>
      <c r="Q89" s="8"/>
      <c r="T89" s="7">
        <f>910-5</f>
        <v>905</v>
      </c>
      <c r="U89" s="7">
        <f t="shared" ca="1" si="2"/>
        <v>5</v>
      </c>
      <c r="V89" s="7">
        <f t="shared" ca="1" si="3"/>
        <v>910</v>
      </c>
      <c r="AA89" s="7" t="s">
        <v>499</v>
      </c>
      <c r="AG89" t="s">
        <v>506</v>
      </c>
    </row>
    <row r="90" spans="1:33">
      <c r="A90" s="1" t="s">
        <v>130</v>
      </c>
      <c r="D90" s="1" t="s">
        <v>131</v>
      </c>
      <c r="E90" s="1" t="s">
        <v>132</v>
      </c>
      <c r="F90" s="1"/>
      <c r="G90" s="1"/>
      <c r="H90" s="1"/>
      <c r="I90" s="9"/>
      <c r="J90" s="7" t="s">
        <v>548</v>
      </c>
      <c r="Q90" s="8"/>
      <c r="T90" s="7" t="s">
        <v>550</v>
      </c>
      <c r="U90" s="7" t="str">
        <f t="shared" ca="1" si="2"/>
        <v/>
      </c>
      <c r="V90" s="7" t="str">
        <f t="shared" ca="1" si="3"/>
        <v/>
      </c>
      <c r="AA90" s="7" t="s">
        <v>499</v>
      </c>
      <c r="AC90" s="7" t="s">
        <v>630</v>
      </c>
      <c r="AD90" s="7" t="s">
        <v>499</v>
      </c>
      <c r="AE90" s="7" t="s">
        <v>552</v>
      </c>
    </row>
    <row r="91" spans="1:33" ht="43.5">
      <c r="A91" s="1" t="s">
        <v>130</v>
      </c>
      <c r="D91" s="1" t="s">
        <v>631</v>
      </c>
      <c r="E91" s="1" t="s">
        <v>632</v>
      </c>
      <c r="F91" s="1"/>
      <c r="G91" s="1"/>
      <c r="H91" s="1" t="s">
        <v>339</v>
      </c>
      <c r="J91" s="7" t="s">
        <v>500</v>
      </c>
      <c r="K91" s="7">
        <v>1</v>
      </c>
      <c r="L91" s="7">
        <v>3</v>
      </c>
      <c r="M91" s="7">
        <v>17</v>
      </c>
      <c r="O91" s="7" t="s">
        <v>536</v>
      </c>
      <c r="P91" s="7" t="s">
        <v>594</v>
      </c>
      <c r="Q91" s="8" t="s">
        <v>633</v>
      </c>
      <c r="R91" s="7" t="s">
        <v>537</v>
      </c>
      <c r="S91" s="7">
        <v>26</v>
      </c>
      <c r="U91" s="7" t="str">
        <f t="shared" ca="1" si="2"/>
        <v/>
      </c>
      <c r="V91" s="7" t="str">
        <f t="shared" ca="1" si="3"/>
        <v/>
      </c>
      <c r="AA91" s="7" t="s">
        <v>499</v>
      </c>
      <c r="AG91" t="s">
        <v>506</v>
      </c>
    </row>
    <row r="92" spans="1:33" ht="87">
      <c r="A92" s="1" t="s">
        <v>133</v>
      </c>
      <c r="D92" s="1" t="s">
        <v>406</v>
      </c>
      <c r="E92" s="1" t="s">
        <v>407</v>
      </c>
      <c r="F92" s="1"/>
      <c r="G92" s="1"/>
      <c r="H92" s="1"/>
      <c r="I92" t="s">
        <v>635</v>
      </c>
      <c r="J92" s="7" t="s">
        <v>504</v>
      </c>
      <c r="K92" s="7">
        <v>3</v>
      </c>
      <c r="L92" s="7">
        <v>13</v>
      </c>
      <c r="M92" s="7">
        <v>60</v>
      </c>
      <c r="O92" s="7" t="s">
        <v>536</v>
      </c>
      <c r="P92" s="7" t="s">
        <v>594</v>
      </c>
      <c r="Q92" s="8" t="s">
        <v>634</v>
      </c>
      <c r="S92" s="7">
        <v>13</v>
      </c>
      <c r="U92" s="7" t="str">
        <f t="shared" ca="1" si="2"/>
        <v/>
      </c>
      <c r="V92" s="7" t="str">
        <f t="shared" ca="1" si="3"/>
        <v/>
      </c>
      <c r="AA92" s="7" t="s">
        <v>499</v>
      </c>
      <c r="AG92" t="s">
        <v>506</v>
      </c>
    </row>
    <row r="93" spans="1:33">
      <c r="A93" s="1" t="s">
        <v>134</v>
      </c>
      <c r="D93" s="1" t="s">
        <v>135</v>
      </c>
      <c r="E93" s="1" t="s">
        <v>136</v>
      </c>
      <c r="F93" s="1"/>
      <c r="G93" s="1"/>
      <c r="H93" s="1"/>
      <c r="I93" s="9"/>
      <c r="J93" s="7" t="s">
        <v>553</v>
      </c>
      <c r="Q93" s="8"/>
      <c r="U93" s="7" t="str">
        <f t="shared" ca="1" si="2"/>
        <v/>
      </c>
      <c r="V93" s="7" t="str">
        <f t="shared" ca="1" si="3"/>
        <v/>
      </c>
      <c r="AA93" s="7" t="s">
        <v>499</v>
      </c>
      <c r="AB93" s="7" t="s">
        <v>785</v>
      </c>
      <c r="AD93" s="7" t="s">
        <v>499</v>
      </c>
    </row>
    <row r="94" spans="1:33">
      <c r="A94" s="1" t="s">
        <v>137</v>
      </c>
      <c r="D94" s="1" t="s">
        <v>138</v>
      </c>
      <c r="E94" s="1" t="s">
        <v>408</v>
      </c>
      <c r="F94" s="1"/>
      <c r="G94" s="1"/>
      <c r="H94" s="1" t="s">
        <v>339</v>
      </c>
      <c r="J94" s="7" t="s">
        <v>548</v>
      </c>
      <c r="Q94" s="8"/>
      <c r="T94" s="7" t="s">
        <v>550</v>
      </c>
      <c r="U94" s="7" t="str">
        <f t="shared" ca="1" si="2"/>
        <v/>
      </c>
      <c r="V94" s="7" t="str">
        <f t="shared" ca="1" si="3"/>
        <v/>
      </c>
      <c r="AA94" s="7" t="s">
        <v>499</v>
      </c>
      <c r="AE94" s="7" t="s">
        <v>540</v>
      </c>
    </row>
    <row r="95" spans="1:33">
      <c r="A95" s="1" t="s">
        <v>139</v>
      </c>
      <c r="D95" s="1" t="s">
        <v>140</v>
      </c>
      <c r="E95" s="1" t="s">
        <v>141</v>
      </c>
      <c r="F95" s="1"/>
      <c r="G95" s="1"/>
      <c r="H95" s="1"/>
      <c r="J95" s="7" t="s">
        <v>553</v>
      </c>
      <c r="Q95" s="8"/>
      <c r="U95" s="7" t="str">
        <f t="shared" ca="1" si="2"/>
        <v/>
      </c>
      <c r="V95" s="7" t="str">
        <f t="shared" ca="1" si="3"/>
        <v/>
      </c>
      <c r="AA95" s="7" t="s">
        <v>499</v>
      </c>
      <c r="AG95" t="s">
        <v>499</v>
      </c>
    </row>
    <row r="96" spans="1:33">
      <c r="A96" s="1" t="s">
        <v>143</v>
      </c>
      <c r="D96" s="1" t="s">
        <v>144</v>
      </c>
      <c r="E96" s="1" t="s">
        <v>145</v>
      </c>
      <c r="F96" s="1"/>
      <c r="G96" s="1" t="s">
        <v>499</v>
      </c>
      <c r="H96" s="1"/>
      <c r="J96" s="7" t="s">
        <v>553</v>
      </c>
      <c r="Q96" s="8"/>
      <c r="U96" s="7" t="str">
        <f t="shared" ca="1" si="2"/>
        <v/>
      </c>
      <c r="V96" s="7" t="str">
        <f t="shared" ca="1" si="3"/>
        <v/>
      </c>
      <c r="AA96" s="7" t="s">
        <v>499</v>
      </c>
      <c r="AE96" s="7" t="s">
        <v>552</v>
      </c>
    </row>
    <row r="97" spans="1:33" ht="87">
      <c r="A97" s="1" t="s">
        <v>146</v>
      </c>
      <c r="D97" s="1" t="s">
        <v>880</v>
      </c>
      <c r="E97" s="1" t="s">
        <v>636</v>
      </c>
      <c r="F97" s="1"/>
      <c r="G97" s="1"/>
      <c r="H97" s="1" t="s">
        <v>339</v>
      </c>
      <c r="J97" s="7" t="s">
        <v>500</v>
      </c>
      <c r="K97" s="7">
        <v>3</v>
      </c>
      <c r="L97" s="7">
        <v>10</v>
      </c>
      <c r="M97" s="7">
        <v>36</v>
      </c>
      <c r="O97" s="7" t="s">
        <v>542</v>
      </c>
      <c r="Q97" s="8"/>
      <c r="R97" s="7" t="s">
        <v>543</v>
      </c>
      <c r="S97" s="7">
        <v>17</v>
      </c>
      <c r="U97" s="7" t="str">
        <f t="shared" ca="1" si="2"/>
        <v/>
      </c>
      <c r="V97" s="7" t="str">
        <f t="shared" ca="1" si="3"/>
        <v/>
      </c>
      <c r="AA97" s="7" t="s">
        <v>499</v>
      </c>
      <c r="AE97" s="7" t="s">
        <v>547</v>
      </c>
    </row>
    <row r="98" spans="1:33" ht="72.5">
      <c r="A98" s="1" t="s">
        <v>146</v>
      </c>
      <c r="D98" s="1" t="s">
        <v>880</v>
      </c>
      <c r="E98" s="1" t="s">
        <v>637</v>
      </c>
      <c r="F98" s="1"/>
      <c r="G98" s="1"/>
      <c r="H98" s="1" t="s">
        <v>339</v>
      </c>
      <c r="J98" s="7" t="s">
        <v>500</v>
      </c>
      <c r="K98" s="7">
        <v>0</v>
      </c>
      <c r="L98" s="7">
        <v>3</v>
      </c>
      <c r="M98" s="7">
        <v>15</v>
      </c>
      <c r="O98" s="7" t="s">
        <v>536</v>
      </c>
      <c r="P98" s="7" t="s">
        <v>603</v>
      </c>
      <c r="Q98" s="8" t="s">
        <v>613</v>
      </c>
      <c r="R98" s="7" t="s">
        <v>543</v>
      </c>
      <c r="S98" s="7" t="s">
        <v>550</v>
      </c>
      <c r="U98" s="7" t="str">
        <f t="shared" ca="1" si="2"/>
        <v/>
      </c>
      <c r="V98" s="7" t="str">
        <f t="shared" ca="1" si="3"/>
        <v/>
      </c>
      <c r="AA98" s="7" t="s">
        <v>499</v>
      </c>
      <c r="AE98" s="7" t="s">
        <v>540</v>
      </c>
    </row>
    <row r="99" spans="1:33">
      <c r="A99" s="1" t="s">
        <v>147</v>
      </c>
      <c r="D99" s="1" t="s">
        <v>148</v>
      </c>
      <c r="E99" s="1" t="s">
        <v>149</v>
      </c>
      <c r="F99" s="1" t="s">
        <v>498</v>
      </c>
      <c r="G99" s="1"/>
      <c r="H99" s="1"/>
      <c r="Q99" s="8"/>
      <c r="U99" s="7" t="str">
        <f t="shared" ca="1" si="2"/>
        <v/>
      </c>
      <c r="V99" s="7" t="str">
        <f t="shared" ca="1" si="3"/>
        <v/>
      </c>
      <c r="AA99" s="7" t="s">
        <v>614</v>
      </c>
    </row>
    <row r="100" spans="1:33">
      <c r="A100" s="1" t="s">
        <v>150</v>
      </c>
      <c r="D100" s="1" t="s">
        <v>770</v>
      </c>
      <c r="E100" s="1" t="s">
        <v>771</v>
      </c>
      <c r="F100" s="1"/>
      <c r="G100" s="1"/>
      <c r="H100" s="1"/>
      <c r="J100" s="7" t="s">
        <v>553</v>
      </c>
      <c r="Q100" s="8"/>
      <c r="U100" s="7" t="str">
        <f t="shared" ca="1" si="2"/>
        <v/>
      </c>
      <c r="V100" s="7" t="str">
        <f t="shared" ca="1" si="3"/>
        <v/>
      </c>
      <c r="W100" s="7" t="s">
        <v>544</v>
      </c>
      <c r="AA100" s="7" t="s">
        <v>499</v>
      </c>
      <c r="AG100" t="s">
        <v>506</v>
      </c>
    </row>
    <row r="101" spans="1:33">
      <c r="A101" s="1" t="s">
        <v>150</v>
      </c>
      <c r="D101" s="1" t="s">
        <v>881</v>
      </c>
      <c r="E101" s="1" t="s">
        <v>882</v>
      </c>
      <c r="F101" s="1" t="s">
        <v>498</v>
      </c>
      <c r="G101" s="1"/>
      <c r="H101" s="1"/>
      <c r="J101" s="7" t="s">
        <v>504</v>
      </c>
      <c r="K101" s="7">
        <v>0</v>
      </c>
      <c r="L101" s="7">
        <v>1</v>
      </c>
      <c r="M101" s="7">
        <v>2</v>
      </c>
      <c r="N101" s="7" t="s">
        <v>564</v>
      </c>
      <c r="O101" s="7" t="s">
        <v>550</v>
      </c>
      <c r="Q101" s="8"/>
      <c r="S101" s="7">
        <v>903</v>
      </c>
      <c r="U101" s="7" t="str">
        <f t="shared" ca="1" si="2"/>
        <v/>
      </c>
      <c r="V101" s="7" t="str">
        <f t="shared" ca="1" si="3"/>
        <v/>
      </c>
      <c r="AA101" s="7" t="s">
        <v>499</v>
      </c>
    </row>
    <row r="102" spans="1:33">
      <c r="A102" s="1" t="s">
        <v>151</v>
      </c>
      <c r="D102" s="1" t="s">
        <v>152</v>
      </c>
      <c r="E102" s="1" t="s">
        <v>153</v>
      </c>
      <c r="F102" s="1" t="s">
        <v>508</v>
      </c>
      <c r="G102" s="1"/>
      <c r="H102" s="1" t="s">
        <v>339</v>
      </c>
      <c r="I102" t="s">
        <v>409</v>
      </c>
      <c r="Q102" s="8"/>
      <c r="U102" s="7" t="str">
        <f t="shared" ca="1" si="2"/>
        <v/>
      </c>
      <c r="V102" s="7" t="str">
        <f t="shared" ca="1" si="3"/>
        <v/>
      </c>
      <c r="AA102" s="7" t="s">
        <v>614</v>
      </c>
    </row>
    <row r="103" spans="1:33">
      <c r="A103" s="1" t="s">
        <v>151</v>
      </c>
      <c r="D103" s="1" t="s">
        <v>154</v>
      </c>
      <c r="E103" s="1" t="s">
        <v>410</v>
      </c>
      <c r="F103" s="1"/>
      <c r="G103" s="1"/>
      <c r="H103" s="1" t="s">
        <v>339</v>
      </c>
      <c r="J103" s="7" t="s">
        <v>548</v>
      </c>
      <c r="Q103" s="8"/>
      <c r="T103" s="7" t="s">
        <v>550</v>
      </c>
      <c r="U103" s="7" t="str">
        <f t="shared" ca="1" si="2"/>
        <v/>
      </c>
      <c r="V103" s="7" t="str">
        <f t="shared" ca="1" si="3"/>
        <v/>
      </c>
      <c r="AA103" s="7" t="s">
        <v>499</v>
      </c>
      <c r="AE103" s="7" t="s">
        <v>540</v>
      </c>
    </row>
    <row r="104" spans="1:33">
      <c r="A104" s="1" t="s">
        <v>155</v>
      </c>
      <c r="D104" s="1" t="s">
        <v>638</v>
      </c>
      <c r="E104" s="1" t="s">
        <v>639</v>
      </c>
      <c r="F104" s="1"/>
      <c r="G104" s="1"/>
      <c r="H104" s="1"/>
      <c r="J104" s="7" t="s">
        <v>504</v>
      </c>
      <c r="K104" s="7">
        <v>0</v>
      </c>
      <c r="L104" s="7">
        <v>1</v>
      </c>
      <c r="M104" s="7">
        <v>2</v>
      </c>
      <c r="N104" s="7" t="s">
        <v>541</v>
      </c>
      <c r="O104" s="7" t="s">
        <v>550</v>
      </c>
      <c r="Q104" s="8"/>
      <c r="S104" s="7">
        <v>19277</v>
      </c>
      <c r="U104" s="7" t="str">
        <f t="shared" ca="1" si="2"/>
        <v/>
      </c>
      <c r="V104" s="7" t="str">
        <f t="shared" ca="1" si="3"/>
        <v/>
      </c>
      <c r="AA104" s="7" t="s">
        <v>499</v>
      </c>
      <c r="AG104" t="s">
        <v>506</v>
      </c>
    </row>
    <row r="105" spans="1:33">
      <c r="A105" s="1" t="s">
        <v>156</v>
      </c>
      <c r="D105" s="1" t="s">
        <v>412</v>
      </c>
      <c r="E105" s="1" t="s">
        <v>411</v>
      </c>
      <c r="F105" s="1"/>
      <c r="G105" s="1"/>
      <c r="H105" s="1"/>
      <c r="J105" s="7" t="s">
        <v>509</v>
      </c>
      <c r="Q105" s="8"/>
      <c r="U105" s="7" t="str">
        <f t="shared" ca="1" si="2"/>
        <v/>
      </c>
      <c r="V105" s="7" t="str">
        <f t="shared" ca="1" si="3"/>
        <v/>
      </c>
      <c r="AA105" s="7" t="s">
        <v>499</v>
      </c>
      <c r="AG105" t="s">
        <v>506</v>
      </c>
    </row>
    <row r="106" spans="1:33">
      <c r="A106" s="1" t="s">
        <v>157</v>
      </c>
      <c r="D106" s="1" t="s">
        <v>640</v>
      </c>
      <c r="E106" s="1" t="s">
        <v>641</v>
      </c>
      <c r="F106" s="1"/>
      <c r="G106" s="1"/>
      <c r="H106" s="1"/>
      <c r="J106" s="7" t="s">
        <v>553</v>
      </c>
      <c r="Q106" s="8"/>
      <c r="U106" s="7" t="str">
        <f t="shared" ca="1" si="2"/>
        <v/>
      </c>
      <c r="V106" s="7" t="str">
        <f t="shared" ca="1" si="3"/>
        <v/>
      </c>
      <c r="AA106" s="7" t="s">
        <v>499</v>
      </c>
      <c r="AE106" s="7" t="s">
        <v>547</v>
      </c>
    </row>
    <row r="107" spans="1:33">
      <c r="A107" s="1" t="s">
        <v>158</v>
      </c>
      <c r="D107" s="1" t="s">
        <v>159</v>
      </c>
      <c r="E107" s="1" t="s">
        <v>413</v>
      </c>
      <c r="F107" s="1" t="s">
        <v>508</v>
      </c>
      <c r="G107" s="1"/>
      <c r="H107" s="1" t="s">
        <v>339</v>
      </c>
      <c r="I107" t="s">
        <v>414</v>
      </c>
      <c r="Q107" s="8"/>
      <c r="U107" s="7" t="str">
        <f t="shared" ca="1" si="2"/>
        <v/>
      </c>
      <c r="V107" s="7" t="str">
        <f t="shared" ca="1" si="3"/>
        <v/>
      </c>
      <c r="AA107" s="7" t="s">
        <v>614</v>
      </c>
    </row>
    <row r="108" spans="1:33">
      <c r="A108" s="1" t="s">
        <v>158</v>
      </c>
      <c r="D108" s="1" t="s">
        <v>650</v>
      </c>
      <c r="E108" s="1" t="s">
        <v>651</v>
      </c>
      <c r="F108" s="1"/>
      <c r="G108" s="1"/>
      <c r="H108" s="1"/>
      <c r="J108" s="7" t="s">
        <v>548</v>
      </c>
      <c r="Q108" s="8"/>
      <c r="T108" s="7">
        <f>0-14</f>
        <v>-14</v>
      </c>
      <c r="U108" s="7">
        <f t="shared" ca="1" si="2"/>
        <v>14</v>
      </c>
      <c r="V108" s="7">
        <f t="shared" ca="1" si="3"/>
        <v>0</v>
      </c>
      <c r="AA108" s="7" t="s">
        <v>499</v>
      </c>
      <c r="AG108" t="s">
        <v>506</v>
      </c>
    </row>
    <row r="109" spans="1:33">
      <c r="A109" s="1" t="s">
        <v>160</v>
      </c>
      <c r="D109" s="1" t="s">
        <v>161</v>
      </c>
      <c r="E109" s="1" t="s">
        <v>162</v>
      </c>
      <c r="F109" s="1"/>
      <c r="G109" s="1"/>
      <c r="H109" s="1" t="s">
        <v>339</v>
      </c>
      <c r="I109" s="9"/>
      <c r="J109" s="7" t="s">
        <v>553</v>
      </c>
      <c r="Q109" s="8"/>
      <c r="U109" s="7" t="str">
        <f t="shared" ca="1" si="2"/>
        <v/>
      </c>
      <c r="V109" s="7" t="str">
        <f t="shared" ca="1" si="3"/>
        <v/>
      </c>
      <c r="AA109" s="7" t="s">
        <v>499</v>
      </c>
      <c r="AG109" t="s">
        <v>506</v>
      </c>
    </row>
    <row r="110" spans="1:33" ht="43.5">
      <c r="A110" s="1" t="s">
        <v>160</v>
      </c>
      <c r="D110" s="4" t="s">
        <v>652</v>
      </c>
      <c r="E110" s="1" t="s">
        <v>883</v>
      </c>
      <c r="F110" s="1" t="s">
        <v>516</v>
      </c>
      <c r="G110" s="1"/>
      <c r="H110" s="1"/>
      <c r="I110" s="1" t="s">
        <v>870</v>
      </c>
      <c r="J110" s="7" t="s">
        <v>553</v>
      </c>
      <c r="Q110" s="8"/>
      <c r="U110" s="7" t="str">
        <f t="shared" ca="1" si="2"/>
        <v/>
      </c>
      <c r="V110" s="7" t="str">
        <f t="shared" ca="1" si="3"/>
        <v/>
      </c>
      <c r="AA110" s="7" t="s">
        <v>499</v>
      </c>
      <c r="AG110" t="s">
        <v>499</v>
      </c>
    </row>
    <row r="111" spans="1:33">
      <c r="A111" s="1" t="s">
        <v>160</v>
      </c>
      <c r="D111" s="1" t="s">
        <v>163</v>
      </c>
      <c r="E111" s="1" t="s">
        <v>164</v>
      </c>
      <c r="F111" s="1"/>
      <c r="G111" s="1"/>
      <c r="H111" s="1"/>
      <c r="J111" s="7" t="s">
        <v>553</v>
      </c>
      <c r="Q111" s="8"/>
      <c r="U111" s="7" t="str">
        <f t="shared" ca="1" si="2"/>
        <v/>
      </c>
      <c r="V111" s="7" t="str">
        <f t="shared" ca="1" si="3"/>
        <v/>
      </c>
      <c r="AA111" s="7" t="s">
        <v>499</v>
      </c>
      <c r="AG111" t="s">
        <v>499</v>
      </c>
    </row>
    <row r="112" spans="1:33">
      <c r="A112" s="1" t="s">
        <v>165</v>
      </c>
      <c r="D112" s="1" t="s">
        <v>653</v>
      </c>
      <c r="E112" s="1" t="s">
        <v>654</v>
      </c>
      <c r="F112" s="1"/>
      <c r="G112" s="1"/>
      <c r="H112" s="1"/>
      <c r="I112" t="s">
        <v>773</v>
      </c>
      <c r="J112" s="7" t="s">
        <v>553</v>
      </c>
      <c r="Q112" s="8"/>
      <c r="U112" s="7" t="str">
        <f t="shared" ca="1" si="2"/>
        <v/>
      </c>
      <c r="V112" s="7" t="str">
        <f t="shared" ca="1" si="3"/>
        <v/>
      </c>
      <c r="W112" s="7" t="s">
        <v>544</v>
      </c>
      <c r="AA112" s="7" t="s">
        <v>499</v>
      </c>
      <c r="AG112" t="s">
        <v>499</v>
      </c>
    </row>
    <row r="113" spans="1:33">
      <c r="A113" s="1" t="s">
        <v>165</v>
      </c>
      <c r="D113" s="1" t="s">
        <v>655</v>
      </c>
      <c r="E113" s="1" t="s">
        <v>656</v>
      </c>
      <c r="F113" s="1"/>
      <c r="G113" s="1"/>
      <c r="H113" s="1"/>
      <c r="J113" s="7" t="s">
        <v>548</v>
      </c>
      <c r="Q113" s="8"/>
      <c r="T113" s="7" t="s">
        <v>583</v>
      </c>
      <c r="U113" s="7" t="str">
        <f t="shared" ca="1" si="2"/>
        <v/>
      </c>
      <c r="V113" s="7" t="str">
        <f t="shared" ca="1" si="3"/>
        <v/>
      </c>
      <c r="AE113" s="7" t="s">
        <v>540</v>
      </c>
    </row>
    <row r="114" spans="1:33">
      <c r="A114" s="1" t="s">
        <v>166</v>
      </c>
      <c r="D114" s="1" t="s">
        <v>657</v>
      </c>
      <c r="E114" s="1" t="s">
        <v>658</v>
      </c>
      <c r="F114" s="1"/>
      <c r="G114" s="1"/>
      <c r="H114" s="1"/>
      <c r="J114" s="7" t="s">
        <v>553</v>
      </c>
      <c r="Q114" s="8"/>
      <c r="U114" s="7" t="str">
        <f t="shared" ca="1" si="2"/>
        <v/>
      </c>
      <c r="V114" s="7" t="str">
        <f t="shared" ca="1" si="3"/>
        <v/>
      </c>
      <c r="AA114" s="7" t="s">
        <v>499</v>
      </c>
      <c r="AE114" s="7" t="s">
        <v>547</v>
      </c>
    </row>
    <row r="115" spans="1:33">
      <c r="A115" s="1" t="s">
        <v>166</v>
      </c>
      <c r="D115" s="1" t="s">
        <v>659</v>
      </c>
      <c r="E115" s="1" t="s">
        <v>660</v>
      </c>
      <c r="F115" s="1"/>
      <c r="G115" s="1" t="s">
        <v>339</v>
      </c>
      <c r="H115" s="1"/>
      <c r="J115" s="7" t="s">
        <v>500</v>
      </c>
      <c r="K115" s="7">
        <v>0</v>
      </c>
      <c r="L115" s="7">
        <v>1</v>
      </c>
      <c r="M115" s="7">
        <v>1</v>
      </c>
      <c r="N115" s="7" t="s">
        <v>541</v>
      </c>
      <c r="O115" s="7" t="s">
        <v>550</v>
      </c>
      <c r="Q115" s="8"/>
      <c r="S115" s="7">
        <v>19277</v>
      </c>
      <c r="U115" s="7" t="str">
        <f t="shared" ca="1" si="2"/>
        <v/>
      </c>
      <c r="V115" s="7" t="str">
        <f t="shared" ca="1" si="3"/>
        <v/>
      </c>
      <c r="AA115" s="7" t="s">
        <v>499</v>
      </c>
    </row>
    <row r="116" spans="1:33">
      <c r="A116" s="1" t="s">
        <v>167</v>
      </c>
      <c r="D116" s="1" t="s">
        <v>168</v>
      </c>
      <c r="E116" s="1" t="s">
        <v>169</v>
      </c>
      <c r="F116" s="1"/>
      <c r="G116" s="1"/>
      <c r="H116" s="1"/>
      <c r="J116" s="7" t="s">
        <v>548</v>
      </c>
      <c r="Q116" s="8"/>
      <c r="T116" s="7" t="s">
        <v>583</v>
      </c>
      <c r="U116" s="7" t="str">
        <f t="shared" ca="1" si="2"/>
        <v/>
      </c>
      <c r="V116" s="7" t="str">
        <f t="shared" ca="1" si="3"/>
        <v/>
      </c>
      <c r="AA116" s="7" t="s">
        <v>499</v>
      </c>
      <c r="AE116" s="7" t="s">
        <v>540</v>
      </c>
    </row>
    <row r="117" spans="1:33">
      <c r="A117" s="1" t="s">
        <v>170</v>
      </c>
      <c r="D117" s="1" t="s">
        <v>142</v>
      </c>
      <c r="E117" s="1" t="s">
        <v>415</v>
      </c>
      <c r="F117" s="1"/>
      <c r="G117" s="1"/>
      <c r="H117" s="1" t="s">
        <v>339</v>
      </c>
      <c r="J117" s="7" t="s">
        <v>548</v>
      </c>
      <c r="Q117" s="8"/>
      <c r="T117" s="7" t="s">
        <v>550</v>
      </c>
      <c r="U117" s="7" t="str">
        <f t="shared" ca="1" si="2"/>
        <v/>
      </c>
      <c r="V117" s="7" t="str">
        <f t="shared" ca="1" si="3"/>
        <v/>
      </c>
      <c r="AA117" s="7" t="s">
        <v>499</v>
      </c>
      <c r="AC117" s="7" t="s">
        <v>784</v>
      </c>
      <c r="AD117" s="7" t="s">
        <v>499</v>
      </c>
      <c r="AE117" s="7" t="s">
        <v>540</v>
      </c>
    </row>
    <row r="118" spans="1:33" ht="29">
      <c r="A118" s="1" t="s">
        <v>170</v>
      </c>
      <c r="D118" s="1" t="s">
        <v>416</v>
      </c>
      <c r="E118" s="1" t="s">
        <v>417</v>
      </c>
      <c r="F118" s="1"/>
      <c r="G118" s="1"/>
      <c r="H118" s="1"/>
      <c r="I118" t="s">
        <v>898</v>
      </c>
      <c r="J118" s="7" t="s">
        <v>500</v>
      </c>
      <c r="K118" s="7">
        <v>1</v>
      </c>
      <c r="L118" s="7">
        <v>3</v>
      </c>
      <c r="M118" s="7">
        <v>16</v>
      </c>
      <c r="O118" s="7" t="s">
        <v>536</v>
      </c>
      <c r="P118" s="7" t="s">
        <v>642</v>
      </c>
      <c r="Q118" s="8" t="s">
        <v>661</v>
      </c>
      <c r="R118" s="7" t="s">
        <v>543</v>
      </c>
      <c r="S118" s="7" t="s">
        <v>550</v>
      </c>
      <c r="U118" s="7" t="str">
        <f t="shared" ca="1" si="2"/>
        <v/>
      </c>
      <c r="V118" s="7" t="str">
        <f t="shared" ca="1" si="3"/>
        <v/>
      </c>
      <c r="AA118" s="7" t="s">
        <v>499</v>
      </c>
      <c r="AE118" s="7" t="s">
        <v>540</v>
      </c>
    </row>
    <row r="119" spans="1:33">
      <c r="A119" s="1" t="s">
        <v>171</v>
      </c>
      <c r="D119" s="1" t="s">
        <v>172</v>
      </c>
      <c r="E119" s="1" t="s">
        <v>173</v>
      </c>
      <c r="F119" s="1"/>
      <c r="G119" s="1"/>
      <c r="H119" s="1" t="s">
        <v>339</v>
      </c>
      <c r="J119" s="7" t="s">
        <v>548</v>
      </c>
      <c r="Q119" s="8"/>
      <c r="T119" s="7" t="s">
        <v>550</v>
      </c>
      <c r="U119" s="7" t="str">
        <f t="shared" ca="1" si="2"/>
        <v/>
      </c>
      <c r="V119" s="7" t="str">
        <f t="shared" ca="1" si="3"/>
        <v/>
      </c>
      <c r="AA119" s="7" t="s">
        <v>499</v>
      </c>
      <c r="AE119" s="7" t="s">
        <v>540</v>
      </c>
    </row>
    <row r="120" spans="1:33" ht="29">
      <c r="A120" s="1" t="s">
        <v>174</v>
      </c>
      <c r="B120" s="3"/>
      <c r="C120" s="3"/>
      <c r="D120" s="4" t="s">
        <v>418</v>
      </c>
      <c r="E120" s="1" t="s">
        <v>175</v>
      </c>
      <c r="F120" s="1" t="s">
        <v>519</v>
      </c>
      <c r="G120" s="1"/>
      <c r="H120" s="1"/>
      <c r="Q120" s="8"/>
      <c r="U120" s="7" t="str">
        <f t="shared" ca="1" si="2"/>
        <v/>
      </c>
      <c r="V120" s="7" t="str">
        <f t="shared" ca="1" si="3"/>
        <v/>
      </c>
      <c r="AA120" s="7" t="s">
        <v>614</v>
      </c>
    </row>
    <row r="121" spans="1:33">
      <c r="A121" s="1" t="s">
        <v>176</v>
      </c>
      <c r="D121" s="1" t="s">
        <v>662</v>
      </c>
      <c r="E121" s="1" t="s">
        <v>663</v>
      </c>
      <c r="F121" s="1"/>
      <c r="G121" s="1"/>
      <c r="H121" s="1"/>
      <c r="J121" s="7" t="s">
        <v>500</v>
      </c>
      <c r="K121" s="7">
        <v>0</v>
      </c>
      <c r="L121" s="7">
        <v>1</v>
      </c>
      <c r="M121" s="7">
        <v>1</v>
      </c>
      <c r="N121" s="7" t="s">
        <v>541</v>
      </c>
      <c r="O121" s="7" t="s">
        <v>550</v>
      </c>
      <c r="Q121" s="8"/>
      <c r="S121" s="7">
        <v>19277</v>
      </c>
      <c r="U121" s="7" t="str">
        <f t="shared" ca="1" si="2"/>
        <v/>
      </c>
      <c r="V121" s="7" t="str">
        <f t="shared" ca="1" si="3"/>
        <v/>
      </c>
      <c r="AA121" s="7" t="s">
        <v>499</v>
      </c>
      <c r="AG121" t="s">
        <v>506</v>
      </c>
    </row>
    <row r="122" spans="1:33">
      <c r="A122" s="1" t="s">
        <v>177</v>
      </c>
      <c r="D122" s="1" t="s">
        <v>178</v>
      </c>
      <c r="E122" s="1" t="s">
        <v>179</v>
      </c>
      <c r="F122" s="1"/>
      <c r="G122" s="1" t="s">
        <v>339</v>
      </c>
      <c r="H122" s="1"/>
      <c r="J122" s="7" t="s">
        <v>548</v>
      </c>
      <c r="Q122" s="8"/>
      <c r="T122" s="7">
        <f>22-1</f>
        <v>21</v>
      </c>
      <c r="U122" s="7">
        <f t="shared" ca="1" si="2"/>
        <v>1</v>
      </c>
      <c r="V122" s="7">
        <f t="shared" ca="1" si="3"/>
        <v>22</v>
      </c>
      <c r="AA122" s="7" t="s">
        <v>499</v>
      </c>
      <c r="AC122" s="7" t="s">
        <v>787</v>
      </c>
      <c r="AD122" s="7" t="s">
        <v>499</v>
      </c>
    </row>
    <row r="123" spans="1:33">
      <c r="A123" s="1" t="s">
        <v>177</v>
      </c>
      <c r="D123" s="1" t="s">
        <v>180</v>
      </c>
      <c r="E123" s="1" t="s">
        <v>181</v>
      </c>
      <c r="F123" s="1"/>
      <c r="G123" s="1"/>
      <c r="H123" s="1"/>
      <c r="J123" s="7" t="s">
        <v>553</v>
      </c>
      <c r="Q123" s="8"/>
      <c r="U123" s="7" t="str">
        <f t="shared" ref="U123:U186" ca="1" si="4">IF(ISNUMBER(T123),VALUE(MID(_xlfn.FORMULATEXT(T123),SEARCH("-",_xlfn.FORMULATEXT(T123))+1,LEN(_xlfn.FORMULATEXT(T123))-SEARCH("-",_xlfn.FORMULATEXT(T123)))), "")</f>
        <v/>
      </c>
      <c r="V123" s="7" t="str">
        <f t="shared" ref="V123:V186" ca="1" si="5">IF(ISNUMBER(T123), VALUE(MID(_xlfn.FORMULATEXT(T123), 2, SEARCH("-", _xlfn.FORMULATEXT(T123)) - 2)), "")</f>
        <v/>
      </c>
      <c r="AA123" s="7" t="s">
        <v>499</v>
      </c>
      <c r="AC123" s="7" t="s">
        <v>786</v>
      </c>
      <c r="AD123" s="7" t="s">
        <v>499</v>
      </c>
    </row>
    <row r="124" spans="1:33">
      <c r="A124" s="1" t="s">
        <v>182</v>
      </c>
      <c r="D124" s="1" t="s">
        <v>183</v>
      </c>
      <c r="E124" s="1" t="s">
        <v>184</v>
      </c>
      <c r="F124" s="1"/>
      <c r="H124" s="1" t="s">
        <v>339</v>
      </c>
      <c r="J124" s="7" t="s">
        <v>548</v>
      </c>
      <c r="Q124" s="8"/>
      <c r="T124" s="7" t="s">
        <v>583</v>
      </c>
      <c r="U124" s="7" t="str">
        <f t="shared" ca="1" si="4"/>
        <v/>
      </c>
      <c r="V124" s="7" t="str">
        <f t="shared" ca="1" si="5"/>
        <v/>
      </c>
      <c r="AA124" s="7" t="s">
        <v>499</v>
      </c>
      <c r="AE124" s="7" t="s">
        <v>540</v>
      </c>
    </row>
    <row r="125" spans="1:33" ht="29">
      <c r="A125" s="1" t="s">
        <v>185</v>
      </c>
      <c r="D125" s="1" t="s">
        <v>664</v>
      </c>
      <c r="E125" s="1" t="s">
        <v>665</v>
      </c>
      <c r="F125" s="1"/>
      <c r="G125" s="1"/>
      <c r="H125" s="1" t="s">
        <v>339</v>
      </c>
      <c r="J125" s="7" t="s">
        <v>548</v>
      </c>
      <c r="Q125" s="8"/>
      <c r="T125" s="7">
        <f>903-11721</f>
        <v>-10818</v>
      </c>
      <c r="U125" s="7">
        <f t="shared" ca="1" si="4"/>
        <v>11721</v>
      </c>
      <c r="V125" s="7">
        <f t="shared" ca="1" si="5"/>
        <v>903</v>
      </c>
      <c r="AA125" s="7" t="s">
        <v>499</v>
      </c>
      <c r="AE125" s="7" t="s">
        <v>547</v>
      </c>
    </row>
    <row r="126" spans="1:33">
      <c r="A126" s="1" t="s">
        <v>186</v>
      </c>
      <c r="D126" s="1" t="s">
        <v>187</v>
      </c>
      <c r="E126" s="1" t="s">
        <v>188</v>
      </c>
      <c r="F126" s="1"/>
      <c r="G126" s="1"/>
      <c r="H126" s="1" t="s">
        <v>339</v>
      </c>
      <c r="J126" s="7" t="s">
        <v>548</v>
      </c>
      <c r="Q126" s="8"/>
      <c r="T126" s="7" t="s">
        <v>583</v>
      </c>
      <c r="U126" s="7" t="str">
        <f t="shared" ca="1" si="4"/>
        <v/>
      </c>
      <c r="V126" s="7" t="str">
        <f t="shared" ca="1" si="5"/>
        <v/>
      </c>
      <c r="AA126" s="7" t="s">
        <v>499</v>
      </c>
      <c r="AE126" s="7" t="s">
        <v>540</v>
      </c>
    </row>
    <row r="127" spans="1:33">
      <c r="A127" s="1" t="s">
        <v>186</v>
      </c>
      <c r="D127" s="1" t="s">
        <v>189</v>
      </c>
      <c r="E127" s="1" t="s">
        <v>190</v>
      </c>
      <c r="F127" s="1"/>
      <c r="G127" s="1"/>
      <c r="H127" s="1" t="s">
        <v>339</v>
      </c>
      <c r="J127" s="7" t="s">
        <v>548</v>
      </c>
      <c r="Q127" s="8"/>
      <c r="T127" s="7" t="s">
        <v>583</v>
      </c>
      <c r="U127" s="7" t="str">
        <f t="shared" ca="1" si="4"/>
        <v/>
      </c>
      <c r="V127" s="7" t="str">
        <f t="shared" ca="1" si="5"/>
        <v/>
      </c>
      <c r="AA127" s="7" t="s">
        <v>499</v>
      </c>
      <c r="AE127" s="7" t="s">
        <v>540</v>
      </c>
    </row>
    <row r="128" spans="1:33" ht="29">
      <c r="A128" s="1" t="s">
        <v>191</v>
      </c>
      <c r="D128" s="1" t="s">
        <v>667</v>
      </c>
      <c r="E128" s="1" t="s">
        <v>666</v>
      </c>
      <c r="F128" s="1"/>
      <c r="G128" s="1"/>
      <c r="H128" s="1"/>
      <c r="J128" s="7" t="s">
        <v>548</v>
      </c>
      <c r="Q128" s="8"/>
      <c r="T128" s="7">
        <f>6010-19277</f>
        <v>-13267</v>
      </c>
      <c r="U128" s="7">
        <f t="shared" ca="1" si="4"/>
        <v>19277</v>
      </c>
      <c r="V128" s="7">
        <f t="shared" ca="1" si="5"/>
        <v>6010</v>
      </c>
      <c r="AA128" s="7" t="s">
        <v>499</v>
      </c>
      <c r="AG128" t="s">
        <v>499</v>
      </c>
    </row>
    <row r="129" spans="1:33" ht="29">
      <c r="A129" s="1" t="s">
        <v>191</v>
      </c>
      <c r="D129" s="1" t="s">
        <v>884</v>
      </c>
      <c r="E129" s="1" t="s">
        <v>668</v>
      </c>
      <c r="F129" s="1"/>
      <c r="G129" s="1"/>
      <c r="H129" s="1"/>
      <c r="J129" s="7" t="s">
        <v>548</v>
      </c>
      <c r="Q129" s="8"/>
      <c r="T129" s="7">
        <f>6010-19277</f>
        <v>-13267</v>
      </c>
      <c r="U129" s="7">
        <f t="shared" ca="1" si="4"/>
        <v>19277</v>
      </c>
      <c r="V129" s="7">
        <f t="shared" ca="1" si="5"/>
        <v>6010</v>
      </c>
      <c r="AA129" s="7" t="s">
        <v>499</v>
      </c>
      <c r="AG129" t="s">
        <v>499</v>
      </c>
    </row>
    <row r="130" spans="1:33" ht="29">
      <c r="A130" s="1" t="s">
        <v>191</v>
      </c>
      <c r="D130" s="1" t="s">
        <v>885</v>
      </c>
      <c r="E130" s="1" t="s">
        <v>669</v>
      </c>
      <c r="F130" s="1"/>
      <c r="G130" s="1"/>
      <c r="H130" s="1"/>
      <c r="J130" s="7" t="s">
        <v>548</v>
      </c>
      <c r="Q130" s="8"/>
      <c r="AA130" s="7" t="s">
        <v>499</v>
      </c>
      <c r="AC130" s="7" t="s">
        <v>784</v>
      </c>
      <c r="AD130" s="7" t="s">
        <v>506</v>
      </c>
      <c r="AE130" s="7" t="s">
        <v>552</v>
      </c>
      <c r="AG130" t="s">
        <v>499</v>
      </c>
    </row>
    <row r="131" spans="1:33">
      <c r="A131" s="1" t="s">
        <v>192</v>
      </c>
      <c r="D131" s="1" t="s">
        <v>193</v>
      </c>
      <c r="E131" s="1" t="s">
        <v>194</v>
      </c>
      <c r="F131" s="1"/>
      <c r="G131" s="1"/>
      <c r="H131" s="1"/>
      <c r="J131" s="7" t="s">
        <v>548</v>
      </c>
      <c r="Q131" s="8"/>
      <c r="T131" s="7" t="s">
        <v>583</v>
      </c>
      <c r="U131" s="7" t="str">
        <f t="shared" ca="1" si="4"/>
        <v/>
      </c>
      <c r="V131" s="7" t="str">
        <f t="shared" ca="1" si="5"/>
        <v/>
      </c>
      <c r="AA131" s="7" t="s">
        <v>499</v>
      </c>
      <c r="AC131" s="7" t="s">
        <v>784</v>
      </c>
      <c r="AD131" s="7" t="s">
        <v>499</v>
      </c>
      <c r="AE131" s="7" t="s">
        <v>552</v>
      </c>
    </row>
    <row r="132" spans="1:33">
      <c r="A132" s="1" t="s">
        <v>195</v>
      </c>
      <c r="D132" s="1" t="s">
        <v>670</v>
      </c>
      <c r="E132" s="1" t="s">
        <v>671</v>
      </c>
      <c r="F132" s="1"/>
      <c r="G132" s="1"/>
      <c r="H132" s="1"/>
      <c r="I132" t="s">
        <v>774</v>
      </c>
      <c r="J132" s="7" t="s">
        <v>548</v>
      </c>
      <c r="Q132" s="8"/>
      <c r="T132" s="7">
        <f>2215-1420</f>
        <v>795</v>
      </c>
      <c r="U132" s="7">
        <f t="shared" ca="1" si="4"/>
        <v>1420</v>
      </c>
      <c r="V132" s="7">
        <f t="shared" ca="1" si="5"/>
        <v>2215</v>
      </c>
      <c r="W132" s="7" t="s">
        <v>544</v>
      </c>
      <c r="AA132" s="7" t="s">
        <v>499</v>
      </c>
      <c r="AG132" t="s">
        <v>506</v>
      </c>
    </row>
    <row r="133" spans="1:33" ht="116">
      <c r="A133" s="1" t="s">
        <v>196</v>
      </c>
      <c r="D133" s="1" t="s">
        <v>672</v>
      </c>
      <c r="E133" s="1" t="s">
        <v>886</v>
      </c>
      <c r="F133" s="1"/>
      <c r="G133" s="1"/>
      <c r="H133" s="1"/>
      <c r="I133" t="s">
        <v>888</v>
      </c>
      <c r="J133" s="7" t="s">
        <v>500</v>
      </c>
      <c r="K133" s="7">
        <v>0</v>
      </c>
      <c r="L133" s="7">
        <v>6</v>
      </c>
      <c r="M133" s="7">
        <v>34</v>
      </c>
      <c r="O133" s="7" t="s">
        <v>536</v>
      </c>
      <c r="P133" s="7" t="s">
        <v>594</v>
      </c>
      <c r="Q133" s="8" t="s">
        <v>887</v>
      </c>
      <c r="R133" s="7" t="s">
        <v>543</v>
      </c>
      <c r="S133" s="7">
        <v>17</v>
      </c>
      <c r="U133" s="7" t="str">
        <f t="shared" ca="1" si="4"/>
        <v/>
      </c>
      <c r="V133" s="7" t="str">
        <f t="shared" ca="1" si="5"/>
        <v/>
      </c>
      <c r="AA133" s="7" t="s">
        <v>499</v>
      </c>
      <c r="AG133" t="s">
        <v>506</v>
      </c>
    </row>
    <row r="134" spans="1:33" ht="29">
      <c r="A134" s="1" t="s">
        <v>197</v>
      </c>
      <c r="D134" s="4" t="s">
        <v>419</v>
      </c>
      <c r="E134" s="1" t="s">
        <v>198</v>
      </c>
      <c r="F134" s="1" t="s">
        <v>519</v>
      </c>
      <c r="G134" s="1"/>
      <c r="H134" s="1"/>
      <c r="Q134" s="8"/>
      <c r="U134" s="7" t="str">
        <f t="shared" ca="1" si="4"/>
        <v/>
      </c>
      <c r="V134" s="7" t="str">
        <f t="shared" ca="1" si="5"/>
        <v/>
      </c>
      <c r="AA134" s="7" t="s">
        <v>614</v>
      </c>
    </row>
    <row r="135" spans="1:33">
      <c r="A135" s="1" t="s">
        <v>197</v>
      </c>
      <c r="D135" s="1" t="s">
        <v>673</v>
      </c>
      <c r="E135" s="1" t="s">
        <v>674</v>
      </c>
      <c r="F135" s="1"/>
      <c r="G135" s="1"/>
      <c r="H135" s="1"/>
      <c r="J135" s="7" t="s">
        <v>553</v>
      </c>
      <c r="Q135" s="8"/>
      <c r="U135" s="7" t="str">
        <f t="shared" ca="1" si="4"/>
        <v/>
      </c>
      <c r="V135" s="7" t="str">
        <f t="shared" ca="1" si="5"/>
        <v/>
      </c>
      <c r="AA135" s="7" t="s">
        <v>499</v>
      </c>
      <c r="AC135" s="7" t="s">
        <v>786</v>
      </c>
      <c r="AD135" s="7" t="s">
        <v>499</v>
      </c>
    </row>
    <row r="136" spans="1:33">
      <c r="A136" s="1" t="s">
        <v>197</v>
      </c>
      <c r="B136" s="3"/>
      <c r="C136" s="3"/>
      <c r="D136" s="5" t="s">
        <v>420</v>
      </c>
      <c r="E136" s="1" t="s">
        <v>421</v>
      </c>
      <c r="F136" s="1" t="s">
        <v>498</v>
      </c>
      <c r="G136" s="1"/>
      <c r="H136" s="1"/>
      <c r="Q136" s="8"/>
      <c r="U136" s="7" t="str">
        <f t="shared" ca="1" si="4"/>
        <v/>
      </c>
      <c r="V136" s="7" t="str">
        <f t="shared" ca="1" si="5"/>
        <v/>
      </c>
      <c r="AA136" s="7" t="s">
        <v>614</v>
      </c>
    </row>
    <row r="137" spans="1:33">
      <c r="A137" s="1" t="s">
        <v>199</v>
      </c>
      <c r="D137" s="1" t="s">
        <v>200</v>
      </c>
      <c r="E137" s="1" t="s">
        <v>201</v>
      </c>
      <c r="F137" s="1"/>
      <c r="G137" s="1"/>
      <c r="H137" s="1"/>
      <c r="J137" s="7" t="s">
        <v>548</v>
      </c>
      <c r="Q137" s="8"/>
      <c r="T137" s="7" t="s">
        <v>583</v>
      </c>
      <c r="U137" s="7" t="str">
        <f t="shared" ca="1" si="4"/>
        <v/>
      </c>
      <c r="V137" s="7" t="str">
        <f t="shared" ca="1" si="5"/>
        <v/>
      </c>
      <c r="AA137" s="7" t="s">
        <v>499</v>
      </c>
      <c r="AE137" s="7" t="s">
        <v>552</v>
      </c>
    </row>
    <row r="138" spans="1:33" ht="29">
      <c r="A138" s="1" t="s">
        <v>202</v>
      </c>
      <c r="D138" s="1" t="s">
        <v>675</v>
      </c>
      <c r="E138" s="1" t="s">
        <v>676</v>
      </c>
      <c r="F138" s="1"/>
      <c r="G138" s="1"/>
      <c r="H138" s="1"/>
      <c r="J138" s="7" t="s">
        <v>548</v>
      </c>
      <c r="Q138" s="8"/>
      <c r="T138" s="7">
        <f>19-370</f>
        <v>-351</v>
      </c>
      <c r="U138" s="7">
        <f t="shared" ca="1" si="4"/>
        <v>370</v>
      </c>
      <c r="V138" s="7">
        <f t="shared" ca="1" si="5"/>
        <v>19</v>
      </c>
      <c r="AA138" s="7" t="s">
        <v>499</v>
      </c>
      <c r="AG138" t="s">
        <v>506</v>
      </c>
    </row>
    <row r="139" spans="1:33">
      <c r="A139" s="1" t="s">
        <v>203</v>
      </c>
      <c r="D139" s="1" t="s">
        <v>677</v>
      </c>
      <c r="E139" s="1" t="s">
        <v>678</v>
      </c>
      <c r="F139" s="1"/>
      <c r="G139" s="1"/>
      <c r="H139" s="1"/>
      <c r="J139" s="7" t="s">
        <v>504</v>
      </c>
      <c r="K139" s="7">
        <v>0</v>
      </c>
      <c r="L139" s="7">
        <v>1</v>
      </c>
      <c r="M139" s="7">
        <v>4</v>
      </c>
      <c r="N139" s="7" t="s">
        <v>562</v>
      </c>
      <c r="O139" s="7" t="s">
        <v>542</v>
      </c>
      <c r="Q139" s="8"/>
      <c r="S139" s="7">
        <v>79</v>
      </c>
      <c r="U139" s="7" t="str">
        <f t="shared" ca="1" si="4"/>
        <v/>
      </c>
      <c r="V139" s="7" t="str">
        <f t="shared" ca="1" si="5"/>
        <v/>
      </c>
      <c r="AA139" s="7" t="s">
        <v>499</v>
      </c>
      <c r="AG139" t="s">
        <v>506</v>
      </c>
    </row>
    <row r="140" spans="1:33">
      <c r="A140" s="1" t="s">
        <v>204</v>
      </c>
      <c r="D140" s="1" t="s">
        <v>205</v>
      </c>
      <c r="E140" s="1" t="s">
        <v>422</v>
      </c>
      <c r="F140" s="1"/>
      <c r="G140" s="1" t="s">
        <v>499</v>
      </c>
      <c r="H140" s="1"/>
      <c r="J140" s="7" t="s">
        <v>548</v>
      </c>
      <c r="Q140" s="8"/>
      <c r="T140" s="7" t="s">
        <v>550</v>
      </c>
      <c r="U140" s="7" t="str">
        <f t="shared" ca="1" si="4"/>
        <v/>
      </c>
      <c r="V140" s="7" t="str">
        <f t="shared" ca="1" si="5"/>
        <v/>
      </c>
      <c r="AA140" s="7" t="s">
        <v>499</v>
      </c>
      <c r="AE140" s="7" t="s">
        <v>552</v>
      </c>
    </row>
    <row r="141" spans="1:33">
      <c r="A141" s="1" t="s">
        <v>204</v>
      </c>
      <c r="D141" s="1" t="s">
        <v>206</v>
      </c>
      <c r="E141" s="1" t="s">
        <v>207</v>
      </c>
      <c r="F141" s="1"/>
      <c r="G141" s="1" t="s">
        <v>339</v>
      </c>
      <c r="H141" s="1"/>
      <c r="J141" s="7" t="s">
        <v>553</v>
      </c>
      <c r="Q141" s="8"/>
      <c r="U141" s="7" t="str">
        <f t="shared" ca="1" si="4"/>
        <v/>
      </c>
      <c r="V141" s="7" t="str">
        <f t="shared" ca="1" si="5"/>
        <v/>
      </c>
      <c r="AA141" s="7" t="s">
        <v>499</v>
      </c>
      <c r="AC141" s="7" t="s">
        <v>630</v>
      </c>
      <c r="AD141" s="7" t="s">
        <v>499</v>
      </c>
    </row>
    <row r="142" spans="1:33">
      <c r="A142" s="1" t="s">
        <v>208</v>
      </c>
      <c r="D142" s="1" t="s">
        <v>209</v>
      </c>
      <c r="E142" s="1" t="s">
        <v>210</v>
      </c>
      <c r="F142" s="1"/>
      <c r="G142" s="1" t="s">
        <v>339</v>
      </c>
      <c r="H142" s="1"/>
      <c r="J142" s="7" t="s">
        <v>553</v>
      </c>
      <c r="Q142" s="8"/>
      <c r="U142" s="7" t="str">
        <f t="shared" ca="1" si="4"/>
        <v/>
      </c>
      <c r="V142" s="7" t="str">
        <f t="shared" ca="1" si="5"/>
        <v/>
      </c>
      <c r="AA142" s="7" t="s">
        <v>499</v>
      </c>
    </row>
    <row r="143" spans="1:33">
      <c r="A143" s="1" t="s">
        <v>211</v>
      </c>
      <c r="D143" s="1" t="s">
        <v>423</v>
      </c>
      <c r="E143" s="1" t="s">
        <v>424</v>
      </c>
      <c r="F143" s="1"/>
      <c r="G143" s="1"/>
      <c r="H143" s="1"/>
      <c r="J143" s="7" t="s">
        <v>500</v>
      </c>
      <c r="K143" s="7">
        <v>0</v>
      </c>
      <c r="L143" s="7">
        <v>1</v>
      </c>
      <c r="M143" s="7">
        <v>1</v>
      </c>
      <c r="N143" s="7" t="s">
        <v>541</v>
      </c>
      <c r="O143" s="7" t="s">
        <v>550</v>
      </c>
      <c r="Q143" s="8"/>
      <c r="S143" s="7">
        <v>19277</v>
      </c>
      <c r="U143" s="7" t="str">
        <f t="shared" ca="1" si="4"/>
        <v/>
      </c>
      <c r="V143" s="7" t="str">
        <f t="shared" ca="1" si="5"/>
        <v/>
      </c>
      <c r="AA143" s="7" t="s">
        <v>499</v>
      </c>
      <c r="AG143" t="s">
        <v>506</v>
      </c>
    </row>
    <row r="144" spans="1:33" ht="29">
      <c r="A144" s="1" t="s">
        <v>211</v>
      </c>
      <c r="D144" s="1" t="s">
        <v>679</v>
      </c>
      <c r="E144" s="1" t="s">
        <v>680</v>
      </c>
      <c r="F144" s="1" t="s">
        <v>590</v>
      </c>
      <c r="G144" s="1"/>
      <c r="H144" s="1" t="s">
        <v>339</v>
      </c>
      <c r="J144" s="7" t="s">
        <v>500</v>
      </c>
      <c r="K144" s="7">
        <v>0</v>
      </c>
      <c r="L144" s="7">
        <v>1</v>
      </c>
      <c r="M144" s="7">
        <v>3</v>
      </c>
      <c r="N144" s="7" t="s">
        <v>560</v>
      </c>
      <c r="O144" s="7" t="s">
        <v>536</v>
      </c>
      <c r="P144" s="7" t="s">
        <v>681</v>
      </c>
      <c r="Q144" s="8" t="s">
        <v>646</v>
      </c>
      <c r="R144" s="7" t="s">
        <v>537</v>
      </c>
      <c r="S144" s="7" t="s">
        <v>550</v>
      </c>
      <c r="U144" s="7" t="str">
        <f t="shared" ca="1" si="4"/>
        <v/>
      </c>
      <c r="V144" s="7" t="str">
        <f t="shared" ca="1" si="5"/>
        <v/>
      </c>
      <c r="AA144" s="7" t="s">
        <v>499</v>
      </c>
      <c r="AE144" s="7" t="s">
        <v>540</v>
      </c>
    </row>
    <row r="145" spans="1:33">
      <c r="A145" s="1" t="s">
        <v>212</v>
      </c>
      <c r="D145" s="1" t="s">
        <v>213</v>
      </c>
      <c r="E145" s="1" t="s">
        <v>214</v>
      </c>
      <c r="F145" s="1"/>
      <c r="G145" s="1"/>
      <c r="H145" s="1" t="s">
        <v>339</v>
      </c>
      <c r="J145" s="7" t="s">
        <v>548</v>
      </c>
      <c r="Q145" s="8"/>
      <c r="T145" s="7" t="s">
        <v>550</v>
      </c>
      <c r="U145" s="7" t="str">
        <f t="shared" ca="1" si="4"/>
        <v/>
      </c>
      <c r="V145" s="7" t="str">
        <f t="shared" ca="1" si="5"/>
        <v/>
      </c>
      <c r="AA145" s="7" t="s">
        <v>499</v>
      </c>
      <c r="AE145" s="7" t="s">
        <v>540</v>
      </c>
    </row>
    <row r="146" spans="1:33" ht="43.5">
      <c r="A146" s="1" t="s">
        <v>215</v>
      </c>
      <c r="D146" s="1" t="s">
        <v>682</v>
      </c>
      <c r="E146" s="1" t="s">
        <v>683</v>
      </c>
      <c r="F146" s="1"/>
      <c r="G146" s="1"/>
      <c r="H146" s="1"/>
      <c r="I146" t="s">
        <v>775</v>
      </c>
      <c r="J146" s="7" t="s">
        <v>504</v>
      </c>
      <c r="K146" s="7">
        <v>1</v>
      </c>
      <c r="L146" s="7">
        <v>4</v>
      </c>
      <c r="M146" s="7">
        <v>16</v>
      </c>
      <c r="O146" s="7" t="s">
        <v>536</v>
      </c>
      <c r="P146" s="7" t="s">
        <v>594</v>
      </c>
      <c r="Q146" s="8" t="s">
        <v>612</v>
      </c>
      <c r="S146" s="7">
        <v>188</v>
      </c>
      <c r="U146" s="7" t="str">
        <f t="shared" ca="1" si="4"/>
        <v/>
      </c>
      <c r="V146" s="7" t="str">
        <f t="shared" ca="1" si="5"/>
        <v/>
      </c>
      <c r="W146" s="7" t="s">
        <v>544</v>
      </c>
      <c r="AA146" s="7" t="s">
        <v>499</v>
      </c>
      <c r="AG146" t="s">
        <v>506</v>
      </c>
    </row>
    <row r="147" spans="1:33">
      <c r="A147" s="1" t="s">
        <v>216</v>
      </c>
      <c r="D147" s="1" t="s">
        <v>217</v>
      </c>
      <c r="E147" s="1" t="s">
        <v>425</v>
      </c>
      <c r="F147" s="1" t="s">
        <v>508</v>
      </c>
      <c r="G147" s="1"/>
      <c r="H147" s="1" t="s">
        <v>339</v>
      </c>
      <c r="Q147" s="8"/>
      <c r="U147" s="7" t="str">
        <f t="shared" ca="1" si="4"/>
        <v/>
      </c>
      <c r="V147" s="7" t="str">
        <f t="shared" ca="1" si="5"/>
        <v/>
      </c>
      <c r="AA147" s="7" t="s">
        <v>614</v>
      </c>
    </row>
    <row r="148" spans="1:33">
      <c r="A148" s="1" t="s">
        <v>218</v>
      </c>
      <c r="D148" s="1" t="s">
        <v>686</v>
      </c>
      <c r="E148" s="1" t="s">
        <v>685</v>
      </c>
      <c r="F148" s="1"/>
      <c r="G148" s="1"/>
      <c r="H148" s="1"/>
      <c r="I148" s="1"/>
      <c r="J148" s="7" t="s">
        <v>504</v>
      </c>
      <c r="K148" s="7">
        <v>0</v>
      </c>
      <c r="L148" s="7">
        <v>1</v>
      </c>
      <c r="M148" s="7">
        <v>1</v>
      </c>
      <c r="N148" s="7" t="s">
        <v>541</v>
      </c>
      <c r="O148" s="7" t="s">
        <v>550</v>
      </c>
      <c r="Q148" s="8"/>
      <c r="S148" s="7">
        <v>19277</v>
      </c>
      <c r="U148" s="7" t="str">
        <f t="shared" ca="1" si="4"/>
        <v/>
      </c>
      <c r="V148" s="7" t="str">
        <f t="shared" ca="1" si="5"/>
        <v/>
      </c>
      <c r="AA148" s="7" t="s">
        <v>499</v>
      </c>
      <c r="AG148" t="s">
        <v>506</v>
      </c>
    </row>
    <row r="149" spans="1:33" ht="43.5">
      <c r="A149" s="1" t="s">
        <v>218</v>
      </c>
      <c r="D149" s="1" t="s">
        <v>687</v>
      </c>
      <c r="E149" s="1" t="s">
        <v>688</v>
      </c>
      <c r="F149" s="1"/>
      <c r="G149" s="1"/>
      <c r="H149" s="1" t="s">
        <v>507</v>
      </c>
      <c r="I149" s="1" t="s">
        <v>684</v>
      </c>
      <c r="J149" s="7" t="s">
        <v>548</v>
      </c>
      <c r="Q149" s="8"/>
      <c r="T149" s="7" t="s">
        <v>550</v>
      </c>
      <c r="U149" s="7" t="str">
        <f t="shared" ca="1" si="4"/>
        <v/>
      </c>
      <c r="V149" s="7" t="str">
        <f t="shared" ca="1" si="5"/>
        <v/>
      </c>
      <c r="AE149" s="7" t="s">
        <v>540</v>
      </c>
    </row>
    <row r="150" spans="1:33">
      <c r="A150" s="1" t="s">
        <v>219</v>
      </c>
      <c r="D150" s="1" t="s">
        <v>690</v>
      </c>
      <c r="E150" s="1" t="s">
        <v>689</v>
      </c>
      <c r="F150" s="1"/>
      <c r="G150" s="1"/>
      <c r="H150" s="1"/>
      <c r="I150" t="s">
        <v>776</v>
      </c>
      <c r="J150" s="7" t="s">
        <v>548</v>
      </c>
      <c r="Q150" s="8"/>
      <c r="T150" s="7">
        <f>184-21</f>
        <v>163</v>
      </c>
      <c r="U150" s="7">
        <f t="shared" ca="1" si="4"/>
        <v>21</v>
      </c>
      <c r="V150" s="7">
        <f t="shared" ca="1" si="5"/>
        <v>184</v>
      </c>
      <c r="W150" s="7" t="s">
        <v>544</v>
      </c>
      <c r="AA150" s="7" t="s">
        <v>499</v>
      </c>
      <c r="AG150" t="s">
        <v>506</v>
      </c>
    </row>
    <row r="151" spans="1:33" ht="29">
      <c r="A151" s="1" t="s">
        <v>219</v>
      </c>
      <c r="D151" s="4" t="s">
        <v>426</v>
      </c>
      <c r="E151" s="1" t="s">
        <v>427</v>
      </c>
      <c r="F151" s="1" t="s">
        <v>519</v>
      </c>
      <c r="G151" s="1"/>
      <c r="H151" s="1"/>
      <c r="Q151" s="8"/>
      <c r="U151" s="7" t="str">
        <f t="shared" ca="1" si="4"/>
        <v/>
      </c>
      <c r="V151" s="7" t="str">
        <f t="shared" ca="1" si="5"/>
        <v/>
      </c>
      <c r="AA151" s="7" t="s">
        <v>614</v>
      </c>
    </row>
    <row r="152" spans="1:33" ht="29">
      <c r="A152" s="1" t="s">
        <v>220</v>
      </c>
      <c r="D152" s="1" t="s">
        <v>428</v>
      </c>
      <c r="E152" s="1" t="s">
        <v>429</v>
      </c>
      <c r="F152" s="1"/>
      <c r="G152" s="1"/>
      <c r="H152" s="1" t="s">
        <v>339</v>
      </c>
      <c r="I152" t="s">
        <v>691</v>
      </c>
      <c r="J152" s="7" t="s">
        <v>548</v>
      </c>
      <c r="Q152" s="8"/>
      <c r="T152" s="7" t="s">
        <v>550</v>
      </c>
      <c r="U152" s="7" t="str">
        <f t="shared" ca="1" si="4"/>
        <v/>
      </c>
      <c r="V152" s="7" t="str">
        <f t="shared" ca="1" si="5"/>
        <v/>
      </c>
      <c r="AA152" s="7" t="s">
        <v>499</v>
      </c>
      <c r="AE152" s="7" t="s">
        <v>547</v>
      </c>
    </row>
    <row r="153" spans="1:33">
      <c r="A153" s="1" t="s">
        <v>220</v>
      </c>
      <c r="D153" s="1" t="s">
        <v>221</v>
      </c>
      <c r="E153" s="1" t="s">
        <v>222</v>
      </c>
      <c r="F153" s="1"/>
      <c r="G153" s="1"/>
      <c r="H153" s="1"/>
      <c r="J153" s="7" t="s">
        <v>553</v>
      </c>
      <c r="Q153" s="8"/>
      <c r="U153" s="7" t="str">
        <f t="shared" ca="1" si="4"/>
        <v/>
      </c>
      <c r="V153" s="7" t="str">
        <f t="shared" ca="1" si="5"/>
        <v/>
      </c>
      <c r="AA153" s="7" t="s">
        <v>499</v>
      </c>
      <c r="AB153" s="7" t="s">
        <v>785</v>
      </c>
      <c r="AD153" s="7" t="s">
        <v>499</v>
      </c>
    </row>
    <row r="154" spans="1:33" ht="29">
      <c r="A154" s="1" t="s">
        <v>223</v>
      </c>
      <c r="D154" s="1" t="s">
        <v>430</v>
      </c>
      <c r="E154" s="1" t="s">
        <v>431</v>
      </c>
      <c r="F154" s="1"/>
      <c r="G154" s="1"/>
      <c r="H154" s="1"/>
      <c r="I154" t="s">
        <v>432</v>
      </c>
      <c r="J154" s="7" t="s">
        <v>504</v>
      </c>
      <c r="K154" s="7">
        <v>1</v>
      </c>
      <c r="L154" s="7">
        <v>4</v>
      </c>
      <c r="M154" s="7">
        <v>16</v>
      </c>
      <c r="O154" s="7" t="s">
        <v>536</v>
      </c>
      <c r="P154" s="7" t="s">
        <v>642</v>
      </c>
      <c r="Q154" s="8" t="s">
        <v>692</v>
      </c>
      <c r="S154" s="7">
        <v>189</v>
      </c>
      <c r="U154" s="7" t="str">
        <f t="shared" ca="1" si="4"/>
        <v/>
      </c>
      <c r="V154" s="7" t="str">
        <f t="shared" ca="1" si="5"/>
        <v/>
      </c>
      <c r="AA154" s="7" t="s">
        <v>499</v>
      </c>
      <c r="AG154" t="s">
        <v>506</v>
      </c>
    </row>
    <row r="155" spans="1:33">
      <c r="A155" s="1" t="s">
        <v>223</v>
      </c>
      <c r="D155" s="1" t="s">
        <v>433</v>
      </c>
      <c r="E155" s="1" t="s">
        <v>434</v>
      </c>
      <c r="F155" s="1"/>
      <c r="G155" s="1"/>
      <c r="H155" s="1"/>
      <c r="J155" s="7" t="s">
        <v>500</v>
      </c>
      <c r="K155" s="7">
        <v>0</v>
      </c>
      <c r="L155" s="7">
        <v>1</v>
      </c>
      <c r="M155" s="7">
        <v>3</v>
      </c>
      <c r="N155" s="7" t="s">
        <v>541</v>
      </c>
      <c r="O155" s="7" t="s">
        <v>542</v>
      </c>
      <c r="Q155" s="8"/>
      <c r="S155" s="7">
        <v>19277</v>
      </c>
      <c r="U155" s="7" t="str">
        <f t="shared" ca="1" si="4"/>
        <v/>
      </c>
      <c r="V155" s="7" t="str">
        <f t="shared" ca="1" si="5"/>
        <v/>
      </c>
      <c r="AA155" s="7" t="s">
        <v>499</v>
      </c>
      <c r="AG155" t="s">
        <v>506</v>
      </c>
    </row>
    <row r="156" spans="1:33">
      <c r="A156" s="1" t="s">
        <v>224</v>
      </c>
      <c r="D156" s="1" t="s">
        <v>435</v>
      </c>
      <c r="E156" s="1" t="s">
        <v>436</v>
      </c>
      <c r="F156" s="1" t="s">
        <v>508</v>
      </c>
      <c r="G156" s="1"/>
      <c r="H156" s="1"/>
      <c r="Q156" s="8"/>
      <c r="U156" s="7" t="str">
        <f t="shared" ca="1" si="4"/>
        <v/>
      </c>
      <c r="V156" s="7" t="str">
        <f t="shared" ca="1" si="5"/>
        <v/>
      </c>
      <c r="AA156" s="7" t="s">
        <v>614</v>
      </c>
    </row>
    <row r="157" spans="1:33">
      <c r="A157" s="1" t="s">
        <v>224</v>
      </c>
      <c r="D157" s="1" t="s">
        <v>225</v>
      </c>
      <c r="E157" s="1" t="s">
        <v>437</v>
      </c>
      <c r="F157" s="1" t="s">
        <v>508</v>
      </c>
      <c r="G157" s="1"/>
      <c r="H157" s="1"/>
      <c r="Q157" s="8"/>
      <c r="U157" s="7" t="str">
        <f t="shared" ca="1" si="4"/>
        <v/>
      </c>
      <c r="V157" s="7" t="str">
        <f t="shared" ca="1" si="5"/>
        <v/>
      </c>
      <c r="AA157" s="7" t="s">
        <v>614</v>
      </c>
    </row>
    <row r="158" spans="1:33" ht="130.5">
      <c r="A158" s="1" t="s">
        <v>438</v>
      </c>
      <c r="D158" s="1" t="s">
        <v>889</v>
      </c>
      <c r="E158" s="1" t="s">
        <v>439</v>
      </c>
      <c r="F158" s="1"/>
      <c r="G158" s="1"/>
      <c r="H158" s="1"/>
      <c r="I158" t="s">
        <v>694</v>
      </c>
      <c r="J158" s="7" t="s">
        <v>504</v>
      </c>
      <c r="K158" s="7">
        <v>7</v>
      </c>
      <c r="L158" s="7">
        <v>22</v>
      </c>
      <c r="M158" s="7">
        <v>106</v>
      </c>
      <c r="O158" s="7" t="s">
        <v>536</v>
      </c>
      <c r="P158" s="7" t="s">
        <v>594</v>
      </c>
      <c r="Q158" s="8" t="s">
        <v>693</v>
      </c>
      <c r="S158" s="7">
        <v>1</v>
      </c>
      <c r="U158" s="7" t="str">
        <f t="shared" ca="1" si="4"/>
        <v/>
      </c>
      <c r="V158" s="7" t="str">
        <f t="shared" ca="1" si="5"/>
        <v/>
      </c>
      <c r="AA158" s="7" t="s">
        <v>499</v>
      </c>
      <c r="AG158" t="s">
        <v>506</v>
      </c>
    </row>
    <row r="159" spans="1:33" ht="29">
      <c r="A159" s="1" t="s">
        <v>226</v>
      </c>
      <c r="D159" s="1" t="s">
        <v>440</v>
      </c>
      <c r="E159" s="1" t="s">
        <v>441</v>
      </c>
      <c r="F159" s="1"/>
      <c r="G159" s="1" t="s">
        <v>339</v>
      </c>
      <c r="H159" s="1"/>
      <c r="J159" s="7" t="s">
        <v>548</v>
      </c>
      <c r="Q159" s="8"/>
      <c r="T159" s="7">
        <f>19277-6010</f>
        <v>13267</v>
      </c>
      <c r="U159" s="7">
        <f t="shared" ca="1" si="4"/>
        <v>6010</v>
      </c>
      <c r="V159" s="7">
        <f t="shared" ca="1" si="5"/>
        <v>19277</v>
      </c>
      <c r="AA159" s="7" t="s">
        <v>499</v>
      </c>
    </row>
    <row r="160" spans="1:33">
      <c r="A160" s="1" t="s">
        <v>226</v>
      </c>
      <c r="D160" s="1" t="s">
        <v>145</v>
      </c>
      <c r="E160" s="1" t="s">
        <v>227</v>
      </c>
      <c r="F160" s="1"/>
      <c r="G160" s="1"/>
      <c r="H160" s="1" t="s">
        <v>339</v>
      </c>
      <c r="J160" s="7" t="s">
        <v>548</v>
      </c>
      <c r="Q160" s="8"/>
      <c r="T160" s="7" t="s">
        <v>550</v>
      </c>
      <c r="U160" s="7" t="str">
        <f t="shared" ca="1" si="4"/>
        <v/>
      </c>
      <c r="V160" s="7" t="str">
        <f t="shared" ca="1" si="5"/>
        <v/>
      </c>
      <c r="AA160" s="7" t="s">
        <v>499</v>
      </c>
      <c r="AE160" s="7" t="s">
        <v>540</v>
      </c>
    </row>
    <row r="161" spans="1:33">
      <c r="A161" s="1" t="s">
        <v>226</v>
      </c>
      <c r="D161" s="1" t="s">
        <v>442</v>
      </c>
      <c r="E161" s="1" t="s">
        <v>15</v>
      </c>
      <c r="F161" s="1" t="s">
        <v>498</v>
      </c>
      <c r="G161" s="1"/>
      <c r="H161" s="1"/>
      <c r="Q161" s="8"/>
      <c r="U161" s="7" t="str">
        <f t="shared" ca="1" si="4"/>
        <v/>
      </c>
      <c r="V161" s="7" t="str">
        <f t="shared" ca="1" si="5"/>
        <v/>
      </c>
      <c r="AA161" s="7" t="s">
        <v>614</v>
      </c>
    </row>
    <row r="162" spans="1:33">
      <c r="A162" s="1" t="s">
        <v>228</v>
      </c>
      <c r="D162" s="1" t="s">
        <v>229</v>
      </c>
      <c r="E162" s="1" t="s">
        <v>230</v>
      </c>
      <c r="F162" s="1"/>
      <c r="G162" s="1"/>
      <c r="H162" s="1"/>
      <c r="J162" s="7" t="s">
        <v>548</v>
      </c>
      <c r="Q162" s="8"/>
      <c r="T162" s="7" t="s">
        <v>550</v>
      </c>
      <c r="U162" s="7" t="str">
        <f t="shared" ca="1" si="4"/>
        <v/>
      </c>
      <c r="V162" s="7" t="str">
        <f t="shared" ca="1" si="5"/>
        <v/>
      </c>
      <c r="AA162" s="7" t="s">
        <v>499</v>
      </c>
      <c r="AE162" s="7" t="s">
        <v>540</v>
      </c>
    </row>
    <row r="163" spans="1:33" ht="29">
      <c r="A163" s="1" t="s">
        <v>231</v>
      </c>
      <c r="D163" s="1" t="s">
        <v>443</v>
      </c>
      <c r="E163" s="1" t="s">
        <v>444</v>
      </c>
      <c r="F163" s="1"/>
      <c r="G163" s="1"/>
      <c r="H163" s="1"/>
      <c r="I163" t="s">
        <v>899</v>
      </c>
      <c r="J163" s="7" t="s">
        <v>504</v>
      </c>
      <c r="K163" s="7">
        <v>0</v>
      </c>
      <c r="L163" s="7">
        <v>1</v>
      </c>
      <c r="M163" s="7">
        <v>3</v>
      </c>
      <c r="N163" s="7" t="s">
        <v>541</v>
      </c>
      <c r="O163" s="7" t="s">
        <v>542</v>
      </c>
      <c r="Q163" s="8"/>
      <c r="S163" s="7">
        <v>19277</v>
      </c>
      <c r="U163" s="7" t="str">
        <f t="shared" ca="1" si="4"/>
        <v/>
      </c>
      <c r="V163" s="7" t="str">
        <f t="shared" ca="1" si="5"/>
        <v/>
      </c>
      <c r="W163" s="7" t="s">
        <v>544</v>
      </c>
      <c r="AA163" s="7" t="s">
        <v>499</v>
      </c>
      <c r="AG163" t="s">
        <v>506</v>
      </c>
    </row>
    <row r="164" spans="1:33" ht="29">
      <c r="A164" s="1" t="s">
        <v>231</v>
      </c>
      <c r="D164" s="1" t="s">
        <v>445</v>
      </c>
      <c r="E164" s="1" t="s">
        <v>446</v>
      </c>
      <c r="F164" s="1"/>
      <c r="G164" s="1"/>
      <c r="H164" s="1"/>
      <c r="I164" t="s">
        <v>900</v>
      </c>
      <c r="J164" s="7" t="s">
        <v>504</v>
      </c>
      <c r="K164" s="7">
        <v>0</v>
      </c>
      <c r="L164" s="7">
        <v>1</v>
      </c>
      <c r="M164" s="7">
        <v>3</v>
      </c>
      <c r="N164" s="7" t="s">
        <v>541</v>
      </c>
      <c r="O164" s="7" t="s">
        <v>542</v>
      </c>
      <c r="Q164" s="8"/>
      <c r="S164" s="7">
        <v>19277</v>
      </c>
      <c r="U164" s="7" t="str">
        <f t="shared" ca="1" si="4"/>
        <v/>
      </c>
      <c r="V164" s="7" t="str">
        <f t="shared" ca="1" si="5"/>
        <v/>
      </c>
      <c r="W164" s="7" t="s">
        <v>544</v>
      </c>
      <c r="AA164" s="7" t="s">
        <v>499</v>
      </c>
      <c r="AG164" t="s">
        <v>506</v>
      </c>
    </row>
    <row r="165" spans="1:33">
      <c r="A165" s="1" t="s">
        <v>232</v>
      </c>
      <c r="D165" s="1" t="s">
        <v>447</v>
      </c>
      <c r="E165" s="1" t="s">
        <v>448</v>
      </c>
      <c r="F165" s="1"/>
      <c r="G165" s="1" t="s">
        <v>339</v>
      </c>
      <c r="H165" s="1"/>
      <c r="J165" s="7" t="s">
        <v>548</v>
      </c>
      <c r="Q165" s="8"/>
      <c r="T165" s="7">
        <f>3713-1842</f>
        <v>1871</v>
      </c>
      <c r="U165" s="7">
        <f t="shared" ca="1" si="4"/>
        <v>1842</v>
      </c>
      <c r="V165" s="7">
        <f t="shared" ca="1" si="5"/>
        <v>3713</v>
      </c>
      <c r="AA165" s="7" t="s">
        <v>499</v>
      </c>
    </row>
    <row r="166" spans="1:33">
      <c r="A166" s="1" t="s">
        <v>233</v>
      </c>
      <c r="D166" s="1" t="s">
        <v>144</v>
      </c>
      <c r="E166" s="1" t="s">
        <v>145</v>
      </c>
      <c r="F166" s="1"/>
      <c r="G166" s="1"/>
      <c r="H166" s="1"/>
      <c r="J166" s="7" t="s">
        <v>553</v>
      </c>
      <c r="Q166" s="8"/>
      <c r="U166" s="7" t="str">
        <f t="shared" ca="1" si="4"/>
        <v/>
      </c>
      <c r="V166" s="7" t="str">
        <f t="shared" ca="1" si="5"/>
        <v/>
      </c>
      <c r="AA166" s="7" t="s">
        <v>499</v>
      </c>
      <c r="AE166" s="7" t="s">
        <v>552</v>
      </c>
    </row>
    <row r="167" spans="1:33" ht="29">
      <c r="A167" s="1" t="s">
        <v>234</v>
      </c>
      <c r="D167" s="1" t="s">
        <v>695</v>
      </c>
      <c r="E167" s="1" t="s">
        <v>696</v>
      </c>
      <c r="F167" s="1"/>
      <c r="G167" s="1"/>
      <c r="H167" s="1"/>
      <c r="J167" s="7" t="s">
        <v>553</v>
      </c>
      <c r="Q167" s="8"/>
      <c r="U167" s="7" t="str">
        <f t="shared" ca="1" si="4"/>
        <v/>
      </c>
      <c r="V167" s="7" t="str">
        <f t="shared" ca="1" si="5"/>
        <v/>
      </c>
      <c r="AA167" s="7" t="s">
        <v>499</v>
      </c>
      <c r="AG167" t="s">
        <v>506</v>
      </c>
    </row>
    <row r="168" spans="1:33" ht="58">
      <c r="A168" s="1" t="s">
        <v>234</v>
      </c>
      <c r="D168" s="1" t="s">
        <v>449</v>
      </c>
      <c r="E168" s="1" t="s">
        <v>450</v>
      </c>
      <c r="F168" s="1"/>
      <c r="G168" s="1"/>
      <c r="H168" s="1"/>
      <c r="I168" t="s">
        <v>451</v>
      </c>
      <c r="J168" s="7" t="s">
        <v>504</v>
      </c>
      <c r="K168" s="7">
        <v>1</v>
      </c>
      <c r="L168" s="7">
        <v>4</v>
      </c>
      <c r="M168" s="7">
        <v>16</v>
      </c>
      <c r="O168" s="7" t="s">
        <v>536</v>
      </c>
      <c r="P168" s="7" t="s">
        <v>594</v>
      </c>
      <c r="Q168" s="8" t="s">
        <v>604</v>
      </c>
      <c r="S168" s="7">
        <v>311</v>
      </c>
      <c r="U168" s="7" t="str">
        <f t="shared" ca="1" si="4"/>
        <v/>
      </c>
      <c r="V168" s="7" t="str">
        <f t="shared" ca="1" si="5"/>
        <v/>
      </c>
      <c r="AA168" s="7" t="s">
        <v>499</v>
      </c>
      <c r="AG168" t="s">
        <v>506</v>
      </c>
    </row>
    <row r="169" spans="1:33" ht="29">
      <c r="A169" s="1" t="s">
        <v>235</v>
      </c>
      <c r="D169" s="1" t="s">
        <v>697</v>
      </c>
      <c r="E169" s="1" t="s">
        <v>698</v>
      </c>
      <c r="F169" s="1"/>
      <c r="G169" s="1"/>
      <c r="H169" s="1"/>
      <c r="J169" s="7" t="s">
        <v>553</v>
      </c>
      <c r="Q169" s="8"/>
      <c r="U169" s="7" t="str">
        <f t="shared" ca="1" si="4"/>
        <v/>
      </c>
      <c r="V169" s="7" t="str">
        <f t="shared" ca="1" si="5"/>
        <v/>
      </c>
      <c r="AA169" s="7" t="s">
        <v>499</v>
      </c>
      <c r="AG169" t="s">
        <v>499</v>
      </c>
    </row>
    <row r="170" spans="1:33" ht="29">
      <c r="A170" s="1" t="s">
        <v>235</v>
      </c>
      <c r="D170" s="1" t="s">
        <v>236</v>
      </c>
      <c r="E170" s="1" t="s">
        <v>237</v>
      </c>
      <c r="F170" s="1" t="s">
        <v>510</v>
      </c>
      <c r="G170" s="1" t="s">
        <v>339</v>
      </c>
      <c r="H170" s="1"/>
      <c r="J170" s="7" t="s">
        <v>553</v>
      </c>
      <c r="Q170" s="8"/>
      <c r="U170" s="7" t="str">
        <f t="shared" ca="1" si="4"/>
        <v/>
      </c>
      <c r="V170" s="7" t="str">
        <f t="shared" ca="1" si="5"/>
        <v/>
      </c>
      <c r="AA170" s="7" t="s">
        <v>499</v>
      </c>
      <c r="AE170" s="7" t="s">
        <v>552</v>
      </c>
    </row>
    <row r="171" spans="1:33" ht="29">
      <c r="A171" s="1" t="s">
        <v>238</v>
      </c>
      <c r="D171" s="1" t="s">
        <v>452</v>
      </c>
      <c r="E171" s="4" t="s">
        <v>453</v>
      </c>
      <c r="F171" s="1" t="s">
        <v>520</v>
      </c>
      <c r="G171" s="1"/>
      <c r="H171" s="1"/>
      <c r="Q171" s="8"/>
      <c r="U171" s="7" t="str">
        <f t="shared" ca="1" si="4"/>
        <v/>
      </c>
      <c r="V171" s="7" t="str">
        <f t="shared" ca="1" si="5"/>
        <v/>
      </c>
      <c r="AA171" s="7" t="s">
        <v>614</v>
      </c>
    </row>
    <row r="172" spans="1:33">
      <c r="A172" s="1" t="s">
        <v>238</v>
      </c>
      <c r="D172" s="1" t="s">
        <v>239</v>
      </c>
      <c r="E172" s="1" t="s">
        <v>45</v>
      </c>
      <c r="F172" s="1"/>
      <c r="G172" s="1" t="s">
        <v>499</v>
      </c>
      <c r="H172" s="1"/>
      <c r="J172" s="7" t="s">
        <v>548</v>
      </c>
      <c r="Q172" s="8"/>
      <c r="T172" s="7" t="s">
        <v>550</v>
      </c>
      <c r="U172" s="7" t="str">
        <f t="shared" ca="1" si="4"/>
        <v/>
      </c>
      <c r="V172" s="7" t="str">
        <f t="shared" ca="1" si="5"/>
        <v/>
      </c>
      <c r="AA172" s="7" t="s">
        <v>499</v>
      </c>
      <c r="AE172" s="7" t="s">
        <v>552</v>
      </c>
    </row>
    <row r="173" spans="1:33" ht="29">
      <c r="A173" s="1" t="s">
        <v>240</v>
      </c>
      <c r="D173" s="1" t="s">
        <v>454</v>
      </c>
      <c r="E173" s="4" t="s">
        <v>455</v>
      </c>
      <c r="F173" s="1" t="s">
        <v>520</v>
      </c>
      <c r="G173" s="1"/>
      <c r="H173" s="1"/>
      <c r="Q173" s="8"/>
      <c r="U173" s="7" t="str">
        <f t="shared" ca="1" si="4"/>
        <v/>
      </c>
      <c r="V173" s="7" t="str">
        <f t="shared" ca="1" si="5"/>
        <v/>
      </c>
      <c r="AA173" s="7" t="s">
        <v>614</v>
      </c>
    </row>
    <row r="174" spans="1:33" ht="29">
      <c r="A174" s="1" t="s">
        <v>240</v>
      </c>
      <c r="D174" s="1" t="s">
        <v>699</v>
      </c>
      <c r="E174" s="1" t="s">
        <v>700</v>
      </c>
      <c r="F174" s="1"/>
      <c r="G174" s="1" t="s">
        <v>339</v>
      </c>
      <c r="H174" s="1"/>
      <c r="J174" s="7" t="s">
        <v>553</v>
      </c>
      <c r="Q174" s="8"/>
      <c r="U174" s="7" t="str">
        <f t="shared" ca="1" si="4"/>
        <v/>
      </c>
      <c r="V174" s="7" t="str">
        <f t="shared" ca="1" si="5"/>
        <v/>
      </c>
      <c r="AA174" s="7" t="s">
        <v>499</v>
      </c>
      <c r="AE174" s="7" t="s">
        <v>556</v>
      </c>
    </row>
    <row r="175" spans="1:33" ht="29">
      <c r="A175" s="1" t="s">
        <v>240</v>
      </c>
      <c r="D175" s="1" t="s">
        <v>701</v>
      </c>
      <c r="E175" s="1" t="s">
        <v>702</v>
      </c>
      <c r="F175" s="1"/>
      <c r="G175" s="1"/>
      <c r="H175" s="1"/>
      <c r="J175" s="7" t="s">
        <v>553</v>
      </c>
      <c r="Q175" s="8"/>
      <c r="U175" s="7" t="str">
        <f t="shared" ca="1" si="4"/>
        <v/>
      </c>
      <c r="V175" s="7" t="str">
        <f t="shared" ca="1" si="5"/>
        <v/>
      </c>
      <c r="AA175" s="7" t="s">
        <v>499</v>
      </c>
      <c r="AG175" t="s">
        <v>499</v>
      </c>
    </row>
    <row r="176" spans="1:33" ht="43.5">
      <c r="A176" s="1" t="s">
        <v>241</v>
      </c>
      <c r="D176" s="1" t="s">
        <v>703</v>
      </c>
      <c r="E176" s="1" t="s">
        <v>704</v>
      </c>
      <c r="F176" s="1"/>
      <c r="G176" s="1"/>
      <c r="H176" s="1" t="s">
        <v>507</v>
      </c>
      <c r="I176" t="s">
        <v>456</v>
      </c>
      <c r="J176" s="7" t="s">
        <v>548</v>
      </c>
      <c r="Q176" s="8"/>
      <c r="T176" s="7" t="s">
        <v>550</v>
      </c>
      <c r="U176" s="7" t="str">
        <f t="shared" ca="1" si="4"/>
        <v/>
      </c>
      <c r="V176" s="7" t="str">
        <f t="shared" ca="1" si="5"/>
        <v/>
      </c>
      <c r="AA176" s="7" t="s">
        <v>499</v>
      </c>
      <c r="AE176" s="7" t="s">
        <v>552</v>
      </c>
    </row>
    <row r="177" spans="1:33" ht="29">
      <c r="A177" s="1" t="s">
        <v>242</v>
      </c>
      <c r="D177" s="1" t="s">
        <v>457</v>
      </c>
      <c r="E177" s="1" t="s">
        <v>705</v>
      </c>
      <c r="F177" s="1"/>
      <c r="G177" s="1"/>
      <c r="H177" s="1" t="s">
        <v>339</v>
      </c>
      <c r="J177" s="7" t="s">
        <v>500</v>
      </c>
      <c r="K177" s="7">
        <v>0</v>
      </c>
      <c r="L177" s="7">
        <v>1</v>
      </c>
      <c r="M177" s="7">
        <v>4</v>
      </c>
      <c r="N177" s="7" t="s">
        <v>562</v>
      </c>
      <c r="O177" s="7" t="s">
        <v>542</v>
      </c>
      <c r="Q177" s="8"/>
      <c r="S177" s="7">
        <v>3713</v>
      </c>
      <c r="U177" s="7" t="str">
        <f t="shared" ca="1" si="4"/>
        <v/>
      </c>
      <c r="V177" s="7" t="str">
        <f t="shared" ca="1" si="5"/>
        <v/>
      </c>
      <c r="AA177" s="7" t="s">
        <v>499</v>
      </c>
      <c r="AG177" t="s">
        <v>506</v>
      </c>
    </row>
    <row r="178" spans="1:33">
      <c r="A178" s="1" t="s">
        <v>243</v>
      </c>
      <c r="D178" s="1" t="s">
        <v>244</v>
      </c>
      <c r="E178" s="1" t="s">
        <v>245</v>
      </c>
      <c r="F178" s="1" t="s">
        <v>498</v>
      </c>
      <c r="G178" s="1"/>
      <c r="H178" s="1"/>
      <c r="Q178" s="8"/>
      <c r="U178" s="7" t="str">
        <f t="shared" ca="1" si="4"/>
        <v/>
      </c>
      <c r="V178" s="7" t="str">
        <f t="shared" ca="1" si="5"/>
        <v/>
      </c>
      <c r="AA178" s="7" t="s">
        <v>614</v>
      </c>
    </row>
    <row r="179" spans="1:33" ht="29">
      <c r="A179" s="1" t="s">
        <v>246</v>
      </c>
      <c r="D179" s="1" t="s">
        <v>706</v>
      </c>
      <c r="E179" s="1" t="s">
        <v>707</v>
      </c>
      <c r="F179" s="1"/>
      <c r="G179" s="1"/>
      <c r="H179" s="1"/>
      <c r="I179" t="s">
        <v>777</v>
      </c>
      <c r="J179" s="7" t="s">
        <v>500</v>
      </c>
      <c r="K179" s="7">
        <v>0</v>
      </c>
      <c r="L179" s="7">
        <v>1</v>
      </c>
      <c r="M179" s="7">
        <v>2</v>
      </c>
      <c r="N179" s="7" t="s">
        <v>564</v>
      </c>
      <c r="O179" s="7" t="s">
        <v>550</v>
      </c>
      <c r="Q179" s="8"/>
      <c r="S179" s="7">
        <v>903</v>
      </c>
      <c r="U179" s="7" t="str">
        <f t="shared" ca="1" si="4"/>
        <v/>
      </c>
      <c r="V179" s="7" t="str">
        <f t="shared" ca="1" si="5"/>
        <v/>
      </c>
      <c r="W179" s="7" t="s">
        <v>544</v>
      </c>
      <c r="AA179" s="7" t="s">
        <v>499</v>
      </c>
      <c r="AG179" t="s">
        <v>499</v>
      </c>
    </row>
    <row r="180" spans="1:33" ht="29">
      <c r="A180" s="1" t="s">
        <v>246</v>
      </c>
      <c r="D180" s="1" t="s">
        <v>709</v>
      </c>
      <c r="E180" s="1" t="s">
        <v>708</v>
      </c>
      <c r="F180" s="1"/>
      <c r="G180" s="1"/>
      <c r="H180" s="1" t="s">
        <v>499</v>
      </c>
      <c r="J180" s="7" t="s">
        <v>548</v>
      </c>
      <c r="Q180" s="8"/>
      <c r="T180" s="7">
        <f>74-19277</f>
        <v>-19203</v>
      </c>
      <c r="U180" s="7">
        <f t="shared" ca="1" si="4"/>
        <v>19277</v>
      </c>
      <c r="V180" s="7">
        <f t="shared" ca="1" si="5"/>
        <v>74</v>
      </c>
      <c r="AA180" s="7" t="s">
        <v>499</v>
      </c>
    </row>
    <row r="181" spans="1:33">
      <c r="A181" s="1" t="s">
        <v>247</v>
      </c>
      <c r="D181" t="s">
        <v>710</v>
      </c>
      <c r="E181" t="s">
        <v>711</v>
      </c>
      <c r="F181" s="1"/>
      <c r="G181" s="1"/>
      <c r="H181" s="1"/>
      <c r="J181" s="7" t="s">
        <v>548</v>
      </c>
      <c r="Q181" s="8"/>
      <c r="U181" s="7" t="str">
        <f t="shared" ca="1" si="4"/>
        <v/>
      </c>
      <c r="V181" s="7" t="str">
        <f t="shared" ca="1" si="5"/>
        <v/>
      </c>
      <c r="AA181" s="7" t="s">
        <v>499</v>
      </c>
      <c r="AG181" t="s">
        <v>506</v>
      </c>
    </row>
    <row r="182" spans="1:33">
      <c r="A182" s="1" t="s">
        <v>247</v>
      </c>
      <c r="D182" s="1" t="s">
        <v>248</v>
      </c>
      <c r="E182" s="1" t="s">
        <v>244</v>
      </c>
      <c r="F182" s="1" t="s">
        <v>508</v>
      </c>
      <c r="G182" s="1"/>
      <c r="H182" s="1" t="s">
        <v>339</v>
      </c>
      <c r="Q182" s="8"/>
      <c r="U182" s="7" t="str">
        <f t="shared" ca="1" si="4"/>
        <v/>
      </c>
      <c r="V182" s="7" t="str">
        <f t="shared" ca="1" si="5"/>
        <v/>
      </c>
      <c r="AA182" s="7" t="s">
        <v>614</v>
      </c>
    </row>
    <row r="183" spans="1:33">
      <c r="A183" s="1" t="s">
        <v>247</v>
      </c>
      <c r="D183" s="1" t="s">
        <v>249</v>
      </c>
      <c r="E183" s="1" t="s">
        <v>250</v>
      </c>
      <c r="F183" s="1" t="s">
        <v>508</v>
      </c>
      <c r="G183" s="1"/>
      <c r="H183" s="1" t="s">
        <v>339</v>
      </c>
      <c r="Q183" s="8"/>
      <c r="U183" s="7" t="str">
        <f t="shared" ca="1" si="4"/>
        <v/>
      </c>
      <c r="V183" s="7" t="str">
        <f t="shared" ca="1" si="5"/>
        <v/>
      </c>
      <c r="AA183" s="7" t="s">
        <v>614</v>
      </c>
    </row>
    <row r="184" spans="1:33">
      <c r="A184" s="1" t="s">
        <v>251</v>
      </c>
      <c r="D184" s="1" t="s">
        <v>458</v>
      </c>
      <c r="E184" s="1" t="s">
        <v>459</v>
      </c>
      <c r="F184" s="1"/>
      <c r="G184" s="1"/>
      <c r="H184" s="1"/>
      <c r="I184" t="s">
        <v>778</v>
      </c>
      <c r="J184" s="7" t="s">
        <v>504</v>
      </c>
      <c r="K184" s="7">
        <v>0</v>
      </c>
      <c r="L184" s="7">
        <v>1</v>
      </c>
      <c r="M184" s="7">
        <v>1</v>
      </c>
      <c r="N184" s="7" t="s">
        <v>541</v>
      </c>
      <c r="O184" s="7" t="s">
        <v>550</v>
      </c>
      <c r="Q184" s="8"/>
      <c r="S184" s="7">
        <v>19277</v>
      </c>
      <c r="U184" s="7" t="str">
        <f t="shared" ca="1" si="4"/>
        <v/>
      </c>
      <c r="V184" s="7" t="str">
        <f t="shared" ca="1" si="5"/>
        <v/>
      </c>
      <c r="W184" s="7" t="s">
        <v>544</v>
      </c>
      <c r="AA184" s="7" t="s">
        <v>499</v>
      </c>
      <c r="AG184" t="s">
        <v>499</v>
      </c>
    </row>
    <row r="185" spans="1:33">
      <c r="A185" s="1" t="s">
        <v>252</v>
      </c>
      <c r="D185" s="1" t="s">
        <v>712</v>
      </c>
      <c r="E185" s="1" t="s">
        <v>713</v>
      </c>
      <c r="F185" s="1"/>
      <c r="G185" s="1"/>
      <c r="H185" s="1" t="s">
        <v>499</v>
      </c>
      <c r="J185" s="7" t="s">
        <v>553</v>
      </c>
      <c r="Q185" s="8"/>
      <c r="U185" s="7" t="str">
        <f t="shared" ca="1" si="4"/>
        <v/>
      </c>
      <c r="V185" s="7" t="str">
        <f t="shared" ca="1" si="5"/>
        <v/>
      </c>
      <c r="AA185" s="7" t="s">
        <v>499</v>
      </c>
      <c r="AE185" s="7" t="s">
        <v>540</v>
      </c>
    </row>
    <row r="186" spans="1:33" ht="43.5">
      <c r="A186" s="1" t="s">
        <v>253</v>
      </c>
      <c r="D186" s="1" t="s">
        <v>460</v>
      </c>
      <c r="E186" s="1" t="s">
        <v>461</v>
      </c>
      <c r="F186" s="1"/>
      <c r="G186" s="1"/>
      <c r="H186" s="1"/>
      <c r="I186" t="s">
        <v>462</v>
      </c>
      <c r="J186" s="7" t="s">
        <v>504</v>
      </c>
      <c r="K186" s="7">
        <v>0</v>
      </c>
      <c r="L186" s="7">
        <v>3</v>
      </c>
      <c r="M186" s="7">
        <v>14</v>
      </c>
      <c r="O186" s="7" t="s">
        <v>536</v>
      </c>
      <c r="P186" s="7" t="s">
        <v>594</v>
      </c>
      <c r="Q186" s="8" t="s">
        <v>714</v>
      </c>
      <c r="S186" s="7">
        <v>367</v>
      </c>
      <c r="U186" s="7" t="str">
        <f t="shared" ca="1" si="4"/>
        <v/>
      </c>
      <c r="V186" s="7" t="str">
        <f t="shared" ca="1" si="5"/>
        <v/>
      </c>
      <c r="AA186" s="7" t="s">
        <v>499</v>
      </c>
      <c r="AG186" t="s">
        <v>506</v>
      </c>
    </row>
    <row r="187" spans="1:33" ht="43.5">
      <c r="A187" s="1" t="s">
        <v>463</v>
      </c>
      <c r="D187" s="1" t="s">
        <v>715</v>
      </c>
      <c r="E187" s="1" t="s">
        <v>716</v>
      </c>
      <c r="F187" s="1"/>
      <c r="G187" s="1"/>
      <c r="H187" s="1"/>
      <c r="J187" s="7" t="s">
        <v>500</v>
      </c>
      <c r="K187" s="7">
        <v>0</v>
      </c>
      <c r="L187" s="7">
        <v>2</v>
      </c>
      <c r="M187" s="7">
        <v>11</v>
      </c>
      <c r="O187" s="7" t="s">
        <v>536</v>
      </c>
      <c r="P187" s="7" t="s">
        <v>594</v>
      </c>
      <c r="Q187" s="7">
        <v>7</v>
      </c>
      <c r="R187" s="7" t="s">
        <v>543</v>
      </c>
      <c r="S187" s="7" t="s">
        <v>550</v>
      </c>
      <c r="U187" s="7" t="str">
        <f t="shared" ref="U187:U246" ca="1" si="6">IF(ISNUMBER(T187),VALUE(MID(_xlfn.FORMULATEXT(T187),SEARCH("-",_xlfn.FORMULATEXT(T187))+1,LEN(_xlfn.FORMULATEXT(T187))-SEARCH("-",_xlfn.FORMULATEXT(T187)))), "")</f>
        <v/>
      </c>
      <c r="V187" s="7" t="str">
        <f t="shared" ref="V187:V246" ca="1" si="7">IF(ISNUMBER(T187), VALUE(MID(_xlfn.FORMULATEXT(T187), 2, SEARCH("-", _xlfn.FORMULATEXT(T187)) - 2)), "")</f>
        <v/>
      </c>
      <c r="AA187" s="7" t="s">
        <v>499</v>
      </c>
      <c r="AE187" s="7" t="s">
        <v>540</v>
      </c>
    </row>
    <row r="188" spans="1:33">
      <c r="A188" s="1" t="s">
        <v>254</v>
      </c>
      <c r="D188" s="1" t="s">
        <v>464</v>
      </c>
      <c r="E188" s="1" t="s">
        <v>465</v>
      </c>
      <c r="F188" s="1"/>
      <c r="G188" s="1"/>
      <c r="H188" s="1"/>
      <c r="J188" s="7" t="s">
        <v>504</v>
      </c>
      <c r="K188" s="7">
        <v>0</v>
      </c>
      <c r="L188" s="7">
        <v>1</v>
      </c>
      <c r="M188" s="7">
        <v>2</v>
      </c>
      <c r="N188" s="7" t="s">
        <v>541</v>
      </c>
      <c r="O188" s="7" t="s">
        <v>550</v>
      </c>
      <c r="Q188" s="8"/>
      <c r="S188" s="7">
        <v>19277</v>
      </c>
      <c r="U188" s="7" t="str">
        <f t="shared" ca="1" si="6"/>
        <v/>
      </c>
      <c r="V188" s="7" t="str">
        <f t="shared" ca="1" si="7"/>
        <v/>
      </c>
      <c r="AA188" s="7" t="s">
        <v>499</v>
      </c>
      <c r="AG188" t="s">
        <v>499</v>
      </c>
    </row>
    <row r="189" spans="1:33">
      <c r="A189" s="1" t="s">
        <v>254</v>
      </c>
      <c r="D189" s="1" t="s">
        <v>255</v>
      </c>
      <c r="E189" s="1" t="s">
        <v>256</v>
      </c>
      <c r="F189" s="1"/>
      <c r="G189" s="1"/>
      <c r="H189" s="1"/>
      <c r="J189" s="7" t="s">
        <v>553</v>
      </c>
      <c r="Q189" s="8"/>
      <c r="U189" s="7" t="str">
        <f t="shared" ca="1" si="6"/>
        <v/>
      </c>
      <c r="V189" s="7" t="str">
        <f t="shared" ca="1" si="7"/>
        <v/>
      </c>
      <c r="AA189" s="7" t="s">
        <v>499</v>
      </c>
      <c r="AG189" t="s">
        <v>506</v>
      </c>
    </row>
    <row r="190" spans="1:33">
      <c r="A190" s="1" t="s">
        <v>254</v>
      </c>
      <c r="D190" s="1" t="s">
        <v>466</v>
      </c>
      <c r="E190" s="1" t="s">
        <v>467</v>
      </c>
      <c r="F190" s="1"/>
      <c r="G190" s="1"/>
      <c r="H190" s="1"/>
      <c r="J190" s="7" t="s">
        <v>548</v>
      </c>
      <c r="Q190" s="8"/>
      <c r="T190" s="7">
        <f>0-11</f>
        <v>-11</v>
      </c>
      <c r="U190" s="7">
        <f t="shared" ca="1" si="6"/>
        <v>11</v>
      </c>
      <c r="V190" s="7">
        <f t="shared" ca="1" si="7"/>
        <v>0</v>
      </c>
      <c r="AA190" s="7" t="s">
        <v>499</v>
      </c>
      <c r="AE190" s="7" t="s">
        <v>547</v>
      </c>
    </row>
    <row r="191" spans="1:33" ht="29">
      <c r="A191" s="1" t="s">
        <v>257</v>
      </c>
      <c r="D191" s="1" t="s">
        <v>468</v>
      </c>
      <c r="E191" s="1" t="s">
        <v>469</v>
      </c>
      <c r="F191" s="1"/>
      <c r="G191" s="1"/>
      <c r="H191" s="1"/>
      <c r="J191" s="7" t="s">
        <v>548</v>
      </c>
      <c r="Q191" s="8"/>
      <c r="T191" s="7">
        <f>105-1220</f>
        <v>-1115</v>
      </c>
      <c r="U191" s="7">
        <f t="shared" ca="1" si="6"/>
        <v>1220</v>
      </c>
      <c r="V191" s="7">
        <f t="shared" ca="1" si="7"/>
        <v>105</v>
      </c>
      <c r="AA191" s="7" t="s">
        <v>499</v>
      </c>
      <c r="AG191" t="s">
        <v>506</v>
      </c>
    </row>
    <row r="192" spans="1:33">
      <c r="A192" s="1" t="s">
        <v>258</v>
      </c>
      <c r="D192" s="1" t="s">
        <v>259</v>
      </c>
      <c r="E192" s="1" t="s">
        <v>260</v>
      </c>
      <c r="F192" s="1"/>
      <c r="G192" s="1" t="s">
        <v>339</v>
      </c>
      <c r="H192" s="1"/>
      <c r="J192" s="7" t="s">
        <v>553</v>
      </c>
      <c r="Q192" s="8"/>
      <c r="U192" s="7" t="str">
        <f t="shared" ca="1" si="6"/>
        <v/>
      </c>
      <c r="V192" s="7" t="str">
        <f t="shared" ca="1" si="7"/>
        <v/>
      </c>
      <c r="AA192" s="7" t="s">
        <v>499</v>
      </c>
      <c r="AE192" s="7" t="s">
        <v>552</v>
      </c>
    </row>
    <row r="193" spans="1:33">
      <c r="A193" s="1" t="s">
        <v>261</v>
      </c>
      <c r="D193" s="1" t="s">
        <v>262</v>
      </c>
      <c r="E193" s="1" t="s">
        <v>470</v>
      </c>
      <c r="F193" s="1" t="s">
        <v>508</v>
      </c>
      <c r="G193" s="1"/>
      <c r="H193" s="1"/>
      <c r="Q193" s="8"/>
      <c r="U193" s="7" t="str">
        <f t="shared" ca="1" si="6"/>
        <v/>
      </c>
      <c r="V193" s="7" t="str">
        <f t="shared" ca="1" si="7"/>
        <v/>
      </c>
      <c r="AA193" s="7" t="s">
        <v>614</v>
      </c>
    </row>
    <row r="194" spans="1:33">
      <c r="A194" s="1" t="s">
        <v>261</v>
      </c>
      <c r="D194" s="1" t="s">
        <v>717</v>
      </c>
      <c r="E194" s="1" t="s">
        <v>718</v>
      </c>
      <c r="F194" s="1"/>
      <c r="G194" s="1" t="s">
        <v>339</v>
      </c>
      <c r="H194" s="1"/>
      <c r="J194" s="7" t="s">
        <v>548</v>
      </c>
      <c r="Q194" s="8"/>
      <c r="T194" s="7" t="s">
        <v>550</v>
      </c>
      <c r="U194" s="7" t="str">
        <f t="shared" ca="1" si="6"/>
        <v/>
      </c>
      <c r="V194" s="7" t="str">
        <f t="shared" ca="1" si="7"/>
        <v/>
      </c>
      <c r="AA194" s="7" t="s">
        <v>499</v>
      </c>
      <c r="AE194" s="7" t="s">
        <v>540</v>
      </c>
    </row>
    <row r="195" spans="1:33">
      <c r="A195" s="1" t="s">
        <v>261</v>
      </c>
      <c r="D195" s="1" t="s">
        <v>471</v>
      </c>
      <c r="E195" s="1" t="s">
        <v>472</v>
      </c>
      <c r="F195" s="1"/>
      <c r="G195" s="1"/>
      <c r="H195" s="1"/>
      <c r="J195" s="7" t="s">
        <v>500</v>
      </c>
      <c r="K195" s="7">
        <v>0</v>
      </c>
      <c r="L195" s="7">
        <v>1</v>
      </c>
      <c r="M195" s="7">
        <v>2</v>
      </c>
      <c r="N195" s="7" t="s">
        <v>541</v>
      </c>
      <c r="O195" s="7" t="s">
        <v>550</v>
      </c>
      <c r="Q195" s="8"/>
      <c r="S195" s="7">
        <v>19277</v>
      </c>
      <c r="U195" s="7" t="str">
        <f t="shared" ca="1" si="6"/>
        <v/>
      </c>
      <c r="V195" s="7" t="str">
        <f t="shared" ca="1" si="7"/>
        <v/>
      </c>
      <c r="AA195" s="7" t="s">
        <v>499</v>
      </c>
      <c r="AG195" t="s">
        <v>506</v>
      </c>
    </row>
    <row r="196" spans="1:33" ht="43.5">
      <c r="A196" s="1" t="s">
        <v>263</v>
      </c>
      <c r="D196" s="1" t="s">
        <v>719</v>
      </c>
      <c r="E196" s="1" t="s">
        <v>720</v>
      </c>
      <c r="F196" s="1"/>
      <c r="G196" s="1"/>
      <c r="H196" s="1" t="s">
        <v>507</v>
      </c>
      <c r="J196" s="7" t="s">
        <v>548</v>
      </c>
      <c r="Q196" s="8"/>
      <c r="T196" s="7" t="s">
        <v>550</v>
      </c>
      <c r="U196" s="7" t="str">
        <f t="shared" ca="1" si="6"/>
        <v/>
      </c>
      <c r="V196" s="7" t="str">
        <f t="shared" ca="1" si="7"/>
        <v/>
      </c>
      <c r="AA196" s="7" t="s">
        <v>499</v>
      </c>
      <c r="AE196" s="7" t="s">
        <v>540</v>
      </c>
    </row>
    <row r="197" spans="1:33">
      <c r="A197" s="1" t="s">
        <v>263</v>
      </c>
      <c r="D197" s="1" t="s">
        <v>264</v>
      </c>
      <c r="E197" s="1" t="s">
        <v>265</v>
      </c>
      <c r="F197" s="1" t="s">
        <v>590</v>
      </c>
      <c r="G197" s="1"/>
      <c r="H197" s="1" t="s">
        <v>339</v>
      </c>
      <c r="J197" s="7" t="s">
        <v>548</v>
      </c>
      <c r="Q197" s="8"/>
      <c r="R197" s="7" t="s">
        <v>537</v>
      </c>
      <c r="T197" s="7" t="s">
        <v>550</v>
      </c>
      <c r="U197" s="7" t="str">
        <f t="shared" ca="1" si="6"/>
        <v/>
      </c>
      <c r="V197" s="7" t="str">
        <f t="shared" ca="1" si="7"/>
        <v/>
      </c>
      <c r="AA197" s="7" t="s">
        <v>499</v>
      </c>
      <c r="AE197" s="7" t="s">
        <v>540</v>
      </c>
    </row>
    <row r="198" spans="1:33">
      <c r="A198" s="1" t="s">
        <v>266</v>
      </c>
      <c r="D198" s="1" t="s">
        <v>267</v>
      </c>
      <c r="E198" s="1" t="s">
        <v>473</v>
      </c>
      <c r="F198" s="1" t="s">
        <v>508</v>
      </c>
      <c r="G198" s="1"/>
      <c r="H198" s="1"/>
      <c r="Q198" s="8"/>
      <c r="U198" s="7" t="str">
        <f t="shared" ca="1" si="6"/>
        <v/>
      </c>
      <c r="V198" s="7" t="str">
        <f t="shared" ca="1" si="7"/>
        <v/>
      </c>
      <c r="AA198" s="7" t="s">
        <v>614</v>
      </c>
    </row>
    <row r="199" spans="1:33" ht="29">
      <c r="A199" s="1" t="s">
        <v>268</v>
      </c>
      <c r="D199" s="1" t="s">
        <v>721</v>
      </c>
      <c r="E199" s="1" t="s">
        <v>722</v>
      </c>
      <c r="F199" s="1"/>
      <c r="G199" s="1"/>
      <c r="H199" s="1" t="s">
        <v>339</v>
      </c>
      <c r="J199" s="7" t="s">
        <v>553</v>
      </c>
      <c r="Q199" s="8"/>
      <c r="U199" s="7" t="str">
        <f t="shared" ca="1" si="6"/>
        <v/>
      </c>
      <c r="V199" s="7" t="str">
        <f t="shared" ca="1" si="7"/>
        <v/>
      </c>
      <c r="AA199" s="7" t="s">
        <v>499</v>
      </c>
      <c r="AE199" s="7" t="s">
        <v>547</v>
      </c>
    </row>
    <row r="200" spans="1:33" ht="29">
      <c r="A200" s="1" t="s">
        <v>269</v>
      </c>
      <c r="D200" s="1" t="s">
        <v>723</v>
      </c>
      <c r="E200" s="1" t="s">
        <v>724</v>
      </c>
      <c r="F200" s="1"/>
      <c r="G200" s="1"/>
      <c r="H200" s="1" t="s">
        <v>339</v>
      </c>
      <c r="J200" s="7" t="s">
        <v>548</v>
      </c>
      <c r="Q200" s="8"/>
      <c r="R200" s="7" t="s">
        <v>537</v>
      </c>
      <c r="T200" s="7" t="s">
        <v>550</v>
      </c>
      <c r="U200" s="7" t="str">
        <f t="shared" ca="1" si="6"/>
        <v/>
      </c>
      <c r="V200" s="7" t="str">
        <f t="shared" ca="1" si="7"/>
        <v/>
      </c>
      <c r="AA200" s="7" t="s">
        <v>499</v>
      </c>
      <c r="AE200" s="7" t="s">
        <v>540</v>
      </c>
    </row>
    <row r="201" spans="1:33">
      <c r="A201" s="1" t="s">
        <v>270</v>
      </c>
      <c r="D201" s="1" t="s">
        <v>725</v>
      </c>
      <c r="E201" s="1" t="s">
        <v>726</v>
      </c>
      <c r="F201" s="1"/>
      <c r="G201" s="1"/>
      <c r="H201" s="1" t="s">
        <v>339</v>
      </c>
      <c r="J201" s="7" t="s">
        <v>553</v>
      </c>
      <c r="Q201" s="8"/>
      <c r="U201" s="7" t="str">
        <f t="shared" ca="1" si="6"/>
        <v/>
      </c>
      <c r="V201" s="7" t="str">
        <f t="shared" ca="1" si="7"/>
        <v/>
      </c>
      <c r="AA201" s="7" t="s">
        <v>499</v>
      </c>
      <c r="AE201" s="7" t="s">
        <v>547</v>
      </c>
    </row>
    <row r="202" spans="1:33">
      <c r="A202" s="1" t="s">
        <v>271</v>
      </c>
      <c r="D202" s="1" t="s">
        <v>727</v>
      </c>
      <c r="E202" s="1" t="s">
        <v>728</v>
      </c>
      <c r="F202" s="1"/>
      <c r="G202" s="1"/>
      <c r="H202" s="1" t="s">
        <v>339</v>
      </c>
      <c r="J202" s="7" t="s">
        <v>553</v>
      </c>
      <c r="Q202" s="8"/>
      <c r="U202" s="7" t="str">
        <f t="shared" ca="1" si="6"/>
        <v/>
      </c>
      <c r="V202" s="7" t="str">
        <f t="shared" ca="1" si="7"/>
        <v/>
      </c>
      <c r="AA202" s="7" t="s">
        <v>499</v>
      </c>
      <c r="AG202" t="s">
        <v>506</v>
      </c>
    </row>
    <row r="203" spans="1:33">
      <c r="A203" s="1" t="s">
        <v>272</v>
      </c>
      <c r="D203" s="1" t="s">
        <v>273</v>
      </c>
      <c r="E203" s="1" t="s">
        <v>474</v>
      </c>
      <c r="F203" s="1" t="s">
        <v>590</v>
      </c>
      <c r="G203" s="1"/>
      <c r="H203" s="1" t="s">
        <v>339</v>
      </c>
      <c r="J203" s="7" t="s">
        <v>548</v>
      </c>
      <c r="Q203" s="8"/>
      <c r="R203" s="7" t="s">
        <v>537</v>
      </c>
      <c r="T203" s="7" t="s">
        <v>550</v>
      </c>
      <c r="U203" s="7" t="str">
        <f t="shared" ca="1" si="6"/>
        <v/>
      </c>
      <c r="V203" s="7" t="str">
        <f t="shared" ca="1" si="7"/>
        <v/>
      </c>
      <c r="AA203" s="7" t="s">
        <v>499</v>
      </c>
      <c r="AE203" s="7" t="s">
        <v>540</v>
      </c>
    </row>
    <row r="204" spans="1:33">
      <c r="A204" s="1" t="s">
        <v>274</v>
      </c>
      <c r="D204" s="1" t="s">
        <v>275</v>
      </c>
      <c r="E204" s="1" t="s">
        <v>475</v>
      </c>
      <c r="F204" s="1"/>
      <c r="G204" s="1"/>
      <c r="H204" s="1" t="s">
        <v>339</v>
      </c>
      <c r="J204" s="7" t="s">
        <v>548</v>
      </c>
      <c r="Q204" s="8"/>
      <c r="T204" s="7" t="s">
        <v>550</v>
      </c>
      <c r="U204" s="7" t="str">
        <f t="shared" ca="1" si="6"/>
        <v/>
      </c>
      <c r="V204" s="7" t="str">
        <f t="shared" ca="1" si="7"/>
        <v/>
      </c>
      <c r="AA204" s="7" t="s">
        <v>499</v>
      </c>
      <c r="AC204" s="7" t="s">
        <v>788</v>
      </c>
      <c r="AD204" s="7" t="s">
        <v>499</v>
      </c>
      <c r="AE204" s="7" t="s">
        <v>540</v>
      </c>
    </row>
    <row r="205" spans="1:33" ht="29">
      <c r="A205" s="1" t="s">
        <v>274</v>
      </c>
      <c r="D205" s="1" t="s">
        <v>729</v>
      </c>
      <c r="E205" s="1" t="s">
        <v>730</v>
      </c>
      <c r="F205" s="1" t="s">
        <v>501</v>
      </c>
      <c r="G205" s="1"/>
      <c r="H205" s="1"/>
      <c r="I205" t="s">
        <v>476</v>
      </c>
      <c r="J205" s="7" t="s">
        <v>504</v>
      </c>
      <c r="K205" s="7">
        <v>0</v>
      </c>
      <c r="L205" s="7">
        <v>1</v>
      </c>
      <c r="M205" s="7">
        <v>3</v>
      </c>
      <c r="N205" s="7" t="s">
        <v>554</v>
      </c>
      <c r="O205" s="7" t="s">
        <v>542</v>
      </c>
      <c r="Q205" s="8"/>
      <c r="S205" s="7">
        <v>11721</v>
      </c>
      <c r="U205" s="7" t="str">
        <f t="shared" ca="1" si="6"/>
        <v/>
      </c>
      <c r="V205" s="7" t="str">
        <f t="shared" ca="1" si="7"/>
        <v/>
      </c>
      <c r="AA205" s="7" t="s">
        <v>499</v>
      </c>
      <c r="AG205" t="s">
        <v>506</v>
      </c>
    </row>
    <row r="206" spans="1:33">
      <c r="A206" s="1" t="s">
        <v>274</v>
      </c>
      <c r="D206" s="1" t="s">
        <v>276</v>
      </c>
      <c r="E206" s="1" t="s">
        <v>477</v>
      </c>
      <c r="F206" s="1"/>
      <c r="G206" s="1"/>
      <c r="H206" s="1" t="s">
        <v>339</v>
      </c>
      <c r="J206" s="7" t="s">
        <v>548</v>
      </c>
      <c r="Q206" s="8"/>
      <c r="T206" s="7" t="s">
        <v>550</v>
      </c>
      <c r="U206" s="7" t="str">
        <f t="shared" ca="1" si="6"/>
        <v/>
      </c>
      <c r="V206" s="7" t="str">
        <f t="shared" ca="1" si="7"/>
        <v/>
      </c>
      <c r="AA206" s="7" t="s">
        <v>499</v>
      </c>
      <c r="AE206" s="7" t="s">
        <v>540</v>
      </c>
    </row>
    <row r="207" spans="1:33" ht="29">
      <c r="A207" s="1" t="s">
        <v>277</v>
      </c>
      <c r="D207" s="1" t="s">
        <v>731</v>
      </c>
      <c r="E207" s="1" t="s">
        <v>732</v>
      </c>
      <c r="F207" s="1" t="s">
        <v>590</v>
      </c>
      <c r="G207" s="1"/>
      <c r="H207" s="1" t="s">
        <v>339</v>
      </c>
      <c r="J207" s="7" t="s">
        <v>500</v>
      </c>
      <c r="K207" s="7">
        <v>0</v>
      </c>
      <c r="L207" s="7">
        <v>1</v>
      </c>
      <c r="M207" s="7">
        <v>6</v>
      </c>
      <c r="N207" s="7" t="s">
        <v>560</v>
      </c>
      <c r="O207" s="7" t="s">
        <v>536</v>
      </c>
      <c r="P207" s="7" t="s">
        <v>736</v>
      </c>
      <c r="Q207" s="8" t="s">
        <v>735</v>
      </c>
      <c r="R207" s="7" t="s">
        <v>537</v>
      </c>
      <c r="S207" s="7" t="s">
        <v>550</v>
      </c>
      <c r="U207" s="7" t="str">
        <f t="shared" ca="1" si="6"/>
        <v/>
      </c>
      <c r="V207" s="7" t="str">
        <f t="shared" ca="1" si="7"/>
        <v/>
      </c>
      <c r="AA207" s="7" t="s">
        <v>499</v>
      </c>
      <c r="AE207" s="7" t="s">
        <v>540</v>
      </c>
    </row>
    <row r="208" spans="1:33">
      <c r="A208" s="1" t="s">
        <v>278</v>
      </c>
      <c r="D208" s="1" t="s">
        <v>733</v>
      </c>
      <c r="E208" s="1" t="s">
        <v>734</v>
      </c>
      <c r="F208" s="1" t="s">
        <v>590</v>
      </c>
      <c r="G208" s="1"/>
      <c r="H208" s="1" t="s">
        <v>339</v>
      </c>
      <c r="J208" s="7" t="s">
        <v>500</v>
      </c>
      <c r="K208" s="7">
        <v>0</v>
      </c>
      <c r="L208" s="7">
        <v>1</v>
      </c>
      <c r="M208" s="7">
        <v>4</v>
      </c>
      <c r="N208" s="7" t="s">
        <v>562</v>
      </c>
      <c r="O208" s="7" t="s">
        <v>536</v>
      </c>
      <c r="P208" s="7" t="s">
        <v>645</v>
      </c>
      <c r="Q208" s="8" t="s">
        <v>649</v>
      </c>
      <c r="R208" s="7" t="s">
        <v>537</v>
      </c>
      <c r="S208" s="7">
        <v>3713</v>
      </c>
      <c r="U208" s="7" t="str">
        <f t="shared" ca="1" si="6"/>
        <v/>
      </c>
      <c r="V208" s="7" t="str">
        <f t="shared" ca="1" si="7"/>
        <v/>
      </c>
      <c r="AA208" s="7" t="s">
        <v>499</v>
      </c>
      <c r="AE208" s="7" t="s">
        <v>547</v>
      </c>
    </row>
    <row r="209" spans="1:33" ht="29">
      <c r="A209" s="1" t="s">
        <v>278</v>
      </c>
      <c r="D209" s="1" t="s">
        <v>737</v>
      </c>
      <c r="E209" s="1" t="s">
        <v>738</v>
      </c>
      <c r="F209" s="1" t="s">
        <v>501</v>
      </c>
      <c r="G209" s="1"/>
      <c r="H209" s="1" t="s">
        <v>339</v>
      </c>
      <c r="I209" t="s">
        <v>476</v>
      </c>
      <c r="J209" s="7" t="s">
        <v>553</v>
      </c>
      <c r="Q209" s="8"/>
      <c r="U209" s="7" t="str">
        <f t="shared" ca="1" si="6"/>
        <v/>
      </c>
      <c r="V209" s="7" t="str">
        <f t="shared" ca="1" si="7"/>
        <v/>
      </c>
      <c r="AA209" s="7" t="s">
        <v>499</v>
      </c>
      <c r="AE209" s="7" t="s">
        <v>547</v>
      </c>
    </row>
    <row r="210" spans="1:33" ht="29">
      <c r="A210" s="1" t="s">
        <v>278</v>
      </c>
      <c r="D210" s="1" t="s">
        <v>739</v>
      </c>
      <c r="E210" s="1" t="s">
        <v>740</v>
      </c>
      <c r="F210" s="1" t="s">
        <v>501</v>
      </c>
      <c r="G210" s="1"/>
      <c r="H210" s="1"/>
      <c r="I210" t="s">
        <v>476</v>
      </c>
      <c r="J210" s="7" t="s">
        <v>553</v>
      </c>
      <c r="Q210" s="8"/>
      <c r="U210" s="7" t="str">
        <f t="shared" ca="1" si="6"/>
        <v/>
      </c>
      <c r="V210" s="7" t="str">
        <f t="shared" ca="1" si="7"/>
        <v/>
      </c>
      <c r="AA210" s="7" t="s">
        <v>499</v>
      </c>
      <c r="AG210" t="s">
        <v>499</v>
      </c>
    </row>
    <row r="211" spans="1:33">
      <c r="A211" s="1" t="s">
        <v>279</v>
      </c>
      <c r="D211" s="1" t="s">
        <v>280</v>
      </c>
      <c r="E211" s="1" t="s">
        <v>478</v>
      </c>
      <c r="F211" s="1"/>
      <c r="G211" s="1"/>
      <c r="H211" s="1" t="s">
        <v>339</v>
      </c>
      <c r="J211" s="7" t="s">
        <v>548</v>
      </c>
      <c r="Q211" s="8"/>
      <c r="T211" s="7" t="s">
        <v>583</v>
      </c>
      <c r="U211" s="7" t="str">
        <f t="shared" ca="1" si="6"/>
        <v/>
      </c>
      <c r="V211" s="7" t="str">
        <f t="shared" ca="1" si="7"/>
        <v/>
      </c>
      <c r="AA211" s="7" t="s">
        <v>499</v>
      </c>
      <c r="AE211" s="7" t="s">
        <v>540</v>
      </c>
    </row>
    <row r="212" spans="1:33" ht="29">
      <c r="A212" s="1" t="s">
        <v>279</v>
      </c>
      <c r="D212" s="1" t="s">
        <v>741</v>
      </c>
      <c r="E212" s="1" t="s">
        <v>742</v>
      </c>
      <c r="F212" s="1"/>
      <c r="G212" s="1" t="s">
        <v>499</v>
      </c>
      <c r="H212" s="1"/>
      <c r="I212" s="9" t="s">
        <v>743</v>
      </c>
      <c r="J212" s="7" t="s">
        <v>548</v>
      </c>
      <c r="Q212" s="8"/>
      <c r="T212" s="7">
        <f>34-1908</f>
        <v>-1874</v>
      </c>
      <c r="U212" s="7">
        <f t="shared" ca="1" si="6"/>
        <v>1908</v>
      </c>
      <c r="V212" s="7">
        <f t="shared" ca="1" si="7"/>
        <v>34</v>
      </c>
      <c r="AA212" s="7" t="s">
        <v>499</v>
      </c>
    </row>
    <row r="213" spans="1:33">
      <c r="A213" s="1" t="s">
        <v>281</v>
      </c>
      <c r="D213" s="1" t="s">
        <v>282</v>
      </c>
      <c r="E213" s="1" t="s">
        <v>283</v>
      </c>
      <c r="F213" s="1"/>
      <c r="G213" s="1"/>
      <c r="H213" s="1"/>
      <c r="J213" s="7" t="s">
        <v>553</v>
      </c>
      <c r="Q213" s="8"/>
      <c r="U213" s="7" t="str">
        <f t="shared" ca="1" si="6"/>
        <v/>
      </c>
      <c r="V213" s="7" t="str">
        <f t="shared" ca="1" si="7"/>
        <v/>
      </c>
      <c r="AA213" s="7" t="s">
        <v>499</v>
      </c>
      <c r="AE213" s="7" t="s">
        <v>552</v>
      </c>
    </row>
    <row r="214" spans="1:33" ht="29">
      <c r="A214" s="1" t="s">
        <v>284</v>
      </c>
      <c r="D214" s="1" t="s">
        <v>744</v>
      </c>
      <c r="E214" s="1" t="s">
        <v>745</v>
      </c>
      <c r="F214" s="1" t="s">
        <v>501</v>
      </c>
      <c r="G214" s="1"/>
      <c r="H214" s="1"/>
      <c r="I214" t="s">
        <v>479</v>
      </c>
      <c r="J214" s="7" t="s">
        <v>548</v>
      </c>
      <c r="Q214" s="8"/>
      <c r="T214" s="7">
        <f>903-2215</f>
        <v>-1312</v>
      </c>
      <c r="U214" s="7">
        <f t="shared" ca="1" si="6"/>
        <v>2215</v>
      </c>
      <c r="V214" s="7">
        <f t="shared" ca="1" si="7"/>
        <v>903</v>
      </c>
      <c r="AA214" s="7" t="s">
        <v>499</v>
      </c>
      <c r="AG214" t="s">
        <v>499</v>
      </c>
    </row>
    <row r="215" spans="1:33">
      <c r="A215" s="1" t="s">
        <v>285</v>
      </c>
      <c r="D215" s="1" t="s">
        <v>286</v>
      </c>
      <c r="E215" s="1" t="s">
        <v>287</v>
      </c>
      <c r="F215" s="1"/>
      <c r="G215" s="1"/>
      <c r="H215" s="1"/>
      <c r="J215" s="7" t="s">
        <v>548</v>
      </c>
      <c r="Q215" s="8"/>
      <c r="T215" s="7" t="s">
        <v>583</v>
      </c>
      <c r="U215" s="7" t="str">
        <f t="shared" ca="1" si="6"/>
        <v/>
      </c>
      <c r="V215" s="7" t="str">
        <f t="shared" ca="1" si="7"/>
        <v/>
      </c>
      <c r="AA215" s="7" t="s">
        <v>499</v>
      </c>
      <c r="AC215" s="7" t="s">
        <v>630</v>
      </c>
      <c r="AD215" s="7" t="s">
        <v>499</v>
      </c>
      <c r="AE215" s="7" t="s">
        <v>552</v>
      </c>
    </row>
    <row r="216" spans="1:33">
      <c r="A216" s="1" t="s">
        <v>285</v>
      </c>
      <c r="D216" s="1" t="s">
        <v>288</v>
      </c>
      <c r="E216" s="1" t="s">
        <v>289</v>
      </c>
      <c r="F216" s="1"/>
      <c r="G216" s="1"/>
      <c r="H216" s="1"/>
      <c r="J216" s="7" t="s">
        <v>548</v>
      </c>
      <c r="Q216" s="8"/>
      <c r="T216" s="7" t="s">
        <v>583</v>
      </c>
      <c r="U216" s="7" t="str">
        <f t="shared" ca="1" si="6"/>
        <v/>
      </c>
      <c r="V216" s="7" t="str">
        <f t="shared" ca="1" si="7"/>
        <v/>
      </c>
      <c r="AA216" s="7" t="s">
        <v>499</v>
      </c>
      <c r="AC216" s="7" t="s">
        <v>630</v>
      </c>
      <c r="AD216" s="7" t="s">
        <v>499</v>
      </c>
      <c r="AE216" s="7" t="s">
        <v>552</v>
      </c>
    </row>
    <row r="217" spans="1:33" ht="29">
      <c r="A217" s="1" t="s">
        <v>290</v>
      </c>
      <c r="D217" s="1" t="s">
        <v>38</v>
      </c>
      <c r="E217" s="4" t="s">
        <v>15</v>
      </c>
      <c r="F217" s="1" t="s">
        <v>520</v>
      </c>
      <c r="G217" s="1"/>
      <c r="H217" s="1"/>
      <c r="Q217" s="8"/>
      <c r="U217" s="7" t="str">
        <f t="shared" ca="1" si="6"/>
        <v/>
      </c>
      <c r="V217" s="7" t="str">
        <f t="shared" ca="1" si="7"/>
        <v/>
      </c>
      <c r="AA217" s="7" t="s">
        <v>614</v>
      </c>
    </row>
    <row r="218" spans="1:33">
      <c r="A218" s="1" t="s">
        <v>291</v>
      </c>
      <c r="D218" s="1" t="s">
        <v>292</v>
      </c>
      <c r="E218" s="1" t="s">
        <v>293</v>
      </c>
      <c r="F218" s="1"/>
      <c r="G218" s="1"/>
      <c r="H218" s="1"/>
      <c r="J218" s="7" t="s">
        <v>548</v>
      </c>
      <c r="Q218" s="8"/>
      <c r="T218" s="7" t="s">
        <v>583</v>
      </c>
      <c r="U218" s="7" t="str">
        <f t="shared" ca="1" si="6"/>
        <v/>
      </c>
      <c r="V218" s="7" t="str">
        <f t="shared" ca="1" si="7"/>
        <v/>
      </c>
      <c r="AA218" s="7" t="s">
        <v>499</v>
      </c>
      <c r="AC218" s="7" t="s">
        <v>630</v>
      </c>
      <c r="AD218" s="7" t="s">
        <v>499</v>
      </c>
      <c r="AE218" s="7" t="s">
        <v>552</v>
      </c>
    </row>
    <row r="219" spans="1:33">
      <c r="A219" s="1" t="s">
        <v>294</v>
      </c>
      <c r="D219" s="1" t="s">
        <v>295</v>
      </c>
      <c r="E219" s="1" t="s">
        <v>892</v>
      </c>
      <c r="F219" s="1" t="s">
        <v>508</v>
      </c>
      <c r="G219" s="1"/>
      <c r="H219" s="1" t="s">
        <v>339</v>
      </c>
      <c r="J219" s="7" t="s">
        <v>548</v>
      </c>
      <c r="Q219" s="8"/>
      <c r="T219" s="7" t="s">
        <v>583</v>
      </c>
      <c r="U219" s="7" t="str">
        <f t="shared" ca="1" si="6"/>
        <v/>
      </c>
      <c r="V219" s="7" t="str">
        <f t="shared" ca="1" si="7"/>
        <v/>
      </c>
      <c r="AA219" s="7" t="s">
        <v>499</v>
      </c>
      <c r="AC219" s="7" t="s">
        <v>587</v>
      </c>
      <c r="AD219" s="7" t="s">
        <v>499</v>
      </c>
      <c r="AE219" s="7" t="s">
        <v>552</v>
      </c>
    </row>
    <row r="220" spans="1:33">
      <c r="A220" s="1" t="s">
        <v>294</v>
      </c>
      <c r="D220" s="1" t="s">
        <v>296</v>
      </c>
      <c r="E220" s="1" t="s">
        <v>297</v>
      </c>
      <c r="F220" s="1"/>
      <c r="G220" s="1"/>
      <c r="H220" s="1"/>
      <c r="J220" s="7" t="s">
        <v>548</v>
      </c>
      <c r="Q220" s="8"/>
      <c r="T220" s="7" t="s">
        <v>583</v>
      </c>
      <c r="U220" s="7" t="str">
        <f t="shared" ca="1" si="6"/>
        <v/>
      </c>
      <c r="V220" s="7" t="str">
        <f t="shared" ca="1" si="7"/>
        <v/>
      </c>
      <c r="AA220" s="7" t="s">
        <v>499</v>
      </c>
      <c r="AE220" s="7" t="s">
        <v>540</v>
      </c>
    </row>
    <row r="221" spans="1:33">
      <c r="A221" s="1" t="s">
        <v>298</v>
      </c>
      <c r="D221" s="1" t="s">
        <v>299</v>
      </c>
      <c r="E221" s="1" t="s">
        <v>286</v>
      </c>
      <c r="F221" s="1"/>
      <c r="G221" s="1"/>
      <c r="H221" s="1"/>
      <c r="J221" s="7" t="s">
        <v>548</v>
      </c>
      <c r="Q221" s="8"/>
      <c r="R221" s="7" t="s">
        <v>537</v>
      </c>
      <c r="T221" s="7" t="s">
        <v>583</v>
      </c>
      <c r="U221" s="7" t="str">
        <f t="shared" ca="1" si="6"/>
        <v/>
      </c>
      <c r="V221" s="7" t="str">
        <f t="shared" ca="1" si="7"/>
        <v/>
      </c>
      <c r="AA221" s="7" t="s">
        <v>499</v>
      </c>
      <c r="AC221" s="7" t="s">
        <v>784</v>
      </c>
      <c r="AD221" s="7" t="s">
        <v>499</v>
      </c>
      <c r="AE221" s="7" t="s">
        <v>552</v>
      </c>
    </row>
    <row r="222" spans="1:33">
      <c r="A222" s="1" t="s">
        <v>298</v>
      </c>
      <c r="D222" s="1" t="s">
        <v>300</v>
      </c>
      <c r="E222" s="1" t="s">
        <v>301</v>
      </c>
      <c r="F222" s="1"/>
      <c r="G222" s="1"/>
      <c r="H222" s="1"/>
      <c r="J222" s="7" t="s">
        <v>548</v>
      </c>
      <c r="Q222" s="8"/>
      <c r="T222" s="7">
        <f>0-0</f>
        <v>0</v>
      </c>
      <c r="U222" s="7">
        <f t="shared" ca="1" si="6"/>
        <v>0</v>
      </c>
      <c r="V222" s="7">
        <f t="shared" ca="1" si="7"/>
        <v>0</v>
      </c>
      <c r="AA222" s="7" t="s">
        <v>499</v>
      </c>
      <c r="AB222" s="7" t="s">
        <v>789</v>
      </c>
      <c r="AD222" s="7" t="s">
        <v>499</v>
      </c>
    </row>
    <row r="223" spans="1:33" ht="29">
      <c r="A223" s="1" t="s">
        <v>298</v>
      </c>
      <c r="D223" s="1" t="s">
        <v>480</v>
      </c>
      <c r="E223" s="4" t="s">
        <v>481</v>
      </c>
      <c r="F223" s="1" t="s">
        <v>520</v>
      </c>
      <c r="G223" s="1"/>
      <c r="H223" s="1"/>
      <c r="Q223" s="8"/>
      <c r="U223" s="7" t="str">
        <f t="shared" ca="1" si="6"/>
        <v/>
      </c>
      <c r="V223" s="7" t="str">
        <f t="shared" ca="1" si="7"/>
        <v/>
      </c>
      <c r="AA223" s="7" t="s">
        <v>614</v>
      </c>
    </row>
    <row r="224" spans="1:33">
      <c r="A224" s="1" t="s">
        <v>302</v>
      </c>
      <c r="D224" s="1" t="s">
        <v>303</v>
      </c>
      <c r="E224" s="1" t="s">
        <v>304</v>
      </c>
      <c r="F224" s="1"/>
      <c r="G224" s="1" t="s">
        <v>339</v>
      </c>
      <c r="H224" s="1"/>
      <c r="J224" s="7" t="s">
        <v>548</v>
      </c>
      <c r="Q224" s="8"/>
      <c r="T224" s="7">
        <f>0-0</f>
        <v>0</v>
      </c>
      <c r="U224" s="7">
        <f t="shared" ca="1" si="6"/>
        <v>0</v>
      </c>
      <c r="V224" s="7">
        <f t="shared" ca="1" si="7"/>
        <v>0</v>
      </c>
      <c r="AA224" s="7" t="s">
        <v>499</v>
      </c>
      <c r="AB224" s="7" t="s">
        <v>789</v>
      </c>
      <c r="AD224" s="7" t="s">
        <v>499</v>
      </c>
    </row>
    <row r="225" spans="1:33">
      <c r="A225" s="1" t="s">
        <v>305</v>
      </c>
      <c r="D225" s="1" t="s">
        <v>306</v>
      </c>
      <c r="E225" s="1" t="s">
        <v>307</v>
      </c>
      <c r="F225" s="1"/>
      <c r="G225" s="1"/>
      <c r="H225" s="1"/>
      <c r="J225" s="7" t="s">
        <v>548</v>
      </c>
      <c r="Q225" s="8"/>
      <c r="T225" s="7" t="s">
        <v>583</v>
      </c>
      <c r="U225" s="7" t="str">
        <f t="shared" ca="1" si="6"/>
        <v/>
      </c>
      <c r="V225" s="7" t="str">
        <f t="shared" ca="1" si="7"/>
        <v/>
      </c>
      <c r="AA225" s="7" t="s">
        <v>499</v>
      </c>
      <c r="AE225" s="7" t="s">
        <v>540</v>
      </c>
    </row>
    <row r="226" spans="1:33">
      <c r="A226" s="1" t="s">
        <v>308</v>
      </c>
      <c r="D226" s="1" t="s">
        <v>309</v>
      </c>
      <c r="E226" s="1" t="s">
        <v>310</v>
      </c>
      <c r="F226" s="1"/>
      <c r="G226" s="1" t="s">
        <v>499</v>
      </c>
      <c r="H226" s="1"/>
      <c r="J226" s="7" t="s">
        <v>548</v>
      </c>
      <c r="Q226" s="8"/>
      <c r="T226" s="7" t="s">
        <v>583</v>
      </c>
      <c r="U226" s="7" t="str">
        <f t="shared" ca="1" si="6"/>
        <v/>
      </c>
      <c r="V226" s="7" t="str">
        <f t="shared" ca="1" si="7"/>
        <v/>
      </c>
      <c r="AA226" s="7" t="s">
        <v>499</v>
      </c>
      <c r="AC226" s="7" t="s">
        <v>784</v>
      </c>
      <c r="AD226" s="7" t="s">
        <v>499</v>
      </c>
    </row>
    <row r="227" spans="1:33">
      <c r="A227" s="1" t="s">
        <v>311</v>
      </c>
      <c r="D227" s="1" t="s">
        <v>890</v>
      </c>
      <c r="E227" s="1" t="s">
        <v>312</v>
      </c>
      <c r="F227" s="1"/>
      <c r="G227" s="1"/>
      <c r="H227" s="1" t="s">
        <v>339</v>
      </c>
      <c r="J227" s="7" t="s">
        <v>548</v>
      </c>
      <c r="Q227" s="8"/>
      <c r="T227" s="7" t="s">
        <v>583</v>
      </c>
      <c r="U227" s="7" t="str">
        <f t="shared" ca="1" si="6"/>
        <v/>
      </c>
      <c r="V227" s="7" t="str">
        <f t="shared" ca="1" si="7"/>
        <v/>
      </c>
      <c r="AA227" s="7" t="s">
        <v>499</v>
      </c>
      <c r="AE227" s="7" t="s">
        <v>540</v>
      </c>
    </row>
    <row r="228" spans="1:33" ht="43.5">
      <c r="A228" s="1" t="s">
        <v>313</v>
      </c>
      <c r="D228" s="1" t="s">
        <v>482</v>
      </c>
      <c r="E228" s="1" t="s">
        <v>483</v>
      </c>
      <c r="F228" s="1"/>
      <c r="G228" s="1"/>
      <c r="H228" s="1"/>
      <c r="J228" s="7" t="s">
        <v>504</v>
      </c>
      <c r="K228" s="7">
        <v>0</v>
      </c>
      <c r="L228" s="7">
        <v>1</v>
      </c>
      <c r="M228" s="7">
        <v>12</v>
      </c>
      <c r="N228" s="7" t="s">
        <v>560</v>
      </c>
      <c r="O228" s="7" t="s">
        <v>536</v>
      </c>
      <c r="P228" s="7" t="s">
        <v>746</v>
      </c>
      <c r="Q228" s="8" t="s">
        <v>649</v>
      </c>
      <c r="S228" s="7">
        <v>106</v>
      </c>
      <c r="U228" s="7" t="str">
        <f t="shared" ca="1" si="6"/>
        <v/>
      </c>
      <c r="V228" s="7" t="str">
        <f t="shared" ca="1" si="7"/>
        <v/>
      </c>
      <c r="AA228" s="7" t="s">
        <v>499</v>
      </c>
      <c r="AG228" t="s">
        <v>506</v>
      </c>
    </row>
    <row r="229" spans="1:33" ht="43.5">
      <c r="A229" s="1" t="s">
        <v>314</v>
      </c>
      <c r="D229" s="1" t="s">
        <v>484</v>
      </c>
      <c r="E229" s="1" t="s">
        <v>485</v>
      </c>
      <c r="F229" s="1"/>
      <c r="G229" s="1"/>
      <c r="H229" s="1"/>
      <c r="I229" t="s">
        <v>779</v>
      </c>
      <c r="J229" s="7" t="s">
        <v>504</v>
      </c>
      <c r="K229" s="7">
        <v>1</v>
      </c>
      <c r="L229" s="7">
        <v>4</v>
      </c>
      <c r="M229" s="7">
        <v>17</v>
      </c>
      <c r="O229" s="7" t="s">
        <v>536</v>
      </c>
      <c r="P229" s="7" t="s">
        <v>642</v>
      </c>
      <c r="Q229" s="8" t="s">
        <v>747</v>
      </c>
      <c r="S229" s="7">
        <v>43</v>
      </c>
      <c r="U229" s="7" t="str">
        <f t="shared" ca="1" si="6"/>
        <v/>
      </c>
      <c r="V229" s="7" t="str">
        <f t="shared" ca="1" si="7"/>
        <v/>
      </c>
      <c r="W229" s="7" t="s">
        <v>544</v>
      </c>
      <c r="AA229" s="7" t="s">
        <v>499</v>
      </c>
      <c r="AG229" t="s">
        <v>499</v>
      </c>
    </row>
    <row r="230" spans="1:33">
      <c r="A230" s="1" t="s">
        <v>315</v>
      </c>
      <c r="D230" s="1" t="s">
        <v>486</v>
      </c>
      <c r="E230" s="1" t="s">
        <v>487</v>
      </c>
      <c r="F230" s="1"/>
      <c r="G230" s="1"/>
      <c r="H230" s="1"/>
      <c r="J230" s="7" t="s">
        <v>548</v>
      </c>
      <c r="Q230" s="8"/>
      <c r="T230" s="7" t="s">
        <v>550</v>
      </c>
      <c r="U230" s="7" t="str">
        <f t="shared" ca="1" si="6"/>
        <v/>
      </c>
      <c r="V230" s="7" t="str">
        <f t="shared" ca="1" si="7"/>
        <v/>
      </c>
      <c r="AA230" s="7" t="s">
        <v>499</v>
      </c>
      <c r="AE230" s="7" t="s">
        <v>552</v>
      </c>
    </row>
    <row r="231" spans="1:33">
      <c r="A231" s="1" t="s">
        <v>316</v>
      </c>
      <c r="D231" s="1" t="s">
        <v>317</v>
      </c>
      <c r="E231" s="1" t="s">
        <v>318</v>
      </c>
      <c r="F231" s="1"/>
      <c r="G231" s="1"/>
      <c r="H231" s="1"/>
      <c r="J231" s="7" t="s">
        <v>548</v>
      </c>
      <c r="Q231" s="8"/>
      <c r="T231" s="7" t="s">
        <v>583</v>
      </c>
      <c r="U231" s="7" t="str">
        <f t="shared" ca="1" si="6"/>
        <v/>
      </c>
      <c r="V231" s="7" t="str">
        <f t="shared" ca="1" si="7"/>
        <v/>
      </c>
      <c r="AA231" s="7" t="s">
        <v>499</v>
      </c>
      <c r="AC231" s="7" t="s">
        <v>630</v>
      </c>
      <c r="AD231" s="7" t="s">
        <v>499</v>
      </c>
    </row>
    <row r="232" spans="1:33" ht="43.5">
      <c r="A232" s="1" t="s">
        <v>319</v>
      </c>
      <c r="D232" s="1" t="s">
        <v>320</v>
      </c>
      <c r="E232" s="1" t="s">
        <v>488</v>
      </c>
      <c r="F232" s="1" t="s">
        <v>510</v>
      </c>
      <c r="G232" s="1"/>
      <c r="H232" s="1" t="s">
        <v>507</v>
      </c>
      <c r="J232" s="7" t="s">
        <v>548</v>
      </c>
      <c r="Q232" s="8"/>
      <c r="T232" s="7" t="s">
        <v>583</v>
      </c>
      <c r="U232" s="7" t="str">
        <f t="shared" ca="1" si="6"/>
        <v/>
      </c>
      <c r="V232" s="7" t="str">
        <f t="shared" ca="1" si="7"/>
        <v/>
      </c>
      <c r="AA232" s="7" t="s">
        <v>499</v>
      </c>
      <c r="AC232" s="7" t="s">
        <v>784</v>
      </c>
      <c r="AD232" s="7" t="s">
        <v>499</v>
      </c>
      <c r="AE232" s="7" t="s">
        <v>540</v>
      </c>
    </row>
    <row r="233" spans="1:33">
      <c r="A233" s="1" t="s">
        <v>321</v>
      </c>
      <c r="D233" s="1" t="s">
        <v>891</v>
      </c>
      <c r="E233" s="1" t="s">
        <v>322</v>
      </c>
      <c r="F233" s="1" t="s">
        <v>567</v>
      </c>
      <c r="G233" s="1"/>
      <c r="H233" s="1"/>
      <c r="Q233" s="8"/>
      <c r="U233" s="7" t="str">
        <f t="shared" ca="1" si="6"/>
        <v/>
      </c>
      <c r="V233" s="7" t="str">
        <f t="shared" ca="1" si="7"/>
        <v/>
      </c>
      <c r="AA233" s="7" t="s">
        <v>499</v>
      </c>
    </row>
    <row r="234" spans="1:33">
      <c r="A234" s="1" t="s">
        <v>321</v>
      </c>
      <c r="D234" s="1" t="s">
        <v>323</v>
      </c>
      <c r="E234" s="1" t="s">
        <v>324</v>
      </c>
      <c r="F234" s="1"/>
      <c r="G234" s="1"/>
      <c r="H234" s="1"/>
      <c r="J234" s="7" t="s">
        <v>548</v>
      </c>
      <c r="Q234" s="8"/>
      <c r="U234" s="7" t="str">
        <f t="shared" ca="1" si="6"/>
        <v/>
      </c>
      <c r="V234" s="7" t="str">
        <f t="shared" ca="1" si="7"/>
        <v/>
      </c>
      <c r="AA234" s="7" t="s">
        <v>614</v>
      </c>
      <c r="AE234" s="7" t="s">
        <v>552</v>
      </c>
    </row>
    <row r="235" spans="1:33">
      <c r="A235" s="1" t="s">
        <v>325</v>
      </c>
      <c r="D235" s="1" t="s">
        <v>489</v>
      </c>
      <c r="E235" s="1" t="s">
        <v>490</v>
      </c>
      <c r="F235" s="1"/>
      <c r="G235" s="1"/>
      <c r="H235" s="1"/>
      <c r="I235" t="s">
        <v>780</v>
      </c>
      <c r="J235" s="7" t="s">
        <v>504</v>
      </c>
      <c r="K235" s="7">
        <v>0</v>
      </c>
      <c r="L235" s="7">
        <v>1</v>
      </c>
      <c r="M235" s="7">
        <v>2</v>
      </c>
      <c r="N235" s="7" t="s">
        <v>541</v>
      </c>
      <c r="O235" s="7" t="s">
        <v>550</v>
      </c>
      <c r="Q235" s="8"/>
      <c r="S235" s="7">
        <v>19277</v>
      </c>
      <c r="U235" s="7" t="str">
        <f t="shared" ca="1" si="6"/>
        <v/>
      </c>
      <c r="V235" s="7" t="str">
        <f t="shared" ca="1" si="7"/>
        <v/>
      </c>
      <c r="W235" s="7" t="s">
        <v>544</v>
      </c>
      <c r="AA235" s="7" t="s">
        <v>499</v>
      </c>
      <c r="AG235" t="s">
        <v>499</v>
      </c>
    </row>
    <row r="236" spans="1:33">
      <c r="A236" s="1" t="s">
        <v>325</v>
      </c>
      <c r="D236" s="1" t="s">
        <v>748</v>
      </c>
      <c r="E236" s="1" t="s">
        <v>749</v>
      </c>
      <c r="F236" s="1"/>
      <c r="G236" s="1"/>
      <c r="H236" s="1"/>
      <c r="I236" t="s">
        <v>750</v>
      </c>
      <c r="J236" s="7" t="s">
        <v>548</v>
      </c>
      <c r="Q236" s="8"/>
      <c r="T236" s="7">
        <f>6-71</f>
        <v>-65</v>
      </c>
      <c r="U236" s="7">
        <f t="shared" ca="1" si="6"/>
        <v>71</v>
      </c>
      <c r="V236" s="7">
        <f t="shared" ca="1" si="7"/>
        <v>6</v>
      </c>
      <c r="AA236" s="7" t="s">
        <v>499</v>
      </c>
      <c r="AE236" s="7" t="s">
        <v>547</v>
      </c>
    </row>
    <row r="237" spans="1:33">
      <c r="A237" s="1" t="s">
        <v>325</v>
      </c>
      <c r="D237" s="1" t="s">
        <v>893</v>
      </c>
      <c r="E237" s="1" t="s">
        <v>894</v>
      </c>
      <c r="F237" s="1" t="s">
        <v>498</v>
      </c>
      <c r="G237" s="1"/>
      <c r="H237" s="1"/>
      <c r="Q237" s="8"/>
      <c r="U237" s="7" t="str">
        <f t="shared" ca="1" si="6"/>
        <v/>
      </c>
      <c r="V237" s="7" t="str">
        <f t="shared" ca="1" si="7"/>
        <v/>
      </c>
      <c r="AA237" s="7" t="s">
        <v>614</v>
      </c>
    </row>
    <row r="238" spans="1:33" ht="72.5">
      <c r="A238" s="1" t="s">
        <v>326</v>
      </c>
      <c r="D238" s="1" t="s">
        <v>752</v>
      </c>
      <c r="E238" s="1" t="s">
        <v>751</v>
      </c>
      <c r="F238" s="1"/>
      <c r="G238" s="1"/>
      <c r="H238" s="1"/>
      <c r="I238" t="s">
        <v>755</v>
      </c>
      <c r="J238" s="7" t="s">
        <v>504</v>
      </c>
      <c r="K238" s="7">
        <v>3</v>
      </c>
      <c r="L238" s="7">
        <v>11</v>
      </c>
      <c r="M238" s="7">
        <v>53</v>
      </c>
      <c r="O238" s="7" t="s">
        <v>536</v>
      </c>
      <c r="P238" s="7" t="s">
        <v>594</v>
      </c>
      <c r="Q238" s="8" t="s">
        <v>612</v>
      </c>
      <c r="S238" s="7">
        <v>48</v>
      </c>
      <c r="U238" s="7" t="str">
        <f t="shared" ca="1" si="6"/>
        <v/>
      </c>
      <c r="V238" s="7" t="str">
        <f t="shared" ca="1" si="7"/>
        <v/>
      </c>
      <c r="AA238" s="7" t="s">
        <v>499</v>
      </c>
      <c r="AG238" t="s">
        <v>506</v>
      </c>
    </row>
    <row r="239" spans="1:33" ht="72.5">
      <c r="A239" s="1" t="s">
        <v>326</v>
      </c>
      <c r="D239" s="1" t="s">
        <v>753</v>
      </c>
      <c r="E239" s="1" t="s">
        <v>754</v>
      </c>
      <c r="F239" s="1"/>
      <c r="G239" s="1"/>
      <c r="H239" s="1"/>
      <c r="J239" s="7" t="s">
        <v>548</v>
      </c>
      <c r="Q239" s="8"/>
      <c r="T239" s="7" t="s">
        <v>583</v>
      </c>
      <c r="U239" s="7" t="str">
        <f t="shared" ca="1" si="6"/>
        <v/>
      </c>
      <c r="V239" s="7" t="str">
        <f t="shared" ca="1" si="7"/>
        <v/>
      </c>
      <c r="AA239" s="7" t="s">
        <v>499</v>
      </c>
      <c r="AE239" s="7" t="s">
        <v>552</v>
      </c>
    </row>
    <row r="240" spans="1:33">
      <c r="A240" s="1" t="s">
        <v>327</v>
      </c>
      <c r="D240" s="1" t="s">
        <v>328</v>
      </c>
      <c r="E240" s="1" t="s">
        <v>317</v>
      </c>
      <c r="F240" s="1"/>
      <c r="G240" s="1"/>
      <c r="H240" s="1"/>
      <c r="J240" s="7" t="s">
        <v>548</v>
      </c>
      <c r="Q240" s="8"/>
      <c r="T240" s="7" t="s">
        <v>583</v>
      </c>
      <c r="U240" s="7" t="str">
        <f t="shared" ca="1" si="6"/>
        <v/>
      </c>
      <c r="V240" s="7" t="str">
        <f t="shared" ca="1" si="7"/>
        <v/>
      </c>
      <c r="AA240" s="7" t="s">
        <v>499</v>
      </c>
      <c r="AC240" s="7" t="s">
        <v>784</v>
      </c>
      <c r="AD240" s="7" t="s">
        <v>499</v>
      </c>
      <c r="AE240" s="7" t="s">
        <v>540</v>
      </c>
    </row>
    <row r="241" spans="1:33">
      <c r="A241" s="1" t="s">
        <v>329</v>
      </c>
      <c r="D241" s="1" t="s">
        <v>491</v>
      </c>
      <c r="E241" s="1" t="s">
        <v>492</v>
      </c>
      <c r="F241" s="1"/>
      <c r="G241" s="1"/>
      <c r="H241" s="1"/>
      <c r="I241" t="s">
        <v>781</v>
      </c>
      <c r="J241" s="7" t="s">
        <v>504</v>
      </c>
      <c r="K241" s="7">
        <v>0</v>
      </c>
      <c r="L241" s="7">
        <v>1</v>
      </c>
      <c r="M241" s="7">
        <v>2</v>
      </c>
      <c r="N241" s="7" t="s">
        <v>541</v>
      </c>
      <c r="O241" s="7" t="s">
        <v>550</v>
      </c>
      <c r="Q241" s="8"/>
      <c r="S241" s="7">
        <v>19277</v>
      </c>
      <c r="U241" s="7" t="str">
        <f t="shared" ca="1" si="6"/>
        <v/>
      </c>
      <c r="V241" s="7" t="str">
        <f t="shared" ca="1" si="7"/>
        <v/>
      </c>
      <c r="W241" s="7" t="s">
        <v>544</v>
      </c>
      <c r="AA241" s="7" t="s">
        <v>499</v>
      </c>
      <c r="AG241" t="s">
        <v>499</v>
      </c>
    </row>
    <row r="242" spans="1:33" ht="72.5">
      <c r="A242" s="1" t="s">
        <v>329</v>
      </c>
      <c r="D242" s="1" t="s">
        <v>493</v>
      </c>
      <c r="E242" s="1" t="s">
        <v>756</v>
      </c>
      <c r="F242" s="1"/>
      <c r="G242" s="1"/>
      <c r="H242" s="1" t="s">
        <v>499</v>
      </c>
      <c r="I242" t="s">
        <v>901</v>
      </c>
      <c r="J242" s="7" t="s">
        <v>548</v>
      </c>
      <c r="Q242" s="8"/>
      <c r="R242" s="7" t="s">
        <v>543</v>
      </c>
      <c r="T242" s="7">
        <f>47-240</f>
        <v>-193</v>
      </c>
      <c r="U242" s="7">
        <f t="shared" ca="1" si="6"/>
        <v>240</v>
      </c>
      <c r="V242" s="7">
        <f t="shared" ca="1" si="7"/>
        <v>47</v>
      </c>
      <c r="AA242" s="7" t="s">
        <v>499</v>
      </c>
      <c r="AE242" s="7" t="s">
        <v>547</v>
      </c>
    </row>
    <row r="243" spans="1:33" ht="29">
      <c r="A243" s="1" t="s">
        <v>330</v>
      </c>
      <c r="D243" s="1" t="s">
        <v>494</v>
      </c>
      <c r="E243" s="1" t="s">
        <v>495</v>
      </c>
      <c r="F243" s="1"/>
      <c r="G243" s="1"/>
      <c r="H243" s="1"/>
      <c r="I243" t="s">
        <v>782</v>
      </c>
      <c r="J243" s="7" t="s">
        <v>504</v>
      </c>
      <c r="K243" s="7">
        <v>1</v>
      </c>
      <c r="L243" s="7">
        <v>3</v>
      </c>
      <c r="M243" s="7">
        <v>14</v>
      </c>
      <c r="O243" s="7" t="s">
        <v>536</v>
      </c>
      <c r="P243" s="7" t="s">
        <v>642</v>
      </c>
      <c r="Q243" s="8" t="s">
        <v>757</v>
      </c>
      <c r="S243" s="7">
        <v>119</v>
      </c>
      <c r="U243" s="7" t="str">
        <f t="shared" ca="1" si="6"/>
        <v/>
      </c>
      <c r="V243" s="7" t="str">
        <f t="shared" ca="1" si="7"/>
        <v/>
      </c>
      <c r="W243" s="7" t="s">
        <v>544</v>
      </c>
      <c r="AA243" s="7" t="s">
        <v>499</v>
      </c>
      <c r="AG243" t="s">
        <v>506</v>
      </c>
    </row>
    <row r="244" spans="1:33" ht="29">
      <c r="A244" s="1" t="s">
        <v>331</v>
      </c>
      <c r="D244" s="4" t="s">
        <v>332</v>
      </c>
      <c r="E244" s="1" t="s">
        <v>333</v>
      </c>
      <c r="F244" s="1" t="s">
        <v>519</v>
      </c>
      <c r="G244" s="1"/>
      <c r="H244" s="1"/>
      <c r="Q244" s="8"/>
      <c r="U244" s="7" t="str">
        <f t="shared" ca="1" si="6"/>
        <v/>
      </c>
      <c r="V244" s="7" t="str">
        <f t="shared" ca="1" si="7"/>
        <v/>
      </c>
      <c r="AA244" s="7" t="s">
        <v>614</v>
      </c>
    </row>
    <row r="245" spans="1:33">
      <c r="A245" s="1" t="s">
        <v>331</v>
      </c>
      <c r="D245" s="1" t="s">
        <v>334</v>
      </c>
      <c r="E245" s="1" t="s">
        <v>320</v>
      </c>
      <c r="F245" s="1"/>
      <c r="G245" s="1"/>
      <c r="H245" s="1"/>
      <c r="J245" s="7" t="s">
        <v>548</v>
      </c>
      <c r="Q245" s="8"/>
      <c r="T245" s="7" t="s">
        <v>583</v>
      </c>
      <c r="U245" s="7" t="str">
        <f t="shared" ca="1" si="6"/>
        <v/>
      </c>
      <c r="V245" s="7" t="str">
        <f t="shared" ca="1" si="7"/>
        <v/>
      </c>
      <c r="AA245" s="7" t="s">
        <v>499</v>
      </c>
      <c r="AC245" s="7" t="s">
        <v>630</v>
      </c>
      <c r="AD245" s="7" t="s">
        <v>499</v>
      </c>
      <c r="AE245" s="7" t="s">
        <v>552</v>
      </c>
    </row>
    <row r="246" spans="1:33" ht="29">
      <c r="A246" s="1" t="s">
        <v>335</v>
      </c>
      <c r="D246" s="1" t="s">
        <v>758</v>
      </c>
      <c r="E246" s="1" t="s">
        <v>759</v>
      </c>
      <c r="F246" s="1" t="s">
        <v>590</v>
      </c>
      <c r="G246" s="1"/>
      <c r="H246" s="1" t="s">
        <v>339</v>
      </c>
      <c r="J246" s="7" t="s">
        <v>500</v>
      </c>
      <c r="K246" s="7">
        <v>0</v>
      </c>
      <c r="L246" s="7">
        <v>1</v>
      </c>
      <c r="M246" s="7">
        <v>7</v>
      </c>
      <c r="N246" s="7" t="s">
        <v>560</v>
      </c>
      <c r="O246" s="7" t="s">
        <v>536</v>
      </c>
      <c r="P246" s="7" t="s">
        <v>645</v>
      </c>
      <c r="Q246" s="8" t="s">
        <v>760</v>
      </c>
      <c r="R246" s="7" t="s">
        <v>537</v>
      </c>
      <c r="S246" s="7">
        <v>119</v>
      </c>
      <c r="U246" s="7" t="str">
        <f t="shared" ca="1" si="6"/>
        <v/>
      </c>
      <c r="V246" s="7" t="str">
        <f t="shared" ca="1" si="7"/>
        <v/>
      </c>
      <c r="AA246" s="7" t="s">
        <v>499</v>
      </c>
      <c r="AE246" s="7" t="s">
        <v>547</v>
      </c>
    </row>
    <row r="247" spans="1:33">
      <c r="Q247" s="8"/>
      <c r="AA247" s="7" t="s">
        <v>499</v>
      </c>
    </row>
    <row r="248" spans="1:33">
      <c r="Q248" s="8"/>
      <c r="AA248" s="7" t="s">
        <v>499</v>
      </c>
    </row>
    <row r="249" spans="1:33">
      <c r="Q249" s="8"/>
      <c r="AA249" s="7" t="s">
        <v>499</v>
      </c>
    </row>
    <row r="250" spans="1:33">
      <c r="D250" s="10" t="s">
        <v>605</v>
      </c>
      <c r="E250" s="10">
        <f>SUBTOTAL(3,A2:A1048576)</f>
        <v>245</v>
      </c>
      <c r="Q250" s="8"/>
      <c r="AA250" s="7" t="s">
        <v>499</v>
      </c>
    </row>
    <row r="251" spans="1:33">
      <c r="D251" s="10" t="s">
        <v>606</v>
      </c>
      <c r="E251" s="10">
        <f>COUNTA(A2:A1048576)</f>
        <v>245</v>
      </c>
      <c r="Q251" s="8"/>
      <c r="AA251" s="7" t="s">
        <v>499</v>
      </c>
    </row>
    <row r="252" spans="1:33">
      <c r="Q252" s="8"/>
      <c r="AA252" s="7" t="s">
        <v>499</v>
      </c>
    </row>
    <row r="253" spans="1:33">
      <c r="Q253" s="8"/>
    </row>
  </sheetData>
  <conditionalFormatting sqref="J2:J1048576">
    <cfRule type="expression" dxfId="365" priority="29">
      <formula>$J2&lt;&gt;""</formula>
    </cfRule>
    <cfRule type="expression" dxfId="364" priority="30">
      <formula>$J2=""</formula>
    </cfRule>
  </conditionalFormatting>
  <conditionalFormatting sqref="K2:O253 R2:S253">
    <cfRule type="expression" dxfId="363" priority="27">
      <formula>AND(OR($J2="Addition",$J2="Omission"), K2="")</formula>
    </cfRule>
    <cfRule type="expression" dxfId="362" priority="28">
      <formula>AND($J2&lt;&gt;"Addition",$J2&lt;&gt;"Omission",$J2&lt;&gt;"Substitution - Word")</formula>
    </cfRule>
  </conditionalFormatting>
  <conditionalFormatting sqref="K2:S1048576">
    <cfRule type="expression" dxfId="361" priority="26">
      <formula>AND(OR($J2="Addition",$J2="Omission"), K2&lt;&gt;"")</formula>
    </cfRule>
  </conditionalFormatting>
  <conditionalFormatting sqref="N2:N1048576">
    <cfRule type="expression" dxfId="360" priority="21">
      <formula>AND($L2&lt;&gt;"",$L2&gt;1)</formula>
    </cfRule>
  </conditionalFormatting>
  <conditionalFormatting sqref="P2:Q253">
    <cfRule type="expression" dxfId="359" priority="19">
      <formula>AND(OR($J2="Addition",$J2="Omission"), P2="")</formula>
    </cfRule>
    <cfRule type="expression" dxfId="358" priority="20">
      <formula>AND($J2&lt;&gt;"Addition",$J2&lt;&gt;"Omission")</formula>
    </cfRule>
  </conditionalFormatting>
  <conditionalFormatting sqref="P2:Q1048576">
    <cfRule type="expression" dxfId="357" priority="17">
      <formula>$O2="Absent"</formula>
    </cfRule>
    <cfRule type="expression" dxfId="356" priority="18">
      <formula>$O2="NA"</formula>
    </cfRule>
  </conditionalFormatting>
  <conditionalFormatting sqref="R2:R88 R91:R253">
    <cfRule type="expression" dxfId="355" priority="22">
      <formula>AND(OR($J2="Addition",$J2="Omission",$J2="Substitution - Word"),RIGHT($AE2,6)&lt;&gt;"strict",$AD2&lt;&gt;"Yes")</formula>
    </cfRule>
  </conditionalFormatting>
  <conditionalFormatting sqref="R89">
    <cfRule type="expression" dxfId="354" priority="78">
      <formula>AND(OR($J89="Addition",$J89="Omission",$J89="Substitution - Word"),RIGHT($AE89,6)&lt;&gt;"strict",$AD90&lt;&gt;"Yes")</formula>
    </cfRule>
  </conditionalFormatting>
  <conditionalFormatting sqref="R90">
    <cfRule type="expression" dxfId="353" priority="79">
      <formula>AND(OR($J90="Addition",$J90="Omission",$J90="Substitution - Word"),RIGHT($AE90,6)&lt;&gt;"strict",#REF!&lt;&gt;"Yes")</formula>
    </cfRule>
  </conditionalFormatting>
  <conditionalFormatting sqref="T2:V1048576">
    <cfRule type="expression" dxfId="352" priority="23">
      <formula>AND(AND(LEFT($J2,3)="Sub", RIGHT($J2,4)&lt;&gt;"Form"),$T2&lt;&gt;"")</formula>
    </cfRule>
    <cfRule type="expression" dxfId="351" priority="24">
      <formula>AND(AND(LEFT($J2,3)="Sub", RIGHT($J2,4)&lt;&gt;"Form"),$T2="")</formula>
    </cfRule>
    <cfRule type="expression" dxfId="350" priority="25">
      <formula>"&lt;&gt;AND(LEFT($J2,3)=""Sub"", RIGHT($J2,4)&lt;&gt;""Form"")"</formula>
    </cfRule>
  </conditionalFormatting>
  <conditionalFormatting sqref="W2:W88 W91:W253">
    <cfRule type="expression" dxfId="349" priority="13">
      <formula>AND($AD2&lt;&gt;"Yes",$AE2="")</formula>
    </cfRule>
  </conditionalFormatting>
  <conditionalFormatting sqref="W2:W88 W91:W1048576">
    <cfRule type="expression" dxfId="348" priority="7">
      <formula>AND($W2&lt;&gt;"",OR($AD2="Yes",$AE2&lt;&gt;""))</formula>
    </cfRule>
    <cfRule type="expression" dxfId="347" priority="8">
      <formula>OR($AD2="Yes",$AE2&lt;&gt;"")</formula>
    </cfRule>
  </conditionalFormatting>
  <conditionalFormatting sqref="W27">
    <cfRule type="expression" dxfId="346" priority="9">
      <formula>AND($J27&lt;&gt;"",$J27&lt;&gt;"Unclear due to correction")</formula>
    </cfRule>
    <cfRule type="expression" dxfId="345" priority="12">
      <formula>OR($J27="",$J27="Unclear due to correction")</formula>
    </cfRule>
  </conditionalFormatting>
  <conditionalFormatting sqref="W89">
    <cfRule type="expression" dxfId="344" priority="88">
      <formula>AND($AD90&lt;&gt;"Yes",$AE89="")</formula>
    </cfRule>
    <cfRule type="expression" dxfId="343" priority="94">
      <formula>AND($W89&lt;&gt;"",OR($AD90="Yes",$AE89&lt;&gt;""))</formula>
    </cfRule>
    <cfRule type="expression" dxfId="342" priority="95">
      <formula>OR($AD90="Yes",$AE89&lt;&gt;"")</formula>
    </cfRule>
  </conditionalFormatting>
  <conditionalFormatting sqref="W90">
    <cfRule type="expression" dxfId="341" priority="91">
      <formula>AND(#REF!&lt;&gt;"Yes",$AE90="")</formula>
    </cfRule>
    <cfRule type="expression" dxfId="340" priority="96">
      <formula>AND($W90&lt;&gt;"",OR(#REF!="Yes",$AE90&lt;&gt;""))</formula>
    </cfRule>
    <cfRule type="expression" dxfId="339" priority="97">
      <formula>OR(#REF!="Yes",$AE90&lt;&gt;"")</formula>
    </cfRule>
  </conditionalFormatting>
  <conditionalFormatting sqref="W89:AB90 AE89:AF90 W2:AF26 W28:AF88 W91:AF253">
    <cfRule type="expression" dxfId="338" priority="70">
      <formula>OR($J2="",$J2="Unclear due to correction")</formula>
    </cfRule>
  </conditionalFormatting>
  <conditionalFormatting sqref="W2:AF26 W28:AF88 W91:AF253">
    <cfRule type="expression" dxfId="337" priority="36">
      <formula>AND($J2&lt;&gt;"",$J2&lt;&gt;"Unclear due to correction")</formula>
    </cfRule>
  </conditionalFormatting>
  <conditionalFormatting sqref="W89:AB90 AE89:AF90">
    <cfRule type="expression" dxfId="336" priority="69">
      <formula>AND($J89&lt;&gt;"",$J89&lt;&gt;"Unclear due to correction")</formula>
    </cfRule>
  </conditionalFormatting>
  <conditionalFormatting sqref="X2:X1048576">
    <cfRule type="expression" dxfId="335" priority="4">
      <formula>AND($J2&lt;&gt;"",$J2&lt;&gt;"Unclear due to correction",$X2="")</formula>
    </cfRule>
  </conditionalFormatting>
  <conditionalFormatting sqref="X27">
    <cfRule type="expression" dxfId="334" priority="5">
      <formula>AND($J27&lt;&gt;"",$J27&lt;&gt;"Unclear due to correction")</formula>
    </cfRule>
    <cfRule type="expression" dxfId="333" priority="6">
      <formula>OR($J27="",$J27="Unclear due to correction")</formula>
    </cfRule>
  </conditionalFormatting>
  <conditionalFormatting sqref="Y2:Y1048576">
    <cfRule type="expression" dxfId="332" priority="10">
      <formula>AND($X2="Yes",$Y2="")</formula>
    </cfRule>
    <cfRule type="expression" dxfId="331" priority="11">
      <formula>$X2=""</formula>
    </cfRule>
  </conditionalFormatting>
  <conditionalFormatting sqref="Y27:AF27">
    <cfRule type="expression" dxfId="330" priority="15">
      <formula>AND($J27&lt;&gt;"",$J27&lt;&gt;"Unclear due to correction")</formula>
    </cfRule>
    <cfRule type="expression" dxfId="329" priority="16">
      <formula>OR($J27="",$J27="Unclear due to correction")</formula>
    </cfRule>
  </conditionalFormatting>
  <conditionalFormatting sqref="AC90:AD90">
    <cfRule type="expression" dxfId="328" priority="100">
      <formula>AND($J89&lt;&gt;"",$J89&lt;&gt;"Unclear due to correction")</formula>
    </cfRule>
    <cfRule type="expression" dxfId="327" priority="101">
      <formula>OR($J89="",$J89="Unclear due to correction")</formula>
    </cfRule>
  </conditionalFormatting>
  <conditionalFormatting sqref="AD2:AD88 AD91:AD1048576">
    <cfRule type="expression" dxfId="326" priority="14">
      <formula>AND(OR($AB2&lt;&gt;"",$AC2&lt;&gt;""),$AD2="")</formula>
    </cfRule>
  </conditionalFormatting>
  <conditionalFormatting sqref="AD90">
    <cfRule type="expression" dxfId="325" priority="106">
      <formula>AND(OR($AB89&lt;&gt;"",$AC90&lt;&gt;""),$AD90="")</formula>
    </cfRule>
  </conditionalFormatting>
  <dataValidations count="1">
    <dataValidation type="list" allowBlank="1" showInputMessage="1" showErrorMessage="1" sqref="AG2:AG1048576" xr:uid="{02AC98CB-6A5D-45DC-B1A7-10195B674036}">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61651C56-F93D-4416-890F-8339BBAC33E4}">
          <x14:formula1>
            <xm:f>'Data Regularization'!$A$2:$A$1048576</xm:f>
          </x14:formula1>
          <xm:sqref>F2:F26 F28:F1048576</xm:sqref>
        </x14:dataValidation>
        <x14:dataValidation type="list" allowBlank="1" showInputMessage="1" showErrorMessage="1" xr:uid="{BD36AFCA-9048-43FA-AB16-2D35236A330F}">
          <x14:formula1>
            <xm:f>'Data Regularization'!$B$2:$B$1048576</xm:f>
          </x14:formula1>
          <xm:sqref>G2:G26 G28:G1048576</xm:sqref>
        </x14:dataValidation>
        <x14:dataValidation type="list" allowBlank="1" showInputMessage="1" showErrorMessage="1" xr:uid="{F7BE5624-644D-45F1-8288-1CA96C1924F3}">
          <x14:formula1>
            <xm:f>'Data Regularization'!$C$2:$C$1048576</xm:f>
          </x14:formula1>
          <xm:sqref>H2:H26 H28:H1048576</xm:sqref>
        </x14:dataValidation>
        <x14:dataValidation type="list" allowBlank="1" showInputMessage="1" showErrorMessage="1" xr:uid="{2975F693-B08D-4742-96D9-BE6AA2A12246}">
          <x14:formula1>
            <xm:f>'Data Regularization'!$D$2:$D$1048576</xm:f>
          </x14:formula1>
          <xm:sqref>J2:J26 J28:J1048576</xm:sqref>
        </x14:dataValidation>
        <x14:dataValidation type="list" allowBlank="1" showInputMessage="1" showErrorMessage="1" xr:uid="{FB3E6AED-B957-4D46-9952-EAF8F1587939}">
          <x14:formula1>
            <xm:f>'Data Regularization'!$E$2:$E$1048576</xm:f>
          </x14:formula1>
          <xm:sqref>N2:N26 N28:N1048576</xm:sqref>
        </x14:dataValidation>
        <x14:dataValidation type="list" allowBlank="1" showInputMessage="1" showErrorMessage="1" xr:uid="{15695F99-9873-40A9-9C62-11D2CCCD5E94}">
          <x14:formula1>
            <xm:f>'Data Regularization'!$F$2:$F$1048576</xm:f>
          </x14:formula1>
          <xm:sqref>O2:O26 O28:O1048576</xm:sqref>
        </x14:dataValidation>
        <x14:dataValidation type="list" allowBlank="1" showInputMessage="1" showErrorMessage="1" xr:uid="{2FEEE1A3-3934-4640-B76C-8FC7A756AD26}">
          <x14:formula1>
            <xm:f>'Data Regularization'!$G$2:$G$1048576</xm:f>
          </x14:formula1>
          <xm:sqref>R2:R26 R28:R1048576</xm:sqref>
        </x14:dataValidation>
        <x14:dataValidation type="list" allowBlank="1" showInputMessage="1" showErrorMessage="1" xr:uid="{D463356F-6AE1-4C0F-958B-8509CE5E33B3}">
          <x14:formula1>
            <xm:f>'Data Regularization'!$H$2:$H$1048576</xm:f>
          </x14:formula1>
          <xm:sqref>W2:W26 W28:W1048576</xm:sqref>
        </x14:dataValidation>
        <x14:dataValidation type="list" allowBlank="1" showInputMessage="1" xr:uid="{DAADCD28-16E1-48E4-BA3E-63AB0A27F900}">
          <x14:formula1>
            <xm:f>'Data Regularization'!$I$2:$I$1048576</xm:f>
          </x14:formula1>
          <xm:sqref>X2:X26 X28:X1048576</xm:sqref>
        </x14:dataValidation>
        <x14:dataValidation type="list" allowBlank="1" showInputMessage="1" showErrorMessage="1" xr:uid="{04EBE815-A8A3-4207-9E11-F54E9DDD3BBC}">
          <x14:formula1>
            <xm:f>'Data Regularization'!$K$2:$K$1048576</xm:f>
          </x14:formula1>
          <xm:sqref>Z2:Z26 Z28:Z1048576</xm:sqref>
        </x14:dataValidation>
        <x14:dataValidation type="list" allowBlank="1" showInputMessage="1" showErrorMessage="1" xr:uid="{EF181607-0144-40B2-A542-38C97D702924}">
          <x14:formula1>
            <xm:f>'Data Regularization'!$J$2:$J$1048576</xm:f>
          </x14:formula1>
          <xm:sqref>Y2:Y26 Y28:Y1048576</xm:sqref>
        </x14:dataValidation>
        <x14:dataValidation type="list" allowBlank="1" showInputMessage="1" showErrorMessage="1" xr:uid="{528722DE-E174-4D17-AE39-B32BB55DC156}">
          <x14:formula1>
            <xm:f>'Data Regularization'!$L$2:$L$1048576</xm:f>
          </x14:formula1>
          <xm:sqref>AA2:AA26 AA28:AA1048576</xm:sqref>
        </x14:dataValidation>
        <x14:dataValidation type="list" allowBlank="1" showInputMessage="1" showErrorMessage="1" xr:uid="{C4205F39-68DA-4853-B3BF-18F694B51B85}">
          <x14:formula1>
            <xm:f>'Data Regularization'!$M$2:$M$1048576</xm:f>
          </x14:formula1>
          <xm:sqref>AB2:AB26 AB28:AB1048576</xm:sqref>
        </x14:dataValidation>
        <x14:dataValidation type="list" allowBlank="1" showInputMessage="1" showErrorMessage="1" xr:uid="{0CCDFBC2-E088-4711-9BB3-8DAF03F70EEF}">
          <x14:formula1>
            <xm:f>'Data Regularization'!$O$2:$O$1048576</xm:f>
          </x14:formula1>
          <xm:sqref>AE2:AE26 AE28:AE1048576</xm:sqref>
        </x14:dataValidation>
        <x14:dataValidation type="list" allowBlank="1" showInputMessage="1" showErrorMessage="1" xr:uid="{E746F375-F709-42B7-BAA9-ADDB0DB846A3}">
          <x14:formula1>
            <xm:f>'Data Regularization'!$P$2:$P$1048576</xm:f>
          </x14:formula1>
          <xm:sqref>AF2:AF26 AF28:AF1048576</xm:sqref>
        </x14:dataValidation>
        <x14:dataValidation type="list" allowBlank="1" showInputMessage="1" showErrorMessage="1" xr:uid="{2108E825-402E-4594-9CCC-0B41519E6EED}">
          <x14:formula1>
            <xm:f>'Data Regularization'!$N$2:$N$1048576</xm:f>
          </x14:formula1>
          <xm:sqref>AD2:AD26 AD28:AD88 AD90:AD1048576</xm:sqref>
        </x14:dataValidation>
        <x14:dataValidation type="list" allowBlank="1" showInputMessage="1" showErrorMessage="1" xr:uid="{77995993-73E5-491D-A019-F00DED2E1F23}">
          <x14:formula1>
            <xm:f>'Data Regularization'!$D$3:$D$1048576</xm:f>
          </x14:formula1>
          <xm:sqref>I247:I1048576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835B-8A85-4BFF-9062-843548015C72}">
  <dimension ref="A1:AE34"/>
  <sheetViews>
    <sheetView workbookViewId="0">
      <pane xSplit="3" ySplit="1" topLeftCell="D19" activePane="bottomRight" state="frozen"/>
      <selection pane="topRight" activeCell="D1" sqref="D1"/>
      <selection pane="bottomLeft" activeCell="A2" sqref="A2"/>
      <selection pane="bottomRight" activeCell="A36" sqref="A36:XFD1048576"/>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831</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58">
      <c r="A2" s="1" t="s">
        <v>62</v>
      </c>
      <c r="B2" s="1" t="s">
        <v>607</v>
      </c>
      <c r="C2" s="1" t="s">
        <v>608</v>
      </c>
      <c r="D2" s="1"/>
      <c r="E2" s="1"/>
      <c r="F2" s="1"/>
      <c r="G2" s="7" t="s">
        <v>504</v>
      </c>
      <c r="H2" s="7">
        <v>0</v>
      </c>
      <c r="I2" s="7">
        <v>1</v>
      </c>
      <c r="J2" s="7">
        <v>3</v>
      </c>
      <c r="K2" s="7" t="s">
        <v>541</v>
      </c>
      <c r="L2" s="7" t="s">
        <v>536</v>
      </c>
      <c r="M2" s="7" t="s">
        <v>594</v>
      </c>
      <c r="N2" s="8" t="s">
        <v>595</v>
      </c>
      <c r="O2" s="7"/>
      <c r="P2" s="7">
        <v>19277</v>
      </c>
      <c r="Q2" s="7">
        <v>1547.9804063277925</v>
      </c>
      <c r="R2" s="7"/>
      <c r="S2" s="7" t="s">
        <v>614</v>
      </c>
      <c r="T2" s="7" t="s">
        <v>614</v>
      </c>
      <c r="U2" s="7"/>
      <c r="V2" s="7"/>
      <c r="W2" s="7"/>
      <c r="X2" s="7"/>
      <c r="Y2" s="7" t="s">
        <v>499</v>
      </c>
      <c r="Z2" s="7"/>
      <c r="AA2" s="7"/>
      <c r="AB2" s="7"/>
      <c r="AC2" s="7"/>
      <c r="AD2" s="7"/>
      <c r="AE2" t="s">
        <v>506</v>
      </c>
    </row>
    <row r="3" spans="1:31" ht="43.5">
      <c r="A3" s="1" t="s">
        <v>7</v>
      </c>
      <c r="B3" s="1" t="s">
        <v>6</v>
      </c>
      <c r="C3" s="1" t="s">
        <v>5</v>
      </c>
      <c r="D3" s="1"/>
      <c r="E3" s="1"/>
      <c r="F3" s="1"/>
      <c r="G3" s="7" t="s">
        <v>504</v>
      </c>
      <c r="H3" s="7">
        <v>0</v>
      </c>
      <c r="I3" s="7">
        <v>1</v>
      </c>
      <c r="J3" s="7">
        <v>3</v>
      </c>
      <c r="K3" s="7" t="s">
        <v>541</v>
      </c>
      <c r="L3" s="7" t="s">
        <v>542</v>
      </c>
      <c r="M3" s="7"/>
      <c r="N3" s="8"/>
      <c r="O3" s="7"/>
      <c r="P3" s="7">
        <v>19277</v>
      </c>
      <c r="Q3" s="7">
        <v>1547.9804063277925</v>
      </c>
      <c r="R3" s="7"/>
      <c r="S3" s="7" t="s">
        <v>614</v>
      </c>
      <c r="T3" s="7" t="s">
        <v>614</v>
      </c>
      <c r="U3" s="7"/>
      <c r="V3" s="7"/>
      <c r="W3" s="7"/>
      <c r="X3" s="7"/>
      <c r="Y3" s="7" t="s">
        <v>499</v>
      </c>
      <c r="Z3" s="7"/>
      <c r="AA3" s="7"/>
      <c r="AB3" s="7"/>
      <c r="AC3" s="7"/>
      <c r="AD3" s="7"/>
      <c r="AE3" t="s">
        <v>506</v>
      </c>
    </row>
    <row r="4" spans="1:31" ht="29">
      <c r="A4" s="1" t="s">
        <v>80</v>
      </c>
      <c r="B4" s="1" t="s">
        <v>385</v>
      </c>
      <c r="C4" s="1" t="s">
        <v>386</v>
      </c>
      <c r="D4" s="1"/>
      <c r="E4" s="1"/>
      <c r="F4" s="1"/>
      <c r="G4" s="7" t="s">
        <v>504</v>
      </c>
      <c r="H4" s="7">
        <v>0</v>
      </c>
      <c r="I4" s="7">
        <v>1</v>
      </c>
      <c r="J4" s="7">
        <v>2</v>
      </c>
      <c r="K4" s="7" t="s">
        <v>541</v>
      </c>
      <c r="L4" s="7" t="s">
        <v>550</v>
      </c>
      <c r="M4" s="7"/>
      <c r="N4" s="8"/>
      <c r="O4" s="7"/>
      <c r="P4" s="7">
        <v>19277</v>
      </c>
      <c r="Q4" s="7">
        <v>1547.9804063277925</v>
      </c>
      <c r="R4" s="7"/>
      <c r="S4" s="7" t="s">
        <v>614</v>
      </c>
      <c r="T4" s="7" t="s">
        <v>614</v>
      </c>
      <c r="U4" s="7"/>
      <c r="V4" s="7"/>
      <c r="W4" s="7"/>
      <c r="X4" s="7"/>
      <c r="Y4" s="7" t="s">
        <v>499</v>
      </c>
      <c r="Z4" s="7"/>
      <c r="AA4" s="7"/>
      <c r="AB4" s="7"/>
      <c r="AC4" s="7"/>
      <c r="AD4" s="7"/>
      <c r="AE4" t="s">
        <v>506</v>
      </c>
    </row>
    <row r="5" spans="1:31" ht="43.5">
      <c r="A5" s="1" t="s">
        <v>84</v>
      </c>
      <c r="B5" s="1" t="s">
        <v>619</v>
      </c>
      <c r="C5" s="1" t="s">
        <v>620</v>
      </c>
      <c r="D5" s="1"/>
      <c r="E5" s="1"/>
      <c r="F5" s="1" t="s">
        <v>339</v>
      </c>
      <c r="G5" s="7" t="s">
        <v>500</v>
      </c>
      <c r="H5" s="7">
        <v>0</v>
      </c>
      <c r="I5" s="7">
        <v>1</v>
      </c>
      <c r="J5" s="7">
        <v>1</v>
      </c>
      <c r="K5" s="7" t="s">
        <v>541</v>
      </c>
      <c r="L5" s="7" t="s">
        <v>550</v>
      </c>
      <c r="M5" s="7"/>
      <c r="N5" s="8"/>
      <c r="O5" s="7"/>
      <c r="P5" s="7">
        <v>19277</v>
      </c>
      <c r="Q5" s="7">
        <v>1547.9804063277925</v>
      </c>
      <c r="R5" s="7"/>
      <c r="S5" s="7" t="s">
        <v>614</v>
      </c>
      <c r="T5" s="7" t="s">
        <v>614</v>
      </c>
      <c r="U5" s="7" t="s">
        <v>544</v>
      </c>
      <c r="V5" s="7"/>
      <c r="W5" s="7"/>
      <c r="X5" s="7"/>
      <c r="Y5" s="7" t="s">
        <v>499</v>
      </c>
      <c r="Z5" s="7"/>
      <c r="AA5" s="7"/>
      <c r="AB5" s="7"/>
      <c r="AC5" s="7"/>
      <c r="AD5" s="7"/>
      <c r="AE5" t="s">
        <v>506</v>
      </c>
    </row>
    <row r="6" spans="1:31" ht="29">
      <c r="A6" s="1" t="s">
        <v>119</v>
      </c>
      <c r="B6" s="1" t="s">
        <v>398</v>
      </c>
      <c r="C6" s="1" t="s">
        <v>399</v>
      </c>
      <c r="D6" s="1"/>
      <c r="E6" s="1"/>
      <c r="F6" s="1"/>
      <c r="G6" s="7" t="s">
        <v>504</v>
      </c>
      <c r="H6" s="7">
        <v>0</v>
      </c>
      <c r="I6" s="7">
        <v>1</v>
      </c>
      <c r="J6" s="7">
        <v>3</v>
      </c>
      <c r="K6" s="7" t="s">
        <v>541</v>
      </c>
      <c r="L6" s="7" t="s">
        <v>550</v>
      </c>
      <c r="M6" s="7"/>
      <c r="N6" s="8"/>
      <c r="O6" s="7"/>
      <c r="P6" s="7">
        <v>19277</v>
      </c>
      <c r="Q6" s="7">
        <v>1547.9804063277925</v>
      </c>
      <c r="R6" s="7"/>
      <c r="S6" s="7" t="s">
        <v>614</v>
      </c>
      <c r="T6" s="7" t="s">
        <v>614</v>
      </c>
      <c r="U6" s="7"/>
      <c r="V6" s="7"/>
      <c r="W6" s="7"/>
      <c r="X6" s="7"/>
      <c r="Y6" s="7" t="s">
        <v>499</v>
      </c>
      <c r="Z6" s="7"/>
      <c r="AA6" s="7"/>
      <c r="AB6" s="7"/>
      <c r="AC6" s="7"/>
      <c r="AD6" s="7"/>
      <c r="AE6" t="s">
        <v>506</v>
      </c>
    </row>
    <row r="7" spans="1:31" ht="43.5">
      <c r="A7" s="1" t="s">
        <v>155</v>
      </c>
      <c r="B7" s="1" t="s">
        <v>638</v>
      </c>
      <c r="C7" s="1" t="s">
        <v>639</v>
      </c>
      <c r="D7" s="1"/>
      <c r="E7" s="1"/>
      <c r="F7" s="1"/>
      <c r="G7" s="7" t="s">
        <v>504</v>
      </c>
      <c r="H7" s="7">
        <v>0</v>
      </c>
      <c r="I7" s="7">
        <v>1</v>
      </c>
      <c r="J7" s="7">
        <v>2</v>
      </c>
      <c r="K7" s="7" t="s">
        <v>541</v>
      </c>
      <c r="L7" s="7" t="s">
        <v>550</v>
      </c>
      <c r="M7" s="7"/>
      <c r="N7" s="8"/>
      <c r="O7" s="7"/>
      <c r="P7" s="7">
        <v>19277</v>
      </c>
      <c r="Q7" s="7">
        <v>1547.9804063277925</v>
      </c>
      <c r="R7" s="7"/>
      <c r="S7" s="7" t="s">
        <v>614</v>
      </c>
      <c r="T7" s="7" t="s">
        <v>614</v>
      </c>
      <c r="U7" s="7"/>
      <c r="V7" s="7"/>
      <c r="W7" s="7"/>
      <c r="X7" s="7"/>
      <c r="Y7" s="7" t="s">
        <v>499</v>
      </c>
      <c r="Z7" s="7"/>
      <c r="AA7" s="7"/>
      <c r="AB7" s="7"/>
      <c r="AC7" s="7"/>
      <c r="AD7" s="7"/>
      <c r="AE7" t="s">
        <v>506</v>
      </c>
    </row>
    <row r="8" spans="1:31" ht="29">
      <c r="A8" s="1" t="s">
        <v>176</v>
      </c>
      <c r="B8" s="1" t="s">
        <v>662</v>
      </c>
      <c r="C8" s="1" t="s">
        <v>663</v>
      </c>
      <c r="D8" s="1"/>
      <c r="E8" s="1"/>
      <c r="F8" s="1"/>
      <c r="G8" s="7" t="s">
        <v>500</v>
      </c>
      <c r="H8" s="7">
        <v>0</v>
      </c>
      <c r="I8" s="7">
        <v>1</v>
      </c>
      <c r="J8" s="7">
        <v>1</v>
      </c>
      <c r="K8" s="7" t="s">
        <v>541</v>
      </c>
      <c r="L8" s="7" t="s">
        <v>550</v>
      </c>
      <c r="M8" s="7"/>
      <c r="N8" s="8"/>
      <c r="O8" s="7"/>
      <c r="P8" s="7">
        <v>19277</v>
      </c>
      <c r="Q8" s="7">
        <v>1547.9804063277925</v>
      </c>
      <c r="R8" s="7"/>
      <c r="S8" s="7" t="s">
        <v>614</v>
      </c>
      <c r="T8" s="7" t="s">
        <v>614</v>
      </c>
      <c r="U8" s="7"/>
      <c r="V8" s="7"/>
      <c r="W8" s="7"/>
      <c r="X8" s="7"/>
      <c r="Y8" s="7" t="s">
        <v>499</v>
      </c>
      <c r="Z8" s="7"/>
      <c r="AA8" s="7"/>
      <c r="AB8" s="7"/>
      <c r="AC8" s="7"/>
      <c r="AD8" s="7"/>
      <c r="AE8" t="s">
        <v>506</v>
      </c>
    </row>
    <row r="9" spans="1:31" ht="43.5">
      <c r="A9" s="1" t="s">
        <v>203</v>
      </c>
      <c r="B9" s="1" t="s">
        <v>677</v>
      </c>
      <c r="C9" s="1" t="s">
        <v>678</v>
      </c>
      <c r="D9" s="1"/>
      <c r="E9" s="1"/>
      <c r="F9" s="1"/>
      <c r="G9" s="7" t="s">
        <v>504</v>
      </c>
      <c r="H9" s="7">
        <v>0</v>
      </c>
      <c r="I9" s="7">
        <v>1</v>
      </c>
      <c r="J9" s="7">
        <v>4</v>
      </c>
      <c r="K9" s="7" t="s">
        <v>562</v>
      </c>
      <c r="L9" s="7" t="s">
        <v>542</v>
      </c>
      <c r="M9" s="7"/>
      <c r="N9" s="8"/>
      <c r="O9" s="7"/>
      <c r="P9" s="7">
        <v>79</v>
      </c>
      <c r="Q9" s="7">
        <v>6.3438528868545729</v>
      </c>
      <c r="R9" s="7"/>
      <c r="S9" s="7" t="s">
        <v>614</v>
      </c>
      <c r="T9" s="7" t="s">
        <v>614</v>
      </c>
      <c r="U9" s="7"/>
      <c r="V9" s="7"/>
      <c r="W9" s="7"/>
      <c r="X9" s="7"/>
      <c r="Y9" s="7" t="s">
        <v>499</v>
      </c>
      <c r="Z9" s="7"/>
      <c r="AA9" s="7"/>
      <c r="AB9" s="7"/>
      <c r="AC9" s="7"/>
      <c r="AD9" s="7"/>
      <c r="AE9" t="s">
        <v>506</v>
      </c>
    </row>
    <row r="10" spans="1:31" ht="43.5">
      <c r="A10" s="1" t="s">
        <v>211</v>
      </c>
      <c r="B10" s="1" t="s">
        <v>423</v>
      </c>
      <c r="C10" s="1" t="s">
        <v>424</v>
      </c>
      <c r="D10" s="1"/>
      <c r="E10" s="1"/>
      <c r="F10" s="1"/>
      <c r="G10" s="7" t="s">
        <v>500</v>
      </c>
      <c r="H10" s="7">
        <v>0</v>
      </c>
      <c r="I10" s="7">
        <v>1</v>
      </c>
      <c r="J10" s="7">
        <v>1</v>
      </c>
      <c r="K10" s="7" t="s">
        <v>541</v>
      </c>
      <c r="L10" s="7" t="s">
        <v>550</v>
      </c>
      <c r="M10" s="7"/>
      <c r="N10" s="8"/>
      <c r="O10" s="7"/>
      <c r="P10" s="7">
        <v>19277</v>
      </c>
      <c r="Q10" s="7">
        <v>1547.9804063277925</v>
      </c>
      <c r="R10" s="7"/>
      <c r="S10" s="7" t="s">
        <v>614</v>
      </c>
      <c r="T10" s="7" t="s">
        <v>614</v>
      </c>
      <c r="U10" s="7"/>
      <c r="V10" s="7"/>
      <c r="W10" s="7"/>
      <c r="X10" s="7"/>
      <c r="Y10" s="7" t="s">
        <v>499</v>
      </c>
      <c r="Z10" s="7"/>
      <c r="AA10" s="7"/>
      <c r="AB10" s="7"/>
      <c r="AC10" s="7"/>
      <c r="AD10" s="7"/>
      <c r="AE10" t="s">
        <v>506</v>
      </c>
    </row>
    <row r="11" spans="1:31" ht="29">
      <c r="A11" s="1" t="s">
        <v>218</v>
      </c>
      <c r="B11" s="1" t="s">
        <v>686</v>
      </c>
      <c r="C11" s="1" t="s">
        <v>685</v>
      </c>
      <c r="D11" s="1"/>
      <c r="E11" s="1"/>
      <c r="F11" s="1"/>
      <c r="G11" s="7" t="s">
        <v>504</v>
      </c>
      <c r="H11" s="7">
        <v>0</v>
      </c>
      <c r="I11" s="7">
        <v>1</v>
      </c>
      <c r="J11" s="7">
        <v>1</v>
      </c>
      <c r="K11" s="7" t="s">
        <v>541</v>
      </c>
      <c r="L11" s="7" t="s">
        <v>550</v>
      </c>
      <c r="M11" s="7"/>
      <c r="N11" s="8"/>
      <c r="O11" s="7"/>
      <c r="P11" s="7">
        <v>19277</v>
      </c>
      <c r="Q11" s="7">
        <v>1547.9804063277925</v>
      </c>
      <c r="R11" s="7"/>
      <c r="S11" s="7" t="s">
        <v>614</v>
      </c>
      <c r="T11" s="7" t="s">
        <v>614</v>
      </c>
      <c r="U11" s="7"/>
      <c r="V11" s="7"/>
      <c r="W11" s="7"/>
      <c r="X11" s="7"/>
      <c r="Y11" s="7" t="s">
        <v>499</v>
      </c>
      <c r="Z11" s="7"/>
      <c r="AA11" s="7"/>
      <c r="AB11" s="7"/>
      <c r="AC11" s="7"/>
      <c r="AD11" s="7"/>
      <c r="AE11" t="s">
        <v>506</v>
      </c>
    </row>
    <row r="12" spans="1:31" ht="43.5">
      <c r="A12" s="1" t="s">
        <v>223</v>
      </c>
      <c r="B12" s="1" t="s">
        <v>433</v>
      </c>
      <c r="C12" s="1" t="s">
        <v>434</v>
      </c>
      <c r="D12" s="1"/>
      <c r="E12" s="1"/>
      <c r="F12" s="1"/>
      <c r="G12" s="7" t="s">
        <v>500</v>
      </c>
      <c r="H12" s="7">
        <v>0</v>
      </c>
      <c r="I12" s="7">
        <v>1</v>
      </c>
      <c r="J12" s="7">
        <v>3</v>
      </c>
      <c r="K12" s="7" t="s">
        <v>541</v>
      </c>
      <c r="L12" s="7" t="s">
        <v>542</v>
      </c>
      <c r="M12" s="7"/>
      <c r="N12" s="8"/>
      <c r="O12" s="7"/>
      <c r="P12" s="7">
        <v>19277</v>
      </c>
      <c r="Q12" s="7">
        <v>1547.9804063277925</v>
      </c>
      <c r="R12" s="7"/>
      <c r="S12" s="7" t="s">
        <v>614</v>
      </c>
      <c r="T12" s="7" t="s">
        <v>614</v>
      </c>
      <c r="U12" s="7"/>
      <c r="V12" s="7"/>
      <c r="W12" s="7"/>
      <c r="X12" s="7"/>
      <c r="Y12" s="7" t="s">
        <v>499</v>
      </c>
      <c r="Z12" s="7"/>
      <c r="AA12" s="7"/>
      <c r="AB12" s="7"/>
      <c r="AC12" s="7"/>
      <c r="AD12" s="7"/>
      <c r="AE12" t="s">
        <v>506</v>
      </c>
    </row>
    <row r="13" spans="1:31" ht="72.5">
      <c r="A13" s="1" t="s">
        <v>231</v>
      </c>
      <c r="B13" s="1" t="s">
        <v>443</v>
      </c>
      <c r="C13" s="1" t="s">
        <v>444</v>
      </c>
      <c r="D13" s="1"/>
      <c r="E13" s="1"/>
      <c r="F13" s="1"/>
      <c r="G13" s="7" t="s">
        <v>504</v>
      </c>
      <c r="H13" s="7">
        <v>0</v>
      </c>
      <c r="I13" s="7">
        <v>1</v>
      </c>
      <c r="J13" s="7">
        <v>3</v>
      </c>
      <c r="K13" s="7" t="s">
        <v>541</v>
      </c>
      <c r="L13" s="7" t="s">
        <v>542</v>
      </c>
      <c r="M13" s="7"/>
      <c r="N13" s="8"/>
      <c r="O13" s="7"/>
      <c r="P13" s="7">
        <v>19277</v>
      </c>
      <c r="Q13" s="7">
        <v>1547.9804063277925</v>
      </c>
      <c r="R13" s="7"/>
      <c r="S13" s="7" t="s">
        <v>614</v>
      </c>
      <c r="T13" s="7" t="s">
        <v>614</v>
      </c>
      <c r="U13" s="7" t="s">
        <v>544</v>
      </c>
      <c r="V13" s="7"/>
      <c r="W13" s="7"/>
      <c r="X13" s="7"/>
      <c r="Y13" s="7" t="s">
        <v>499</v>
      </c>
      <c r="Z13" s="7"/>
      <c r="AA13" s="7"/>
      <c r="AB13" s="7"/>
      <c r="AC13" s="7"/>
      <c r="AD13" s="7"/>
      <c r="AE13" t="s">
        <v>506</v>
      </c>
    </row>
    <row r="14" spans="1:31" ht="72.5">
      <c r="A14" s="1" t="s">
        <v>231</v>
      </c>
      <c r="B14" s="1" t="s">
        <v>445</v>
      </c>
      <c r="C14" s="1" t="s">
        <v>446</v>
      </c>
      <c r="D14" s="1"/>
      <c r="E14" s="1"/>
      <c r="F14" s="1"/>
      <c r="G14" s="7" t="s">
        <v>504</v>
      </c>
      <c r="H14" s="7">
        <v>0</v>
      </c>
      <c r="I14" s="7">
        <v>1</v>
      </c>
      <c r="J14" s="7">
        <v>3</v>
      </c>
      <c r="K14" s="7" t="s">
        <v>541</v>
      </c>
      <c r="L14" s="7" t="s">
        <v>542</v>
      </c>
      <c r="M14" s="7"/>
      <c r="N14" s="8"/>
      <c r="O14" s="7"/>
      <c r="P14" s="7">
        <v>19277</v>
      </c>
      <c r="Q14" s="7">
        <v>1547.9804063277925</v>
      </c>
      <c r="R14" s="7"/>
      <c r="S14" s="7" t="s">
        <v>614</v>
      </c>
      <c r="T14" s="7" t="s">
        <v>614</v>
      </c>
      <c r="U14" s="7" t="s">
        <v>544</v>
      </c>
      <c r="V14" s="7"/>
      <c r="W14" s="7"/>
      <c r="X14" s="7"/>
      <c r="Y14" s="7" t="s">
        <v>499</v>
      </c>
      <c r="Z14" s="7"/>
      <c r="AA14" s="7"/>
      <c r="AB14" s="7"/>
      <c r="AC14" s="7"/>
      <c r="AD14" s="7"/>
      <c r="AE14" t="s">
        <v>506</v>
      </c>
    </row>
    <row r="15" spans="1:31" ht="58">
      <c r="A15" s="1" t="s">
        <v>242</v>
      </c>
      <c r="B15" s="1" t="s">
        <v>457</v>
      </c>
      <c r="C15" s="1" t="s">
        <v>705</v>
      </c>
      <c r="D15" s="1"/>
      <c r="E15" s="1"/>
      <c r="F15" s="1" t="s">
        <v>339</v>
      </c>
      <c r="G15" s="7" t="s">
        <v>500</v>
      </c>
      <c r="H15" s="7">
        <v>0</v>
      </c>
      <c r="I15" s="7">
        <v>1</v>
      </c>
      <c r="J15" s="7">
        <v>4</v>
      </c>
      <c r="K15" s="7" t="s">
        <v>562</v>
      </c>
      <c r="L15" s="7" t="s">
        <v>542</v>
      </c>
      <c r="M15" s="7"/>
      <c r="N15" s="8"/>
      <c r="O15" s="7"/>
      <c r="P15" s="7">
        <v>3713</v>
      </c>
      <c r="Q15" s="7">
        <v>298.16108568216498</v>
      </c>
      <c r="R15" s="7"/>
      <c r="S15" s="7" t="s">
        <v>614</v>
      </c>
      <c r="T15" s="7" t="s">
        <v>614</v>
      </c>
      <c r="U15" s="7"/>
      <c r="V15" s="7"/>
      <c r="W15" s="7"/>
      <c r="X15" s="7"/>
      <c r="Y15" s="7" t="s">
        <v>499</v>
      </c>
      <c r="Z15" s="7"/>
      <c r="AA15" s="7"/>
      <c r="AB15" s="7"/>
      <c r="AC15" s="7"/>
      <c r="AD15" s="7"/>
      <c r="AE15" t="s">
        <v>506</v>
      </c>
    </row>
    <row r="16" spans="1:31" ht="29">
      <c r="A16" s="1" t="s">
        <v>261</v>
      </c>
      <c r="B16" s="1" t="s">
        <v>471</v>
      </c>
      <c r="C16" s="1" t="s">
        <v>472</v>
      </c>
      <c r="D16" s="1"/>
      <c r="E16" s="1"/>
      <c r="F16" s="1"/>
      <c r="G16" s="7" t="s">
        <v>500</v>
      </c>
      <c r="H16" s="7">
        <v>0</v>
      </c>
      <c r="I16" s="7">
        <v>1</v>
      </c>
      <c r="J16" s="7">
        <v>2</v>
      </c>
      <c r="K16" s="7" t="s">
        <v>541</v>
      </c>
      <c r="L16" s="7" t="s">
        <v>550</v>
      </c>
      <c r="M16" s="7"/>
      <c r="N16" s="8"/>
      <c r="O16" s="7"/>
      <c r="P16" s="7">
        <v>19277</v>
      </c>
      <c r="Q16" s="7">
        <v>1547.9804063277925</v>
      </c>
      <c r="R16" s="7"/>
      <c r="S16" s="7" t="s">
        <v>614</v>
      </c>
      <c r="T16" s="7" t="s">
        <v>614</v>
      </c>
      <c r="U16" s="7"/>
      <c r="V16" s="7"/>
      <c r="W16" s="7"/>
      <c r="X16" s="7"/>
      <c r="Y16" s="7" t="s">
        <v>499</v>
      </c>
      <c r="Z16" s="7"/>
      <c r="AA16" s="7"/>
      <c r="AB16" s="7"/>
      <c r="AC16" s="7"/>
      <c r="AD16" s="7"/>
      <c r="AE16" t="s">
        <v>506</v>
      </c>
    </row>
    <row r="17" spans="1:31" ht="87">
      <c r="A17" s="1" t="s">
        <v>274</v>
      </c>
      <c r="B17" s="1" t="s">
        <v>729</v>
      </c>
      <c r="C17" s="1" t="s">
        <v>730</v>
      </c>
      <c r="D17" s="1" t="s">
        <v>501</v>
      </c>
      <c r="E17" s="1"/>
      <c r="F17" s="1"/>
      <c r="G17" s="7" t="s">
        <v>504</v>
      </c>
      <c r="H17" s="7">
        <v>0</v>
      </c>
      <c r="I17" s="7">
        <v>1</v>
      </c>
      <c r="J17" s="7">
        <v>3</v>
      </c>
      <c r="K17" s="7" t="s">
        <v>554</v>
      </c>
      <c r="L17" s="7" t="s">
        <v>542</v>
      </c>
      <c r="M17" s="7"/>
      <c r="N17" s="8"/>
      <c r="O17" s="7"/>
      <c r="P17" s="7">
        <v>11721</v>
      </c>
      <c r="Q17" s="7">
        <v>941.2189833774994</v>
      </c>
      <c r="R17" s="7"/>
      <c r="S17" s="7" t="s">
        <v>614</v>
      </c>
      <c r="T17" s="7" t="s">
        <v>614</v>
      </c>
      <c r="U17" s="7"/>
      <c r="V17" s="7"/>
      <c r="W17" s="7"/>
      <c r="X17" s="7"/>
      <c r="Y17" s="7" t="s">
        <v>499</v>
      </c>
      <c r="Z17" s="7"/>
      <c r="AA17" s="7"/>
      <c r="AB17" s="7"/>
      <c r="AC17" s="7"/>
      <c r="AD17" s="7"/>
      <c r="AE17" t="s">
        <v>506</v>
      </c>
    </row>
    <row r="18" spans="1:31">
      <c r="Q18" s="7"/>
    </row>
    <row r="19" spans="1:31">
      <c r="Q19" s="7"/>
    </row>
    <row r="20" spans="1:31">
      <c r="D20" t="s">
        <v>825</v>
      </c>
      <c r="E20">
        <v>124530</v>
      </c>
      <c r="Q20" s="7"/>
    </row>
    <row r="21" spans="1:31">
      <c r="D21" t="s">
        <v>832</v>
      </c>
      <c r="E21">
        <f>MEDIAN(Q:Q)</f>
        <v>1547.9804063277925</v>
      </c>
      <c r="Q21" s="7"/>
    </row>
    <row r="22" spans="1:31">
      <c r="Q22" s="7"/>
    </row>
    <row r="23" spans="1:31">
      <c r="Q23" s="7"/>
    </row>
    <row r="24" spans="1:31">
      <c r="D24" t="s">
        <v>833</v>
      </c>
      <c r="E24">
        <f>COUNTIFS(G:G, "Addition", Q:Q, "&gt;=" &amp; $E$21)</f>
        <v>5</v>
      </c>
      <c r="Q24" s="7"/>
    </row>
    <row r="25" spans="1:31">
      <c r="D25" t="s">
        <v>834</v>
      </c>
      <c r="E25">
        <f>COUNTIFS(G:G, "Omission", Q:Q, "&gt;=" &amp; $E$21)</f>
        <v>8</v>
      </c>
      <c r="Q25" s="7"/>
    </row>
    <row r="26" spans="1:31">
      <c r="D26" t="s">
        <v>835</v>
      </c>
      <c r="E26">
        <f>E24/(E24+E25)</f>
        <v>0.38461538461538464</v>
      </c>
    </row>
    <row r="27" spans="1:31">
      <c r="D27" t="s">
        <v>836</v>
      </c>
      <c r="E27">
        <f>COUNTIFS(G:G, "Addition", Q:Q, "&lt;" &amp; $E$21)</f>
        <v>1</v>
      </c>
    </row>
    <row r="28" spans="1:31">
      <c r="D28" t="s">
        <v>837</v>
      </c>
      <c r="E28">
        <f>COUNTIFS(G:G, "Omission", Q:Q, "&lt;" &amp; $E$21)</f>
        <v>2</v>
      </c>
    </row>
    <row r="29" spans="1:31">
      <c r="D29" t="s">
        <v>838</v>
      </c>
      <c r="E29">
        <f>E27/(E27+E28)</f>
        <v>0.33333333333333331</v>
      </c>
    </row>
    <row r="32" spans="1:31">
      <c r="D32" t="s">
        <v>840</v>
      </c>
      <c r="E32">
        <f>COUNTIFS(G:G, "Addition", K:K, "Article")</f>
        <v>5</v>
      </c>
    </row>
    <row r="33" spans="4:5">
      <c r="D33" t="s">
        <v>841</v>
      </c>
      <c r="E33">
        <f>COUNTIFS(G:G, "Omission", K:K, "Article")</f>
        <v>8</v>
      </c>
    </row>
    <row r="34" spans="4:5">
      <c r="D34" t="s">
        <v>842</v>
      </c>
      <c r="E34">
        <f>COUNTIFS(G:G, "Addition", K:K, "Article")/(COUNTIFS(G:G, "Addition", K:K, "Article") + COUNTIFS(G:G, "Omission", K:K, "Article"))</f>
        <v>0.38461538461538464</v>
      </c>
    </row>
  </sheetData>
  <conditionalFormatting sqref="G2:G17">
    <cfRule type="expression" dxfId="108" priority="24">
      <formula>$I2&lt;&gt;""</formula>
    </cfRule>
    <cfRule type="expression" dxfId="107" priority="25">
      <formula>$I2=""</formula>
    </cfRule>
  </conditionalFormatting>
  <conditionalFormatting sqref="H2:L17 O2:P17">
    <cfRule type="expression" dxfId="106" priority="22">
      <formula>AND(OR($I2="Addition",$I2="Omission"), H2="")</formula>
    </cfRule>
    <cfRule type="expression" dxfId="105" priority="23">
      <formula>AND($I2&lt;&gt;"Addition",$I2&lt;&gt;"Omission",$I2&lt;&gt;"Substitution - Word")</formula>
    </cfRule>
  </conditionalFormatting>
  <conditionalFormatting sqref="H2:P17">
    <cfRule type="expression" dxfId="104" priority="21">
      <formula>AND(OR($I2="Addition",$I2="Omission"), H2&lt;&gt;"")</formula>
    </cfRule>
  </conditionalFormatting>
  <conditionalFormatting sqref="K2:K17">
    <cfRule type="expression" dxfId="103" priority="16">
      <formula>AND($K2&lt;&gt;"",$K2&gt;1)</formula>
    </cfRule>
  </conditionalFormatting>
  <conditionalFormatting sqref="M2:N17">
    <cfRule type="expression" dxfId="102" priority="12">
      <formula>$N2="Absent"</formula>
    </cfRule>
    <cfRule type="expression" dxfId="101" priority="13">
      <formula>$N2="NA"</formula>
    </cfRule>
    <cfRule type="expression" dxfId="100" priority="14">
      <formula>AND(OR($I2="Addition",$I2="Omission"), M2="")</formula>
    </cfRule>
    <cfRule type="expression" dxfId="99" priority="15">
      <formula>AND($I2&lt;&gt;"Addition",$I2&lt;&gt;"Omission")</formula>
    </cfRule>
  </conditionalFormatting>
  <conditionalFormatting sqref="O2:O17">
    <cfRule type="expression" dxfId="98" priority="17">
      <formula>AND(OR($I2="Addition",$I2="Omission",$I2="Substitution - Word"),RIGHT($AE2,6)&lt;&gt;"strict",$AD2&lt;&gt;"Yes")</formula>
    </cfRule>
  </conditionalFormatting>
  <conditionalFormatting sqref="Q2:Q25">
    <cfRule type="expression" dxfId="97" priority="2">
      <formula>AND(OR($I2="Addition",$I2="Omission"), Q2&lt;&gt;"")</formula>
    </cfRule>
    <cfRule type="expression" dxfId="96" priority="3">
      <formula>AND(OR($I2="Addition",$I2="Omission"), Q2="")</formula>
    </cfRule>
    <cfRule type="expression" dxfId="95" priority="4">
      <formula>AND($I2&lt;&gt;"Addition",$I2&lt;&gt;"Omission",$I2&lt;&gt;"Substitution - Word")</formula>
    </cfRule>
  </conditionalFormatting>
  <conditionalFormatting sqref="R2:T17">
    <cfRule type="expression" dxfId="94" priority="18">
      <formula>AND(AND(LEFT($I2,3)="Sub", RIGHT($I2,4)&lt;&gt;"Form"),$T2&lt;&gt;"")</formula>
    </cfRule>
    <cfRule type="expression" dxfId="93" priority="19">
      <formula>AND(AND(LEFT($I2,3)="Sub", RIGHT($I2,4)&lt;&gt;"Form"),$T2="")</formula>
    </cfRule>
    <cfRule type="expression" dxfId="92" priority="20">
      <formula>"&lt;&gt;AND(LEFT($J2,3)=""Sub"", RIGHT($J2,4)&lt;&gt;""Form"")"</formula>
    </cfRule>
  </conditionalFormatting>
  <conditionalFormatting sqref="U2:U17">
    <cfRule type="expression" dxfId="91" priority="6">
      <formula>AND($W2&lt;&gt;"",OR($AD2="Yes",$AE2&lt;&gt;""))</formula>
    </cfRule>
    <cfRule type="expression" dxfId="90" priority="7">
      <formula>OR($AD2="Yes",$AE2&lt;&gt;"")</formula>
    </cfRule>
    <cfRule type="expression" dxfId="89" priority="10">
      <formula>AND($AD2&lt;&gt;"Yes",$AE2="")</formula>
    </cfRule>
  </conditionalFormatting>
  <conditionalFormatting sqref="U2:AD6">
    <cfRule type="expression" dxfId="88" priority="26">
      <formula>AND($I2&lt;&gt;"",$I2&lt;&gt;"Unclear due to correction")</formula>
    </cfRule>
  </conditionalFormatting>
  <conditionalFormatting sqref="U2:AD17">
    <cfRule type="expression" dxfId="87" priority="27">
      <formula>OR($I2="",$I2="Unclear due to correction")</formula>
    </cfRule>
  </conditionalFormatting>
  <conditionalFormatting sqref="U7:AD17">
    <cfRule type="expression" dxfId="86" priority="1">
      <formula>AND($I7&lt;&gt;"",$I7&lt;&gt;"Unclear due to correction")</formula>
    </cfRule>
  </conditionalFormatting>
  <conditionalFormatting sqref="V2:V17">
    <cfRule type="expression" dxfId="85" priority="5">
      <formula>AND($I2&lt;&gt;"",$I2&lt;&gt;"Unclear due to correction",$X2="")</formula>
    </cfRule>
  </conditionalFormatting>
  <conditionalFormatting sqref="W2:W17">
    <cfRule type="expression" dxfId="84" priority="8">
      <formula>AND($X2="Yes",$Y2="")</formula>
    </cfRule>
    <cfRule type="expression" dxfId="83" priority="9">
      <formula>$X2=""</formula>
    </cfRule>
  </conditionalFormatting>
  <conditionalFormatting sqref="AB2:AB17">
    <cfRule type="expression" dxfId="82" priority="11">
      <formula>AND(OR($AB2&lt;&gt;"",$AC2&lt;&gt;""),$AD2="")</formula>
    </cfRule>
  </conditionalFormatting>
  <dataValidations count="1">
    <dataValidation type="list" allowBlank="1" showInputMessage="1" showErrorMessage="1" sqref="AE2:AE17" xr:uid="{B84150A2-F4BD-467C-BD17-EDE38DF80CDE}">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7EF61CEC-B3A1-4BD1-BB87-0EA2E1FC7943}">
          <x14:formula1>
            <xm:f>'Data Regularization'!$A$2:$A$1048576</xm:f>
          </x14:formula1>
          <xm:sqref>D2:D17</xm:sqref>
        </x14:dataValidation>
        <x14:dataValidation type="list" allowBlank="1" showInputMessage="1" showErrorMessage="1" xr:uid="{5B2F4790-98B7-49EE-B85B-01E287AB6B40}">
          <x14:formula1>
            <xm:f>'Data Regularization'!$B$2:$B$1048576</xm:f>
          </x14:formula1>
          <xm:sqref>E2:E17</xm:sqref>
        </x14:dataValidation>
        <x14:dataValidation type="list" allowBlank="1" showInputMessage="1" showErrorMessage="1" xr:uid="{A90DAE60-DB05-4379-948B-6856CEF95342}">
          <x14:formula1>
            <xm:f>'Data Regularization'!$C$2:$C$1048576</xm:f>
          </x14:formula1>
          <xm:sqref>F2:F17</xm:sqref>
        </x14:dataValidation>
        <x14:dataValidation type="list" allowBlank="1" showInputMessage="1" showErrorMessage="1" xr:uid="{664C050F-9EB6-413E-BE28-5EA82E747768}">
          <x14:formula1>
            <xm:f>'Data Regularization'!$D$2:$D$1048576</xm:f>
          </x14:formula1>
          <xm:sqref>G2:G17</xm:sqref>
        </x14:dataValidation>
        <x14:dataValidation type="list" allowBlank="1" showInputMessage="1" showErrorMessage="1" xr:uid="{699E5428-8CEF-45FC-9E58-2903CB36B50A}">
          <x14:formula1>
            <xm:f>'Data Regularization'!$E$2:$E$1048576</xm:f>
          </x14:formula1>
          <xm:sqref>K2:K17</xm:sqref>
        </x14:dataValidation>
        <x14:dataValidation type="list" allowBlank="1" showInputMessage="1" showErrorMessage="1" xr:uid="{86831C86-F020-4899-85CA-C61F84031EF7}">
          <x14:formula1>
            <xm:f>'Data Regularization'!$F$2:$F$1048576</xm:f>
          </x14:formula1>
          <xm:sqref>L2:L17</xm:sqref>
        </x14:dataValidation>
        <x14:dataValidation type="list" allowBlank="1" showInputMessage="1" showErrorMessage="1" xr:uid="{7040953E-24A2-444E-9124-AD46619B8106}">
          <x14:formula1>
            <xm:f>'Data Regularization'!$G$2:$G$1048576</xm:f>
          </x14:formula1>
          <xm:sqref>O2:O17</xm:sqref>
        </x14:dataValidation>
        <x14:dataValidation type="list" allowBlank="1" showInputMessage="1" showErrorMessage="1" xr:uid="{D6EDB0C0-312F-4568-AFFE-C84E4E29F850}">
          <x14:formula1>
            <xm:f>'Data Regularization'!$H$2:$H$1048576</xm:f>
          </x14:formula1>
          <xm:sqref>U2:U17</xm:sqref>
        </x14:dataValidation>
        <x14:dataValidation type="list" allowBlank="1" showInputMessage="1" xr:uid="{0A835A24-AE45-49FD-96F1-18B3403D29CF}">
          <x14:formula1>
            <xm:f>'Data Regularization'!$I$2:$I$1048576</xm:f>
          </x14:formula1>
          <xm:sqref>V2:V17</xm:sqref>
        </x14:dataValidation>
        <x14:dataValidation type="list" allowBlank="1" showInputMessage="1" showErrorMessage="1" xr:uid="{D8938D31-CADD-4384-9A76-780B28AE87B8}">
          <x14:formula1>
            <xm:f>'Data Regularization'!$K$2:$K$1048576</xm:f>
          </x14:formula1>
          <xm:sqref>X2:X17</xm:sqref>
        </x14:dataValidation>
        <x14:dataValidation type="list" allowBlank="1" showInputMessage="1" showErrorMessage="1" xr:uid="{3B947EEC-1614-46A7-8518-0758308D95D4}">
          <x14:formula1>
            <xm:f>'Data Regularization'!$J$2:$J$1048576</xm:f>
          </x14:formula1>
          <xm:sqref>W2:W17</xm:sqref>
        </x14:dataValidation>
        <x14:dataValidation type="list" allowBlank="1" showInputMessage="1" showErrorMessage="1" xr:uid="{86F1BF84-6701-45DA-BC1A-74B742E0DD96}">
          <x14:formula1>
            <xm:f>'Data Regularization'!$L$2:$L$1048576</xm:f>
          </x14:formula1>
          <xm:sqref>Y2:Y17</xm:sqref>
        </x14:dataValidation>
        <x14:dataValidation type="list" allowBlank="1" showInputMessage="1" showErrorMessage="1" xr:uid="{725E1C55-94A4-4DF7-AB9E-CDCD34D80D03}">
          <x14:formula1>
            <xm:f>'Data Regularization'!$M$2:$M$1048576</xm:f>
          </x14:formula1>
          <xm:sqref>Z2:Z17</xm:sqref>
        </x14:dataValidation>
        <x14:dataValidation type="list" allowBlank="1" showInputMessage="1" showErrorMessage="1" xr:uid="{7539E16D-FF37-45E4-964C-821F5F92AE7B}">
          <x14:formula1>
            <xm:f>'Data Regularization'!$O$2:$O$1048576</xm:f>
          </x14:formula1>
          <xm:sqref>AC2:AC17</xm:sqref>
        </x14:dataValidation>
        <x14:dataValidation type="list" allowBlank="1" showInputMessage="1" showErrorMessage="1" xr:uid="{CC49AD09-06BD-44D6-8AF7-F27081382B13}">
          <x14:formula1>
            <xm:f>'Data Regularization'!$P$2:$P$1048576</xm:f>
          </x14:formula1>
          <xm:sqref>AD2:AD17</xm:sqref>
        </x14:dataValidation>
        <x14:dataValidation type="list" allowBlank="1" showInputMessage="1" showErrorMessage="1" xr:uid="{2E9549F9-1C3C-4D8C-9E29-EEB96D8D374E}">
          <x14:formula1>
            <xm:f>'Data Regularization'!$N$2:$N$1048576</xm:f>
          </x14:formula1>
          <xm:sqref>AB2:AB17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12E94-20ED-4FC9-B1C8-A0FAA4F52359}">
  <dimension ref="A1:AE15"/>
  <sheetViews>
    <sheetView topLeftCell="A3" workbookViewId="0">
      <selection activeCell="A17" sqref="A17:XFD1048576"/>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831</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72.5">
      <c r="A2" s="1" t="s">
        <v>313</v>
      </c>
      <c r="B2" s="1" t="s">
        <v>482</v>
      </c>
      <c r="C2" s="1" t="s">
        <v>483</v>
      </c>
      <c r="D2" s="1"/>
      <c r="E2" s="1"/>
      <c r="F2" s="1"/>
      <c r="G2" s="7" t="s">
        <v>504</v>
      </c>
      <c r="H2" s="7">
        <v>0</v>
      </c>
      <c r="I2" s="7">
        <v>1</v>
      </c>
      <c r="J2" s="7">
        <v>12</v>
      </c>
      <c r="K2" s="7" t="s">
        <v>560</v>
      </c>
      <c r="L2" s="7" t="s">
        <v>536</v>
      </c>
      <c r="M2" s="7" t="s">
        <v>746</v>
      </c>
      <c r="N2" s="8" t="s">
        <v>649</v>
      </c>
      <c r="O2" s="7"/>
      <c r="P2" s="7">
        <v>106</v>
      </c>
      <c r="Q2" s="7">
        <f>(P2/$E$5)*10000</f>
        <v>8.5120051393238576</v>
      </c>
      <c r="R2" s="7"/>
      <c r="S2" s="7" t="s">
        <v>614</v>
      </c>
      <c r="T2" s="7" t="s">
        <v>614</v>
      </c>
      <c r="U2" s="7"/>
      <c r="V2" s="7"/>
      <c r="W2" s="7"/>
      <c r="X2" s="7"/>
      <c r="Y2" s="7" t="s">
        <v>499</v>
      </c>
      <c r="Z2" s="7"/>
      <c r="AA2" s="7"/>
      <c r="AB2" s="7"/>
      <c r="AC2" s="7"/>
      <c r="AD2" s="7"/>
      <c r="AE2" t="s">
        <v>506</v>
      </c>
    </row>
    <row r="5" spans="1:31">
      <c r="D5" t="s">
        <v>825</v>
      </c>
      <c r="E5">
        <v>124530</v>
      </c>
    </row>
    <row r="6" spans="1:31">
      <c r="D6" t="s">
        <v>832</v>
      </c>
      <c r="E6">
        <f>MEDIAN(Q:Q)</f>
        <v>8.5120051393238576</v>
      </c>
    </row>
    <row r="9" spans="1:31">
      <c r="D9" t="s">
        <v>833</v>
      </c>
      <c r="E9">
        <f>COUNTIFS(G:G, "Addition", Q:Q, "&gt;=" &amp; $E$6)</f>
        <v>0</v>
      </c>
      <c r="F9" t="s">
        <v>839</v>
      </c>
    </row>
    <row r="10" spans="1:31">
      <c r="D10" t="s">
        <v>834</v>
      </c>
      <c r="E10">
        <f>COUNTIFS(G:G, "Omission", Q:Q, "&gt;=" &amp; $E$6)</f>
        <v>1</v>
      </c>
    </row>
    <row r="11" spans="1:31">
      <c r="D11" t="s">
        <v>835</v>
      </c>
      <c r="E11">
        <f>E9/(E9+E10)</f>
        <v>0</v>
      </c>
    </row>
    <row r="12" spans="1:31">
      <c r="D12" t="s">
        <v>836</v>
      </c>
      <c r="E12">
        <f>COUNTIFS(G:G, "Addition", Q:Q, "&lt;" &amp; $E$6)</f>
        <v>0</v>
      </c>
    </row>
    <row r="13" spans="1:31">
      <c r="D13" t="s">
        <v>837</v>
      </c>
      <c r="E13">
        <f>COUNTIFS(G:G, "Omission", Q:Q, "&lt;" &amp; $E$6)</f>
        <v>0</v>
      </c>
    </row>
    <row r="14" spans="1:31">
      <c r="D14" t="s">
        <v>838</v>
      </c>
      <c r="E14" t="e">
        <f>E12/(E12+E13)</f>
        <v>#DIV/0!</v>
      </c>
    </row>
    <row r="15" spans="1:31">
      <c r="D15" t="s">
        <v>850</v>
      </c>
      <c r="E15" t="e">
        <f>E11-E14</f>
        <v>#DIV/0!</v>
      </c>
    </row>
  </sheetData>
  <conditionalFormatting sqref="G2">
    <cfRule type="expression" dxfId="81" priority="35">
      <formula>$I2&lt;&gt;""</formula>
    </cfRule>
    <cfRule type="expression" dxfId="80" priority="36">
      <formula>$I2=""</formula>
    </cfRule>
  </conditionalFormatting>
  <conditionalFormatting sqref="H2:L2">
    <cfRule type="expression" dxfId="79" priority="33">
      <formula>AND(OR($I2="Addition",$I2="Omission"), H2="")</formula>
    </cfRule>
    <cfRule type="expression" dxfId="78" priority="34">
      <formula>AND($I2&lt;&gt;"Addition",$I2&lt;&gt;"Omission",$I2&lt;&gt;"Substitution - Word")</formula>
    </cfRule>
  </conditionalFormatting>
  <conditionalFormatting sqref="H2:P2">
    <cfRule type="expression" dxfId="77" priority="32">
      <formula>AND(OR($I2="Addition",$I2="Omission"), H2&lt;&gt;"")</formula>
    </cfRule>
  </conditionalFormatting>
  <conditionalFormatting sqref="K2">
    <cfRule type="expression" dxfId="76" priority="28">
      <formula>AND($K2&lt;&gt;"",$K2&gt;1)</formula>
    </cfRule>
  </conditionalFormatting>
  <conditionalFormatting sqref="M2:N2">
    <cfRule type="expression" dxfId="75" priority="24">
      <formula>$N2="Absent"</formula>
    </cfRule>
    <cfRule type="expression" dxfId="74" priority="25">
      <formula>$N2="NA"</formula>
    </cfRule>
    <cfRule type="expression" dxfId="73" priority="26">
      <formula>AND(OR($I2="Addition",$I2="Omission"), M2="")</formula>
    </cfRule>
    <cfRule type="expression" dxfId="72" priority="27">
      <formula>AND($I2&lt;&gt;"Addition",$I2&lt;&gt;"Omission")</formula>
    </cfRule>
  </conditionalFormatting>
  <conditionalFormatting sqref="O2">
    <cfRule type="expression" dxfId="71" priority="16">
      <formula>AND(OR($I2="Addition",$I2="Omission",$I2="Substitution - Word"),RIGHT($AE2,6)&lt;&gt;"strict",$AD2&lt;&gt;"Yes")</formula>
    </cfRule>
  </conditionalFormatting>
  <conditionalFormatting sqref="O2:P2">
    <cfRule type="expression" dxfId="70" priority="19">
      <formula>AND(OR($I2="Addition",$I2="Omission"), O2="")</formula>
    </cfRule>
    <cfRule type="expression" dxfId="69" priority="20">
      <formula>AND($I2&lt;&gt;"Addition",$I2&lt;&gt;"Omission",$I2&lt;&gt;"Substitution - Word")</formula>
    </cfRule>
  </conditionalFormatting>
  <conditionalFormatting sqref="Q2">
    <cfRule type="expression" dxfId="68" priority="1">
      <formula>AND(OR($I2="Addition",$I2="Omission"), Q2&lt;&gt;"")</formula>
    </cfRule>
    <cfRule type="expression" dxfId="67" priority="2">
      <formula>AND(OR($I2="Addition",$I2="Omission"), Q2="")</formula>
    </cfRule>
    <cfRule type="expression" dxfId="66" priority="3">
      <formula>AND($I2&lt;&gt;"Addition",$I2&lt;&gt;"Omission",$I2&lt;&gt;"Substitution - Word")</formula>
    </cfRule>
  </conditionalFormatting>
  <conditionalFormatting sqref="R2">
    <cfRule type="expression" dxfId="65" priority="29">
      <formula>AND(AND(LEFT($I2,3)="Sub", RIGHT($I2,4)&lt;&gt;"Form"),$V2&lt;&gt;"")</formula>
    </cfRule>
    <cfRule type="expression" dxfId="64" priority="30">
      <formula>AND(AND(LEFT($I2,3)="Sub", RIGHT($I2,4)&lt;&gt;"Form"),$V2="")</formula>
    </cfRule>
    <cfRule type="expression" dxfId="63" priority="31">
      <formula>"&lt;&gt;AND(LEFT($J2,3)=""Sub"", RIGHT($J2,4)&lt;&gt;""Form"")"</formula>
    </cfRule>
  </conditionalFormatting>
  <conditionalFormatting sqref="S2:T2">
    <cfRule type="expression" dxfId="62" priority="7">
      <formula>AND(AND(LEFT($I2,3)="Sub", RIGHT($I2,4)&lt;&gt;"Form"),$T2&lt;&gt;"")</formula>
    </cfRule>
    <cfRule type="expression" dxfId="61" priority="8">
      <formula>AND(AND(LEFT($I2,3)="Sub", RIGHT($I2,4)&lt;&gt;"Form"),$T2="")</formula>
    </cfRule>
    <cfRule type="expression" dxfId="60" priority="9">
      <formula>"&lt;&gt;AND(LEFT($J2,3)=""Sub"", RIGHT($J2,4)&lt;&gt;""Form"")"</formula>
    </cfRule>
    <cfRule type="expression" dxfId="59" priority="10">
      <formula>AND(AND(LEFT($I2,3)="Sub", RIGHT($I2,4)&lt;&gt;"Form"),$T2&lt;&gt;"")</formula>
    </cfRule>
    <cfRule type="expression" dxfId="58" priority="11">
      <formula>AND(AND(LEFT($I2,3)="Sub", RIGHT($I2,4)&lt;&gt;"Form"),$T2="")</formula>
    </cfRule>
    <cfRule type="expression" dxfId="57" priority="12">
      <formula>"&lt;&gt;AND(LEFT($J2,3)=""Sub"", RIGHT($J2,4)&lt;&gt;""Form"")"</formula>
    </cfRule>
  </conditionalFormatting>
  <conditionalFormatting sqref="U2">
    <cfRule type="expression" dxfId="56" priority="13">
      <formula>AND($W2&lt;&gt;"",OR($AD2="Yes",$AE2&lt;&gt;""))</formula>
    </cfRule>
    <cfRule type="expression" dxfId="55" priority="14">
      <formula>OR($AD2="Yes",$AE2&lt;&gt;"")</formula>
    </cfRule>
    <cfRule type="expression" dxfId="54" priority="37">
      <formula>AND($AD2&lt;&gt;"Yes",$AE2="")</formula>
    </cfRule>
  </conditionalFormatting>
  <conditionalFormatting sqref="U2:AD2">
    <cfRule type="expression" dxfId="53" priority="17">
      <formula>AND($I2&lt;&gt;"",$I2&lt;&gt;"Unclear due to correction")</formula>
    </cfRule>
    <cfRule type="expression" dxfId="52" priority="18">
      <formula>OR($I2="",$I2="Unclear due to correction")</formula>
    </cfRule>
  </conditionalFormatting>
  <conditionalFormatting sqref="V2">
    <cfRule type="expression" dxfId="51" priority="21">
      <formula>AND($I2&lt;&gt;"",$I2&lt;&gt;"Unclear due to correction",$X2="")</formula>
    </cfRule>
  </conditionalFormatting>
  <conditionalFormatting sqref="W2">
    <cfRule type="expression" dxfId="50" priority="22">
      <formula>AND($X2="Yes",$Y2="")</formula>
    </cfRule>
    <cfRule type="expression" dxfId="49" priority="23">
      <formula>$X2=""</formula>
    </cfRule>
  </conditionalFormatting>
  <conditionalFormatting sqref="AB2">
    <cfRule type="expression" dxfId="48" priority="15">
      <formula>AND(OR($AB2&lt;&gt;"",$AC2&lt;&gt;""),$AD2="")</formula>
    </cfRule>
  </conditionalFormatting>
  <dataValidations count="1">
    <dataValidation type="list" allowBlank="1" showInputMessage="1" showErrorMessage="1" sqref="AE2" xr:uid="{6ED4E365-409C-4891-B763-45C2EDED2680}">
      <formula1>"Yes, 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ABE66663-53BB-4ED5-A5CA-1B6E651675DB}">
          <x14:formula1>
            <xm:f>'Data Regularization'!$A$2:$A$1048576</xm:f>
          </x14:formula1>
          <xm:sqref>D2</xm:sqref>
        </x14:dataValidation>
        <x14:dataValidation type="list" allowBlank="1" showInputMessage="1" showErrorMessage="1" xr:uid="{6AF474BE-40C8-48F0-AC25-471BF64E67FA}">
          <x14:formula1>
            <xm:f>'Data Regularization'!$B$2:$B$1048576</xm:f>
          </x14:formula1>
          <xm:sqref>E2</xm:sqref>
        </x14:dataValidation>
        <x14:dataValidation type="list" allowBlank="1" showInputMessage="1" showErrorMessage="1" xr:uid="{DFE5A54A-0CA0-4D36-BB6B-B4527FE156FC}">
          <x14:formula1>
            <xm:f>'Data Regularization'!$C$2:$C$1048576</xm:f>
          </x14:formula1>
          <xm:sqref>F2</xm:sqref>
        </x14:dataValidation>
        <x14:dataValidation type="list" allowBlank="1" showInputMessage="1" showErrorMessage="1" xr:uid="{039AE97C-9B6E-4DCE-BAFB-ACB60C33FF4B}">
          <x14:formula1>
            <xm:f>'Data Regularization'!$D$2:$D$1048576</xm:f>
          </x14:formula1>
          <xm:sqref>G2</xm:sqref>
        </x14:dataValidation>
        <x14:dataValidation type="list" allowBlank="1" showInputMessage="1" showErrorMessage="1" xr:uid="{868B075B-5D31-49BC-B52A-A9AE976D2EDC}">
          <x14:formula1>
            <xm:f>'Data Regularization'!$E$2:$E$1048576</xm:f>
          </x14:formula1>
          <xm:sqref>K2</xm:sqref>
        </x14:dataValidation>
        <x14:dataValidation type="list" allowBlank="1" showInputMessage="1" showErrorMessage="1" xr:uid="{1C8B9973-550C-4E1A-93E1-152799B2242B}">
          <x14:formula1>
            <xm:f>'Data Regularization'!$F$2:$F$1048576</xm:f>
          </x14:formula1>
          <xm:sqref>L2</xm:sqref>
        </x14:dataValidation>
        <x14:dataValidation type="list" allowBlank="1" showInputMessage="1" showErrorMessage="1" xr:uid="{5D64B17D-C14B-4FF9-8200-58C9230FAD40}">
          <x14:formula1>
            <xm:f>'Data Regularization'!$G$2:$G$1048576</xm:f>
          </x14:formula1>
          <xm:sqref>O2</xm:sqref>
        </x14:dataValidation>
        <x14:dataValidation type="list" allowBlank="1" showInputMessage="1" showErrorMessage="1" xr:uid="{DED2C972-3E0E-4784-9D91-35B15D2FD4B9}">
          <x14:formula1>
            <xm:f>'Data Regularization'!$H$2:$H$1048576</xm:f>
          </x14:formula1>
          <xm:sqref>U2</xm:sqref>
        </x14:dataValidation>
        <x14:dataValidation type="list" allowBlank="1" showInputMessage="1" xr:uid="{0BF0680E-4DEA-410B-8538-2D25C7341C27}">
          <x14:formula1>
            <xm:f>'Data Regularization'!$I$2:$I$1048576</xm:f>
          </x14:formula1>
          <xm:sqref>V2</xm:sqref>
        </x14:dataValidation>
        <x14:dataValidation type="list" allowBlank="1" showInputMessage="1" showErrorMessage="1" xr:uid="{652D5401-42DF-46A5-AE0C-3CA5A5CEA2FD}">
          <x14:formula1>
            <xm:f>'Data Regularization'!$K$2:$K$1048576</xm:f>
          </x14:formula1>
          <xm:sqref>X2</xm:sqref>
        </x14:dataValidation>
        <x14:dataValidation type="list" allowBlank="1" showInputMessage="1" showErrorMessage="1" xr:uid="{B802C206-6845-4ACB-9904-8300A4164327}">
          <x14:formula1>
            <xm:f>'Data Regularization'!$J$2:$J$1048576</xm:f>
          </x14:formula1>
          <xm:sqref>W2</xm:sqref>
        </x14:dataValidation>
        <x14:dataValidation type="list" allowBlank="1" showInputMessage="1" showErrorMessage="1" xr:uid="{FF2E1D58-2796-4854-94EE-06B7FCC9E509}">
          <x14:formula1>
            <xm:f>'Data Regularization'!$L$2:$L$1048576</xm:f>
          </x14:formula1>
          <xm:sqref>Y2</xm:sqref>
        </x14:dataValidation>
        <x14:dataValidation type="list" allowBlank="1" showInputMessage="1" showErrorMessage="1" xr:uid="{47FDAE82-4C7D-4A59-B9FF-2BFD401F92A2}">
          <x14:formula1>
            <xm:f>'Data Regularization'!$M$2:$M$1048576</xm:f>
          </x14:formula1>
          <xm:sqref>Z2</xm:sqref>
        </x14:dataValidation>
        <x14:dataValidation type="list" allowBlank="1" showInputMessage="1" showErrorMessage="1" xr:uid="{21A45BB2-FEE6-4816-B317-A011B2391DE8}">
          <x14:formula1>
            <xm:f>'Data Regularization'!$O$2:$O$1048576</xm:f>
          </x14:formula1>
          <xm:sqref>AC2</xm:sqref>
        </x14:dataValidation>
        <x14:dataValidation type="list" allowBlank="1" showInputMessage="1" showErrorMessage="1" xr:uid="{7149DE23-3D98-4962-B6BF-1238BCFE05A5}">
          <x14:formula1>
            <xm:f>'Data Regularization'!$P$2:$P$1048576</xm:f>
          </x14:formula1>
          <xm:sqref>AD2</xm:sqref>
        </x14:dataValidation>
        <x14:dataValidation type="list" allowBlank="1" showInputMessage="1" showErrorMessage="1" xr:uid="{CABD0CB7-8FFC-4E8B-B271-3957CB8BF4C9}">
          <x14:formula1>
            <xm:f>'Data Regularization'!$N$2:$N$1048576</xm:f>
          </x14:formula1>
          <xm:sqref>AB2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DC98-49FD-4488-BD7E-D05F9D7B8C6A}">
  <dimension ref="A1:AG31"/>
  <sheetViews>
    <sheetView workbookViewId="0">
      <pane xSplit="3" ySplit="1" topLeftCell="D17" activePane="bottomRight" state="frozen"/>
      <selection pane="topRight" activeCell="D1" sqref="D1"/>
      <selection pane="bottomLeft" activeCell="A2" sqref="A2"/>
      <selection pane="bottomRight" activeCell="A34" sqref="A34:XFD1048576"/>
    </sheetView>
  </sheetViews>
  <sheetFormatPr defaultRowHeight="14.5"/>
  <sheetData>
    <row r="1" spans="1:33"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580</v>
      </c>
      <c r="R1" s="2" t="s">
        <v>826</v>
      </c>
      <c r="S1" s="2" t="s">
        <v>827</v>
      </c>
      <c r="T1" s="2" t="s">
        <v>828</v>
      </c>
      <c r="U1" s="2" t="s">
        <v>829</v>
      </c>
      <c r="V1" s="2" t="s">
        <v>830</v>
      </c>
      <c r="W1" s="2" t="s">
        <v>527</v>
      </c>
      <c r="X1" s="2" t="s">
        <v>528</v>
      </c>
      <c r="Y1" s="2" t="s">
        <v>529</v>
      </c>
      <c r="Z1" s="2" t="s">
        <v>530</v>
      </c>
      <c r="AA1" s="2" t="s">
        <v>531</v>
      </c>
      <c r="AB1" s="2" t="s">
        <v>532</v>
      </c>
      <c r="AC1" s="2" t="s">
        <v>582</v>
      </c>
      <c r="AD1" s="2" t="s">
        <v>581</v>
      </c>
      <c r="AE1" s="2" t="s">
        <v>533</v>
      </c>
      <c r="AF1" s="2" t="s">
        <v>534</v>
      </c>
      <c r="AG1" s="2" t="s">
        <v>791</v>
      </c>
    </row>
    <row r="2" spans="1:33" ht="58">
      <c r="A2" s="1" t="s">
        <v>56</v>
      </c>
      <c r="B2" s="1" t="s">
        <v>761</v>
      </c>
      <c r="C2" s="1" t="s">
        <v>762</v>
      </c>
      <c r="D2" s="1"/>
      <c r="E2" s="1"/>
      <c r="F2" s="1"/>
      <c r="G2" s="7" t="s">
        <v>548</v>
      </c>
      <c r="H2" s="7"/>
      <c r="I2" s="7"/>
      <c r="J2" s="7"/>
      <c r="K2" s="7"/>
      <c r="L2" s="7"/>
      <c r="M2" s="7"/>
      <c r="N2" s="8"/>
      <c r="O2" s="7"/>
      <c r="P2" s="7"/>
      <c r="Q2" s="7">
        <v>-67</v>
      </c>
      <c r="R2" s="7">
        <v>67</v>
      </c>
      <c r="S2" s="7">
        <v>0</v>
      </c>
      <c r="T2" s="12">
        <v>5.380229663534891</v>
      </c>
      <c r="U2" s="12">
        <v>0</v>
      </c>
      <c r="V2" s="12">
        <v>-5.380229663534891</v>
      </c>
      <c r="W2" s="7" t="s">
        <v>544</v>
      </c>
      <c r="X2" s="7"/>
      <c r="Y2" s="7"/>
      <c r="Z2" s="7"/>
      <c r="AA2" s="7" t="s">
        <v>499</v>
      </c>
      <c r="AB2" s="7"/>
      <c r="AC2" s="7"/>
      <c r="AD2" s="7"/>
      <c r="AE2" s="7"/>
      <c r="AF2" s="7"/>
      <c r="AG2" t="s">
        <v>506</v>
      </c>
    </row>
    <row r="3" spans="1:33" ht="29">
      <c r="A3" s="1" t="s">
        <v>81</v>
      </c>
      <c r="B3" s="1" t="s">
        <v>82</v>
      </c>
      <c r="C3" s="1" t="s">
        <v>83</v>
      </c>
      <c r="D3" s="1"/>
      <c r="E3" s="1"/>
      <c r="F3" s="1"/>
      <c r="G3" s="7" t="s">
        <v>548</v>
      </c>
      <c r="H3" s="7"/>
      <c r="I3" s="7"/>
      <c r="J3" s="7"/>
      <c r="K3" s="7"/>
      <c r="L3" s="7"/>
      <c r="M3" s="7"/>
      <c r="N3" s="8"/>
      <c r="O3" s="7"/>
      <c r="P3" s="7"/>
      <c r="Q3" s="7">
        <v>67</v>
      </c>
      <c r="R3" s="7">
        <v>66</v>
      </c>
      <c r="S3" s="7">
        <v>133</v>
      </c>
      <c r="T3" s="12">
        <v>5.2999277282582513</v>
      </c>
      <c r="U3" s="12">
        <v>10.680157391793141</v>
      </c>
      <c r="V3" s="12">
        <v>5.3802296635348901</v>
      </c>
      <c r="W3" s="7"/>
      <c r="X3" s="7"/>
      <c r="Y3" s="7"/>
      <c r="Z3" s="7"/>
      <c r="AA3" s="7" t="s">
        <v>499</v>
      </c>
      <c r="AB3" s="7"/>
      <c r="AC3" s="7"/>
      <c r="AD3" s="7"/>
      <c r="AE3" s="7"/>
      <c r="AF3" s="7"/>
      <c r="AG3" t="s">
        <v>506</v>
      </c>
    </row>
    <row r="4" spans="1:33" ht="29">
      <c r="A4" s="1" t="s">
        <v>158</v>
      </c>
      <c r="B4" s="1" t="s">
        <v>650</v>
      </c>
      <c r="C4" s="1" t="s">
        <v>651</v>
      </c>
      <c r="D4" s="1"/>
      <c r="E4" s="1"/>
      <c r="F4" s="1"/>
      <c r="G4" s="7" t="s">
        <v>548</v>
      </c>
      <c r="H4" s="7"/>
      <c r="I4" s="7"/>
      <c r="J4" s="7"/>
      <c r="K4" s="7"/>
      <c r="L4" s="7"/>
      <c r="M4" s="7"/>
      <c r="N4" s="8"/>
      <c r="O4" s="7"/>
      <c r="P4" s="7"/>
      <c r="Q4" s="7">
        <v>-14</v>
      </c>
      <c r="R4" s="7">
        <v>14</v>
      </c>
      <c r="S4" s="7">
        <v>0</v>
      </c>
      <c r="T4" s="12">
        <v>1.1242270938729624</v>
      </c>
      <c r="U4" s="12">
        <v>0</v>
      </c>
      <c r="V4" s="12">
        <v>-1.1242270938729624</v>
      </c>
      <c r="W4" s="7"/>
      <c r="X4" s="7"/>
      <c r="Y4" s="7"/>
      <c r="Z4" s="7"/>
      <c r="AA4" s="7" t="s">
        <v>499</v>
      </c>
      <c r="AB4" s="7"/>
      <c r="AC4" s="7"/>
      <c r="AD4" s="7"/>
      <c r="AE4" s="7"/>
      <c r="AF4" s="7"/>
      <c r="AG4" t="s">
        <v>506</v>
      </c>
    </row>
    <row r="5" spans="1:33" ht="29">
      <c r="A5" s="1" t="s">
        <v>195</v>
      </c>
      <c r="B5" s="1" t="s">
        <v>670</v>
      </c>
      <c r="C5" s="1" t="s">
        <v>671</v>
      </c>
      <c r="D5" s="1"/>
      <c r="E5" s="1"/>
      <c r="F5" s="1"/>
      <c r="G5" s="7" t="s">
        <v>548</v>
      </c>
      <c r="H5" s="7"/>
      <c r="I5" s="7"/>
      <c r="J5" s="7"/>
      <c r="K5" s="7"/>
      <c r="L5" s="7"/>
      <c r="M5" s="7"/>
      <c r="N5" s="8"/>
      <c r="O5" s="7"/>
      <c r="P5" s="7"/>
      <c r="Q5" s="7">
        <v>795</v>
      </c>
      <c r="R5" s="7">
        <v>1420</v>
      </c>
      <c r="S5" s="7">
        <v>2215</v>
      </c>
      <c r="T5" s="12">
        <v>114.02874809282903</v>
      </c>
      <c r="U5" s="12">
        <v>177.86878663775798</v>
      </c>
      <c r="V5" s="12">
        <v>63.840038544928944</v>
      </c>
      <c r="W5" s="7" t="s">
        <v>544</v>
      </c>
      <c r="X5" s="7"/>
      <c r="Y5" s="7"/>
      <c r="Z5" s="7"/>
      <c r="AA5" s="7" t="s">
        <v>499</v>
      </c>
      <c r="AB5" s="7"/>
      <c r="AC5" s="7"/>
      <c r="AD5" s="7"/>
      <c r="AE5" s="7"/>
      <c r="AF5" s="7"/>
      <c r="AG5" t="s">
        <v>506</v>
      </c>
    </row>
    <row r="6" spans="1:33" ht="43.5">
      <c r="A6" s="1" t="s">
        <v>202</v>
      </c>
      <c r="B6" s="1" t="s">
        <v>675</v>
      </c>
      <c r="C6" s="1" t="s">
        <v>676</v>
      </c>
      <c r="D6" s="1"/>
      <c r="E6" s="1"/>
      <c r="F6" s="1"/>
      <c r="G6" s="7" t="s">
        <v>548</v>
      </c>
      <c r="H6" s="7"/>
      <c r="I6" s="7"/>
      <c r="J6" s="7"/>
      <c r="K6" s="7"/>
      <c r="L6" s="7"/>
      <c r="M6" s="7"/>
      <c r="N6" s="8"/>
      <c r="O6" s="7"/>
      <c r="P6" s="7"/>
      <c r="Q6" s="7">
        <v>-351</v>
      </c>
      <c r="R6" s="7">
        <v>370</v>
      </c>
      <c r="S6" s="7">
        <v>19</v>
      </c>
      <c r="T6" s="12">
        <v>29.711716052356859</v>
      </c>
      <c r="U6" s="12">
        <v>1.5257367702561633</v>
      </c>
      <c r="V6" s="12">
        <v>-28.185979282100696</v>
      </c>
      <c r="W6" s="7"/>
      <c r="X6" s="7"/>
      <c r="Y6" s="7"/>
      <c r="Z6" s="7"/>
      <c r="AA6" s="7" t="s">
        <v>499</v>
      </c>
      <c r="AB6" s="7"/>
      <c r="AC6" s="7"/>
      <c r="AD6" s="7"/>
      <c r="AE6" s="7"/>
      <c r="AF6" s="7"/>
      <c r="AG6" t="s">
        <v>506</v>
      </c>
    </row>
    <row r="7" spans="1:33" ht="43.5">
      <c r="A7" s="1" t="s">
        <v>219</v>
      </c>
      <c r="B7" s="1" t="s">
        <v>690</v>
      </c>
      <c r="C7" s="1" t="s">
        <v>689</v>
      </c>
      <c r="D7" s="1"/>
      <c r="E7" s="1"/>
      <c r="F7" s="1"/>
      <c r="G7" s="7" t="s">
        <v>548</v>
      </c>
      <c r="H7" s="7"/>
      <c r="I7" s="7"/>
      <c r="J7" s="7"/>
      <c r="K7" s="7"/>
      <c r="L7" s="7"/>
      <c r="M7" s="7"/>
      <c r="N7" s="8"/>
      <c r="O7" s="7"/>
      <c r="P7" s="7"/>
      <c r="Q7" s="7">
        <v>163</v>
      </c>
      <c r="R7" s="7">
        <v>21</v>
      </c>
      <c r="S7" s="7">
        <v>184</v>
      </c>
      <c r="T7" s="12">
        <v>1.6863406408094435</v>
      </c>
      <c r="U7" s="12">
        <v>14.775556090901791</v>
      </c>
      <c r="V7" s="12">
        <v>13.089215450092347</v>
      </c>
      <c r="W7" s="7" t="s">
        <v>544</v>
      </c>
      <c r="X7" s="7"/>
      <c r="Y7" s="7"/>
      <c r="Z7" s="7"/>
      <c r="AA7" s="7" t="s">
        <v>499</v>
      </c>
      <c r="AB7" s="7"/>
      <c r="AC7" s="7"/>
      <c r="AD7" s="7"/>
      <c r="AE7" s="7"/>
      <c r="AF7" s="7"/>
      <c r="AG7" t="s">
        <v>506</v>
      </c>
    </row>
    <row r="8" spans="1:33">
      <c r="A8" s="1" t="s">
        <v>247</v>
      </c>
      <c r="B8" t="s">
        <v>710</v>
      </c>
      <c r="C8" t="s">
        <v>711</v>
      </c>
      <c r="D8" s="1"/>
      <c r="E8" s="1"/>
      <c r="F8" s="1"/>
      <c r="G8" s="7" t="s">
        <v>548</v>
      </c>
      <c r="H8" s="7"/>
      <c r="I8" s="7"/>
      <c r="J8" s="7"/>
      <c r="K8" s="7"/>
      <c r="L8" s="7"/>
      <c r="M8" s="7"/>
      <c r="N8" s="8"/>
      <c r="O8" s="7"/>
      <c r="P8" s="7"/>
      <c r="Q8" s="7"/>
      <c r="R8" s="7" t="s">
        <v>614</v>
      </c>
      <c r="S8" s="7" t="s">
        <v>614</v>
      </c>
      <c r="T8" s="12" t="s">
        <v>614</v>
      </c>
      <c r="U8" s="12" t="s">
        <v>614</v>
      </c>
      <c r="V8" s="12" t="s">
        <v>614</v>
      </c>
      <c r="W8" s="7"/>
      <c r="X8" s="7"/>
      <c r="Y8" s="7"/>
      <c r="Z8" s="7"/>
      <c r="AA8" s="7" t="s">
        <v>499</v>
      </c>
      <c r="AB8" s="7"/>
      <c r="AC8" s="7"/>
      <c r="AD8" s="7"/>
      <c r="AE8" s="7"/>
      <c r="AF8" s="7"/>
      <c r="AG8" t="s">
        <v>506</v>
      </c>
    </row>
    <row r="9" spans="1:33" ht="58">
      <c r="A9" s="1" t="s">
        <v>257</v>
      </c>
      <c r="B9" s="1" t="s">
        <v>468</v>
      </c>
      <c r="C9" s="1" t="s">
        <v>469</v>
      </c>
      <c r="D9" s="1"/>
      <c r="E9" s="1"/>
      <c r="F9" s="1"/>
      <c r="G9" s="7" t="s">
        <v>548</v>
      </c>
      <c r="H9" s="7"/>
      <c r="I9" s="7"/>
      <c r="J9" s="7"/>
      <c r="K9" s="7"/>
      <c r="L9" s="7"/>
      <c r="M9" s="7"/>
      <c r="N9" s="8"/>
      <c r="O9" s="7"/>
      <c r="P9" s="7"/>
      <c r="Q9" s="7">
        <v>-1115</v>
      </c>
      <c r="R9" s="7">
        <v>1220</v>
      </c>
      <c r="S9" s="7">
        <v>105</v>
      </c>
      <c r="T9" s="12">
        <v>97.968361037500998</v>
      </c>
      <c r="U9" s="12">
        <v>8.4317032040472171</v>
      </c>
      <c r="V9" s="12">
        <v>-89.536657833453773</v>
      </c>
      <c r="W9" s="7"/>
      <c r="X9" s="7"/>
      <c r="Y9" s="7"/>
      <c r="Z9" s="7"/>
      <c r="AA9" s="7" t="s">
        <v>499</v>
      </c>
      <c r="AB9" s="7"/>
      <c r="AC9" s="7"/>
      <c r="AD9" s="7"/>
      <c r="AE9" s="7"/>
      <c r="AF9" s="7"/>
      <c r="AG9" t="s">
        <v>506</v>
      </c>
    </row>
    <row r="12" spans="1:33">
      <c r="D12" t="s">
        <v>825</v>
      </c>
      <c r="E12">
        <v>124530</v>
      </c>
    </row>
    <row r="15" spans="1:33">
      <c r="D15" t="s">
        <v>843</v>
      </c>
      <c r="E15">
        <f>COUNTIF(Q:Q, "&gt;0")</f>
        <v>3</v>
      </c>
    </row>
    <row r="16" spans="1:33">
      <c r="D16" t="s">
        <v>844</v>
      </c>
      <c r="E16">
        <f>COUNTIF(Q:Q, "&lt;0")</f>
        <v>4</v>
      </c>
    </row>
    <row r="17" spans="4:5">
      <c r="D17" t="s">
        <v>845</v>
      </c>
      <c r="E17">
        <f>_xlfn.BINOM.DIST(MIN(E15,E16),(E15+E16),0.5,TRUE)*2</f>
        <v>0.99999999999999978</v>
      </c>
    </row>
    <row r="19" spans="4:5">
      <c r="D19" t="s">
        <v>846</v>
      </c>
      <c r="E19">
        <f>AVERAGE(Q:Q)</f>
        <v>-74.571428571428569</v>
      </c>
    </row>
    <row r="20" spans="4:5">
      <c r="D20" t="s">
        <v>847</v>
      </c>
      <c r="E20">
        <f>_xlfn.STDEV.S(Q:Q)</f>
        <v>576.66681805668259</v>
      </c>
    </row>
    <row r="23" spans="4:5">
      <c r="D23" t="s">
        <v>848</v>
      </c>
      <c r="E23">
        <f>AVERAGE(V:V)</f>
        <v>-5.988230030629448</v>
      </c>
    </row>
    <row r="24" spans="4:5">
      <c r="D24" t="s">
        <v>849</v>
      </c>
      <c r="E24">
        <f>_xlfn.STDEV.S(V:V)</f>
        <v>46.307461499773751</v>
      </c>
    </row>
    <row r="27" spans="4:5">
      <c r="D27" t="s">
        <v>851</v>
      </c>
      <c r="E27">
        <f>COUNT(V:V)</f>
        <v>7</v>
      </c>
    </row>
    <row r="28" spans="4:5">
      <c r="D28" t="s">
        <v>852</v>
      </c>
      <c r="E28">
        <f>_xlfn.STDEV.P(V:V)</f>
        <v>42.872378625934118</v>
      </c>
    </row>
    <row r="31" spans="4:5">
      <c r="E31">
        <f>_xlfn.BINOM.DIST(6,14,0.5,TRUE)</f>
        <v>0.395263671875</v>
      </c>
    </row>
  </sheetData>
  <conditionalFormatting sqref="G2:G9">
    <cfRule type="expression" dxfId="47" priority="24">
      <formula>$I2&lt;&gt;""</formula>
    </cfRule>
    <cfRule type="expression" dxfId="46" priority="25">
      <formula>$I2=""</formula>
    </cfRule>
  </conditionalFormatting>
  <conditionalFormatting sqref="H2:L9 O2:P9">
    <cfRule type="expression" dxfId="45" priority="22">
      <formula>AND(OR($I2="Addition",$I2="Omission"), H2="")</formula>
    </cfRule>
    <cfRule type="expression" dxfId="44" priority="23">
      <formula>AND($I2&lt;&gt;"Addition",$I2&lt;&gt;"Omission",$I2&lt;&gt;"Substitution - Word")</formula>
    </cfRule>
  </conditionalFormatting>
  <conditionalFormatting sqref="H2:P9">
    <cfRule type="expression" dxfId="43" priority="21">
      <formula>AND(OR($I2="Addition",$I2="Omission"), H2&lt;&gt;"")</formula>
    </cfRule>
  </conditionalFormatting>
  <conditionalFormatting sqref="K2:K9">
    <cfRule type="expression" dxfId="42" priority="16">
      <formula>AND($K2&lt;&gt;"",$K2&gt;1)</formula>
    </cfRule>
  </conditionalFormatting>
  <conditionalFormatting sqref="M2:N9">
    <cfRule type="expression" dxfId="41" priority="12">
      <formula>$N2="Absent"</formula>
    </cfRule>
    <cfRule type="expression" dxfId="40" priority="13">
      <formula>$N2="NA"</formula>
    </cfRule>
    <cfRule type="expression" dxfId="39" priority="14">
      <formula>AND(OR($I2="Addition",$I2="Omission"), M2="")</formula>
    </cfRule>
    <cfRule type="expression" dxfId="38" priority="15">
      <formula>AND($I2&lt;&gt;"Addition",$I2&lt;&gt;"Omission")</formula>
    </cfRule>
  </conditionalFormatting>
  <conditionalFormatting sqref="O2:O9">
    <cfRule type="expression" dxfId="37" priority="17">
      <formula>AND(OR($I2="Addition",$I2="Omission",$I2="Substitution - Word"),RIGHT($AG2,6)&lt;&gt;"strict",$AF2&lt;&gt;"Yes")</formula>
    </cfRule>
  </conditionalFormatting>
  <conditionalFormatting sqref="Q2:V9">
    <cfRule type="expression" dxfId="36" priority="2">
      <formula>AND(AND(LEFT($I2,3)="Sub", RIGHT($I2,4)&lt;&gt;"Form"),$S2&lt;&gt;"")</formula>
    </cfRule>
    <cfRule type="expression" dxfId="35" priority="3">
      <formula>AND(AND(LEFT($I2,3)="Sub", RIGHT($I2,4)&lt;&gt;"Form"),$S2="")</formula>
    </cfRule>
    <cfRule type="expression" dxfId="34" priority="4">
      <formula>"&lt;&gt;AND(LEFT($J2,3)=""Sub"", RIGHT($J2,4)&lt;&gt;""Form"")"</formula>
    </cfRule>
  </conditionalFormatting>
  <conditionalFormatting sqref="W2:W9">
    <cfRule type="expression" dxfId="33" priority="6">
      <formula>AND($Y2&lt;&gt;"",OR($AF2="Yes",$AG2&lt;&gt;""))</formula>
    </cfRule>
    <cfRule type="expression" dxfId="32" priority="7">
      <formula>OR($AF2="Yes",$AG2&lt;&gt;"")</formula>
    </cfRule>
    <cfRule type="expression" dxfId="31" priority="10">
      <formula>AND($AF2&lt;&gt;"Yes",$AG2="")</formula>
    </cfRule>
  </conditionalFormatting>
  <conditionalFormatting sqref="W2:AF3">
    <cfRule type="expression" dxfId="30" priority="26">
      <formula>AND($I2&lt;&gt;"",$I2&lt;&gt;"Unclear due to correction")</formula>
    </cfRule>
  </conditionalFormatting>
  <conditionalFormatting sqref="W2:AF9">
    <cfRule type="expression" dxfId="29" priority="27">
      <formula>OR($I2="",$I2="Unclear due to correction")</formula>
    </cfRule>
  </conditionalFormatting>
  <conditionalFormatting sqref="W4:AF9">
    <cfRule type="expression" dxfId="28" priority="1">
      <formula>AND($I4&lt;&gt;"",$I4&lt;&gt;"Unclear due to correction")</formula>
    </cfRule>
  </conditionalFormatting>
  <conditionalFormatting sqref="X2:X9">
    <cfRule type="expression" dxfId="27" priority="5">
      <formula>AND($I2&lt;&gt;"",$I2&lt;&gt;"Unclear due to correction",$Z2="")</formula>
    </cfRule>
  </conditionalFormatting>
  <conditionalFormatting sqref="Y2:Y9">
    <cfRule type="expression" dxfId="26" priority="8">
      <formula>AND($Z2="Yes",$AA2="")</formula>
    </cfRule>
    <cfRule type="expression" dxfId="25" priority="9">
      <formula>$Z2=""</formula>
    </cfRule>
  </conditionalFormatting>
  <conditionalFormatting sqref="AD2:AD9">
    <cfRule type="expression" dxfId="24" priority="11">
      <formula>AND(OR($AD2&lt;&gt;"",$AE2&lt;&gt;""),$AF2="")</formula>
    </cfRule>
  </conditionalFormatting>
  <dataValidations count="1">
    <dataValidation type="list" allowBlank="1" showInputMessage="1" showErrorMessage="1" sqref="AG2:AG9" xr:uid="{8AE2E5A4-EFF5-4C4A-83B1-D0644058B9EF}">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C0F62F22-5F83-44EC-9841-49B3B5BD4ABF}">
          <x14:formula1>
            <xm:f>'Data Regularization'!$A$2:$A$1048576</xm:f>
          </x14:formula1>
          <xm:sqref>D2:D9</xm:sqref>
        </x14:dataValidation>
        <x14:dataValidation type="list" allowBlank="1" showInputMessage="1" showErrorMessage="1" xr:uid="{187F9E6E-6710-4C8E-87BC-C7AFAE70BD39}">
          <x14:formula1>
            <xm:f>'Data Regularization'!$B$2:$B$1048576</xm:f>
          </x14:formula1>
          <xm:sqref>E2:E9</xm:sqref>
        </x14:dataValidation>
        <x14:dataValidation type="list" allowBlank="1" showInputMessage="1" showErrorMessage="1" xr:uid="{507C24EE-FA17-4957-9799-8C10C5580ED8}">
          <x14:formula1>
            <xm:f>'Data Regularization'!$C$2:$C$1048576</xm:f>
          </x14:formula1>
          <xm:sqref>F2:F9</xm:sqref>
        </x14:dataValidation>
        <x14:dataValidation type="list" allowBlank="1" showInputMessage="1" showErrorMessage="1" xr:uid="{6C29114A-CB42-442B-ACE6-EEDA405A0DBA}">
          <x14:formula1>
            <xm:f>'Data Regularization'!$D$2:$D$1048576</xm:f>
          </x14:formula1>
          <xm:sqref>G2:G9</xm:sqref>
        </x14:dataValidation>
        <x14:dataValidation type="list" allowBlank="1" showInputMessage="1" showErrorMessage="1" xr:uid="{61C3AC91-3CED-4DDC-A09F-22525A2FC4AF}">
          <x14:formula1>
            <xm:f>'Data Regularization'!$E$2:$E$1048576</xm:f>
          </x14:formula1>
          <xm:sqref>K2:K9</xm:sqref>
        </x14:dataValidation>
        <x14:dataValidation type="list" allowBlank="1" showInputMessage="1" showErrorMessage="1" xr:uid="{8EE9DE16-6E95-47F8-B830-F1A1136F043B}">
          <x14:formula1>
            <xm:f>'Data Regularization'!$F$2:$F$1048576</xm:f>
          </x14:formula1>
          <xm:sqref>L2:L9</xm:sqref>
        </x14:dataValidation>
        <x14:dataValidation type="list" allowBlank="1" showInputMessage="1" showErrorMessage="1" xr:uid="{7AF43F6E-FAE6-4413-A7EF-069B979308C1}">
          <x14:formula1>
            <xm:f>'Data Regularization'!$G$2:$G$1048576</xm:f>
          </x14:formula1>
          <xm:sqref>O2:O9</xm:sqref>
        </x14:dataValidation>
        <x14:dataValidation type="list" allowBlank="1" showInputMessage="1" showErrorMessage="1" xr:uid="{63A0372A-F063-433E-8C56-6D6F26E764BD}">
          <x14:formula1>
            <xm:f>'Data Regularization'!$H$2:$H$1048576</xm:f>
          </x14:formula1>
          <xm:sqref>W2:W9</xm:sqref>
        </x14:dataValidation>
        <x14:dataValidation type="list" allowBlank="1" showInputMessage="1" xr:uid="{57A91794-7D6A-4666-8250-7EF7C739ECB9}">
          <x14:formula1>
            <xm:f>'Data Regularization'!$I$2:$I$1048576</xm:f>
          </x14:formula1>
          <xm:sqref>X2:X9</xm:sqref>
        </x14:dataValidation>
        <x14:dataValidation type="list" allowBlank="1" showInputMessage="1" showErrorMessage="1" xr:uid="{12559109-4626-4E1F-B2D5-4F966BD1C001}">
          <x14:formula1>
            <xm:f>'Data Regularization'!$K$2:$K$1048576</xm:f>
          </x14:formula1>
          <xm:sqref>Z2:Z9</xm:sqref>
        </x14:dataValidation>
        <x14:dataValidation type="list" allowBlank="1" showInputMessage="1" showErrorMessage="1" xr:uid="{965897F5-48CD-4F34-AD47-F1B48FDD6724}">
          <x14:formula1>
            <xm:f>'Data Regularization'!$J$2:$J$1048576</xm:f>
          </x14:formula1>
          <xm:sqref>Y2:Y9</xm:sqref>
        </x14:dataValidation>
        <x14:dataValidation type="list" allowBlank="1" showInputMessage="1" showErrorMessage="1" xr:uid="{6C7E2A95-0B12-486F-9E02-8D6366E6BDE5}">
          <x14:formula1>
            <xm:f>'Data Regularization'!$L$2:$L$1048576</xm:f>
          </x14:formula1>
          <xm:sqref>AA2:AA9</xm:sqref>
        </x14:dataValidation>
        <x14:dataValidation type="list" allowBlank="1" showInputMessage="1" showErrorMessage="1" xr:uid="{1E343B0A-216A-4EB0-8EFD-4AAD90350993}">
          <x14:formula1>
            <xm:f>'Data Regularization'!$M$2:$M$1048576</xm:f>
          </x14:formula1>
          <xm:sqref>AB2:AB9</xm:sqref>
        </x14:dataValidation>
        <x14:dataValidation type="list" allowBlank="1" showInputMessage="1" showErrorMessage="1" xr:uid="{EB96221A-C89B-4C43-AE8B-8CFCE2EF546B}">
          <x14:formula1>
            <xm:f>'Data Regularization'!$O$2:$O$1048576</xm:f>
          </x14:formula1>
          <xm:sqref>AE2:AE9</xm:sqref>
        </x14:dataValidation>
        <x14:dataValidation type="list" allowBlank="1" showInputMessage="1" showErrorMessage="1" xr:uid="{B0A50E4D-5683-4AD9-ABB7-F311692AE904}">
          <x14:formula1>
            <xm:f>'Data Regularization'!$P$2:$P$1048576</xm:f>
          </x14:formula1>
          <xm:sqref>AF2:AF9</xm:sqref>
        </x14:dataValidation>
        <x14:dataValidation type="list" allowBlank="1" showInputMessage="1" showErrorMessage="1" xr:uid="{F3D78A7A-1E40-4904-845D-C774BD76479C}">
          <x14:formula1>
            <xm:f>'Data Regularization'!$N$2:$N$1048576</xm:f>
          </x14:formula1>
          <xm:sqref>AD2:AD9</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A605-53FA-415E-B635-629114A0E744}">
  <dimension ref="A1:AE15"/>
  <sheetViews>
    <sheetView workbookViewId="0">
      <pane xSplit="3" ySplit="1" topLeftCell="D9" activePane="bottomRight" state="frozen"/>
      <selection pane="topRight" activeCell="D1" sqref="D1"/>
      <selection pane="bottomLeft" activeCell="A2" sqref="A2"/>
      <selection pane="bottomRight" activeCell="A16" sqref="A16:XFD16"/>
    </sheetView>
  </sheetViews>
  <sheetFormatPr defaultRowHeight="14.5"/>
  <sheetData>
    <row r="1" spans="1:31" s="2" customFormat="1">
      <c r="A1" s="2" t="s">
        <v>0</v>
      </c>
      <c r="B1" s="2" t="s">
        <v>496</v>
      </c>
      <c r="C1" s="2" t="s">
        <v>497</v>
      </c>
      <c r="D1" s="2" t="s">
        <v>570</v>
      </c>
      <c r="E1" s="2" t="s">
        <v>571</v>
      </c>
      <c r="F1" s="2" t="s">
        <v>572</v>
      </c>
      <c r="G1" s="2" t="s">
        <v>8</v>
      </c>
      <c r="H1" s="2" t="s">
        <v>3</v>
      </c>
      <c r="I1" s="2" t="s">
        <v>573</v>
      </c>
      <c r="J1" s="2" t="s">
        <v>574</v>
      </c>
      <c r="K1" s="2" t="s">
        <v>575</v>
      </c>
      <c r="L1" s="2" t="s">
        <v>576</v>
      </c>
      <c r="M1" s="2" t="s">
        <v>525</v>
      </c>
      <c r="N1" s="2" t="s">
        <v>577</v>
      </c>
      <c r="O1" s="6" t="s">
        <v>578</v>
      </c>
      <c r="P1" s="2" t="s">
        <v>526</v>
      </c>
      <c r="Q1" s="2" t="s">
        <v>579</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58">
      <c r="A2" s="1" t="s">
        <v>56</v>
      </c>
      <c r="B2" s="1" t="s">
        <v>761</v>
      </c>
      <c r="C2" s="1" t="s">
        <v>762</v>
      </c>
      <c r="D2" s="1"/>
      <c r="E2" s="1"/>
      <c r="F2" s="1"/>
      <c r="G2" t="s">
        <v>763</v>
      </c>
      <c r="H2" s="7" t="s">
        <v>548</v>
      </c>
      <c r="I2" s="7"/>
      <c r="J2" s="7"/>
      <c r="K2" s="7"/>
      <c r="L2" s="7"/>
      <c r="M2" s="7"/>
      <c r="N2" s="7"/>
      <c r="O2" s="8"/>
      <c r="P2" s="7"/>
      <c r="Q2" s="7"/>
      <c r="R2" s="7">
        <v>-67</v>
      </c>
      <c r="S2" s="7">
        <v>67</v>
      </c>
      <c r="T2" s="7">
        <v>0</v>
      </c>
      <c r="U2" s="7" t="s">
        <v>544</v>
      </c>
      <c r="V2" s="7"/>
      <c r="W2" s="7"/>
      <c r="X2" s="7"/>
      <c r="Y2" s="7" t="s">
        <v>499</v>
      </c>
      <c r="Z2" s="7"/>
      <c r="AA2" s="7"/>
      <c r="AB2" s="7"/>
      <c r="AC2" s="7"/>
      <c r="AD2" s="7"/>
      <c r="AE2" t="s">
        <v>506</v>
      </c>
    </row>
    <row r="3" spans="1:31" ht="43.5">
      <c r="A3" s="1" t="s">
        <v>84</v>
      </c>
      <c r="B3" s="1" t="s">
        <v>619</v>
      </c>
      <c r="C3" s="1" t="s">
        <v>620</v>
      </c>
      <c r="D3" s="1"/>
      <c r="E3" s="1"/>
      <c r="F3" s="1" t="s">
        <v>339</v>
      </c>
      <c r="G3" s="9" t="s">
        <v>764</v>
      </c>
      <c r="H3" s="7" t="s">
        <v>500</v>
      </c>
      <c r="I3" s="7">
        <v>0</v>
      </c>
      <c r="J3" s="7">
        <v>1</v>
      </c>
      <c r="K3" s="7">
        <v>1</v>
      </c>
      <c r="L3" s="7" t="s">
        <v>541</v>
      </c>
      <c r="M3" s="7" t="s">
        <v>550</v>
      </c>
      <c r="N3" s="7"/>
      <c r="O3" s="8"/>
      <c r="P3" s="7"/>
      <c r="Q3" s="7">
        <v>19277</v>
      </c>
      <c r="R3" s="7"/>
      <c r="S3" s="7" t="s">
        <v>614</v>
      </c>
      <c r="T3" s="7" t="s">
        <v>614</v>
      </c>
      <c r="U3" s="7" t="s">
        <v>544</v>
      </c>
      <c r="V3" s="7"/>
      <c r="W3" s="7"/>
      <c r="X3" s="7"/>
      <c r="Y3" s="7" t="s">
        <v>499</v>
      </c>
      <c r="Z3" s="7"/>
      <c r="AA3" s="7"/>
      <c r="AB3" s="7"/>
      <c r="AC3" s="7"/>
      <c r="AD3" s="7"/>
      <c r="AE3" t="s">
        <v>506</v>
      </c>
    </row>
    <row r="4" spans="1:31" ht="43.5">
      <c r="A4" s="1" t="s">
        <v>150</v>
      </c>
      <c r="B4" s="1" t="s">
        <v>770</v>
      </c>
      <c r="C4" s="1" t="s">
        <v>771</v>
      </c>
      <c r="D4" s="1"/>
      <c r="E4" s="1"/>
      <c r="F4" s="1"/>
      <c r="G4" t="s">
        <v>772</v>
      </c>
      <c r="H4" s="7" t="s">
        <v>553</v>
      </c>
      <c r="I4" s="7"/>
      <c r="J4" s="7"/>
      <c r="K4" s="7"/>
      <c r="L4" s="7"/>
      <c r="M4" s="7"/>
      <c r="N4" s="7"/>
      <c r="O4" s="8"/>
      <c r="P4" s="7"/>
      <c r="Q4" s="7"/>
      <c r="R4" s="7"/>
      <c r="S4" s="7" t="s">
        <v>614</v>
      </c>
      <c r="T4" s="7" t="s">
        <v>614</v>
      </c>
      <c r="U4" s="7" t="s">
        <v>544</v>
      </c>
      <c r="V4" s="7"/>
      <c r="W4" s="7"/>
      <c r="X4" s="7"/>
      <c r="Y4" s="7" t="s">
        <v>499</v>
      </c>
      <c r="Z4" s="7"/>
      <c r="AA4" s="7"/>
      <c r="AB4" s="7"/>
      <c r="AC4" s="7"/>
      <c r="AD4" s="7"/>
      <c r="AE4" t="s">
        <v>506</v>
      </c>
    </row>
    <row r="5" spans="1:31" ht="29">
      <c r="A5" s="1" t="s">
        <v>195</v>
      </c>
      <c r="B5" s="1" t="s">
        <v>670</v>
      </c>
      <c r="C5" s="1" t="s">
        <v>671</v>
      </c>
      <c r="D5" s="1"/>
      <c r="E5" s="1"/>
      <c r="F5" s="1"/>
      <c r="G5" t="s">
        <v>774</v>
      </c>
      <c r="H5" s="7" t="s">
        <v>548</v>
      </c>
      <c r="I5" s="7"/>
      <c r="J5" s="7"/>
      <c r="K5" s="7"/>
      <c r="L5" s="7"/>
      <c r="M5" s="7"/>
      <c r="N5" s="7"/>
      <c r="O5" s="8"/>
      <c r="P5" s="7"/>
      <c r="Q5" s="7"/>
      <c r="R5" s="7">
        <v>795</v>
      </c>
      <c r="S5" s="7">
        <v>1420</v>
      </c>
      <c r="T5" s="7">
        <v>2215</v>
      </c>
      <c r="U5" s="7" t="s">
        <v>544</v>
      </c>
      <c r="V5" s="7"/>
      <c r="W5" s="7"/>
      <c r="X5" s="7"/>
      <c r="Y5" s="7" t="s">
        <v>499</v>
      </c>
      <c r="Z5" s="7"/>
      <c r="AA5" s="7"/>
      <c r="AB5" s="7"/>
      <c r="AC5" s="7"/>
      <c r="AD5" s="7"/>
      <c r="AE5" t="s">
        <v>506</v>
      </c>
    </row>
    <row r="6" spans="1:31" ht="101.5">
      <c r="A6" s="1" t="s">
        <v>215</v>
      </c>
      <c r="B6" s="1" t="s">
        <v>682</v>
      </c>
      <c r="C6" s="1" t="s">
        <v>683</v>
      </c>
      <c r="D6" s="1"/>
      <c r="E6" s="1"/>
      <c r="F6" s="1"/>
      <c r="G6" t="s">
        <v>775</v>
      </c>
      <c r="H6" s="7" t="s">
        <v>504</v>
      </c>
      <c r="I6" s="7">
        <v>1</v>
      </c>
      <c r="J6" s="7">
        <v>4</v>
      </c>
      <c r="K6" s="7">
        <v>16</v>
      </c>
      <c r="L6" s="7"/>
      <c r="M6" s="7" t="s">
        <v>536</v>
      </c>
      <c r="N6" s="7" t="s">
        <v>594</v>
      </c>
      <c r="O6" s="8" t="s">
        <v>612</v>
      </c>
      <c r="P6" s="7"/>
      <c r="Q6" s="7">
        <v>188</v>
      </c>
      <c r="R6" s="7"/>
      <c r="S6" s="7" t="s">
        <v>614</v>
      </c>
      <c r="T6" s="7" t="s">
        <v>614</v>
      </c>
      <c r="U6" s="7" t="s">
        <v>544</v>
      </c>
      <c r="V6" s="7"/>
      <c r="W6" s="7"/>
      <c r="X6" s="7"/>
      <c r="Y6" s="7" t="s">
        <v>499</v>
      </c>
      <c r="Z6" s="7"/>
      <c r="AA6" s="7"/>
      <c r="AB6" s="7"/>
      <c r="AC6" s="7"/>
      <c r="AD6" s="7"/>
      <c r="AE6" t="s">
        <v>506</v>
      </c>
    </row>
    <row r="7" spans="1:31" ht="43.5">
      <c r="A7" s="1" t="s">
        <v>219</v>
      </c>
      <c r="B7" s="1" t="s">
        <v>690</v>
      </c>
      <c r="C7" s="1" t="s">
        <v>689</v>
      </c>
      <c r="D7" s="1"/>
      <c r="E7" s="1"/>
      <c r="F7" s="1"/>
      <c r="G7" t="s">
        <v>776</v>
      </c>
      <c r="H7" s="7" t="s">
        <v>548</v>
      </c>
      <c r="I7" s="7"/>
      <c r="J7" s="7"/>
      <c r="K7" s="7"/>
      <c r="L7" s="7"/>
      <c r="M7" s="7"/>
      <c r="N7" s="7"/>
      <c r="O7" s="8"/>
      <c r="P7" s="7"/>
      <c r="Q7" s="7"/>
      <c r="R7" s="7">
        <v>163</v>
      </c>
      <c r="S7" s="7">
        <v>21</v>
      </c>
      <c r="T7" s="7">
        <v>184</v>
      </c>
      <c r="U7" s="7" t="s">
        <v>544</v>
      </c>
      <c r="V7" s="7"/>
      <c r="W7" s="7"/>
      <c r="X7" s="7"/>
      <c r="Y7" s="7" t="s">
        <v>499</v>
      </c>
      <c r="Z7" s="7"/>
      <c r="AA7" s="7"/>
      <c r="AB7" s="7"/>
      <c r="AC7" s="7"/>
      <c r="AD7" s="7"/>
      <c r="AE7" t="s">
        <v>506</v>
      </c>
    </row>
    <row r="8" spans="1:31" ht="72.5">
      <c r="A8" s="1" t="s">
        <v>231</v>
      </c>
      <c r="B8" s="1" t="s">
        <v>443</v>
      </c>
      <c r="C8" s="1" t="s">
        <v>444</v>
      </c>
      <c r="D8" s="1"/>
      <c r="E8" s="1"/>
      <c r="F8" s="1"/>
      <c r="G8" t="s">
        <v>900</v>
      </c>
      <c r="H8" s="7" t="s">
        <v>504</v>
      </c>
      <c r="I8" s="7">
        <v>0</v>
      </c>
      <c r="J8" s="7">
        <v>1</v>
      </c>
      <c r="K8" s="7">
        <v>3</v>
      </c>
      <c r="L8" s="7" t="s">
        <v>541</v>
      </c>
      <c r="M8" s="7" t="s">
        <v>542</v>
      </c>
      <c r="N8" s="7"/>
      <c r="O8" s="8"/>
      <c r="P8" s="7"/>
      <c r="Q8" s="7">
        <v>19277</v>
      </c>
      <c r="R8" s="7"/>
      <c r="S8" s="7" t="s">
        <v>614</v>
      </c>
      <c r="T8" s="7" t="s">
        <v>614</v>
      </c>
      <c r="U8" s="7" t="s">
        <v>544</v>
      </c>
      <c r="V8" s="7"/>
      <c r="W8" s="7"/>
      <c r="X8" s="7"/>
      <c r="Y8" s="7" t="s">
        <v>499</v>
      </c>
      <c r="Z8" s="7"/>
      <c r="AA8" s="7"/>
      <c r="AB8" s="7"/>
      <c r="AC8" s="7"/>
      <c r="AD8" s="7"/>
      <c r="AE8" t="s">
        <v>506</v>
      </c>
    </row>
    <row r="9" spans="1:31" ht="72.5">
      <c r="A9" s="1" t="s">
        <v>231</v>
      </c>
      <c r="B9" s="1" t="s">
        <v>445</v>
      </c>
      <c r="C9" s="1" t="s">
        <v>446</v>
      </c>
      <c r="D9" s="1"/>
      <c r="E9" s="1"/>
      <c r="F9" s="1"/>
      <c r="G9" t="s">
        <v>900</v>
      </c>
      <c r="H9" s="7" t="s">
        <v>504</v>
      </c>
      <c r="I9" s="7">
        <v>0</v>
      </c>
      <c r="J9" s="7">
        <v>1</v>
      </c>
      <c r="K9" s="7">
        <v>3</v>
      </c>
      <c r="L9" s="7" t="s">
        <v>541</v>
      </c>
      <c r="M9" s="7" t="s">
        <v>542</v>
      </c>
      <c r="N9" s="7"/>
      <c r="O9" s="8"/>
      <c r="P9" s="7"/>
      <c r="Q9" s="7">
        <v>19277</v>
      </c>
      <c r="R9" s="7"/>
      <c r="S9" s="7" t="s">
        <v>614</v>
      </c>
      <c r="T9" s="7" t="s">
        <v>614</v>
      </c>
      <c r="U9" s="7" t="s">
        <v>544</v>
      </c>
      <c r="V9" s="7"/>
      <c r="W9" s="7"/>
      <c r="X9" s="7"/>
      <c r="Y9" s="7" t="s">
        <v>499</v>
      </c>
      <c r="Z9" s="7"/>
      <c r="AA9" s="7"/>
      <c r="AB9" s="7"/>
      <c r="AC9" s="7"/>
      <c r="AD9" s="7"/>
      <c r="AE9" t="s">
        <v>506</v>
      </c>
    </row>
    <row r="10" spans="1:31" ht="87">
      <c r="A10" s="1" t="s">
        <v>330</v>
      </c>
      <c r="B10" s="1" t="s">
        <v>494</v>
      </c>
      <c r="C10" s="1" t="s">
        <v>495</v>
      </c>
      <c r="D10" s="1"/>
      <c r="E10" s="1"/>
      <c r="F10" s="1"/>
      <c r="G10" t="s">
        <v>782</v>
      </c>
      <c r="H10" s="7" t="s">
        <v>504</v>
      </c>
      <c r="I10" s="7">
        <v>1</v>
      </c>
      <c r="J10" s="7">
        <v>3</v>
      </c>
      <c r="K10" s="7">
        <v>14</v>
      </c>
      <c r="L10" s="7"/>
      <c r="M10" s="7" t="s">
        <v>536</v>
      </c>
      <c r="N10" s="7" t="s">
        <v>642</v>
      </c>
      <c r="O10" s="8" t="s">
        <v>757</v>
      </c>
      <c r="P10" s="7"/>
      <c r="Q10" s="7">
        <v>119</v>
      </c>
      <c r="R10" s="7"/>
      <c r="S10" s="7" t="s">
        <v>614</v>
      </c>
      <c r="T10" s="7" t="s">
        <v>614</v>
      </c>
      <c r="U10" s="7" t="s">
        <v>544</v>
      </c>
      <c r="V10" s="7"/>
      <c r="W10" s="7"/>
      <c r="X10" s="7"/>
      <c r="Y10" s="7" t="s">
        <v>499</v>
      </c>
      <c r="Z10" s="7"/>
      <c r="AA10" s="7"/>
      <c r="AB10" s="7"/>
      <c r="AC10" s="7"/>
      <c r="AD10" s="7"/>
      <c r="AE10" t="s">
        <v>506</v>
      </c>
    </row>
    <row r="13" spans="1:31">
      <c r="D13" t="s">
        <v>853</v>
      </c>
      <c r="E13">
        <f>COUNTIF(U:U, "Harmonizing")</f>
        <v>0</v>
      </c>
    </row>
    <row r="14" spans="1:31">
      <c r="D14" t="s">
        <v>854</v>
      </c>
      <c r="E14">
        <f>COUNTIF(U:U, "Disharmonizing")</f>
        <v>9</v>
      </c>
    </row>
    <row r="15" spans="1:31">
      <c r="D15" t="s">
        <v>855</v>
      </c>
      <c r="E15">
        <f>E13/(E13+E14)</f>
        <v>0</v>
      </c>
    </row>
  </sheetData>
  <conditionalFormatting sqref="H2:H10">
    <cfRule type="expression" dxfId="23" priority="21">
      <formula>$J2&lt;&gt;""</formula>
    </cfRule>
    <cfRule type="expression" dxfId="22" priority="22">
      <formula>$J2=""</formula>
    </cfRule>
  </conditionalFormatting>
  <conditionalFormatting sqref="I2:M10 P2:Q10">
    <cfRule type="expression" dxfId="21" priority="19">
      <formula>AND(OR($J2="Addition",$J2="Omission"), I2="")</formula>
    </cfRule>
    <cfRule type="expression" dxfId="20" priority="20">
      <formula>AND($J2&lt;&gt;"Addition",$J2&lt;&gt;"Omission",$J2&lt;&gt;"Substitution - Word")</formula>
    </cfRule>
  </conditionalFormatting>
  <conditionalFormatting sqref="I2:Q10">
    <cfRule type="expression" dxfId="19" priority="18">
      <formula>AND(OR($J2="Addition",$J2="Omission"), I2&lt;&gt;"")</formula>
    </cfRule>
  </conditionalFormatting>
  <conditionalFormatting sqref="L2:L10">
    <cfRule type="expression" dxfId="18" priority="13">
      <formula>AND($L2&lt;&gt;"",$L2&gt;1)</formula>
    </cfRule>
  </conditionalFormatting>
  <conditionalFormatting sqref="N2:O10">
    <cfRule type="expression" dxfId="17" priority="9">
      <formula>$O2="Absent"</formula>
    </cfRule>
    <cfRule type="expression" dxfId="16" priority="10">
      <formula>$O2="NA"</formula>
    </cfRule>
    <cfRule type="expression" dxfId="15" priority="11">
      <formula>AND(OR($J2="Addition",$J2="Omission"), N2="")</formula>
    </cfRule>
    <cfRule type="expression" dxfId="14" priority="12">
      <formula>AND($J2&lt;&gt;"Addition",$J2&lt;&gt;"Omission")</formula>
    </cfRule>
  </conditionalFormatting>
  <conditionalFormatting sqref="P2:P10">
    <cfRule type="expression" dxfId="13" priority="14">
      <formula>AND(OR($J2="Addition",$J2="Omission",$J2="Substitution - Word"),RIGHT($AE2,6)&lt;&gt;"strict",$AD2&lt;&gt;"Yes")</formula>
    </cfRule>
  </conditionalFormatting>
  <conditionalFormatting sqref="R2:T10">
    <cfRule type="expression" dxfId="12" priority="15">
      <formula>AND(AND(LEFT($J2,3)="Sub", RIGHT($J2,4)&lt;&gt;"Form"),$T2&lt;&gt;"")</formula>
    </cfRule>
    <cfRule type="expression" dxfId="11" priority="16">
      <formula>AND(AND(LEFT($J2,3)="Sub", RIGHT($J2,4)&lt;&gt;"Form"),$T2="")</formula>
    </cfRule>
    <cfRule type="expression" dxfId="10" priority="17">
      <formula>"&lt;&gt;AND(LEFT($J2,3)=""Sub"", RIGHT($J2,4)&lt;&gt;""Form"")"</formula>
    </cfRule>
  </conditionalFormatting>
  <conditionalFormatting sqref="U2:U10">
    <cfRule type="expression" dxfId="9" priority="3">
      <formula>AND($W2&lt;&gt;"",OR($AD2="Yes",$AE2&lt;&gt;""))</formula>
    </cfRule>
    <cfRule type="expression" dxfId="8" priority="4">
      <formula>OR($AD2="Yes",$AE2&lt;&gt;"")</formula>
    </cfRule>
    <cfRule type="expression" dxfId="7" priority="7">
      <formula>AND($AD2&lt;&gt;"Yes",$AE2="")</formula>
    </cfRule>
  </conditionalFormatting>
  <conditionalFormatting sqref="U2:AD3">
    <cfRule type="expression" dxfId="6" priority="23">
      <formula>AND($J2&lt;&gt;"",$J2&lt;&gt;"Unclear due to correction")</formula>
    </cfRule>
  </conditionalFormatting>
  <conditionalFormatting sqref="U2:AD10">
    <cfRule type="expression" dxfId="5" priority="24">
      <formula>OR($J2="",$J2="Unclear due to correction")</formula>
    </cfRule>
  </conditionalFormatting>
  <conditionalFormatting sqref="U4:AD10">
    <cfRule type="expression" dxfId="4" priority="1">
      <formula>AND($J4&lt;&gt;"",$J4&lt;&gt;"Unclear due to correction")</formula>
    </cfRule>
  </conditionalFormatting>
  <conditionalFormatting sqref="V2:V10">
    <cfRule type="expression" dxfId="3" priority="2">
      <formula>AND($J2&lt;&gt;"",$J2&lt;&gt;"Unclear due to correction",$X2="")</formula>
    </cfRule>
  </conditionalFormatting>
  <conditionalFormatting sqref="W2:W10">
    <cfRule type="expression" dxfId="2" priority="5">
      <formula>AND($X2="Yes",$Y2="")</formula>
    </cfRule>
    <cfRule type="expression" dxfId="1" priority="6">
      <formula>$X2=""</formula>
    </cfRule>
  </conditionalFormatting>
  <conditionalFormatting sqref="AB2:AB10">
    <cfRule type="expression" dxfId="0" priority="8">
      <formula>AND(OR($AB2&lt;&gt;"",$AC2&lt;&gt;""),$AD2="")</formula>
    </cfRule>
  </conditionalFormatting>
  <dataValidations count="1">
    <dataValidation type="list" allowBlank="1" showInputMessage="1" showErrorMessage="1" sqref="AE2:AE10" xr:uid="{391A4C10-5B0F-402B-8464-4EEC91AC5A03}">
      <formula1>"Yes, 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7CA901CC-B0BF-4EFF-9CE5-C40F35187D85}">
          <x14:formula1>
            <xm:f>'Data Regularization'!$A$2:$A$1048576</xm:f>
          </x14:formula1>
          <xm:sqref>D2:D10</xm:sqref>
        </x14:dataValidation>
        <x14:dataValidation type="list" allowBlank="1" showInputMessage="1" showErrorMessage="1" xr:uid="{3E19E73C-F952-43EE-A079-9D2400972989}">
          <x14:formula1>
            <xm:f>'Data Regularization'!$B$2:$B$1048576</xm:f>
          </x14:formula1>
          <xm:sqref>E2:E10</xm:sqref>
        </x14:dataValidation>
        <x14:dataValidation type="list" allowBlank="1" showInputMessage="1" showErrorMessage="1" xr:uid="{293A8F56-2529-4C47-96E1-86E4BC2930F0}">
          <x14:formula1>
            <xm:f>'Data Regularization'!$C$2:$C$1048576</xm:f>
          </x14:formula1>
          <xm:sqref>F2:F10</xm:sqref>
        </x14:dataValidation>
        <x14:dataValidation type="list" allowBlank="1" showInputMessage="1" showErrorMessage="1" xr:uid="{AAA00612-90F2-4A7F-9390-249EC4D6BF80}">
          <x14:formula1>
            <xm:f>'Data Regularization'!$D$2:$D$1048576</xm:f>
          </x14:formula1>
          <xm:sqref>H2:H10</xm:sqref>
        </x14:dataValidation>
        <x14:dataValidation type="list" allowBlank="1" showInputMessage="1" showErrorMessage="1" xr:uid="{2839770A-CBF2-4EF2-8A7F-3DC203AF0C8B}">
          <x14:formula1>
            <xm:f>'Data Regularization'!$E$2:$E$1048576</xm:f>
          </x14:formula1>
          <xm:sqref>L2:L10</xm:sqref>
        </x14:dataValidation>
        <x14:dataValidation type="list" allowBlank="1" showInputMessage="1" showErrorMessage="1" xr:uid="{0F260625-9D97-4F1F-B421-9B776984B36E}">
          <x14:formula1>
            <xm:f>'Data Regularization'!$F$2:$F$1048576</xm:f>
          </x14:formula1>
          <xm:sqref>M2:M10</xm:sqref>
        </x14:dataValidation>
        <x14:dataValidation type="list" allowBlank="1" showInputMessage="1" showErrorMessage="1" xr:uid="{850C9034-2256-433A-A146-3DBB8A75218E}">
          <x14:formula1>
            <xm:f>'Data Regularization'!$G$2:$G$1048576</xm:f>
          </x14:formula1>
          <xm:sqref>P2:P10</xm:sqref>
        </x14:dataValidation>
        <x14:dataValidation type="list" allowBlank="1" showInputMessage="1" showErrorMessage="1" xr:uid="{10DBC2F6-00D3-45E4-84B6-26151B4E6759}">
          <x14:formula1>
            <xm:f>'Data Regularization'!$H$2:$H$1048576</xm:f>
          </x14:formula1>
          <xm:sqref>U2:U10</xm:sqref>
        </x14:dataValidation>
        <x14:dataValidation type="list" allowBlank="1" showInputMessage="1" xr:uid="{36853871-AAD7-4A3D-A18D-7D95F2CB95A6}">
          <x14:formula1>
            <xm:f>'Data Regularization'!$I$2:$I$1048576</xm:f>
          </x14:formula1>
          <xm:sqref>V2:V10</xm:sqref>
        </x14:dataValidation>
        <x14:dataValidation type="list" allowBlank="1" showInputMessage="1" showErrorMessage="1" xr:uid="{29DDF3D7-101B-4521-B31F-E74E763BB5CE}">
          <x14:formula1>
            <xm:f>'Data Regularization'!$K$2:$K$1048576</xm:f>
          </x14:formula1>
          <xm:sqref>X2:X10</xm:sqref>
        </x14:dataValidation>
        <x14:dataValidation type="list" allowBlank="1" showInputMessage="1" showErrorMessage="1" xr:uid="{95249A93-C388-46D9-BE36-719E3D492F71}">
          <x14:formula1>
            <xm:f>'Data Regularization'!$J$2:$J$1048576</xm:f>
          </x14:formula1>
          <xm:sqref>W2:W10</xm:sqref>
        </x14:dataValidation>
        <x14:dataValidation type="list" allowBlank="1" showInputMessage="1" showErrorMessage="1" xr:uid="{D05037A2-BC11-495A-9507-15F98759A6D3}">
          <x14:formula1>
            <xm:f>'Data Regularization'!$L$2:$L$1048576</xm:f>
          </x14:formula1>
          <xm:sqref>Y2:Y10</xm:sqref>
        </x14:dataValidation>
        <x14:dataValidation type="list" allowBlank="1" showInputMessage="1" showErrorMessage="1" xr:uid="{7EA9A518-328A-41AD-97EA-1C41157F519E}">
          <x14:formula1>
            <xm:f>'Data Regularization'!$M$2:$M$1048576</xm:f>
          </x14:formula1>
          <xm:sqref>Z2:Z10</xm:sqref>
        </x14:dataValidation>
        <x14:dataValidation type="list" allowBlank="1" showInputMessage="1" showErrorMessage="1" xr:uid="{4420CCB0-19B4-4FA8-B13B-B2C016107235}">
          <x14:formula1>
            <xm:f>'Data Regularization'!$O$2:$O$1048576</xm:f>
          </x14:formula1>
          <xm:sqref>AC2:AC10</xm:sqref>
        </x14:dataValidation>
        <x14:dataValidation type="list" allowBlank="1" showInputMessage="1" showErrorMessage="1" xr:uid="{7495220C-4B9E-473D-B45B-65B5E12E5DE0}">
          <x14:formula1>
            <xm:f>'Data Regularization'!$P$2:$P$1048576</xm:f>
          </x14:formula1>
          <xm:sqref>AD2:AD10</xm:sqref>
        </x14:dataValidation>
        <x14:dataValidation type="list" allowBlank="1" showInputMessage="1" showErrorMessage="1" xr:uid="{6DB31ECE-088B-40E5-933F-F8F92C7F0360}">
          <x14:formula1>
            <xm:f>'Data Regularization'!$N$2:$N$1048576</xm:f>
          </x14:formula1>
          <xm:sqref>AB2:AB10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23D07-0EE7-409B-B4EB-571A0568BF03}">
  <dimension ref="A1:B6"/>
  <sheetViews>
    <sheetView workbookViewId="0">
      <selection activeCell="A11" sqref="A11:XFD11"/>
    </sheetView>
  </sheetViews>
  <sheetFormatPr defaultRowHeight="14.5"/>
  <cols>
    <col min="1" max="1" width="24.54296875" bestFit="1" customWidth="1"/>
  </cols>
  <sheetData>
    <row r="1" spans="1:2">
      <c r="A1" t="s">
        <v>856</v>
      </c>
      <c r="B1">
        <v>8092</v>
      </c>
    </row>
    <row r="2" spans="1:2">
      <c r="A2" t="s">
        <v>857</v>
      </c>
      <c r="B2">
        <f>COUNTA('Unfiltered Data'!A:A) - 1</f>
        <v>245</v>
      </c>
    </row>
    <row r="3" spans="1:2">
      <c r="A3" t="s">
        <v>858</v>
      </c>
      <c r="B3">
        <f>COUNTA('Gen-filters'!A:A) - 1</f>
        <v>83</v>
      </c>
    </row>
    <row r="5" spans="1:2">
      <c r="A5" t="s">
        <v>859</v>
      </c>
      <c r="B5">
        <f>(B2/B1)*1000</f>
        <v>30.27681660899654</v>
      </c>
    </row>
    <row r="6" spans="1:2">
      <c r="A6" t="s">
        <v>860</v>
      </c>
      <c r="B6">
        <f>(B3/B1)*1000</f>
        <v>10.257043994068216</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ED5AB-BFBC-42E7-AF4B-B0BB2AD7CCD5}">
  <dimension ref="A2:D12"/>
  <sheetViews>
    <sheetView workbookViewId="0">
      <selection activeCell="D10" sqref="D10:D12"/>
    </sheetView>
  </sheetViews>
  <sheetFormatPr defaultRowHeight="14.5"/>
  <sheetData>
    <row r="2" spans="1:4">
      <c r="A2" t="s">
        <v>862</v>
      </c>
    </row>
    <row r="3" spans="1:4">
      <c r="A3" t="s">
        <v>499</v>
      </c>
      <c r="B3">
        <f>COUNTIF('Unfiltered Data'!G:G, "Yes")</f>
        <v>21</v>
      </c>
    </row>
    <row r="4" spans="1:4">
      <c r="A4" t="s">
        <v>506</v>
      </c>
      <c r="B4">
        <f>COUNTIF('Unfiltered Data'!G:G, "No")</f>
        <v>0</v>
      </c>
    </row>
    <row r="5" spans="1:4">
      <c r="A5" t="s">
        <v>863</v>
      </c>
      <c r="B5">
        <f>B3/SUM(B3:B4)</f>
        <v>1</v>
      </c>
    </row>
    <row r="8" spans="1:4">
      <c r="A8" t="s">
        <v>864</v>
      </c>
    </row>
    <row r="9" spans="1:4">
      <c r="B9" t="s">
        <v>865</v>
      </c>
      <c r="C9" t="s">
        <v>866</v>
      </c>
      <c r="D9" t="s">
        <v>867</v>
      </c>
    </row>
    <row r="10" spans="1:4">
      <c r="A10" t="s">
        <v>499</v>
      </c>
      <c r="B10">
        <f>COUNTIF('Unfiltered Data'!H:H, "Yes")</f>
        <v>70</v>
      </c>
      <c r="C10">
        <f>B10/'Gen-Error-Rates'!$B$2</f>
        <v>0.2857142857142857</v>
      </c>
      <c r="D10">
        <f>B10/SUM($B$10:$B$12)</f>
        <v>0.94594594594594594</v>
      </c>
    </row>
    <row r="11" spans="1:4">
      <c r="A11" t="s">
        <v>868</v>
      </c>
      <c r="B11">
        <f>COUNTIF('Unfiltered Data'!H:H, "Yes, partially")</f>
        <v>0</v>
      </c>
      <c r="C11">
        <f>B11/'Gen-Error-Rates'!$B$2</f>
        <v>0</v>
      </c>
      <c r="D11">
        <f t="shared" ref="D11:D12" si="0">B11/SUM($B$10:$B$12)</f>
        <v>0</v>
      </c>
    </row>
    <row r="12" spans="1:4">
      <c r="A12" t="s">
        <v>869</v>
      </c>
      <c r="B12">
        <f>COUNTIF('Unfiltered Data'!H:H, "Yes, to another error")</f>
        <v>4</v>
      </c>
      <c r="C12">
        <f>B12/'Gen-Error-Rates'!$B$2</f>
        <v>1.6326530612244899E-2</v>
      </c>
      <c r="D12">
        <f t="shared" si="0"/>
        <v>5.4054054054054057E-2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E845E-DEC1-4CA3-83F1-8C5615D35CC4}">
  <dimension ref="A1:P21"/>
  <sheetViews>
    <sheetView topLeftCell="B1" workbookViewId="0">
      <selection activeCell="K3" sqref="K3:K5"/>
    </sheetView>
  </sheetViews>
  <sheetFormatPr defaultRowHeight="14.5"/>
  <cols>
    <col min="1" max="1" width="37.1796875" bestFit="1" customWidth="1"/>
  </cols>
  <sheetData>
    <row r="1" spans="1:16">
      <c r="A1" s="2" t="s">
        <v>337</v>
      </c>
      <c r="B1" s="2" t="s">
        <v>338</v>
      </c>
      <c r="C1" s="2" t="s">
        <v>347</v>
      </c>
      <c r="D1" s="2" t="s">
        <v>3</v>
      </c>
      <c r="E1" s="2" t="s">
        <v>524</v>
      </c>
      <c r="F1" s="2" t="s">
        <v>525</v>
      </c>
      <c r="G1" s="2" t="s">
        <v>526</v>
      </c>
      <c r="H1" s="2" t="s">
        <v>527</v>
      </c>
      <c r="I1" s="2" t="s">
        <v>528</v>
      </c>
      <c r="J1" s="2" t="s">
        <v>529</v>
      </c>
      <c r="K1" s="2" t="s">
        <v>530</v>
      </c>
      <c r="L1" s="2" t="s">
        <v>531</v>
      </c>
      <c r="M1" s="2" t="s">
        <v>532</v>
      </c>
      <c r="N1" s="2" t="s">
        <v>581</v>
      </c>
      <c r="O1" s="2" t="s">
        <v>533</v>
      </c>
      <c r="P1" s="2" t="s">
        <v>534</v>
      </c>
    </row>
    <row r="2" spans="1:16">
      <c r="A2" s="2"/>
    </row>
    <row r="3" spans="1:16">
      <c r="A3" t="s">
        <v>498</v>
      </c>
      <c r="B3" t="s">
        <v>499</v>
      </c>
      <c r="C3" t="s">
        <v>499</v>
      </c>
      <c r="D3" t="s">
        <v>500</v>
      </c>
      <c r="E3" t="s">
        <v>535</v>
      </c>
      <c r="F3" t="s">
        <v>536</v>
      </c>
      <c r="G3" t="s">
        <v>537</v>
      </c>
      <c r="H3" t="s">
        <v>4</v>
      </c>
      <c r="I3" t="s">
        <v>499</v>
      </c>
      <c r="J3" t="s">
        <v>4</v>
      </c>
      <c r="K3" t="s">
        <v>538</v>
      </c>
      <c r="L3" t="s">
        <v>499</v>
      </c>
      <c r="M3" t="s">
        <v>539</v>
      </c>
      <c r="N3" t="s">
        <v>499</v>
      </c>
      <c r="O3" t="s">
        <v>540</v>
      </c>
      <c r="P3" t="s">
        <v>499</v>
      </c>
    </row>
    <row r="4" spans="1:16">
      <c r="A4" t="s">
        <v>501</v>
      </c>
      <c r="B4" t="s">
        <v>502</v>
      </c>
      <c r="C4" t="s">
        <v>503</v>
      </c>
      <c r="D4" t="s">
        <v>504</v>
      </c>
      <c r="E4" t="s">
        <v>541</v>
      </c>
      <c r="F4" t="s">
        <v>542</v>
      </c>
      <c r="G4" t="s">
        <v>543</v>
      </c>
      <c r="H4" t="s">
        <v>544</v>
      </c>
      <c r="I4" t="s">
        <v>506</v>
      </c>
      <c r="J4" t="s">
        <v>544</v>
      </c>
      <c r="K4" t="s">
        <v>861</v>
      </c>
      <c r="L4" t="s">
        <v>506</v>
      </c>
      <c r="M4" t="s">
        <v>546</v>
      </c>
      <c r="N4" t="s">
        <v>506</v>
      </c>
      <c r="O4" t="s">
        <v>547</v>
      </c>
      <c r="P4" t="s">
        <v>506</v>
      </c>
    </row>
    <row r="5" spans="1:16">
      <c r="A5" t="s">
        <v>505</v>
      </c>
      <c r="B5" t="s">
        <v>506</v>
      </c>
      <c r="C5" t="s">
        <v>507</v>
      </c>
      <c r="D5" t="s">
        <v>548</v>
      </c>
      <c r="E5" t="s">
        <v>549</v>
      </c>
      <c r="F5" t="s">
        <v>550</v>
      </c>
      <c r="K5" t="s">
        <v>545</v>
      </c>
      <c r="M5" t="s">
        <v>551</v>
      </c>
      <c r="O5" t="s">
        <v>552</v>
      </c>
    </row>
    <row r="6" spans="1:16">
      <c r="A6" t="s">
        <v>508</v>
      </c>
      <c r="C6" t="s">
        <v>506</v>
      </c>
      <c r="D6" t="s">
        <v>553</v>
      </c>
      <c r="E6" t="s">
        <v>554</v>
      </c>
      <c r="M6" t="s">
        <v>555</v>
      </c>
      <c r="O6" t="s">
        <v>556</v>
      </c>
    </row>
    <row r="7" spans="1:16">
      <c r="A7" t="s">
        <v>510</v>
      </c>
      <c r="D7" t="s">
        <v>557</v>
      </c>
      <c r="E7" t="s">
        <v>558</v>
      </c>
      <c r="M7" t="s">
        <v>789</v>
      </c>
    </row>
    <row r="8" spans="1:16">
      <c r="A8" t="s">
        <v>512</v>
      </c>
      <c r="D8" t="s">
        <v>509</v>
      </c>
      <c r="E8" t="s">
        <v>560</v>
      </c>
      <c r="M8" t="s">
        <v>559</v>
      </c>
    </row>
    <row r="9" spans="1:16">
      <c r="A9" t="s">
        <v>347</v>
      </c>
      <c r="D9" t="s">
        <v>511</v>
      </c>
      <c r="E9" t="s">
        <v>562</v>
      </c>
      <c r="M9" t="s">
        <v>561</v>
      </c>
    </row>
    <row r="10" spans="1:16">
      <c r="A10" t="s">
        <v>514</v>
      </c>
      <c r="D10" t="s">
        <v>513</v>
      </c>
      <c r="E10" t="s">
        <v>564</v>
      </c>
      <c r="M10" t="s">
        <v>563</v>
      </c>
    </row>
    <row r="11" spans="1:16">
      <c r="A11" t="s">
        <v>590</v>
      </c>
      <c r="E11" t="s">
        <v>566</v>
      </c>
      <c r="M11" t="s">
        <v>565</v>
      </c>
    </row>
    <row r="12" spans="1:16">
      <c r="A12" t="s">
        <v>515</v>
      </c>
      <c r="E12" t="s">
        <v>568</v>
      </c>
      <c r="M12" t="s">
        <v>790</v>
      </c>
    </row>
    <row r="13" spans="1:16">
      <c r="A13" t="s">
        <v>567</v>
      </c>
      <c r="E13" t="s">
        <v>593</v>
      </c>
      <c r="M13" t="s">
        <v>785</v>
      </c>
    </row>
    <row r="14" spans="1:16">
      <c r="A14" t="s">
        <v>516</v>
      </c>
      <c r="E14" t="s">
        <v>569</v>
      </c>
    </row>
    <row r="15" spans="1:16">
      <c r="A15" t="s">
        <v>517</v>
      </c>
    </row>
    <row r="16" spans="1:16">
      <c r="A16" t="s">
        <v>518</v>
      </c>
    </row>
    <row r="17" spans="1:1">
      <c r="A17" t="s">
        <v>519</v>
      </c>
    </row>
    <row r="18" spans="1:1">
      <c r="A18" t="s">
        <v>520</v>
      </c>
    </row>
    <row r="19" spans="1:1">
      <c r="A19" t="s">
        <v>521</v>
      </c>
    </row>
    <row r="20" spans="1:1">
      <c r="A20" t="s">
        <v>522</v>
      </c>
    </row>
    <row r="21" spans="1:1">
      <c r="A21" t="s">
        <v>523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C0717-40A1-483E-AF68-5D765FCE5A25}">
  <dimension ref="A1:AE87"/>
  <sheetViews>
    <sheetView workbookViewId="0">
      <pane xSplit="3" ySplit="1" topLeftCell="D80" activePane="bottomRight" state="frozen"/>
      <selection pane="topRight" activeCell="D1" sqref="D1"/>
      <selection pane="bottomLeft" activeCell="A2" sqref="A2"/>
      <selection pane="bottomRight" activeCell="A88" sqref="A88:XFD1048576"/>
    </sheetView>
  </sheetViews>
  <sheetFormatPr defaultRowHeight="14.5"/>
  <cols>
    <col min="1" max="1" width="11.08984375" bestFit="1" customWidth="1"/>
    <col min="2" max="3" width="20.81640625" customWidth="1"/>
    <col min="4" max="6" width="8.90625" customWidth="1"/>
  </cols>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580</v>
      </c>
      <c r="R1" s="2" t="s">
        <v>826</v>
      </c>
      <c r="S1" s="2" t="s">
        <v>827</v>
      </c>
      <c r="T1" s="2" t="s">
        <v>527</v>
      </c>
      <c r="U1" s="2" t="s">
        <v>528</v>
      </c>
      <c r="V1" s="2" t="s">
        <v>529</v>
      </c>
      <c r="W1" s="2" t="s">
        <v>530</v>
      </c>
      <c r="X1" s="2" t="s">
        <v>531</v>
      </c>
      <c r="Y1" s="2" t="s">
        <v>532</v>
      </c>
      <c r="Z1" s="2" t="s">
        <v>582</v>
      </c>
      <c r="AA1" s="2" t="s">
        <v>581</v>
      </c>
      <c r="AB1" s="2" t="s">
        <v>533</v>
      </c>
      <c r="AC1" s="2" t="s">
        <v>534</v>
      </c>
      <c r="AD1" s="2" t="s">
        <v>791</v>
      </c>
    </row>
    <row r="2" spans="1:31">
      <c r="A2" s="1" t="s">
        <v>20</v>
      </c>
      <c r="B2" s="1" t="s">
        <v>340</v>
      </c>
      <c r="C2" s="1" t="s">
        <v>341</v>
      </c>
      <c r="D2" s="1"/>
      <c r="E2" s="1"/>
      <c r="F2" s="1"/>
      <c r="G2" s="7" t="s">
        <v>504</v>
      </c>
      <c r="H2" s="7">
        <v>0</v>
      </c>
      <c r="I2" s="7">
        <v>1</v>
      </c>
      <c r="J2" s="7">
        <v>1</v>
      </c>
      <c r="K2" s="7" t="s">
        <v>541</v>
      </c>
      <c r="L2" s="7" t="s">
        <v>550</v>
      </c>
      <c r="M2" s="7"/>
      <c r="N2" s="8"/>
      <c r="O2" s="7"/>
      <c r="P2" s="7">
        <v>19277</v>
      </c>
      <c r="Q2" s="7"/>
      <c r="R2" s="7" t="s">
        <v>614</v>
      </c>
      <c r="S2" s="7" t="s">
        <v>614</v>
      </c>
      <c r="T2" s="7" t="s">
        <v>544</v>
      </c>
      <c r="U2" s="7"/>
      <c r="V2" s="7"/>
      <c r="W2" s="7"/>
      <c r="X2" s="7" t="s">
        <v>499</v>
      </c>
      <c r="Y2" s="7"/>
      <c r="Z2" s="7"/>
      <c r="AA2" s="7"/>
      <c r="AB2" s="7"/>
      <c r="AC2" s="7"/>
      <c r="AD2" t="s">
        <v>499</v>
      </c>
    </row>
    <row r="3" spans="1:31">
      <c r="A3" s="1" t="s">
        <v>21</v>
      </c>
      <c r="B3" s="1" t="s">
        <v>342</v>
      </c>
      <c r="C3" s="1" t="s">
        <v>343</v>
      </c>
      <c r="D3" s="1"/>
      <c r="E3" s="1"/>
      <c r="F3" s="1"/>
      <c r="G3" s="7" t="s">
        <v>504</v>
      </c>
      <c r="H3" s="7">
        <v>0</v>
      </c>
      <c r="I3" s="7">
        <v>1</v>
      </c>
      <c r="J3" s="7">
        <v>1</v>
      </c>
      <c r="K3" s="7" t="s">
        <v>541</v>
      </c>
      <c r="L3" s="7" t="s">
        <v>550</v>
      </c>
      <c r="M3" s="7"/>
      <c r="N3" s="8"/>
      <c r="O3" s="7"/>
      <c r="P3" s="7">
        <v>19277</v>
      </c>
      <c r="Q3" s="7"/>
      <c r="R3" s="7" t="s">
        <v>614</v>
      </c>
      <c r="S3" s="7" t="s">
        <v>614</v>
      </c>
      <c r="T3" s="7" t="s">
        <v>544</v>
      </c>
      <c r="U3" s="7"/>
      <c r="V3" s="7"/>
      <c r="W3" s="7"/>
      <c r="X3" s="7" t="s">
        <v>499</v>
      </c>
      <c r="Y3" s="7"/>
      <c r="Z3" s="7"/>
      <c r="AA3" s="7"/>
      <c r="AB3" s="7"/>
      <c r="AC3" s="7"/>
      <c r="AD3" t="s">
        <v>499</v>
      </c>
    </row>
    <row r="4" spans="1:31">
      <c r="A4" s="1" t="s">
        <v>25</v>
      </c>
      <c r="B4" s="1" t="s">
        <v>26</v>
      </c>
      <c r="C4" s="1" t="s">
        <v>27</v>
      </c>
      <c r="D4" s="1"/>
      <c r="E4" s="1"/>
      <c r="F4" s="1"/>
      <c r="G4" s="7" t="s">
        <v>553</v>
      </c>
      <c r="H4" s="7"/>
      <c r="I4" s="7"/>
      <c r="J4" s="7"/>
      <c r="K4" s="7"/>
      <c r="L4" s="7"/>
      <c r="M4" s="7"/>
      <c r="N4" s="8"/>
      <c r="O4" s="7"/>
      <c r="P4" s="7"/>
      <c r="Q4" s="7"/>
      <c r="R4" s="7" t="s">
        <v>614</v>
      </c>
      <c r="S4" s="7" t="s">
        <v>614</v>
      </c>
      <c r="T4" s="7"/>
      <c r="U4" s="7"/>
      <c r="V4" s="7"/>
      <c r="W4" s="7"/>
      <c r="X4" s="7" t="s">
        <v>499</v>
      </c>
      <c r="Y4" s="7"/>
      <c r="Z4" s="7"/>
      <c r="AA4" s="7"/>
      <c r="AB4" s="7"/>
      <c r="AC4" s="7"/>
      <c r="AD4" t="s">
        <v>499</v>
      </c>
      <c r="AE4" t="s">
        <v>793</v>
      </c>
    </row>
    <row r="5" spans="1:31">
      <c r="A5" s="1" t="s">
        <v>30</v>
      </c>
      <c r="B5" s="1" t="s">
        <v>345</v>
      </c>
      <c r="C5" s="1" t="s">
        <v>346</v>
      </c>
      <c r="D5" s="1"/>
      <c r="E5" s="1"/>
      <c r="F5" s="1"/>
      <c r="G5" s="7" t="s">
        <v>548</v>
      </c>
      <c r="H5" s="7"/>
      <c r="I5" s="7"/>
      <c r="J5" s="7"/>
      <c r="K5" s="7"/>
      <c r="L5" s="7"/>
      <c r="M5" s="7"/>
      <c r="N5" s="8"/>
      <c r="O5" s="7"/>
      <c r="P5" s="7"/>
      <c r="Q5" s="7">
        <v>216</v>
      </c>
      <c r="R5" s="7">
        <v>1204</v>
      </c>
      <c r="S5" s="7">
        <v>1420</v>
      </c>
      <c r="T5" s="7" t="s">
        <v>4</v>
      </c>
      <c r="U5" s="7"/>
      <c r="V5" s="7"/>
      <c r="W5" s="7"/>
      <c r="X5" s="7" t="s">
        <v>499</v>
      </c>
      <c r="Y5" s="7"/>
      <c r="Z5" s="7"/>
      <c r="AA5" s="7"/>
      <c r="AB5" s="7"/>
      <c r="AC5" s="7"/>
      <c r="AD5" t="s">
        <v>499</v>
      </c>
    </row>
    <row r="6" spans="1:31">
      <c r="A6" s="1" t="s">
        <v>37</v>
      </c>
      <c r="B6" s="1" t="s">
        <v>16</v>
      </c>
      <c r="C6" s="1" t="s">
        <v>38</v>
      </c>
      <c r="D6" s="1"/>
      <c r="E6" s="1"/>
      <c r="F6" s="1"/>
      <c r="G6" s="7" t="s">
        <v>553</v>
      </c>
      <c r="H6" s="7"/>
      <c r="I6" s="7"/>
      <c r="J6" s="7"/>
      <c r="K6" s="7"/>
      <c r="L6" s="7"/>
      <c r="M6" s="7"/>
      <c r="N6" s="8"/>
      <c r="O6" s="7"/>
      <c r="P6" s="7"/>
      <c r="Q6" s="7"/>
      <c r="R6" s="7" t="s">
        <v>614</v>
      </c>
      <c r="S6" s="7" t="s">
        <v>614</v>
      </c>
      <c r="T6" s="7"/>
      <c r="U6" s="7"/>
      <c r="V6" s="7"/>
      <c r="W6" s="7"/>
      <c r="X6" s="7" t="s">
        <v>499</v>
      </c>
      <c r="Y6" s="7"/>
      <c r="Z6" s="7"/>
      <c r="AA6" s="7"/>
      <c r="AB6" s="7"/>
      <c r="AC6" s="7"/>
      <c r="AD6" t="s">
        <v>506</v>
      </c>
    </row>
    <row r="7" spans="1:31">
      <c r="A7" s="1" t="s">
        <v>39</v>
      </c>
      <c r="B7" s="1" t="s">
        <v>40</v>
      </c>
      <c r="C7" s="1" t="s">
        <v>351</v>
      </c>
      <c r="D7" s="1"/>
      <c r="E7" s="1"/>
      <c r="F7" s="1"/>
      <c r="G7" s="7" t="s">
        <v>553</v>
      </c>
      <c r="H7" s="7"/>
      <c r="I7" s="7"/>
      <c r="J7" s="7"/>
      <c r="K7" s="7"/>
      <c r="L7" s="7"/>
      <c r="M7" s="7"/>
      <c r="N7" s="8"/>
      <c r="O7" s="7"/>
      <c r="P7" s="7"/>
      <c r="Q7" s="7"/>
      <c r="R7" s="7" t="s">
        <v>614</v>
      </c>
      <c r="S7" s="7" t="s">
        <v>614</v>
      </c>
      <c r="T7" s="7"/>
      <c r="U7" s="7"/>
      <c r="V7" s="7"/>
      <c r="W7" s="7"/>
      <c r="X7" s="7" t="s">
        <v>499</v>
      </c>
      <c r="Y7" s="7"/>
      <c r="Z7" s="7"/>
      <c r="AA7" s="7"/>
      <c r="AB7" s="7"/>
      <c r="AC7" s="7"/>
      <c r="AD7" t="s">
        <v>506</v>
      </c>
    </row>
    <row r="8" spans="1:31" ht="29">
      <c r="A8" s="1" t="s">
        <v>49</v>
      </c>
      <c r="B8" s="1" t="s">
        <v>600</v>
      </c>
      <c r="C8" s="1" t="s">
        <v>601</v>
      </c>
      <c r="D8" s="1"/>
      <c r="E8" s="1"/>
      <c r="F8" s="1"/>
      <c r="G8" s="7" t="s">
        <v>553</v>
      </c>
      <c r="H8" s="7"/>
      <c r="I8" s="7"/>
      <c r="J8" s="7"/>
      <c r="K8" s="7"/>
      <c r="L8" s="7"/>
      <c r="M8" s="7"/>
      <c r="N8" s="8"/>
      <c r="O8" s="7"/>
      <c r="P8" s="7"/>
      <c r="Q8" s="7"/>
      <c r="R8" s="7" t="s">
        <v>614</v>
      </c>
      <c r="S8" s="7" t="s">
        <v>614</v>
      </c>
      <c r="T8" s="7"/>
      <c r="U8" s="7"/>
      <c r="V8" s="7"/>
      <c r="W8" s="7"/>
      <c r="X8" s="7" t="s">
        <v>499</v>
      </c>
      <c r="Y8" s="7"/>
      <c r="Z8" s="7"/>
      <c r="AA8" s="7"/>
      <c r="AB8" s="7"/>
      <c r="AC8" s="7"/>
      <c r="AD8" t="s">
        <v>499</v>
      </c>
      <c r="AE8" t="s">
        <v>792</v>
      </c>
    </row>
    <row r="9" spans="1:31" ht="29">
      <c r="A9" t="s">
        <v>53</v>
      </c>
      <c r="B9" s="10" t="s">
        <v>813</v>
      </c>
      <c r="C9" s="10" t="s">
        <v>814</v>
      </c>
      <c r="G9" s="7" t="s">
        <v>504</v>
      </c>
      <c r="H9" s="7"/>
      <c r="I9" s="7">
        <v>4</v>
      </c>
      <c r="J9" s="7">
        <v>16</v>
      </c>
      <c r="K9" s="7"/>
      <c r="L9" s="7" t="s">
        <v>536</v>
      </c>
      <c r="M9" s="7" t="s">
        <v>594</v>
      </c>
      <c r="N9" s="8" t="s">
        <v>595</v>
      </c>
      <c r="O9" s="7"/>
      <c r="P9" s="7">
        <v>38</v>
      </c>
      <c r="Q9" s="7"/>
      <c r="R9" s="7" t="s">
        <v>614</v>
      </c>
      <c r="S9" s="7" t="s">
        <v>614</v>
      </c>
      <c r="T9" s="7"/>
      <c r="U9" s="7"/>
      <c r="V9" s="7"/>
      <c r="W9" s="7"/>
      <c r="X9" s="7" t="s">
        <v>499</v>
      </c>
      <c r="Y9" s="7"/>
      <c r="Z9" s="7"/>
      <c r="AA9" s="7"/>
      <c r="AB9" s="7"/>
      <c r="AC9" s="7"/>
      <c r="AD9" t="s">
        <v>499</v>
      </c>
    </row>
    <row r="10" spans="1:31">
      <c r="A10" s="1" t="s">
        <v>56</v>
      </c>
      <c r="B10" s="1" t="s">
        <v>57</v>
      </c>
      <c r="C10" s="1" t="s">
        <v>58</v>
      </c>
      <c r="D10" s="1"/>
      <c r="E10" s="1"/>
      <c r="F10" s="1" t="s">
        <v>339</v>
      </c>
      <c r="G10" s="7" t="s">
        <v>553</v>
      </c>
      <c r="H10" s="7"/>
      <c r="I10" s="7"/>
      <c r="J10" s="7"/>
      <c r="K10" s="7"/>
      <c r="L10" s="7"/>
      <c r="M10" s="7"/>
      <c r="N10" s="8"/>
      <c r="O10" s="7"/>
      <c r="P10" s="7"/>
      <c r="Q10" s="7"/>
      <c r="R10" s="7" t="s">
        <v>614</v>
      </c>
      <c r="S10" s="7" t="s">
        <v>614</v>
      </c>
      <c r="T10" s="7"/>
      <c r="U10" s="7"/>
      <c r="V10" s="7"/>
      <c r="W10" s="7"/>
      <c r="X10" s="7" t="s">
        <v>499</v>
      </c>
      <c r="Y10" s="7"/>
      <c r="Z10" s="7"/>
      <c r="AA10" s="7"/>
      <c r="AB10" s="7"/>
      <c r="AC10" s="7"/>
      <c r="AD10" t="s">
        <v>506</v>
      </c>
    </row>
    <row r="11" spans="1:31" ht="29">
      <c r="A11" s="1" t="s">
        <v>56</v>
      </c>
      <c r="B11" s="1" t="s">
        <v>761</v>
      </c>
      <c r="C11" s="1" t="s">
        <v>762</v>
      </c>
      <c r="D11" s="1"/>
      <c r="E11" s="1"/>
      <c r="F11" s="1"/>
      <c r="G11" s="7" t="s">
        <v>548</v>
      </c>
      <c r="H11" s="7"/>
      <c r="I11" s="7"/>
      <c r="J11" s="7"/>
      <c r="K11" s="7"/>
      <c r="L11" s="7"/>
      <c r="M11" s="7"/>
      <c r="N11" s="8"/>
      <c r="O11" s="7"/>
      <c r="P11" s="7"/>
      <c r="Q11" s="7">
        <v>-67</v>
      </c>
      <c r="R11" s="7">
        <v>67</v>
      </c>
      <c r="S11" s="7">
        <v>0</v>
      </c>
      <c r="T11" s="7" t="s">
        <v>544</v>
      </c>
      <c r="U11" s="7"/>
      <c r="V11" s="7"/>
      <c r="W11" s="7"/>
      <c r="X11" s="7" t="s">
        <v>499</v>
      </c>
      <c r="Y11" s="7"/>
      <c r="Z11" s="7"/>
      <c r="AA11" s="7"/>
      <c r="AB11" s="7"/>
      <c r="AC11" s="7"/>
      <c r="AD11" t="s">
        <v>506</v>
      </c>
    </row>
    <row r="12" spans="1:31" ht="29">
      <c r="A12" s="1" t="s">
        <v>62</v>
      </c>
      <c r="B12" s="1" t="s">
        <v>607</v>
      </c>
      <c r="C12" s="1" t="s">
        <v>608</v>
      </c>
      <c r="D12" s="1"/>
      <c r="E12" s="1"/>
      <c r="F12" s="1"/>
      <c r="G12" s="7" t="s">
        <v>504</v>
      </c>
      <c r="H12" s="7">
        <v>0</v>
      </c>
      <c r="I12" s="7">
        <v>1</v>
      </c>
      <c r="J12" s="7">
        <v>3</v>
      </c>
      <c r="K12" s="7" t="s">
        <v>541</v>
      </c>
      <c r="L12" s="7" t="s">
        <v>536</v>
      </c>
      <c r="M12" s="7" t="s">
        <v>594</v>
      </c>
      <c r="N12" s="8" t="s">
        <v>595</v>
      </c>
      <c r="O12" s="7"/>
      <c r="P12" s="7">
        <v>19277</v>
      </c>
      <c r="Q12" s="7"/>
      <c r="R12" s="7" t="s">
        <v>614</v>
      </c>
      <c r="S12" s="7" t="s">
        <v>614</v>
      </c>
      <c r="T12" s="7"/>
      <c r="U12" s="7"/>
      <c r="V12" s="7"/>
      <c r="W12" s="7"/>
      <c r="X12" s="7" t="s">
        <v>499</v>
      </c>
      <c r="Y12" s="7"/>
      <c r="Z12" s="7"/>
      <c r="AA12" s="7"/>
      <c r="AB12" s="7"/>
      <c r="AC12" s="7"/>
      <c r="AD12" t="s">
        <v>506</v>
      </c>
    </row>
    <row r="13" spans="1:31" ht="29">
      <c r="A13" s="1" t="s">
        <v>63</v>
      </c>
      <c r="B13" s="1" t="s">
        <v>609</v>
      </c>
      <c r="C13" s="1" t="s">
        <v>610</v>
      </c>
      <c r="D13" s="1"/>
      <c r="E13" s="1"/>
      <c r="F13" s="1"/>
      <c r="G13" s="7" t="s">
        <v>504</v>
      </c>
      <c r="H13" s="7">
        <v>1</v>
      </c>
      <c r="I13" s="7">
        <v>3</v>
      </c>
      <c r="J13" s="7">
        <v>14</v>
      </c>
      <c r="K13" s="7"/>
      <c r="L13" s="7" t="s">
        <v>536</v>
      </c>
      <c r="M13" s="7" t="s">
        <v>594</v>
      </c>
      <c r="N13" s="8" t="s">
        <v>595</v>
      </c>
      <c r="O13" s="7"/>
      <c r="P13" s="7">
        <v>1</v>
      </c>
      <c r="Q13" s="7"/>
      <c r="R13" s="7" t="s">
        <v>614</v>
      </c>
      <c r="S13" s="7" t="s">
        <v>614</v>
      </c>
      <c r="T13" s="7"/>
      <c r="U13" s="7"/>
      <c r="V13" s="7"/>
      <c r="W13" s="7"/>
      <c r="X13" s="7" t="s">
        <v>499</v>
      </c>
      <c r="Y13" s="7"/>
      <c r="Z13" s="7"/>
      <c r="AA13" s="7"/>
      <c r="AB13" s="7"/>
      <c r="AC13" s="7"/>
      <c r="AD13" t="s">
        <v>506</v>
      </c>
    </row>
    <row r="14" spans="1:31" ht="116">
      <c r="A14" s="1" t="s">
        <v>65</v>
      </c>
      <c r="B14" s="1" t="s">
        <v>873</v>
      </c>
      <c r="C14" s="1" t="s">
        <v>874</v>
      </c>
      <c r="D14" s="1"/>
      <c r="E14" s="1"/>
      <c r="F14" s="1"/>
      <c r="G14" s="7" t="s">
        <v>504</v>
      </c>
      <c r="H14" s="7">
        <v>4</v>
      </c>
      <c r="I14" s="7">
        <v>13</v>
      </c>
      <c r="J14" s="7">
        <v>75</v>
      </c>
      <c r="K14" s="7"/>
      <c r="L14" s="7" t="s">
        <v>536</v>
      </c>
      <c r="M14" s="7" t="s">
        <v>594</v>
      </c>
      <c r="N14" s="8" t="s">
        <v>611</v>
      </c>
      <c r="O14" s="7" t="s">
        <v>537</v>
      </c>
      <c r="P14" s="7">
        <v>2</v>
      </c>
      <c r="Q14" s="7"/>
      <c r="R14" s="7" t="s">
        <v>614</v>
      </c>
      <c r="S14" s="7" t="s">
        <v>614</v>
      </c>
      <c r="T14" s="7"/>
      <c r="U14" s="7"/>
      <c r="V14" s="7"/>
      <c r="W14" s="7"/>
      <c r="X14" s="7" t="s">
        <v>499</v>
      </c>
      <c r="Y14" s="7"/>
      <c r="Z14" s="7"/>
      <c r="AA14" s="7"/>
      <c r="AB14" s="7"/>
      <c r="AC14" s="7"/>
      <c r="AD14" t="s">
        <v>506</v>
      </c>
    </row>
    <row r="15" spans="1:31" ht="58">
      <c r="A15" s="1" t="s">
        <v>65</v>
      </c>
      <c r="B15" s="1" t="s">
        <v>875</v>
      </c>
      <c r="C15" s="1" t="s">
        <v>877</v>
      </c>
      <c r="D15" s="1"/>
      <c r="E15" s="1"/>
      <c r="F15" s="1"/>
      <c r="G15" s="7" t="s">
        <v>504</v>
      </c>
      <c r="H15" s="7">
        <v>0</v>
      </c>
      <c r="I15" s="7">
        <v>2</v>
      </c>
      <c r="J15" s="7">
        <v>18</v>
      </c>
      <c r="K15" s="7"/>
      <c r="L15" s="7" t="s">
        <v>536</v>
      </c>
      <c r="M15" s="7" t="s">
        <v>594</v>
      </c>
      <c r="N15" s="8" t="s">
        <v>612</v>
      </c>
      <c r="O15" s="7"/>
      <c r="P15" s="7">
        <v>49</v>
      </c>
      <c r="Q15" s="7"/>
      <c r="R15" s="7" t="s">
        <v>614</v>
      </c>
      <c r="S15" s="7" t="s">
        <v>614</v>
      </c>
      <c r="T15" s="7"/>
      <c r="U15" s="7"/>
      <c r="V15" s="7"/>
      <c r="W15" s="7"/>
      <c r="X15" s="7" t="s">
        <v>499</v>
      </c>
      <c r="Y15" s="7"/>
      <c r="Z15" s="7"/>
      <c r="AA15" s="7"/>
      <c r="AB15" s="7"/>
      <c r="AC15" s="7"/>
      <c r="AD15" t="s">
        <v>506</v>
      </c>
    </row>
    <row r="16" spans="1:31" ht="58">
      <c r="A16" s="1" t="s">
        <v>65</v>
      </c>
      <c r="B16" s="1" t="s">
        <v>876</v>
      </c>
      <c r="C16" s="1" t="s">
        <v>877</v>
      </c>
      <c r="D16" s="1"/>
      <c r="E16" s="1"/>
      <c r="F16" s="1"/>
      <c r="G16" s="7" t="s">
        <v>504</v>
      </c>
      <c r="H16" s="7">
        <v>1</v>
      </c>
      <c r="I16" s="7">
        <v>4</v>
      </c>
      <c r="J16" s="7">
        <v>14</v>
      </c>
      <c r="K16" s="7"/>
      <c r="L16" s="7" t="s">
        <v>536</v>
      </c>
      <c r="M16" s="7" t="s">
        <v>594</v>
      </c>
      <c r="N16" s="8" t="s">
        <v>613</v>
      </c>
      <c r="O16" s="7"/>
      <c r="P16" s="7">
        <v>22</v>
      </c>
      <c r="Q16" s="7"/>
      <c r="R16" s="7" t="s">
        <v>614</v>
      </c>
      <c r="S16" s="7" t="s">
        <v>614</v>
      </c>
      <c r="T16" s="7"/>
      <c r="U16" s="7"/>
      <c r="V16" s="7"/>
      <c r="W16" s="7"/>
      <c r="X16" s="7" t="s">
        <v>499</v>
      </c>
      <c r="Y16" s="7"/>
      <c r="Z16" s="7"/>
      <c r="AA16" s="7"/>
      <c r="AB16" s="7"/>
      <c r="AC16" s="7"/>
      <c r="AD16" t="s">
        <v>506</v>
      </c>
    </row>
    <row r="17" spans="1:31">
      <c r="A17" s="1" t="s">
        <v>65</v>
      </c>
      <c r="B17" s="1" t="s">
        <v>368</v>
      </c>
      <c r="C17" s="1" t="s">
        <v>369</v>
      </c>
      <c r="D17" s="1"/>
      <c r="E17" s="1"/>
      <c r="F17" s="1" t="s">
        <v>339</v>
      </c>
      <c r="G17" s="7" t="s">
        <v>553</v>
      </c>
      <c r="H17" s="7"/>
      <c r="I17" s="7"/>
      <c r="J17" s="7"/>
      <c r="K17" s="7"/>
      <c r="L17" s="7"/>
      <c r="M17" s="7"/>
      <c r="N17" s="8"/>
      <c r="O17" s="7"/>
      <c r="P17" s="7"/>
      <c r="Q17" s="7"/>
      <c r="R17" s="7" t="s">
        <v>614</v>
      </c>
      <c r="S17" s="7" t="s">
        <v>614</v>
      </c>
      <c r="T17" s="7"/>
      <c r="U17" s="7"/>
      <c r="V17" s="7"/>
      <c r="W17" s="7"/>
      <c r="X17" s="7" t="s">
        <v>499</v>
      </c>
      <c r="Y17" s="7"/>
      <c r="Z17" s="7"/>
      <c r="AA17" s="7"/>
      <c r="AB17" s="7"/>
      <c r="AC17" s="7"/>
      <c r="AD17" t="s">
        <v>506</v>
      </c>
    </row>
    <row r="18" spans="1:31">
      <c r="A18" s="1" t="s">
        <v>7</v>
      </c>
      <c r="B18" s="1" t="s">
        <v>6</v>
      </c>
      <c r="C18" s="1" t="s">
        <v>5</v>
      </c>
      <c r="D18" s="1"/>
      <c r="E18" s="1"/>
      <c r="F18" s="1"/>
      <c r="G18" s="7" t="s">
        <v>504</v>
      </c>
      <c r="H18" s="7">
        <v>0</v>
      </c>
      <c r="I18" s="7">
        <v>1</v>
      </c>
      <c r="J18" s="7">
        <v>3</v>
      </c>
      <c r="K18" s="7" t="s">
        <v>541</v>
      </c>
      <c r="L18" s="7" t="s">
        <v>542</v>
      </c>
      <c r="M18" s="7"/>
      <c r="N18" s="8"/>
      <c r="O18" s="7"/>
      <c r="P18" s="7">
        <v>19277</v>
      </c>
      <c r="Q18" s="7"/>
      <c r="R18" s="7" t="s">
        <v>614</v>
      </c>
      <c r="S18" s="7" t="s">
        <v>614</v>
      </c>
      <c r="T18" s="7"/>
      <c r="U18" s="7"/>
      <c r="V18" s="7"/>
      <c r="W18" s="7"/>
      <c r="X18" s="7" t="s">
        <v>499</v>
      </c>
      <c r="Y18" s="7"/>
      <c r="Z18" s="7"/>
      <c r="AA18" s="7"/>
      <c r="AB18" s="7"/>
      <c r="AC18" s="7"/>
      <c r="AD18" t="s">
        <v>506</v>
      </c>
    </row>
    <row r="19" spans="1:31" ht="43.5">
      <c r="A19" s="1" t="s">
        <v>7</v>
      </c>
      <c r="B19" s="1" t="s">
        <v>370</v>
      </c>
      <c r="C19" s="1" t="s">
        <v>371</v>
      </c>
      <c r="D19" s="1"/>
      <c r="E19" s="1"/>
      <c r="F19" s="1"/>
      <c r="G19" s="7" t="s">
        <v>504</v>
      </c>
      <c r="H19" s="7">
        <v>0</v>
      </c>
      <c r="I19" s="7">
        <v>3</v>
      </c>
      <c r="J19" s="7">
        <v>19</v>
      </c>
      <c r="K19" s="7"/>
      <c r="L19" s="7" t="s">
        <v>542</v>
      </c>
      <c r="M19" s="7"/>
      <c r="N19" s="8"/>
      <c r="O19" s="7"/>
      <c r="P19" s="7">
        <v>7</v>
      </c>
      <c r="Q19" s="7"/>
      <c r="R19" s="7" t="s">
        <v>614</v>
      </c>
      <c r="S19" s="7" t="s">
        <v>614</v>
      </c>
      <c r="T19" s="7"/>
      <c r="U19" s="7"/>
      <c r="V19" s="7"/>
      <c r="W19" s="7"/>
      <c r="X19" s="7" t="s">
        <v>499</v>
      </c>
      <c r="Y19" s="7"/>
      <c r="Z19" s="7"/>
      <c r="AA19" s="7"/>
      <c r="AB19" s="7"/>
      <c r="AC19" s="7"/>
      <c r="AD19" t="s">
        <v>506</v>
      </c>
    </row>
    <row r="20" spans="1:31" ht="72.5">
      <c r="A20" s="1" t="s">
        <v>74</v>
      </c>
      <c r="B20" s="1" t="s">
        <v>618</v>
      </c>
      <c r="C20" s="1" t="s">
        <v>617</v>
      </c>
      <c r="D20" s="1"/>
      <c r="E20" s="1"/>
      <c r="F20" s="1"/>
      <c r="G20" s="7" t="s">
        <v>504</v>
      </c>
      <c r="H20" s="7">
        <v>1</v>
      </c>
      <c r="I20" s="7">
        <v>6</v>
      </c>
      <c r="J20" s="7">
        <v>30</v>
      </c>
      <c r="K20" s="7"/>
      <c r="L20" s="7" t="s">
        <v>536</v>
      </c>
      <c r="M20" s="7" t="s">
        <v>642</v>
      </c>
      <c r="N20" s="8" t="s">
        <v>643</v>
      </c>
      <c r="O20" s="7"/>
      <c r="P20" s="7">
        <v>0</v>
      </c>
      <c r="Q20" s="7"/>
      <c r="R20" s="7" t="s">
        <v>614</v>
      </c>
      <c r="S20" s="7" t="s">
        <v>614</v>
      </c>
      <c r="T20" s="7"/>
      <c r="U20" s="7"/>
      <c r="V20" s="7"/>
      <c r="W20" s="7"/>
      <c r="X20" s="7" t="s">
        <v>499</v>
      </c>
      <c r="Y20" s="7"/>
      <c r="Z20" s="7"/>
      <c r="AA20" s="7"/>
      <c r="AB20" s="7"/>
      <c r="AC20" s="7"/>
      <c r="AD20" t="s">
        <v>506</v>
      </c>
    </row>
    <row r="21" spans="1:31">
      <c r="A21" s="1" t="s">
        <v>80</v>
      </c>
      <c r="B21" s="1" t="s">
        <v>385</v>
      </c>
      <c r="C21" s="1" t="s">
        <v>386</v>
      </c>
      <c r="D21" s="1"/>
      <c r="E21" s="1"/>
      <c r="F21" s="1"/>
      <c r="G21" s="7" t="s">
        <v>504</v>
      </c>
      <c r="H21" s="7">
        <v>0</v>
      </c>
      <c r="I21" s="7">
        <v>1</v>
      </c>
      <c r="J21" s="7">
        <v>2</v>
      </c>
      <c r="K21" s="7" t="s">
        <v>541</v>
      </c>
      <c r="L21" s="7" t="s">
        <v>550</v>
      </c>
      <c r="M21" s="7"/>
      <c r="N21" s="8"/>
      <c r="O21" s="7"/>
      <c r="P21" s="7">
        <v>19277</v>
      </c>
      <c r="Q21" s="7"/>
      <c r="R21" s="7" t="s">
        <v>614</v>
      </c>
      <c r="S21" s="7" t="s">
        <v>614</v>
      </c>
      <c r="T21" s="7"/>
      <c r="U21" s="7"/>
      <c r="V21" s="7"/>
      <c r="W21" s="7"/>
      <c r="X21" s="7" t="s">
        <v>499</v>
      </c>
      <c r="Y21" s="7"/>
      <c r="Z21" s="7"/>
      <c r="AA21" s="7"/>
      <c r="AB21" s="7"/>
      <c r="AC21" s="7"/>
      <c r="AD21" t="s">
        <v>506</v>
      </c>
    </row>
    <row r="22" spans="1:31">
      <c r="A22" s="1" t="s">
        <v>81</v>
      </c>
      <c r="B22" s="1" t="s">
        <v>82</v>
      </c>
      <c r="C22" s="1" t="s">
        <v>83</v>
      </c>
      <c r="D22" s="1"/>
      <c r="E22" s="1"/>
      <c r="F22" s="1"/>
      <c r="G22" s="7" t="s">
        <v>548</v>
      </c>
      <c r="H22" s="7"/>
      <c r="I22" s="7"/>
      <c r="J22" s="7"/>
      <c r="K22" s="7"/>
      <c r="L22" s="7"/>
      <c r="M22" s="7"/>
      <c r="N22" s="8"/>
      <c r="O22" s="7"/>
      <c r="P22" s="7"/>
      <c r="Q22" s="7">
        <v>67</v>
      </c>
      <c r="R22" s="7">
        <v>66</v>
      </c>
      <c r="S22" s="7">
        <v>133</v>
      </c>
      <c r="T22" s="7"/>
      <c r="U22" s="7"/>
      <c r="V22" s="7"/>
      <c r="W22" s="7"/>
      <c r="X22" s="7" t="s">
        <v>499</v>
      </c>
      <c r="Y22" s="7"/>
      <c r="Z22" s="7"/>
      <c r="AA22" s="7"/>
      <c r="AB22" s="7"/>
      <c r="AC22" s="7"/>
      <c r="AD22" t="s">
        <v>506</v>
      </c>
    </row>
    <row r="23" spans="1:31">
      <c r="A23" s="1" t="s">
        <v>84</v>
      </c>
      <c r="B23" s="1" t="s">
        <v>619</v>
      </c>
      <c r="C23" s="1" t="s">
        <v>620</v>
      </c>
      <c r="D23" s="1"/>
      <c r="E23" s="1"/>
      <c r="F23" s="1" t="s">
        <v>339</v>
      </c>
      <c r="G23" s="7" t="s">
        <v>500</v>
      </c>
      <c r="H23" s="7">
        <v>0</v>
      </c>
      <c r="I23" s="7">
        <v>1</v>
      </c>
      <c r="J23" s="7">
        <v>1</v>
      </c>
      <c r="K23" s="7" t="s">
        <v>541</v>
      </c>
      <c r="L23" s="7" t="s">
        <v>550</v>
      </c>
      <c r="M23" s="7"/>
      <c r="N23" s="8"/>
      <c r="O23" s="7"/>
      <c r="P23" s="7">
        <v>19277</v>
      </c>
      <c r="Q23" s="7"/>
      <c r="R23" s="7" t="s">
        <v>614</v>
      </c>
      <c r="S23" s="7" t="s">
        <v>614</v>
      </c>
      <c r="T23" s="7" t="s">
        <v>544</v>
      </c>
      <c r="U23" s="7"/>
      <c r="V23" s="7"/>
      <c r="W23" s="7"/>
      <c r="X23" s="7" t="s">
        <v>499</v>
      </c>
      <c r="Y23" s="7"/>
      <c r="Z23" s="7"/>
      <c r="AA23" s="7"/>
      <c r="AB23" s="7"/>
      <c r="AC23" s="7"/>
      <c r="AD23" t="s">
        <v>506</v>
      </c>
    </row>
    <row r="24" spans="1:31">
      <c r="A24" s="1" t="s">
        <v>87</v>
      </c>
      <c r="B24" s="1" t="s">
        <v>88</v>
      </c>
      <c r="C24" s="1" t="s">
        <v>89</v>
      </c>
      <c r="D24" s="1"/>
      <c r="E24" s="1"/>
      <c r="F24" s="1"/>
      <c r="G24" s="7" t="s">
        <v>548</v>
      </c>
      <c r="H24" s="7"/>
      <c r="I24" s="7"/>
      <c r="J24" s="7"/>
      <c r="K24" s="7"/>
      <c r="L24" s="7"/>
      <c r="M24" s="7"/>
      <c r="N24" s="8"/>
      <c r="O24" s="7"/>
      <c r="P24" s="7"/>
      <c r="Q24" s="7">
        <v>71</v>
      </c>
      <c r="R24" s="7">
        <v>4</v>
      </c>
      <c r="S24" s="7">
        <v>75</v>
      </c>
      <c r="T24" s="7"/>
      <c r="U24" s="7"/>
      <c r="V24" s="7"/>
      <c r="W24" s="7"/>
      <c r="X24" s="7" t="s">
        <v>499</v>
      </c>
      <c r="Y24" s="7"/>
      <c r="Z24" s="7"/>
      <c r="AA24" s="7"/>
      <c r="AB24" s="7"/>
      <c r="AC24" s="7"/>
      <c r="AD24" t="s">
        <v>499</v>
      </c>
      <c r="AE24" t="s">
        <v>793</v>
      </c>
    </row>
    <row r="25" spans="1:31">
      <c r="A25" s="1" t="s">
        <v>96</v>
      </c>
      <c r="B25" s="1" t="s">
        <v>391</v>
      </c>
      <c r="C25" s="1" t="s">
        <v>390</v>
      </c>
      <c r="D25" s="1"/>
      <c r="E25" s="1"/>
      <c r="F25" s="1"/>
      <c r="G25" s="7" t="s">
        <v>504</v>
      </c>
      <c r="H25" s="7">
        <v>0</v>
      </c>
      <c r="I25" s="7">
        <v>1</v>
      </c>
      <c r="J25" s="7">
        <v>2</v>
      </c>
      <c r="K25" s="7" t="s">
        <v>568</v>
      </c>
      <c r="L25" s="7" t="s">
        <v>550</v>
      </c>
      <c r="M25" s="7"/>
      <c r="N25" s="8"/>
      <c r="O25" s="7" t="s">
        <v>537</v>
      </c>
      <c r="P25" s="7">
        <v>273</v>
      </c>
      <c r="Q25" s="7"/>
      <c r="R25" s="7" t="s">
        <v>614</v>
      </c>
      <c r="S25" s="7" t="s">
        <v>614</v>
      </c>
      <c r="T25" s="7"/>
      <c r="U25" s="7"/>
      <c r="V25" s="7"/>
      <c r="W25" s="7"/>
      <c r="X25" s="7" t="s">
        <v>499</v>
      </c>
      <c r="Y25" s="7"/>
      <c r="Z25" s="7"/>
      <c r="AA25" s="7"/>
      <c r="AB25" s="7"/>
      <c r="AC25" s="7"/>
      <c r="AD25" t="s">
        <v>499</v>
      </c>
    </row>
    <row r="26" spans="1:31" ht="29">
      <c r="A26" s="1" t="s">
        <v>98</v>
      </c>
      <c r="B26" s="1" t="s">
        <v>765</v>
      </c>
      <c r="C26" s="1" t="s">
        <v>766</v>
      </c>
      <c r="D26" s="1"/>
      <c r="E26" s="1"/>
      <c r="F26" s="1"/>
      <c r="G26" s="7" t="s">
        <v>553</v>
      </c>
      <c r="H26" s="7"/>
      <c r="I26" s="7"/>
      <c r="J26" s="7"/>
      <c r="K26" s="7"/>
      <c r="L26" s="7"/>
      <c r="M26" s="7"/>
      <c r="N26" s="8"/>
      <c r="O26" s="7"/>
      <c r="P26" s="7"/>
      <c r="Q26" s="7"/>
      <c r="R26" s="7" t="s">
        <v>614</v>
      </c>
      <c r="S26" s="7" t="s">
        <v>614</v>
      </c>
      <c r="T26" s="7" t="s">
        <v>544</v>
      </c>
      <c r="U26" s="7"/>
      <c r="V26" s="7"/>
      <c r="W26" s="7"/>
      <c r="X26" s="7" t="s">
        <v>499</v>
      </c>
      <c r="Y26" s="7"/>
      <c r="Z26" s="7"/>
      <c r="AA26" s="7"/>
      <c r="AB26" s="7"/>
      <c r="AC26" s="7"/>
      <c r="AD26" t="s">
        <v>499</v>
      </c>
    </row>
    <row r="27" spans="1:31">
      <c r="A27" s="1" t="s">
        <v>105</v>
      </c>
      <c r="B27" s="1" t="s">
        <v>108</v>
      </c>
      <c r="C27" s="1" t="s">
        <v>109</v>
      </c>
      <c r="D27" s="1"/>
      <c r="E27" s="1"/>
      <c r="F27" s="1"/>
      <c r="G27" s="7" t="s">
        <v>553</v>
      </c>
      <c r="H27" s="7"/>
      <c r="I27" s="7"/>
      <c r="J27" s="7"/>
      <c r="K27" s="7"/>
      <c r="L27" s="7"/>
      <c r="M27" s="7"/>
      <c r="N27" s="8"/>
      <c r="O27" s="7"/>
      <c r="P27" s="7"/>
      <c r="Q27" s="7"/>
      <c r="R27" s="7" t="s">
        <v>614</v>
      </c>
      <c r="S27" s="7" t="s">
        <v>614</v>
      </c>
      <c r="T27" s="7"/>
      <c r="U27" s="7"/>
      <c r="V27" s="7"/>
      <c r="W27" s="7"/>
      <c r="X27" s="7" t="s">
        <v>499</v>
      </c>
      <c r="Y27" s="7"/>
      <c r="Z27" s="7"/>
      <c r="AA27" s="7"/>
      <c r="AB27" s="7"/>
      <c r="AC27" s="7"/>
      <c r="AD27" t="s">
        <v>506</v>
      </c>
    </row>
    <row r="28" spans="1:31" ht="29">
      <c r="A28" s="1" t="s">
        <v>110</v>
      </c>
      <c r="B28" s="1" t="s">
        <v>625</v>
      </c>
      <c r="C28" s="1" t="s">
        <v>626</v>
      </c>
      <c r="D28" s="1"/>
      <c r="E28" s="1"/>
      <c r="F28" s="1"/>
      <c r="G28" s="7" t="s">
        <v>553</v>
      </c>
      <c r="H28" s="7"/>
      <c r="I28" s="7"/>
      <c r="J28" s="7"/>
      <c r="K28" s="7"/>
      <c r="L28" s="7"/>
      <c r="M28" s="7"/>
      <c r="N28" s="8"/>
      <c r="O28" s="7"/>
      <c r="P28" s="7"/>
      <c r="Q28" s="7"/>
      <c r="R28" s="7" t="s">
        <v>614</v>
      </c>
      <c r="S28" s="7" t="s">
        <v>614</v>
      </c>
      <c r="T28" s="7"/>
      <c r="U28" s="7"/>
      <c r="V28" s="7"/>
      <c r="W28" s="7"/>
      <c r="X28" s="7" t="s">
        <v>499</v>
      </c>
      <c r="Y28" s="7"/>
      <c r="Z28" s="7"/>
      <c r="AA28" s="7"/>
      <c r="AB28" s="7"/>
      <c r="AC28" s="7"/>
      <c r="AD28" t="s">
        <v>506</v>
      </c>
    </row>
    <row r="29" spans="1:31">
      <c r="A29" s="1" t="s">
        <v>110</v>
      </c>
      <c r="B29" s="1" t="s">
        <v>100</v>
      </c>
      <c r="C29" s="1" t="s">
        <v>101</v>
      </c>
      <c r="D29" s="1"/>
      <c r="E29" s="1"/>
      <c r="F29" s="1"/>
      <c r="G29" s="7" t="s">
        <v>553</v>
      </c>
      <c r="H29" s="7"/>
      <c r="I29" s="7"/>
      <c r="J29" s="7"/>
      <c r="K29" s="7"/>
      <c r="L29" s="7"/>
      <c r="M29" s="7"/>
      <c r="N29" s="8"/>
      <c r="O29" s="7"/>
      <c r="P29" s="7"/>
      <c r="Q29" s="7"/>
      <c r="R29" s="7" t="s">
        <v>614</v>
      </c>
      <c r="S29" s="7" t="s">
        <v>614</v>
      </c>
      <c r="T29" s="7"/>
      <c r="U29" s="7"/>
      <c r="V29" s="7"/>
      <c r="W29" s="7"/>
      <c r="X29" s="7" t="s">
        <v>499</v>
      </c>
      <c r="Y29" s="7"/>
      <c r="Z29" s="7"/>
      <c r="AA29" s="7"/>
      <c r="AB29" s="7"/>
      <c r="AC29" s="7"/>
      <c r="AD29" t="s">
        <v>499</v>
      </c>
    </row>
    <row r="30" spans="1:31" ht="29">
      <c r="A30" s="1" t="s">
        <v>118</v>
      </c>
      <c r="B30" s="1" t="s">
        <v>767</v>
      </c>
      <c r="C30" s="1" t="s">
        <v>768</v>
      </c>
      <c r="D30" s="1"/>
      <c r="E30" s="1"/>
      <c r="F30" s="1" t="s">
        <v>339</v>
      </c>
      <c r="G30" s="7" t="s">
        <v>553</v>
      </c>
      <c r="H30" s="7"/>
      <c r="I30" s="7"/>
      <c r="J30" s="7"/>
      <c r="K30" s="7"/>
      <c r="L30" s="7"/>
      <c r="M30" s="7"/>
      <c r="N30" s="8"/>
      <c r="O30" s="7"/>
      <c r="P30" s="7"/>
      <c r="Q30" s="7"/>
      <c r="R30" s="7" t="s">
        <v>614</v>
      </c>
      <c r="S30" s="7" t="s">
        <v>614</v>
      </c>
      <c r="T30" s="7"/>
      <c r="U30" s="7"/>
      <c r="V30" s="7"/>
      <c r="W30" s="7"/>
      <c r="X30" s="7" t="s">
        <v>499</v>
      </c>
      <c r="Y30" s="7"/>
      <c r="Z30" s="7"/>
      <c r="AA30" s="7"/>
      <c r="AB30" s="7"/>
      <c r="AC30" s="7"/>
      <c r="AD30" t="s">
        <v>506</v>
      </c>
    </row>
    <row r="31" spans="1:31">
      <c r="A31" s="1" t="s">
        <v>119</v>
      </c>
      <c r="B31" s="1" t="s">
        <v>398</v>
      </c>
      <c r="C31" s="1" t="s">
        <v>399</v>
      </c>
      <c r="D31" s="1"/>
      <c r="E31" s="1"/>
      <c r="F31" s="1"/>
      <c r="G31" s="7" t="s">
        <v>504</v>
      </c>
      <c r="H31" s="7">
        <v>0</v>
      </c>
      <c r="I31" s="7">
        <v>1</v>
      </c>
      <c r="J31" s="7">
        <v>3</v>
      </c>
      <c r="K31" s="7" t="s">
        <v>541</v>
      </c>
      <c r="L31" s="7" t="s">
        <v>550</v>
      </c>
      <c r="M31" s="7"/>
      <c r="N31" s="8"/>
      <c r="O31" s="7"/>
      <c r="P31" s="7">
        <v>19277</v>
      </c>
      <c r="Q31" s="7"/>
      <c r="R31" s="7" t="s">
        <v>614</v>
      </c>
      <c r="S31" s="7" t="s">
        <v>614</v>
      </c>
      <c r="T31" s="7"/>
      <c r="U31" s="7"/>
      <c r="V31" s="7"/>
      <c r="W31" s="7"/>
      <c r="X31" s="7" t="s">
        <v>499</v>
      </c>
      <c r="Y31" s="7"/>
      <c r="Z31" s="7"/>
      <c r="AA31" s="7"/>
      <c r="AB31" s="7"/>
      <c r="AC31" s="7"/>
      <c r="AD31" t="s">
        <v>506</v>
      </c>
    </row>
    <row r="32" spans="1:31">
      <c r="A32" s="1" t="s">
        <v>124</v>
      </c>
      <c r="B32" s="1" t="s">
        <v>628</v>
      </c>
      <c r="C32" s="1" t="s">
        <v>629</v>
      </c>
      <c r="D32" s="1"/>
      <c r="E32" s="1"/>
      <c r="F32" s="1"/>
      <c r="G32" s="7" t="s">
        <v>553</v>
      </c>
      <c r="H32" s="7"/>
      <c r="I32" s="7"/>
      <c r="J32" s="7"/>
      <c r="K32" s="7"/>
      <c r="L32" s="7"/>
      <c r="M32" s="7"/>
      <c r="N32" s="8"/>
      <c r="O32" s="7"/>
      <c r="P32" s="7"/>
      <c r="Q32" s="7"/>
      <c r="R32" s="7" t="s">
        <v>614</v>
      </c>
      <c r="S32" s="7" t="s">
        <v>614</v>
      </c>
      <c r="T32" s="7"/>
      <c r="U32" s="7"/>
      <c r="V32" s="7"/>
      <c r="W32" s="7"/>
      <c r="X32" s="7" t="s">
        <v>499</v>
      </c>
      <c r="Y32" s="7"/>
      <c r="Z32" s="7"/>
      <c r="AA32" s="7"/>
      <c r="AB32" s="7"/>
      <c r="AC32" s="7"/>
      <c r="AD32" t="s">
        <v>499</v>
      </c>
    </row>
    <row r="33" spans="1:30">
      <c r="A33" s="1" t="s">
        <v>126</v>
      </c>
      <c r="B33" s="1" t="s">
        <v>127</v>
      </c>
      <c r="C33" s="1" t="s">
        <v>101</v>
      </c>
      <c r="D33" s="1"/>
      <c r="E33" s="1"/>
      <c r="F33" s="1"/>
      <c r="G33" s="7" t="s">
        <v>553</v>
      </c>
      <c r="H33" s="7"/>
      <c r="I33" s="7"/>
      <c r="J33" s="7"/>
      <c r="K33" s="7"/>
      <c r="L33" s="7"/>
      <c r="M33" s="7"/>
      <c r="N33" s="8"/>
      <c r="O33" s="7"/>
      <c r="P33" s="7"/>
      <c r="Q33" s="7"/>
      <c r="R33" s="7" t="s">
        <v>614</v>
      </c>
      <c r="S33" s="7" t="s">
        <v>614</v>
      </c>
      <c r="T33" s="7"/>
      <c r="U33" s="7"/>
      <c r="V33" s="7"/>
      <c r="W33" s="7"/>
      <c r="X33" s="7" t="s">
        <v>499</v>
      </c>
      <c r="Y33" s="7"/>
      <c r="Z33" s="7"/>
      <c r="AA33" s="7"/>
      <c r="AB33" s="7"/>
      <c r="AC33" s="7"/>
      <c r="AD33" t="s">
        <v>499</v>
      </c>
    </row>
    <row r="34" spans="1:30" ht="43.5">
      <c r="A34" s="1" t="s">
        <v>130</v>
      </c>
      <c r="B34" s="1" t="s">
        <v>631</v>
      </c>
      <c r="C34" s="1" t="s">
        <v>632</v>
      </c>
      <c r="D34" s="1"/>
      <c r="E34" s="1"/>
      <c r="F34" s="1" t="s">
        <v>339</v>
      </c>
      <c r="G34" s="7" t="s">
        <v>500</v>
      </c>
      <c r="H34" s="7">
        <v>1</v>
      </c>
      <c r="I34" s="7">
        <v>3</v>
      </c>
      <c r="J34" s="7">
        <v>17</v>
      </c>
      <c r="K34" s="7"/>
      <c r="L34" s="7" t="s">
        <v>536</v>
      </c>
      <c r="M34" s="7" t="s">
        <v>594</v>
      </c>
      <c r="N34" s="8" t="s">
        <v>633</v>
      </c>
      <c r="O34" s="7" t="s">
        <v>537</v>
      </c>
      <c r="P34" s="7">
        <v>26</v>
      </c>
      <c r="Q34" s="7"/>
      <c r="R34" s="7" t="s">
        <v>614</v>
      </c>
      <c r="S34" s="7" t="s">
        <v>614</v>
      </c>
      <c r="T34" s="7"/>
      <c r="U34" s="7"/>
      <c r="V34" s="7"/>
      <c r="W34" s="7"/>
      <c r="X34" s="7" t="s">
        <v>499</v>
      </c>
      <c r="Y34" s="7"/>
      <c r="Z34" s="7"/>
      <c r="AA34" s="7"/>
      <c r="AB34" s="7"/>
      <c r="AC34" s="7"/>
      <c r="AD34" t="s">
        <v>506</v>
      </c>
    </row>
    <row r="35" spans="1:30" ht="87">
      <c r="A35" s="1" t="s">
        <v>133</v>
      </c>
      <c r="B35" s="1" t="s">
        <v>406</v>
      </c>
      <c r="C35" s="1" t="s">
        <v>407</v>
      </c>
      <c r="D35" s="1"/>
      <c r="E35" s="1"/>
      <c r="F35" s="1"/>
      <c r="G35" s="7" t="s">
        <v>504</v>
      </c>
      <c r="H35" s="7">
        <v>3</v>
      </c>
      <c r="I35" s="7">
        <v>13</v>
      </c>
      <c r="J35" s="7">
        <v>60</v>
      </c>
      <c r="K35" s="7"/>
      <c r="L35" s="7" t="s">
        <v>536</v>
      </c>
      <c r="M35" s="7" t="s">
        <v>594</v>
      </c>
      <c r="N35" s="8" t="s">
        <v>634</v>
      </c>
      <c r="O35" s="7"/>
      <c r="P35" s="7">
        <v>13</v>
      </c>
      <c r="Q35" s="7"/>
      <c r="R35" s="7" t="s">
        <v>614</v>
      </c>
      <c r="S35" s="7" t="s">
        <v>614</v>
      </c>
      <c r="T35" s="7"/>
      <c r="U35" s="7"/>
      <c r="V35" s="7"/>
      <c r="W35" s="7"/>
      <c r="X35" s="7" t="s">
        <v>499</v>
      </c>
      <c r="Y35" s="7"/>
      <c r="Z35" s="7"/>
      <c r="AA35" s="7"/>
      <c r="AB35" s="7"/>
      <c r="AC35" s="7"/>
      <c r="AD35" t="s">
        <v>506</v>
      </c>
    </row>
    <row r="36" spans="1:30">
      <c r="A36" s="1" t="s">
        <v>139</v>
      </c>
      <c r="B36" s="1" t="s">
        <v>140</v>
      </c>
      <c r="C36" s="1" t="s">
        <v>141</v>
      </c>
      <c r="D36" s="1"/>
      <c r="E36" s="1"/>
      <c r="F36" s="1"/>
      <c r="G36" s="7" t="s">
        <v>553</v>
      </c>
      <c r="H36" s="7"/>
      <c r="I36" s="7"/>
      <c r="J36" s="7"/>
      <c r="K36" s="7"/>
      <c r="L36" s="7"/>
      <c r="M36" s="7"/>
      <c r="N36" s="8"/>
      <c r="O36" s="7"/>
      <c r="P36" s="7"/>
      <c r="Q36" s="7"/>
      <c r="R36" s="7" t="s">
        <v>614</v>
      </c>
      <c r="S36" s="7" t="s">
        <v>614</v>
      </c>
      <c r="T36" s="7"/>
      <c r="U36" s="7"/>
      <c r="V36" s="7"/>
      <c r="W36" s="7"/>
      <c r="X36" s="7" t="s">
        <v>499</v>
      </c>
      <c r="Y36" s="7"/>
      <c r="Z36" s="7"/>
      <c r="AA36" s="7"/>
      <c r="AB36" s="7"/>
      <c r="AC36" s="7"/>
      <c r="AD36" t="s">
        <v>499</v>
      </c>
    </row>
    <row r="37" spans="1:30">
      <c r="A37" s="1" t="s">
        <v>150</v>
      </c>
      <c r="B37" s="1" t="s">
        <v>770</v>
      </c>
      <c r="C37" s="1" t="s">
        <v>771</v>
      </c>
      <c r="D37" s="1"/>
      <c r="E37" s="1"/>
      <c r="F37" s="1"/>
      <c r="G37" s="7" t="s">
        <v>553</v>
      </c>
      <c r="H37" s="7"/>
      <c r="I37" s="7"/>
      <c r="J37" s="7"/>
      <c r="K37" s="7"/>
      <c r="L37" s="7"/>
      <c r="M37" s="7"/>
      <c r="N37" s="8"/>
      <c r="O37" s="7"/>
      <c r="P37" s="7"/>
      <c r="Q37" s="7"/>
      <c r="R37" s="7" t="s">
        <v>614</v>
      </c>
      <c r="S37" s="7" t="s">
        <v>614</v>
      </c>
      <c r="T37" s="7" t="s">
        <v>544</v>
      </c>
      <c r="U37" s="7"/>
      <c r="V37" s="7"/>
      <c r="W37" s="7"/>
      <c r="X37" s="7" t="s">
        <v>499</v>
      </c>
      <c r="Y37" s="7"/>
      <c r="Z37" s="7"/>
      <c r="AA37" s="7"/>
      <c r="AB37" s="7"/>
      <c r="AC37" s="7"/>
      <c r="AD37" t="s">
        <v>506</v>
      </c>
    </row>
    <row r="38" spans="1:30">
      <c r="A38" s="1" t="s">
        <v>155</v>
      </c>
      <c r="B38" s="1" t="s">
        <v>638</v>
      </c>
      <c r="C38" s="1" t="s">
        <v>639</v>
      </c>
      <c r="D38" s="1"/>
      <c r="E38" s="1"/>
      <c r="F38" s="1"/>
      <c r="G38" s="7" t="s">
        <v>504</v>
      </c>
      <c r="H38" s="7">
        <v>0</v>
      </c>
      <c r="I38" s="7">
        <v>1</v>
      </c>
      <c r="J38" s="7">
        <v>2</v>
      </c>
      <c r="K38" s="7" t="s">
        <v>541</v>
      </c>
      <c r="L38" s="7" t="s">
        <v>550</v>
      </c>
      <c r="M38" s="7"/>
      <c r="N38" s="8"/>
      <c r="O38" s="7"/>
      <c r="P38" s="7">
        <v>19277</v>
      </c>
      <c r="Q38" s="7"/>
      <c r="R38" s="7" t="s">
        <v>614</v>
      </c>
      <c r="S38" s="7" t="s">
        <v>614</v>
      </c>
      <c r="T38" s="7"/>
      <c r="U38" s="7"/>
      <c r="V38" s="7"/>
      <c r="W38" s="7"/>
      <c r="X38" s="7" t="s">
        <v>499</v>
      </c>
      <c r="Y38" s="7"/>
      <c r="Z38" s="7"/>
      <c r="AA38" s="7"/>
      <c r="AB38" s="7"/>
      <c r="AC38" s="7"/>
      <c r="AD38" t="s">
        <v>506</v>
      </c>
    </row>
    <row r="39" spans="1:30">
      <c r="A39" s="1" t="s">
        <v>156</v>
      </c>
      <c r="B39" s="1" t="s">
        <v>412</v>
      </c>
      <c r="C39" s="1" t="s">
        <v>411</v>
      </c>
      <c r="D39" s="1"/>
      <c r="E39" s="1"/>
      <c r="F39" s="1"/>
      <c r="G39" s="7" t="s">
        <v>509</v>
      </c>
      <c r="H39" s="7"/>
      <c r="I39" s="7"/>
      <c r="J39" s="7"/>
      <c r="K39" s="7"/>
      <c r="L39" s="7"/>
      <c r="M39" s="7"/>
      <c r="N39" s="8"/>
      <c r="O39" s="7"/>
      <c r="P39" s="7"/>
      <c r="Q39" s="7"/>
      <c r="R39" s="7" t="s">
        <v>614</v>
      </c>
      <c r="S39" s="7" t="s">
        <v>614</v>
      </c>
      <c r="T39" s="7"/>
      <c r="U39" s="7"/>
      <c r="V39" s="7"/>
      <c r="W39" s="7"/>
      <c r="X39" s="7" t="s">
        <v>499</v>
      </c>
      <c r="Y39" s="7"/>
      <c r="Z39" s="7"/>
      <c r="AA39" s="7"/>
      <c r="AB39" s="7"/>
      <c r="AC39" s="7"/>
      <c r="AD39" t="s">
        <v>506</v>
      </c>
    </row>
    <row r="40" spans="1:30">
      <c r="A40" s="1" t="s">
        <v>158</v>
      </c>
      <c r="B40" s="1" t="s">
        <v>650</v>
      </c>
      <c r="C40" s="1" t="s">
        <v>651</v>
      </c>
      <c r="D40" s="1"/>
      <c r="E40" s="1"/>
      <c r="F40" s="1"/>
      <c r="G40" s="7" t="s">
        <v>548</v>
      </c>
      <c r="H40" s="7"/>
      <c r="I40" s="7"/>
      <c r="J40" s="7"/>
      <c r="K40" s="7"/>
      <c r="L40" s="7"/>
      <c r="M40" s="7"/>
      <c r="N40" s="8"/>
      <c r="O40" s="7"/>
      <c r="P40" s="7"/>
      <c r="Q40" s="7">
        <v>-14</v>
      </c>
      <c r="R40" s="7">
        <v>14</v>
      </c>
      <c r="S40" s="7">
        <v>0</v>
      </c>
      <c r="T40" s="7"/>
      <c r="U40" s="7"/>
      <c r="V40" s="7"/>
      <c r="W40" s="7"/>
      <c r="X40" s="7" t="s">
        <v>499</v>
      </c>
      <c r="Y40" s="7"/>
      <c r="Z40" s="7"/>
      <c r="AA40" s="7"/>
      <c r="AB40" s="7"/>
      <c r="AC40" s="7"/>
      <c r="AD40" t="s">
        <v>506</v>
      </c>
    </row>
    <row r="41" spans="1:30">
      <c r="A41" s="1" t="s">
        <v>160</v>
      </c>
      <c r="B41" s="1" t="s">
        <v>161</v>
      </c>
      <c r="C41" s="1" t="s">
        <v>162</v>
      </c>
      <c r="D41" s="1"/>
      <c r="E41" s="1"/>
      <c r="F41" s="1" t="s">
        <v>339</v>
      </c>
      <c r="G41" s="7" t="s">
        <v>553</v>
      </c>
      <c r="H41" s="7"/>
      <c r="I41" s="7"/>
      <c r="J41" s="7"/>
      <c r="K41" s="7"/>
      <c r="L41" s="7"/>
      <c r="M41" s="7"/>
      <c r="N41" s="8"/>
      <c r="O41" s="7"/>
      <c r="P41" s="7"/>
      <c r="Q41" s="7"/>
      <c r="R41" s="7" t="s">
        <v>614</v>
      </c>
      <c r="S41" s="7" t="s">
        <v>614</v>
      </c>
      <c r="T41" s="7"/>
      <c r="U41" s="7"/>
      <c r="V41" s="7"/>
      <c r="W41" s="7"/>
      <c r="X41" s="7" t="s">
        <v>499</v>
      </c>
      <c r="Y41" s="7"/>
      <c r="Z41" s="7"/>
      <c r="AA41" s="7"/>
      <c r="AB41" s="7"/>
      <c r="AC41" s="7"/>
      <c r="AD41" t="s">
        <v>506</v>
      </c>
    </row>
    <row r="42" spans="1:30" ht="87">
      <c r="A42" s="1" t="s">
        <v>160</v>
      </c>
      <c r="B42" s="4" t="s">
        <v>652</v>
      </c>
      <c r="C42" s="1" t="s">
        <v>883</v>
      </c>
      <c r="D42" s="1" t="s">
        <v>516</v>
      </c>
      <c r="E42" s="1"/>
      <c r="F42" s="1"/>
      <c r="G42" s="7" t="s">
        <v>553</v>
      </c>
      <c r="H42" s="7"/>
      <c r="I42" s="7"/>
      <c r="J42" s="7"/>
      <c r="K42" s="7"/>
      <c r="L42" s="7"/>
      <c r="M42" s="7"/>
      <c r="N42" s="8"/>
      <c r="O42" s="7"/>
      <c r="P42" s="7"/>
      <c r="Q42" s="7"/>
      <c r="R42" s="7" t="s">
        <v>614</v>
      </c>
      <c r="S42" s="7" t="s">
        <v>614</v>
      </c>
      <c r="T42" s="7"/>
      <c r="U42" s="7"/>
      <c r="V42" s="7"/>
      <c r="W42" s="7"/>
      <c r="X42" s="7" t="s">
        <v>499</v>
      </c>
      <c r="Y42" s="7"/>
      <c r="Z42" s="7"/>
      <c r="AA42" s="7"/>
      <c r="AB42" s="7"/>
      <c r="AC42" s="7"/>
      <c r="AD42" t="s">
        <v>499</v>
      </c>
    </row>
    <row r="43" spans="1:30">
      <c r="A43" s="1" t="s">
        <v>160</v>
      </c>
      <c r="B43" s="1" t="s">
        <v>163</v>
      </c>
      <c r="C43" s="1" t="s">
        <v>164</v>
      </c>
      <c r="D43" s="1"/>
      <c r="E43" s="1"/>
      <c r="F43" s="1"/>
      <c r="G43" s="7" t="s">
        <v>553</v>
      </c>
      <c r="H43" s="7"/>
      <c r="I43" s="7"/>
      <c r="J43" s="7"/>
      <c r="K43" s="7"/>
      <c r="L43" s="7"/>
      <c r="M43" s="7"/>
      <c r="N43" s="8"/>
      <c r="O43" s="7"/>
      <c r="P43" s="7"/>
      <c r="Q43" s="7"/>
      <c r="R43" s="7" t="s">
        <v>614</v>
      </c>
      <c r="S43" s="7" t="s">
        <v>614</v>
      </c>
      <c r="T43" s="7"/>
      <c r="U43" s="7"/>
      <c r="V43" s="7"/>
      <c r="W43" s="7"/>
      <c r="X43" s="7" t="s">
        <v>499</v>
      </c>
      <c r="Y43" s="7"/>
      <c r="Z43" s="7"/>
      <c r="AA43" s="7"/>
      <c r="AB43" s="7"/>
      <c r="AC43" s="7"/>
      <c r="AD43" t="s">
        <v>499</v>
      </c>
    </row>
    <row r="44" spans="1:30">
      <c r="A44" s="1" t="s">
        <v>165</v>
      </c>
      <c r="B44" s="1" t="s">
        <v>653</v>
      </c>
      <c r="C44" s="1" t="s">
        <v>654</v>
      </c>
      <c r="D44" s="1"/>
      <c r="E44" s="1"/>
      <c r="F44" s="1"/>
      <c r="G44" s="7" t="s">
        <v>553</v>
      </c>
      <c r="H44" s="7"/>
      <c r="I44" s="7"/>
      <c r="J44" s="7"/>
      <c r="K44" s="7"/>
      <c r="L44" s="7"/>
      <c r="M44" s="7"/>
      <c r="N44" s="8"/>
      <c r="O44" s="7"/>
      <c r="P44" s="7"/>
      <c r="Q44" s="7"/>
      <c r="R44" s="7" t="s">
        <v>614</v>
      </c>
      <c r="S44" s="7" t="s">
        <v>614</v>
      </c>
      <c r="T44" s="7" t="s">
        <v>544</v>
      </c>
      <c r="U44" s="7"/>
      <c r="V44" s="7"/>
      <c r="W44" s="7"/>
      <c r="X44" s="7" t="s">
        <v>499</v>
      </c>
      <c r="Y44" s="7"/>
      <c r="Z44" s="7"/>
      <c r="AA44" s="7"/>
      <c r="AB44" s="7"/>
      <c r="AC44" s="7"/>
      <c r="AD44" t="s">
        <v>499</v>
      </c>
    </row>
    <row r="45" spans="1:30">
      <c r="A45" s="1" t="s">
        <v>176</v>
      </c>
      <c r="B45" s="1" t="s">
        <v>662</v>
      </c>
      <c r="C45" s="1" t="s">
        <v>663</v>
      </c>
      <c r="D45" s="1"/>
      <c r="E45" s="1"/>
      <c r="F45" s="1"/>
      <c r="G45" s="7" t="s">
        <v>500</v>
      </c>
      <c r="H45" s="7">
        <v>0</v>
      </c>
      <c r="I45" s="7">
        <v>1</v>
      </c>
      <c r="J45" s="7">
        <v>1</v>
      </c>
      <c r="K45" s="7" t="s">
        <v>541</v>
      </c>
      <c r="L45" s="7" t="s">
        <v>550</v>
      </c>
      <c r="M45" s="7"/>
      <c r="N45" s="8"/>
      <c r="O45" s="7"/>
      <c r="P45" s="7">
        <v>19277</v>
      </c>
      <c r="Q45" s="7"/>
      <c r="R45" s="7" t="s">
        <v>614</v>
      </c>
      <c r="S45" s="7" t="s">
        <v>614</v>
      </c>
      <c r="T45" s="7"/>
      <c r="U45" s="7"/>
      <c r="V45" s="7"/>
      <c r="W45" s="7"/>
      <c r="X45" s="7" t="s">
        <v>499</v>
      </c>
      <c r="Y45" s="7"/>
      <c r="Z45" s="7"/>
      <c r="AA45" s="7"/>
      <c r="AB45" s="7"/>
      <c r="AC45" s="7"/>
      <c r="AD45" t="s">
        <v>506</v>
      </c>
    </row>
    <row r="46" spans="1:30" ht="29">
      <c r="A46" s="1" t="s">
        <v>191</v>
      </c>
      <c r="B46" s="1" t="s">
        <v>667</v>
      </c>
      <c r="C46" s="1" t="s">
        <v>666</v>
      </c>
      <c r="D46" s="1"/>
      <c r="E46" s="1"/>
      <c r="F46" s="1"/>
      <c r="G46" s="7" t="s">
        <v>548</v>
      </c>
      <c r="H46" s="7"/>
      <c r="I46" s="7"/>
      <c r="J46" s="7"/>
      <c r="K46" s="7"/>
      <c r="L46" s="7"/>
      <c r="M46" s="7"/>
      <c r="N46" s="8"/>
      <c r="O46" s="7"/>
      <c r="P46" s="7"/>
      <c r="Q46" s="7">
        <v>-13267</v>
      </c>
      <c r="R46" s="7">
        <v>19277</v>
      </c>
      <c r="S46" s="7">
        <v>6010</v>
      </c>
      <c r="T46" s="7"/>
      <c r="U46" s="7"/>
      <c r="V46" s="7"/>
      <c r="W46" s="7"/>
      <c r="X46" s="7" t="s">
        <v>499</v>
      </c>
      <c r="Y46" s="7"/>
      <c r="Z46" s="7"/>
      <c r="AA46" s="7"/>
      <c r="AB46" s="7"/>
      <c r="AC46" s="7"/>
      <c r="AD46" t="s">
        <v>499</v>
      </c>
    </row>
    <row r="47" spans="1:30" ht="29">
      <c r="A47" s="1" t="s">
        <v>191</v>
      </c>
      <c r="B47" s="1" t="s">
        <v>884</v>
      </c>
      <c r="C47" s="1" t="s">
        <v>668</v>
      </c>
      <c r="D47" s="1"/>
      <c r="E47" s="1"/>
      <c r="F47" s="1"/>
      <c r="G47" s="7" t="s">
        <v>548</v>
      </c>
      <c r="H47" s="7"/>
      <c r="I47" s="7"/>
      <c r="J47" s="7"/>
      <c r="K47" s="7"/>
      <c r="L47" s="7"/>
      <c r="M47" s="7"/>
      <c r="N47" s="8"/>
      <c r="O47" s="7"/>
      <c r="P47" s="7"/>
      <c r="Q47" s="7">
        <v>-13267</v>
      </c>
      <c r="R47" s="7">
        <v>19277</v>
      </c>
      <c r="S47" s="7">
        <v>6010</v>
      </c>
      <c r="T47" s="7"/>
      <c r="U47" s="7"/>
      <c r="V47" s="7"/>
      <c r="W47" s="7"/>
      <c r="X47" s="7" t="s">
        <v>499</v>
      </c>
      <c r="Y47" s="7"/>
      <c r="Z47" s="7"/>
      <c r="AA47" s="7"/>
      <c r="AB47" s="7"/>
      <c r="AC47" s="7"/>
      <c r="AD47" t="s">
        <v>499</v>
      </c>
    </row>
    <row r="48" spans="1:30">
      <c r="A48" s="1" t="s">
        <v>195</v>
      </c>
      <c r="B48" s="1" t="s">
        <v>670</v>
      </c>
      <c r="C48" s="1" t="s">
        <v>671</v>
      </c>
      <c r="D48" s="1"/>
      <c r="E48" s="1"/>
      <c r="F48" s="1"/>
      <c r="G48" s="7" t="s">
        <v>548</v>
      </c>
      <c r="H48" s="7"/>
      <c r="I48" s="7"/>
      <c r="J48" s="7"/>
      <c r="K48" s="7"/>
      <c r="L48" s="7"/>
      <c r="M48" s="7"/>
      <c r="N48" s="8"/>
      <c r="O48" s="7"/>
      <c r="P48" s="7"/>
      <c r="Q48" s="7">
        <v>795</v>
      </c>
      <c r="R48" s="7">
        <v>1420</v>
      </c>
      <c r="S48" s="7">
        <v>2215</v>
      </c>
      <c r="T48" s="7" t="s">
        <v>544</v>
      </c>
      <c r="U48" s="7"/>
      <c r="V48" s="7"/>
      <c r="W48" s="7"/>
      <c r="X48" s="7" t="s">
        <v>499</v>
      </c>
      <c r="Y48" s="7"/>
      <c r="Z48" s="7"/>
      <c r="AA48" s="7"/>
      <c r="AB48" s="7"/>
      <c r="AC48" s="7"/>
      <c r="AD48" t="s">
        <v>506</v>
      </c>
    </row>
    <row r="49" spans="1:30" ht="116">
      <c r="A49" s="1" t="s">
        <v>196</v>
      </c>
      <c r="B49" s="1" t="s">
        <v>672</v>
      </c>
      <c r="C49" s="1" t="s">
        <v>886</v>
      </c>
      <c r="D49" s="1"/>
      <c r="E49" s="1"/>
      <c r="F49" s="1"/>
      <c r="G49" s="7" t="s">
        <v>500</v>
      </c>
      <c r="H49" s="7">
        <v>0</v>
      </c>
      <c r="I49" s="7">
        <v>6</v>
      </c>
      <c r="J49" s="7">
        <v>34</v>
      </c>
      <c r="K49" s="7"/>
      <c r="L49" s="7" t="s">
        <v>536</v>
      </c>
      <c r="M49" s="7" t="s">
        <v>594</v>
      </c>
      <c r="N49" s="8" t="s">
        <v>887</v>
      </c>
      <c r="O49" s="7" t="s">
        <v>543</v>
      </c>
      <c r="P49" s="7">
        <v>17</v>
      </c>
      <c r="Q49" s="7"/>
      <c r="R49" s="7" t="s">
        <v>614</v>
      </c>
      <c r="S49" s="7" t="s">
        <v>614</v>
      </c>
      <c r="T49" s="7"/>
      <c r="U49" s="7"/>
      <c r="V49" s="7"/>
      <c r="W49" s="7"/>
      <c r="X49" s="7" t="s">
        <v>499</v>
      </c>
      <c r="Y49" s="7"/>
      <c r="Z49" s="7"/>
      <c r="AA49" s="7"/>
      <c r="AB49" s="7"/>
      <c r="AC49" s="7"/>
      <c r="AD49" t="s">
        <v>506</v>
      </c>
    </row>
    <row r="50" spans="1:30" ht="29">
      <c r="A50" s="1" t="s">
        <v>202</v>
      </c>
      <c r="B50" s="1" t="s">
        <v>675</v>
      </c>
      <c r="C50" s="1" t="s">
        <v>676</v>
      </c>
      <c r="D50" s="1"/>
      <c r="E50" s="1"/>
      <c r="F50" s="1"/>
      <c r="G50" s="7" t="s">
        <v>548</v>
      </c>
      <c r="H50" s="7"/>
      <c r="I50" s="7"/>
      <c r="J50" s="7"/>
      <c r="K50" s="7"/>
      <c r="L50" s="7"/>
      <c r="M50" s="7"/>
      <c r="N50" s="8"/>
      <c r="O50" s="7"/>
      <c r="P50" s="7"/>
      <c r="Q50" s="7">
        <v>-351</v>
      </c>
      <c r="R50" s="7">
        <v>370</v>
      </c>
      <c r="S50" s="7">
        <v>19</v>
      </c>
      <c r="T50" s="7"/>
      <c r="U50" s="7"/>
      <c r="V50" s="7"/>
      <c r="W50" s="7"/>
      <c r="X50" s="7" t="s">
        <v>499</v>
      </c>
      <c r="Y50" s="7"/>
      <c r="Z50" s="7"/>
      <c r="AA50" s="7"/>
      <c r="AB50" s="7"/>
      <c r="AC50" s="7"/>
      <c r="AD50" t="s">
        <v>506</v>
      </c>
    </row>
    <row r="51" spans="1:30">
      <c r="A51" s="1" t="s">
        <v>203</v>
      </c>
      <c r="B51" s="1" t="s">
        <v>677</v>
      </c>
      <c r="C51" s="1" t="s">
        <v>678</v>
      </c>
      <c r="D51" s="1"/>
      <c r="E51" s="1"/>
      <c r="F51" s="1"/>
      <c r="G51" s="7" t="s">
        <v>504</v>
      </c>
      <c r="H51" s="7">
        <v>0</v>
      </c>
      <c r="I51" s="7">
        <v>1</v>
      </c>
      <c r="J51" s="7">
        <v>4</v>
      </c>
      <c r="K51" s="7" t="s">
        <v>562</v>
      </c>
      <c r="L51" s="7" t="s">
        <v>542</v>
      </c>
      <c r="M51" s="7"/>
      <c r="N51" s="8"/>
      <c r="O51" s="7"/>
      <c r="P51" s="7">
        <v>79</v>
      </c>
      <c r="Q51" s="7"/>
      <c r="R51" s="7" t="s">
        <v>614</v>
      </c>
      <c r="S51" s="7" t="s">
        <v>614</v>
      </c>
      <c r="T51" s="7"/>
      <c r="U51" s="7"/>
      <c r="V51" s="7"/>
      <c r="W51" s="7"/>
      <c r="X51" s="7" t="s">
        <v>499</v>
      </c>
      <c r="Y51" s="7"/>
      <c r="Z51" s="7"/>
      <c r="AA51" s="7"/>
      <c r="AB51" s="7"/>
      <c r="AC51" s="7"/>
      <c r="AD51" t="s">
        <v>506</v>
      </c>
    </row>
    <row r="52" spans="1:30">
      <c r="A52" s="1" t="s">
        <v>211</v>
      </c>
      <c r="B52" s="1" t="s">
        <v>423</v>
      </c>
      <c r="C52" s="1" t="s">
        <v>424</v>
      </c>
      <c r="D52" s="1"/>
      <c r="E52" s="1"/>
      <c r="F52" s="1"/>
      <c r="G52" s="7" t="s">
        <v>500</v>
      </c>
      <c r="H52" s="7">
        <v>0</v>
      </c>
      <c r="I52" s="7">
        <v>1</v>
      </c>
      <c r="J52" s="7">
        <v>1</v>
      </c>
      <c r="K52" s="7" t="s">
        <v>541</v>
      </c>
      <c r="L52" s="7" t="s">
        <v>550</v>
      </c>
      <c r="M52" s="7"/>
      <c r="N52" s="8"/>
      <c r="O52" s="7"/>
      <c r="P52" s="7">
        <v>19277</v>
      </c>
      <c r="Q52" s="7"/>
      <c r="R52" s="7" t="s">
        <v>614</v>
      </c>
      <c r="S52" s="7" t="s">
        <v>614</v>
      </c>
      <c r="T52" s="7"/>
      <c r="U52" s="7"/>
      <c r="V52" s="7"/>
      <c r="W52" s="7"/>
      <c r="X52" s="7" t="s">
        <v>499</v>
      </c>
      <c r="Y52" s="7"/>
      <c r="Z52" s="7"/>
      <c r="AA52" s="7"/>
      <c r="AB52" s="7"/>
      <c r="AC52" s="7"/>
      <c r="AD52" t="s">
        <v>506</v>
      </c>
    </row>
    <row r="53" spans="1:30" ht="43.5">
      <c r="A53" s="1" t="s">
        <v>215</v>
      </c>
      <c r="B53" s="1" t="s">
        <v>682</v>
      </c>
      <c r="C53" s="1" t="s">
        <v>683</v>
      </c>
      <c r="D53" s="1"/>
      <c r="E53" s="1"/>
      <c r="F53" s="1"/>
      <c r="G53" s="7" t="s">
        <v>504</v>
      </c>
      <c r="H53" s="7">
        <v>1</v>
      </c>
      <c r="I53" s="7">
        <v>4</v>
      </c>
      <c r="J53" s="7">
        <v>16</v>
      </c>
      <c r="K53" s="7"/>
      <c r="L53" s="7" t="s">
        <v>536</v>
      </c>
      <c r="M53" s="7" t="s">
        <v>594</v>
      </c>
      <c r="N53" s="8" t="s">
        <v>612</v>
      </c>
      <c r="O53" s="7"/>
      <c r="P53" s="7">
        <v>188</v>
      </c>
      <c r="Q53" s="7"/>
      <c r="R53" s="7" t="s">
        <v>614</v>
      </c>
      <c r="S53" s="7" t="s">
        <v>614</v>
      </c>
      <c r="T53" s="7" t="s">
        <v>544</v>
      </c>
      <c r="U53" s="7"/>
      <c r="V53" s="7"/>
      <c r="W53" s="7"/>
      <c r="X53" s="7" t="s">
        <v>499</v>
      </c>
      <c r="Y53" s="7"/>
      <c r="Z53" s="7"/>
      <c r="AA53" s="7"/>
      <c r="AB53" s="7"/>
      <c r="AC53" s="7"/>
      <c r="AD53" t="s">
        <v>506</v>
      </c>
    </row>
    <row r="54" spans="1:30">
      <c r="A54" s="1" t="s">
        <v>218</v>
      </c>
      <c r="B54" s="1" t="s">
        <v>686</v>
      </c>
      <c r="C54" s="1" t="s">
        <v>685</v>
      </c>
      <c r="D54" s="1"/>
      <c r="E54" s="1"/>
      <c r="F54" s="1"/>
      <c r="G54" s="7" t="s">
        <v>504</v>
      </c>
      <c r="H54" s="7">
        <v>0</v>
      </c>
      <c r="I54" s="7">
        <v>1</v>
      </c>
      <c r="J54" s="7">
        <v>1</v>
      </c>
      <c r="K54" s="7" t="s">
        <v>541</v>
      </c>
      <c r="L54" s="7" t="s">
        <v>550</v>
      </c>
      <c r="M54" s="7"/>
      <c r="N54" s="8"/>
      <c r="O54" s="7"/>
      <c r="P54" s="7">
        <v>19277</v>
      </c>
      <c r="Q54" s="7"/>
      <c r="R54" s="7" t="s">
        <v>614</v>
      </c>
      <c r="S54" s="7" t="s">
        <v>614</v>
      </c>
      <c r="T54" s="7"/>
      <c r="U54" s="7"/>
      <c r="V54" s="7"/>
      <c r="W54" s="7"/>
      <c r="X54" s="7" t="s">
        <v>499</v>
      </c>
      <c r="Y54" s="7"/>
      <c r="Z54" s="7"/>
      <c r="AA54" s="7"/>
      <c r="AB54" s="7"/>
      <c r="AC54" s="7"/>
      <c r="AD54" t="s">
        <v>506</v>
      </c>
    </row>
    <row r="55" spans="1:30">
      <c r="A55" s="1" t="s">
        <v>219</v>
      </c>
      <c r="B55" s="1" t="s">
        <v>690</v>
      </c>
      <c r="C55" s="1" t="s">
        <v>689</v>
      </c>
      <c r="D55" s="1"/>
      <c r="E55" s="1"/>
      <c r="F55" s="1"/>
      <c r="G55" s="7" t="s">
        <v>548</v>
      </c>
      <c r="H55" s="7"/>
      <c r="I55" s="7"/>
      <c r="J55" s="7"/>
      <c r="K55" s="7"/>
      <c r="L55" s="7"/>
      <c r="M55" s="7"/>
      <c r="N55" s="8"/>
      <c r="O55" s="7"/>
      <c r="P55" s="7"/>
      <c r="Q55" s="7">
        <v>163</v>
      </c>
      <c r="R55" s="7">
        <v>21</v>
      </c>
      <c r="S55" s="7">
        <v>184</v>
      </c>
      <c r="T55" s="7" t="s">
        <v>544</v>
      </c>
      <c r="U55" s="7"/>
      <c r="V55" s="7"/>
      <c r="W55" s="7"/>
      <c r="X55" s="7" t="s">
        <v>499</v>
      </c>
      <c r="Y55" s="7"/>
      <c r="Z55" s="7"/>
      <c r="AA55" s="7"/>
      <c r="AB55" s="7"/>
      <c r="AC55" s="7"/>
      <c r="AD55" t="s">
        <v>506</v>
      </c>
    </row>
    <row r="56" spans="1:30" ht="29">
      <c r="A56" s="1" t="s">
        <v>223</v>
      </c>
      <c r="B56" s="1" t="s">
        <v>430</v>
      </c>
      <c r="C56" s="1" t="s">
        <v>431</v>
      </c>
      <c r="D56" s="1"/>
      <c r="E56" s="1"/>
      <c r="F56" s="1"/>
      <c r="G56" s="7" t="s">
        <v>504</v>
      </c>
      <c r="H56" s="7">
        <v>1</v>
      </c>
      <c r="I56" s="7">
        <v>4</v>
      </c>
      <c r="J56" s="7">
        <v>16</v>
      </c>
      <c r="K56" s="7"/>
      <c r="L56" s="7" t="s">
        <v>536</v>
      </c>
      <c r="M56" s="7" t="s">
        <v>642</v>
      </c>
      <c r="N56" s="8" t="s">
        <v>692</v>
      </c>
      <c r="O56" s="7"/>
      <c r="P56" s="7">
        <v>189</v>
      </c>
      <c r="Q56" s="7"/>
      <c r="R56" s="7" t="s">
        <v>614</v>
      </c>
      <c r="S56" s="7" t="s">
        <v>614</v>
      </c>
      <c r="T56" s="7"/>
      <c r="U56" s="7"/>
      <c r="V56" s="7"/>
      <c r="W56" s="7"/>
      <c r="X56" s="7" t="s">
        <v>499</v>
      </c>
      <c r="Y56" s="7"/>
      <c r="Z56" s="7"/>
      <c r="AA56" s="7"/>
      <c r="AB56" s="7"/>
      <c r="AC56" s="7"/>
      <c r="AD56" t="s">
        <v>506</v>
      </c>
    </row>
    <row r="57" spans="1:30">
      <c r="A57" s="1" t="s">
        <v>223</v>
      </c>
      <c r="B57" s="1" t="s">
        <v>433</v>
      </c>
      <c r="C57" s="1" t="s">
        <v>434</v>
      </c>
      <c r="D57" s="1"/>
      <c r="E57" s="1"/>
      <c r="F57" s="1"/>
      <c r="G57" s="7" t="s">
        <v>500</v>
      </c>
      <c r="H57" s="7">
        <v>0</v>
      </c>
      <c r="I57" s="7">
        <v>1</v>
      </c>
      <c r="J57" s="7">
        <v>3</v>
      </c>
      <c r="K57" s="7" t="s">
        <v>541</v>
      </c>
      <c r="L57" s="7" t="s">
        <v>542</v>
      </c>
      <c r="M57" s="7"/>
      <c r="N57" s="8"/>
      <c r="O57" s="7"/>
      <c r="P57" s="7">
        <v>19277</v>
      </c>
      <c r="Q57" s="7"/>
      <c r="R57" s="7" t="s">
        <v>614</v>
      </c>
      <c r="S57" s="7" t="s">
        <v>614</v>
      </c>
      <c r="T57" s="7"/>
      <c r="U57" s="7"/>
      <c r="V57" s="7"/>
      <c r="W57" s="7"/>
      <c r="X57" s="7" t="s">
        <v>499</v>
      </c>
      <c r="Y57" s="7"/>
      <c r="Z57" s="7"/>
      <c r="AA57" s="7"/>
      <c r="AB57" s="7"/>
      <c r="AC57" s="7"/>
      <c r="AD57" t="s">
        <v>506</v>
      </c>
    </row>
    <row r="58" spans="1:30" ht="145">
      <c r="A58" s="1" t="s">
        <v>438</v>
      </c>
      <c r="B58" s="1" t="s">
        <v>889</v>
      </c>
      <c r="C58" s="1" t="s">
        <v>439</v>
      </c>
      <c r="D58" s="1"/>
      <c r="E58" s="1"/>
      <c r="F58" s="1"/>
      <c r="G58" s="7" t="s">
        <v>504</v>
      </c>
      <c r="H58" s="7">
        <v>7</v>
      </c>
      <c r="I58" s="7">
        <v>22</v>
      </c>
      <c r="J58" s="7">
        <v>106</v>
      </c>
      <c r="K58" s="7"/>
      <c r="L58" s="7" t="s">
        <v>536</v>
      </c>
      <c r="M58" s="7" t="s">
        <v>594</v>
      </c>
      <c r="N58" s="8" t="s">
        <v>693</v>
      </c>
      <c r="O58" s="7"/>
      <c r="P58" s="7">
        <v>1</v>
      </c>
      <c r="Q58" s="7"/>
      <c r="R58" s="7" t="s">
        <v>614</v>
      </c>
      <c r="S58" s="7" t="s">
        <v>614</v>
      </c>
      <c r="T58" s="7"/>
      <c r="U58" s="7"/>
      <c r="V58" s="7"/>
      <c r="W58" s="7"/>
      <c r="X58" s="7" t="s">
        <v>499</v>
      </c>
      <c r="Y58" s="7"/>
      <c r="Z58" s="7"/>
      <c r="AA58" s="7"/>
      <c r="AB58" s="7"/>
      <c r="AC58" s="7"/>
      <c r="AD58" t="s">
        <v>506</v>
      </c>
    </row>
    <row r="59" spans="1:30" ht="29">
      <c r="A59" s="1" t="s">
        <v>231</v>
      </c>
      <c r="B59" s="1" t="s">
        <v>443</v>
      </c>
      <c r="C59" s="1" t="s">
        <v>444</v>
      </c>
      <c r="D59" s="1"/>
      <c r="E59" s="1"/>
      <c r="F59" s="1"/>
      <c r="G59" s="7" t="s">
        <v>504</v>
      </c>
      <c r="H59" s="7">
        <v>0</v>
      </c>
      <c r="I59" s="7">
        <v>1</v>
      </c>
      <c r="J59" s="7">
        <v>3</v>
      </c>
      <c r="K59" s="7" t="s">
        <v>541</v>
      </c>
      <c r="L59" s="7" t="s">
        <v>542</v>
      </c>
      <c r="M59" s="7"/>
      <c r="N59" s="8"/>
      <c r="O59" s="7"/>
      <c r="P59" s="7">
        <v>19277</v>
      </c>
      <c r="Q59" s="7"/>
      <c r="R59" s="7" t="s">
        <v>614</v>
      </c>
      <c r="S59" s="7" t="s">
        <v>614</v>
      </c>
      <c r="T59" s="7" t="s">
        <v>544</v>
      </c>
      <c r="U59" s="7"/>
      <c r="V59" s="7"/>
      <c r="W59" s="7"/>
      <c r="X59" s="7" t="s">
        <v>499</v>
      </c>
      <c r="Y59" s="7"/>
      <c r="Z59" s="7"/>
      <c r="AA59" s="7"/>
      <c r="AB59" s="7"/>
      <c r="AC59" s="7"/>
      <c r="AD59" t="s">
        <v>506</v>
      </c>
    </row>
    <row r="60" spans="1:30" ht="29">
      <c r="A60" s="1" t="s">
        <v>231</v>
      </c>
      <c r="B60" s="1" t="s">
        <v>445</v>
      </c>
      <c r="C60" s="1" t="s">
        <v>446</v>
      </c>
      <c r="D60" s="1"/>
      <c r="E60" s="1"/>
      <c r="F60" s="1"/>
      <c r="G60" s="7" t="s">
        <v>504</v>
      </c>
      <c r="H60" s="7">
        <v>0</v>
      </c>
      <c r="I60" s="7">
        <v>1</v>
      </c>
      <c r="J60" s="7">
        <v>3</v>
      </c>
      <c r="K60" s="7" t="s">
        <v>541</v>
      </c>
      <c r="L60" s="7" t="s">
        <v>542</v>
      </c>
      <c r="M60" s="7"/>
      <c r="N60" s="8"/>
      <c r="O60" s="7"/>
      <c r="P60" s="7">
        <v>19277</v>
      </c>
      <c r="Q60" s="7"/>
      <c r="R60" s="7" t="s">
        <v>614</v>
      </c>
      <c r="S60" s="7" t="s">
        <v>614</v>
      </c>
      <c r="T60" s="7" t="s">
        <v>544</v>
      </c>
      <c r="U60" s="7"/>
      <c r="V60" s="7"/>
      <c r="W60" s="7"/>
      <c r="X60" s="7" t="s">
        <v>499</v>
      </c>
      <c r="Y60" s="7"/>
      <c r="Z60" s="7"/>
      <c r="AA60" s="7"/>
      <c r="AB60" s="7"/>
      <c r="AC60" s="7"/>
      <c r="AD60" t="s">
        <v>506</v>
      </c>
    </row>
    <row r="61" spans="1:30" ht="29">
      <c r="A61" s="1" t="s">
        <v>234</v>
      </c>
      <c r="B61" s="1" t="s">
        <v>695</v>
      </c>
      <c r="C61" s="1" t="s">
        <v>696</v>
      </c>
      <c r="D61" s="1"/>
      <c r="E61" s="1"/>
      <c r="F61" s="1"/>
      <c r="G61" s="7" t="s">
        <v>553</v>
      </c>
      <c r="H61" s="7"/>
      <c r="I61" s="7"/>
      <c r="J61" s="7"/>
      <c r="K61" s="7"/>
      <c r="L61" s="7"/>
      <c r="M61" s="7"/>
      <c r="N61" s="8"/>
      <c r="O61" s="7"/>
      <c r="P61" s="7"/>
      <c r="Q61" s="7"/>
      <c r="R61" s="7" t="s">
        <v>614</v>
      </c>
      <c r="S61" s="7" t="s">
        <v>614</v>
      </c>
      <c r="T61" s="7"/>
      <c r="U61" s="7"/>
      <c r="V61" s="7"/>
      <c r="W61" s="7"/>
      <c r="X61" s="7" t="s">
        <v>499</v>
      </c>
      <c r="Y61" s="7"/>
      <c r="Z61" s="7"/>
      <c r="AA61" s="7"/>
      <c r="AB61" s="7"/>
      <c r="AC61" s="7"/>
      <c r="AD61" t="s">
        <v>506</v>
      </c>
    </row>
    <row r="62" spans="1:30" ht="58">
      <c r="A62" s="1" t="s">
        <v>234</v>
      </c>
      <c r="B62" s="1" t="s">
        <v>449</v>
      </c>
      <c r="C62" s="1" t="s">
        <v>450</v>
      </c>
      <c r="D62" s="1"/>
      <c r="E62" s="1"/>
      <c r="F62" s="1"/>
      <c r="G62" s="7" t="s">
        <v>504</v>
      </c>
      <c r="H62" s="7">
        <v>1</v>
      </c>
      <c r="I62" s="7">
        <v>4</v>
      </c>
      <c r="J62" s="7">
        <v>16</v>
      </c>
      <c r="K62" s="7"/>
      <c r="L62" s="7" t="s">
        <v>536</v>
      </c>
      <c r="M62" s="7" t="s">
        <v>594</v>
      </c>
      <c r="N62" s="8" t="s">
        <v>604</v>
      </c>
      <c r="O62" s="7"/>
      <c r="P62" s="7">
        <v>311</v>
      </c>
      <c r="Q62" s="7"/>
      <c r="R62" s="7" t="s">
        <v>614</v>
      </c>
      <c r="S62" s="7" t="s">
        <v>614</v>
      </c>
      <c r="T62" s="7"/>
      <c r="U62" s="7"/>
      <c r="V62" s="7"/>
      <c r="W62" s="7"/>
      <c r="X62" s="7" t="s">
        <v>499</v>
      </c>
      <c r="Y62" s="7"/>
      <c r="Z62" s="7"/>
      <c r="AA62" s="7"/>
      <c r="AB62" s="7"/>
      <c r="AC62" s="7"/>
      <c r="AD62" t="s">
        <v>506</v>
      </c>
    </row>
    <row r="63" spans="1:30" ht="29">
      <c r="A63" s="1" t="s">
        <v>235</v>
      </c>
      <c r="B63" s="1" t="s">
        <v>697</v>
      </c>
      <c r="C63" s="1" t="s">
        <v>698</v>
      </c>
      <c r="D63" s="1"/>
      <c r="E63" s="1"/>
      <c r="F63" s="1"/>
      <c r="G63" s="7" t="s">
        <v>553</v>
      </c>
      <c r="H63" s="7"/>
      <c r="I63" s="7"/>
      <c r="J63" s="7"/>
      <c r="K63" s="7"/>
      <c r="L63" s="7"/>
      <c r="M63" s="7"/>
      <c r="N63" s="8"/>
      <c r="O63" s="7"/>
      <c r="P63" s="7"/>
      <c r="Q63" s="7"/>
      <c r="R63" s="7" t="s">
        <v>614</v>
      </c>
      <c r="S63" s="7" t="s">
        <v>614</v>
      </c>
      <c r="T63" s="7"/>
      <c r="U63" s="7"/>
      <c r="V63" s="7"/>
      <c r="W63" s="7"/>
      <c r="X63" s="7" t="s">
        <v>499</v>
      </c>
      <c r="Y63" s="7"/>
      <c r="Z63" s="7"/>
      <c r="AA63" s="7"/>
      <c r="AB63" s="7"/>
      <c r="AC63" s="7"/>
      <c r="AD63" t="s">
        <v>499</v>
      </c>
    </row>
    <row r="64" spans="1:30" ht="29">
      <c r="A64" s="1" t="s">
        <v>240</v>
      </c>
      <c r="B64" s="1" t="s">
        <v>701</v>
      </c>
      <c r="C64" s="1" t="s">
        <v>702</v>
      </c>
      <c r="D64" s="1"/>
      <c r="E64" s="1"/>
      <c r="F64" s="1"/>
      <c r="G64" s="7" t="s">
        <v>553</v>
      </c>
      <c r="H64" s="7"/>
      <c r="I64" s="7"/>
      <c r="J64" s="7"/>
      <c r="K64" s="7"/>
      <c r="L64" s="7"/>
      <c r="M64" s="7"/>
      <c r="N64" s="8"/>
      <c r="O64" s="7"/>
      <c r="P64" s="7"/>
      <c r="Q64" s="7"/>
      <c r="R64" s="7" t="s">
        <v>614</v>
      </c>
      <c r="S64" s="7" t="s">
        <v>614</v>
      </c>
      <c r="T64" s="7"/>
      <c r="U64" s="7"/>
      <c r="V64" s="7"/>
      <c r="W64" s="7"/>
      <c r="X64" s="7" t="s">
        <v>499</v>
      </c>
      <c r="Y64" s="7"/>
      <c r="Z64" s="7"/>
      <c r="AA64" s="7"/>
      <c r="AB64" s="7"/>
      <c r="AC64" s="7"/>
      <c r="AD64" t="s">
        <v>499</v>
      </c>
    </row>
    <row r="65" spans="1:30" ht="29">
      <c r="A65" s="1" t="s">
        <v>242</v>
      </c>
      <c r="B65" s="1" t="s">
        <v>457</v>
      </c>
      <c r="C65" s="1" t="s">
        <v>705</v>
      </c>
      <c r="D65" s="1"/>
      <c r="E65" s="1"/>
      <c r="F65" s="1" t="s">
        <v>339</v>
      </c>
      <c r="G65" s="7" t="s">
        <v>500</v>
      </c>
      <c r="H65" s="7">
        <v>0</v>
      </c>
      <c r="I65" s="7">
        <v>1</v>
      </c>
      <c r="J65" s="7">
        <v>4</v>
      </c>
      <c r="K65" s="7" t="s">
        <v>562</v>
      </c>
      <c r="L65" s="7" t="s">
        <v>542</v>
      </c>
      <c r="M65" s="7"/>
      <c r="N65" s="8"/>
      <c r="O65" s="7"/>
      <c r="P65" s="7">
        <v>3713</v>
      </c>
      <c r="Q65" s="7"/>
      <c r="R65" s="7" t="s">
        <v>614</v>
      </c>
      <c r="S65" s="7" t="s">
        <v>614</v>
      </c>
      <c r="T65" s="7"/>
      <c r="U65" s="7"/>
      <c r="V65" s="7"/>
      <c r="W65" s="7"/>
      <c r="X65" s="7" t="s">
        <v>499</v>
      </c>
      <c r="Y65" s="7"/>
      <c r="Z65" s="7"/>
      <c r="AA65" s="7"/>
      <c r="AB65" s="7"/>
      <c r="AC65" s="7"/>
      <c r="AD65" t="s">
        <v>506</v>
      </c>
    </row>
    <row r="66" spans="1:30" ht="29">
      <c r="A66" s="1" t="s">
        <v>246</v>
      </c>
      <c r="B66" s="1" t="s">
        <v>706</v>
      </c>
      <c r="C66" s="1" t="s">
        <v>707</v>
      </c>
      <c r="D66" s="1"/>
      <c r="E66" s="1"/>
      <c r="F66" s="1"/>
      <c r="G66" s="7" t="s">
        <v>500</v>
      </c>
      <c r="H66" s="7">
        <v>0</v>
      </c>
      <c r="I66" s="7">
        <v>1</v>
      </c>
      <c r="J66" s="7">
        <v>2</v>
      </c>
      <c r="K66" s="7" t="s">
        <v>564</v>
      </c>
      <c r="L66" s="7" t="s">
        <v>550</v>
      </c>
      <c r="M66" s="7"/>
      <c r="N66" s="8"/>
      <c r="O66" s="7"/>
      <c r="P66" s="7">
        <v>903</v>
      </c>
      <c r="Q66" s="7"/>
      <c r="R66" s="7" t="s">
        <v>614</v>
      </c>
      <c r="S66" s="7" t="s">
        <v>614</v>
      </c>
      <c r="T66" s="7" t="s">
        <v>544</v>
      </c>
      <c r="U66" s="7"/>
      <c r="V66" s="7"/>
      <c r="W66" s="7"/>
      <c r="X66" s="7" t="s">
        <v>499</v>
      </c>
      <c r="Y66" s="7"/>
      <c r="Z66" s="7"/>
      <c r="AA66" s="7"/>
      <c r="AB66" s="7"/>
      <c r="AC66" s="7"/>
      <c r="AD66" t="s">
        <v>499</v>
      </c>
    </row>
    <row r="67" spans="1:30" ht="29">
      <c r="A67" s="1" t="s">
        <v>246</v>
      </c>
      <c r="B67" s="1" t="s">
        <v>709</v>
      </c>
      <c r="C67" s="1" t="s">
        <v>708</v>
      </c>
      <c r="D67" s="1"/>
      <c r="E67" s="1"/>
      <c r="F67" s="1" t="s">
        <v>499</v>
      </c>
      <c r="G67" s="7" t="s">
        <v>548</v>
      </c>
      <c r="H67" s="7"/>
      <c r="I67" s="7"/>
      <c r="J67" s="7"/>
      <c r="K67" s="7"/>
      <c r="L67" s="7"/>
      <c r="M67" s="7"/>
      <c r="N67" s="8"/>
      <c r="O67" s="7"/>
      <c r="P67" s="7"/>
      <c r="Q67" s="7">
        <v>-19203</v>
      </c>
      <c r="R67" s="7">
        <v>19277</v>
      </c>
      <c r="S67" s="7">
        <v>74</v>
      </c>
      <c r="T67" s="7"/>
      <c r="U67" s="7"/>
      <c r="V67" s="7"/>
      <c r="W67" s="7"/>
      <c r="X67" s="7" t="s">
        <v>499</v>
      </c>
      <c r="Y67" s="7"/>
      <c r="Z67" s="7"/>
      <c r="AA67" s="7"/>
      <c r="AB67" s="7"/>
      <c r="AC67" s="7"/>
    </row>
    <row r="68" spans="1:30">
      <c r="A68" s="1" t="s">
        <v>247</v>
      </c>
      <c r="B68" t="s">
        <v>710</v>
      </c>
      <c r="C68" t="s">
        <v>711</v>
      </c>
      <c r="D68" s="1"/>
      <c r="E68" s="1"/>
      <c r="F68" s="1"/>
      <c r="G68" s="7" t="s">
        <v>548</v>
      </c>
      <c r="H68" s="7"/>
      <c r="I68" s="7"/>
      <c r="J68" s="7"/>
      <c r="K68" s="7"/>
      <c r="L68" s="7"/>
      <c r="M68" s="7"/>
      <c r="N68" s="8"/>
      <c r="O68" s="7"/>
      <c r="P68" s="7"/>
      <c r="Q68" s="7"/>
      <c r="R68" s="7" t="s">
        <v>614</v>
      </c>
      <c r="S68" s="7" t="s">
        <v>614</v>
      </c>
      <c r="T68" s="7"/>
      <c r="U68" s="7"/>
      <c r="V68" s="7"/>
      <c r="W68" s="7"/>
      <c r="X68" s="7" t="s">
        <v>499</v>
      </c>
      <c r="Y68" s="7"/>
      <c r="Z68" s="7"/>
      <c r="AA68" s="7"/>
      <c r="AB68" s="7"/>
      <c r="AC68" s="7"/>
      <c r="AD68" t="s">
        <v>506</v>
      </c>
    </row>
    <row r="69" spans="1:30">
      <c r="A69" s="1" t="s">
        <v>251</v>
      </c>
      <c r="B69" s="1" t="s">
        <v>458</v>
      </c>
      <c r="C69" s="1" t="s">
        <v>459</v>
      </c>
      <c r="D69" s="1"/>
      <c r="E69" s="1"/>
      <c r="F69" s="1"/>
      <c r="G69" s="7" t="s">
        <v>504</v>
      </c>
      <c r="H69" s="7">
        <v>0</v>
      </c>
      <c r="I69" s="7">
        <v>1</v>
      </c>
      <c r="J69" s="7">
        <v>1</v>
      </c>
      <c r="K69" s="7" t="s">
        <v>541</v>
      </c>
      <c r="L69" s="7" t="s">
        <v>550</v>
      </c>
      <c r="M69" s="7"/>
      <c r="N69" s="8"/>
      <c r="O69" s="7"/>
      <c r="P69" s="7">
        <v>19277</v>
      </c>
      <c r="Q69" s="7"/>
      <c r="R69" s="7" t="s">
        <v>614</v>
      </c>
      <c r="S69" s="7" t="s">
        <v>614</v>
      </c>
      <c r="T69" s="7" t="s">
        <v>544</v>
      </c>
      <c r="U69" s="7"/>
      <c r="V69" s="7"/>
      <c r="W69" s="7"/>
      <c r="X69" s="7" t="s">
        <v>499</v>
      </c>
      <c r="Y69" s="7"/>
      <c r="Z69" s="7"/>
      <c r="AA69" s="7"/>
      <c r="AB69" s="7"/>
      <c r="AC69" s="7"/>
      <c r="AD69" t="s">
        <v>499</v>
      </c>
    </row>
    <row r="70" spans="1:30" ht="43.5">
      <c r="A70" s="1" t="s">
        <v>253</v>
      </c>
      <c r="B70" s="1" t="s">
        <v>460</v>
      </c>
      <c r="C70" s="1" t="s">
        <v>461</v>
      </c>
      <c r="D70" s="1"/>
      <c r="E70" s="1"/>
      <c r="F70" s="1"/>
      <c r="G70" s="7" t="s">
        <v>504</v>
      </c>
      <c r="H70" s="7">
        <v>0</v>
      </c>
      <c r="I70" s="7">
        <v>3</v>
      </c>
      <c r="J70" s="7">
        <v>14</v>
      </c>
      <c r="K70" s="7"/>
      <c r="L70" s="7" t="s">
        <v>536</v>
      </c>
      <c r="M70" s="7" t="s">
        <v>594</v>
      </c>
      <c r="N70" s="8" t="s">
        <v>714</v>
      </c>
      <c r="O70" s="7"/>
      <c r="P70" s="7">
        <v>367</v>
      </c>
      <c r="Q70" s="7"/>
      <c r="R70" s="7" t="s">
        <v>614</v>
      </c>
      <c r="S70" s="7" t="s">
        <v>614</v>
      </c>
      <c r="T70" s="7"/>
      <c r="U70" s="7"/>
      <c r="V70" s="7"/>
      <c r="W70" s="7"/>
      <c r="X70" s="7" t="s">
        <v>499</v>
      </c>
      <c r="Y70" s="7"/>
      <c r="Z70" s="7"/>
      <c r="AA70" s="7"/>
      <c r="AB70" s="7"/>
      <c r="AC70" s="7"/>
      <c r="AD70" t="s">
        <v>506</v>
      </c>
    </row>
    <row r="71" spans="1:30">
      <c r="A71" s="1" t="s">
        <v>254</v>
      </c>
      <c r="B71" s="1" t="s">
        <v>464</v>
      </c>
      <c r="C71" s="1" t="s">
        <v>465</v>
      </c>
      <c r="D71" s="1"/>
      <c r="E71" s="1"/>
      <c r="F71" s="1"/>
      <c r="G71" s="7" t="s">
        <v>504</v>
      </c>
      <c r="H71" s="7">
        <v>0</v>
      </c>
      <c r="I71" s="7">
        <v>1</v>
      </c>
      <c r="J71" s="7">
        <v>2</v>
      </c>
      <c r="K71" s="7" t="s">
        <v>541</v>
      </c>
      <c r="L71" s="7" t="s">
        <v>550</v>
      </c>
      <c r="M71" s="7"/>
      <c r="N71" s="8"/>
      <c r="O71" s="7"/>
      <c r="P71" s="7">
        <v>19277</v>
      </c>
      <c r="Q71" s="7"/>
      <c r="R71" s="7" t="s">
        <v>614</v>
      </c>
      <c r="S71" s="7" t="s">
        <v>614</v>
      </c>
      <c r="T71" s="7"/>
      <c r="U71" s="7"/>
      <c r="V71" s="7"/>
      <c r="W71" s="7"/>
      <c r="X71" s="7" t="s">
        <v>499</v>
      </c>
      <c r="Y71" s="7"/>
      <c r="Z71" s="7"/>
      <c r="AA71" s="7"/>
      <c r="AB71" s="7"/>
      <c r="AC71" s="7"/>
      <c r="AD71" t="s">
        <v>499</v>
      </c>
    </row>
    <row r="72" spans="1:30">
      <c r="A72" s="1" t="s">
        <v>254</v>
      </c>
      <c r="B72" s="1" t="s">
        <v>255</v>
      </c>
      <c r="C72" s="1" t="s">
        <v>256</v>
      </c>
      <c r="D72" s="1"/>
      <c r="E72" s="1"/>
      <c r="F72" s="1"/>
      <c r="G72" s="7" t="s">
        <v>553</v>
      </c>
      <c r="H72" s="7"/>
      <c r="I72" s="7"/>
      <c r="J72" s="7"/>
      <c r="K72" s="7"/>
      <c r="L72" s="7"/>
      <c r="M72" s="7"/>
      <c r="N72" s="8"/>
      <c r="O72" s="7"/>
      <c r="P72" s="7"/>
      <c r="Q72" s="7"/>
      <c r="R72" s="7" t="s">
        <v>614</v>
      </c>
      <c r="S72" s="7" t="s">
        <v>614</v>
      </c>
      <c r="T72" s="7"/>
      <c r="U72" s="7"/>
      <c r="V72" s="7"/>
      <c r="W72" s="7"/>
      <c r="X72" s="7" t="s">
        <v>499</v>
      </c>
      <c r="Y72" s="7"/>
      <c r="Z72" s="7"/>
      <c r="AA72" s="7"/>
      <c r="AB72" s="7"/>
      <c r="AC72" s="7"/>
      <c r="AD72" t="s">
        <v>506</v>
      </c>
    </row>
    <row r="73" spans="1:30" ht="29">
      <c r="A73" s="1" t="s">
        <v>257</v>
      </c>
      <c r="B73" s="1" t="s">
        <v>468</v>
      </c>
      <c r="C73" s="1" t="s">
        <v>469</v>
      </c>
      <c r="D73" s="1"/>
      <c r="E73" s="1"/>
      <c r="F73" s="1"/>
      <c r="G73" s="7" t="s">
        <v>548</v>
      </c>
      <c r="H73" s="7"/>
      <c r="I73" s="7"/>
      <c r="J73" s="7"/>
      <c r="K73" s="7"/>
      <c r="L73" s="7"/>
      <c r="M73" s="7"/>
      <c r="N73" s="8"/>
      <c r="O73" s="7"/>
      <c r="P73" s="7"/>
      <c r="Q73" s="7">
        <v>-1115</v>
      </c>
      <c r="R73" s="7">
        <v>1220</v>
      </c>
      <c r="S73" s="7">
        <v>105</v>
      </c>
      <c r="T73" s="7"/>
      <c r="U73" s="7"/>
      <c r="V73" s="7"/>
      <c r="W73" s="7"/>
      <c r="X73" s="7" t="s">
        <v>499</v>
      </c>
      <c r="Y73" s="7"/>
      <c r="Z73" s="7"/>
      <c r="AA73" s="7"/>
      <c r="AB73" s="7"/>
      <c r="AC73" s="7"/>
      <c r="AD73" t="s">
        <v>506</v>
      </c>
    </row>
    <row r="74" spans="1:30">
      <c r="A74" s="1" t="s">
        <v>261</v>
      </c>
      <c r="B74" s="1" t="s">
        <v>471</v>
      </c>
      <c r="C74" s="1" t="s">
        <v>472</v>
      </c>
      <c r="D74" s="1"/>
      <c r="E74" s="1"/>
      <c r="F74" s="1"/>
      <c r="G74" s="7" t="s">
        <v>500</v>
      </c>
      <c r="H74" s="7">
        <v>0</v>
      </c>
      <c r="I74" s="7">
        <v>1</v>
      </c>
      <c r="J74" s="7">
        <v>2</v>
      </c>
      <c r="K74" s="7" t="s">
        <v>541</v>
      </c>
      <c r="L74" s="7" t="s">
        <v>550</v>
      </c>
      <c r="M74" s="7"/>
      <c r="N74" s="8"/>
      <c r="O74" s="7"/>
      <c r="P74" s="7">
        <v>19277</v>
      </c>
      <c r="Q74" s="7"/>
      <c r="R74" s="7" t="s">
        <v>614</v>
      </c>
      <c r="S74" s="7" t="s">
        <v>614</v>
      </c>
      <c r="T74" s="7"/>
      <c r="U74" s="7"/>
      <c r="V74" s="7"/>
      <c r="W74" s="7"/>
      <c r="X74" s="7" t="s">
        <v>499</v>
      </c>
      <c r="Y74" s="7"/>
      <c r="Z74" s="7"/>
      <c r="AA74" s="7"/>
      <c r="AB74" s="7"/>
      <c r="AC74" s="7"/>
      <c r="AD74" t="s">
        <v>506</v>
      </c>
    </row>
    <row r="75" spans="1:30">
      <c r="A75" s="1" t="s">
        <v>271</v>
      </c>
      <c r="B75" s="1" t="s">
        <v>727</v>
      </c>
      <c r="C75" s="1" t="s">
        <v>728</v>
      </c>
      <c r="D75" s="1"/>
      <c r="E75" s="1"/>
      <c r="F75" s="1" t="s">
        <v>339</v>
      </c>
      <c r="G75" s="7" t="s">
        <v>553</v>
      </c>
      <c r="H75" s="7"/>
      <c r="I75" s="7"/>
      <c r="J75" s="7"/>
      <c r="K75" s="7"/>
      <c r="L75" s="7"/>
      <c r="M75" s="7"/>
      <c r="N75" s="8"/>
      <c r="O75" s="7"/>
      <c r="P75" s="7"/>
      <c r="Q75" s="7"/>
      <c r="R75" s="7" t="s">
        <v>614</v>
      </c>
      <c r="S75" s="7" t="s">
        <v>614</v>
      </c>
      <c r="T75" s="7"/>
      <c r="U75" s="7"/>
      <c r="V75" s="7"/>
      <c r="W75" s="7"/>
      <c r="X75" s="7" t="s">
        <v>499</v>
      </c>
      <c r="Y75" s="7"/>
      <c r="Z75" s="7"/>
      <c r="AA75" s="7"/>
      <c r="AB75" s="7"/>
      <c r="AC75" s="7"/>
      <c r="AD75" t="s">
        <v>506</v>
      </c>
    </row>
    <row r="76" spans="1:30" ht="87">
      <c r="A76" s="1" t="s">
        <v>274</v>
      </c>
      <c r="B76" s="1" t="s">
        <v>729</v>
      </c>
      <c r="C76" s="1" t="s">
        <v>730</v>
      </c>
      <c r="D76" s="1" t="s">
        <v>501</v>
      </c>
      <c r="E76" s="1"/>
      <c r="F76" s="1"/>
      <c r="G76" s="7" t="s">
        <v>504</v>
      </c>
      <c r="H76" s="7">
        <v>0</v>
      </c>
      <c r="I76" s="7">
        <v>1</v>
      </c>
      <c r="J76" s="7">
        <v>3</v>
      </c>
      <c r="K76" s="7" t="s">
        <v>554</v>
      </c>
      <c r="L76" s="7" t="s">
        <v>542</v>
      </c>
      <c r="M76" s="7"/>
      <c r="N76" s="8"/>
      <c r="O76" s="7"/>
      <c r="P76" s="7">
        <v>11721</v>
      </c>
      <c r="Q76" s="7"/>
      <c r="R76" s="7" t="s">
        <v>614</v>
      </c>
      <c r="S76" s="7" t="s">
        <v>614</v>
      </c>
      <c r="T76" s="7"/>
      <c r="U76" s="7"/>
      <c r="V76" s="7"/>
      <c r="W76" s="7"/>
      <c r="X76" s="7" t="s">
        <v>499</v>
      </c>
      <c r="Y76" s="7"/>
      <c r="Z76" s="7"/>
      <c r="AA76" s="7"/>
      <c r="AB76" s="7"/>
      <c r="AC76" s="7"/>
      <c r="AD76" t="s">
        <v>506</v>
      </c>
    </row>
    <row r="77" spans="1:30" ht="87">
      <c r="A77" s="1" t="s">
        <v>278</v>
      </c>
      <c r="B77" s="1" t="s">
        <v>739</v>
      </c>
      <c r="C77" s="1" t="s">
        <v>740</v>
      </c>
      <c r="D77" s="1" t="s">
        <v>501</v>
      </c>
      <c r="E77" s="1"/>
      <c r="F77" s="1"/>
      <c r="G77" s="7" t="s">
        <v>553</v>
      </c>
      <c r="H77" s="7"/>
      <c r="I77" s="7"/>
      <c r="J77" s="7"/>
      <c r="K77" s="7"/>
      <c r="L77" s="7"/>
      <c r="M77" s="7"/>
      <c r="N77" s="8"/>
      <c r="O77" s="7"/>
      <c r="P77" s="7"/>
      <c r="Q77" s="7"/>
      <c r="R77" s="7" t="s">
        <v>614</v>
      </c>
      <c r="S77" s="7" t="s">
        <v>614</v>
      </c>
      <c r="T77" s="7"/>
      <c r="U77" s="7"/>
      <c r="V77" s="7"/>
      <c r="W77" s="7"/>
      <c r="X77" s="7" t="s">
        <v>499</v>
      </c>
      <c r="Y77" s="7"/>
      <c r="Z77" s="7"/>
      <c r="AA77" s="7"/>
      <c r="AB77" s="7"/>
      <c r="AC77" s="7"/>
      <c r="AD77" t="s">
        <v>499</v>
      </c>
    </row>
    <row r="78" spans="1:30" ht="87">
      <c r="A78" s="1" t="s">
        <v>284</v>
      </c>
      <c r="B78" s="1" t="s">
        <v>744</v>
      </c>
      <c r="C78" s="1" t="s">
        <v>745</v>
      </c>
      <c r="D78" s="1" t="s">
        <v>501</v>
      </c>
      <c r="E78" s="1"/>
      <c r="F78" s="1"/>
      <c r="G78" s="7" t="s">
        <v>548</v>
      </c>
      <c r="H78" s="7"/>
      <c r="I78" s="7"/>
      <c r="J78" s="7"/>
      <c r="K78" s="7"/>
      <c r="L78" s="7"/>
      <c r="M78" s="7"/>
      <c r="N78" s="8"/>
      <c r="O78" s="7"/>
      <c r="P78" s="7"/>
      <c r="Q78" s="7">
        <v>-1312</v>
      </c>
      <c r="R78" s="7">
        <v>2215</v>
      </c>
      <c r="S78" s="7">
        <v>903</v>
      </c>
      <c r="T78" s="7"/>
      <c r="U78" s="7"/>
      <c r="V78" s="7"/>
      <c r="W78" s="7"/>
      <c r="X78" s="7" t="s">
        <v>499</v>
      </c>
      <c r="Y78" s="7"/>
      <c r="Z78" s="7"/>
      <c r="AA78" s="7"/>
      <c r="AB78" s="7"/>
      <c r="AC78" s="7"/>
      <c r="AD78" t="s">
        <v>499</v>
      </c>
    </row>
    <row r="79" spans="1:30" ht="43.5">
      <c r="A79" s="1" t="s">
        <v>313</v>
      </c>
      <c r="B79" s="1" t="s">
        <v>482</v>
      </c>
      <c r="C79" s="1" t="s">
        <v>483</v>
      </c>
      <c r="D79" s="1"/>
      <c r="E79" s="1"/>
      <c r="F79" s="1"/>
      <c r="G79" s="7" t="s">
        <v>504</v>
      </c>
      <c r="H79" s="7">
        <v>0</v>
      </c>
      <c r="I79" s="7">
        <v>1</v>
      </c>
      <c r="J79" s="7">
        <v>12</v>
      </c>
      <c r="K79" s="7" t="s">
        <v>560</v>
      </c>
      <c r="L79" s="7" t="s">
        <v>536</v>
      </c>
      <c r="M79" s="7" t="s">
        <v>746</v>
      </c>
      <c r="N79" s="8" t="s">
        <v>649</v>
      </c>
      <c r="O79" s="7"/>
      <c r="P79" s="7">
        <v>106</v>
      </c>
      <c r="Q79" s="7"/>
      <c r="R79" s="7" t="s">
        <v>614</v>
      </c>
      <c r="S79" s="7" t="s">
        <v>614</v>
      </c>
      <c r="T79" s="7"/>
      <c r="U79" s="7"/>
      <c r="V79" s="7"/>
      <c r="W79" s="7"/>
      <c r="X79" s="7" t="s">
        <v>499</v>
      </c>
      <c r="Y79" s="7"/>
      <c r="Z79" s="7"/>
      <c r="AA79" s="7"/>
      <c r="AB79" s="7"/>
      <c r="AC79" s="7"/>
      <c r="AD79" t="s">
        <v>506</v>
      </c>
    </row>
    <row r="80" spans="1:30" ht="43.5">
      <c r="A80" s="1" t="s">
        <v>314</v>
      </c>
      <c r="B80" s="1" t="s">
        <v>484</v>
      </c>
      <c r="C80" s="1" t="s">
        <v>485</v>
      </c>
      <c r="D80" s="1"/>
      <c r="E80" s="1"/>
      <c r="F80" s="1"/>
      <c r="G80" s="7" t="s">
        <v>504</v>
      </c>
      <c r="H80" s="7">
        <v>1</v>
      </c>
      <c r="I80" s="7">
        <v>4</v>
      </c>
      <c r="J80" s="7">
        <v>17</v>
      </c>
      <c r="K80" s="7"/>
      <c r="L80" s="7" t="s">
        <v>536</v>
      </c>
      <c r="M80" s="7" t="s">
        <v>642</v>
      </c>
      <c r="N80" s="8" t="s">
        <v>747</v>
      </c>
      <c r="O80" s="7"/>
      <c r="P80" s="7">
        <v>43</v>
      </c>
      <c r="Q80" s="7"/>
      <c r="R80" s="7" t="s">
        <v>614</v>
      </c>
      <c r="S80" s="7" t="s">
        <v>614</v>
      </c>
      <c r="T80" s="7" t="s">
        <v>544</v>
      </c>
      <c r="U80" s="7"/>
      <c r="V80" s="7"/>
      <c r="W80" s="7"/>
      <c r="X80" s="7" t="s">
        <v>499</v>
      </c>
      <c r="Y80" s="7"/>
      <c r="Z80" s="7"/>
      <c r="AA80" s="7"/>
      <c r="AB80" s="7"/>
      <c r="AC80" s="7"/>
      <c r="AD80" t="s">
        <v>499</v>
      </c>
    </row>
    <row r="81" spans="1:30">
      <c r="A81" s="1" t="s">
        <v>325</v>
      </c>
      <c r="B81" s="1" t="s">
        <v>489</v>
      </c>
      <c r="C81" s="1" t="s">
        <v>490</v>
      </c>
      <c r="D81" s="1"/>
      <c r="E81" s="1"/>
      <c r="F81" s="1"/>
      <c r="G81" s="7" t="s">
        <v>504</v>
      </c>
      <c r="H81" s="7">
        <v>0</v>
      </c>
      <c r="I81" s="7">
        <v>1</v>
      </c>
      <c r="J81" s="7">
        <v>2</v>
      </c>
      <c r="K81" s="7" t="s">
        <v>541</v>
      </c>
      <c r="L81" s="7" t="s">
        <v>550</v>
      </c>
      <c r="M81" s="7"/>
      <c r="N81" s="8"/>
      <c r="O81" s="7"/>
      <c r="P81" s="7">
        <v>19277</v>
      </c>
      <c r="Q81" s="7"/>
      <c r="R81" s="7" t="s">
        <v>614</v>
      </c>
      <c r="S81" s="7" t="s">
        <v>614</v>
      </c>
      <c r="T81" s="7" t="s">
        <v>544</v>
      </c>
      <c r="U81" s="7"/>
      <c r="V81" s="7"/>
      <c r="W81" s="7"/>
      <c r="X81" s="7" t="s">
        <v>499</v>
      </c>
      <c r="Y81" s="7"/>
      <c r="Z81" s="7"/>
      <c r="AA81" s="7"/>
      <c r="AB81" s="7"/>
      <c r="AC81" s="7"/>
      <c r="AD81" t="s">
        <v>499</v>
      </c>
    </row>
    <row r="82" spans="1:30" ht="72.5">
      <c r="A82" s="1" t="s">
        <v>326</v>
      </c>
      <c r="B82" s="1" t="s">
        <v>752</v>
      </c>
      <c r="C82" s="1" t="s">
        <v>751</v>
      </c>
      <c r="D82" s="1"/>
      <c r="E82" s="1"/>
      <c r="F82" s="1"/>
      <c r="G82" s="7" t="s">
        <v>504</v>
      </c>
      <c r="H82" s="7">
        <v>3</v>
      </c>
      <c r="I82" s="7">
        <v>11</v>
      </c>
      <c r="J82" s="7">
        <v>53</v>
      </c>
      <c r="K82" s="7"/>
      <c r="L82" s="7" t="s">
        <v>536</v>
      </c>
      <c r="M82" s="7" t="s">
        <v>594</v>
      </c>
      <c r="N82" s="8" t="s">
        <v>612</v>
      </c>
      <c r="O82" s="7"/>
      <c r="P82" s="7">
        <v>48</v>
      </c>
      <c r="Q82" s="7"/>
      <c r="R82" s="7" t="s">
        <v>614</v>
      </c>
      <c r="S82" s="7" t="s">
        <v>614</v>
      </c>
      <c r="T82" s="7"/>
      <c r="U82" s="7"/>
      <c r="V82" s="7"/>
      <c r="W82" s="7"/>
      <c r="X82" s="7" t="s">
        <v>499</v>
      </c>
      <c r="Y82" s="7"/>
      <c r="Z82" s="7"/>
      <c r="AA82" s="7"/>
      <c r="AB82" s="7"/>
      <c r="AC82" s="7"/>
      <c r="AD82" t="s">
        <v>506</v>
      </c>
    </row>
    <row r="83" spans="1:30">
      <c r="A83" s="1" t="s">
        <v>329</v>
      </c>
      <c r="B83" s="1" t="s">
        <v>491</v>
      </c>
      <c r="C83" s="1" t="s">
        <v>492</v>
      </c>
      <c r="D83" s="1"/>
      <c r="E83" s="1"/>
      <c r="F83" s="1"/>
      <c r="G83" s="7" t="s">
        <v>504</v>
      </c>
      <c r="H83" s="7">
        <v>0</v>
      </c>
      <c r="I83" s="7">
        <v>1</v>
      </c>
      <c r="J83" s="7">
        <v>2</v>
      </c>
      <c r="K83" s="7" t="s">
        <v>541</v>
      </c>
      <c r="L83" s="7" t="s">
        <v>550</v>
      </c>
      <c r="M83" s="7"/>
      <c r="N83" s="8"/>
      <c r="O83" s="7"/>
      <c r="P83" s="7">
        <v>19277</v>
      </c>
      <c r="Q83" s="7"/>
      <c r="R83" s="7" t="s">
        <v>614</v>
      </c>
      <c r="S83" s="7" t="s">
        <v>614</v>
      </c>
      <c r="T83" s="7" t="s">
        <v>544</v>
      </c>
      <c r="U83" s="7"/>
      <c r="V83" s="7"/>
      <c r="W83" s="7"/>
      <c r="X83" s="7" t="s">
        <v>499</v>
      </c>
      <c r="Y83" s="7"/>
      <c r="Z83" s="7"/>
      <c r="AA83" s="7"/>
      <c r="AB83" s="7"/>
      <c r="AC83" s="7"/>
      <c r="AD83" t="s">
        <v>499</v>
      </c>
    </row>
    <row r="84" spans="1:30" ht="29">
      <c r="A84" s="1" t="s">
        <v>330</v>
      </c>
      <c r="B84" s="1" t="s">
        <v>494</v>
      </c>
      <c r="C84" s="1" t="s">
        <v>495</v>
      </c>
      <c r="D84" s="1"/>
      <c r="E84" s="1"/>
      <c r="F84" s="1"/>
      <c r="G84" s="7" t="s">
        <v>504</v>
      </c>
      <c r="H84" s="7">
        <v>1</v>
      </c>
      <c r="I84" s="7">
        <v>3</v>
      </c>
      <c r="J84" s="7">
        <v>14</v>
      </c>
      <c r="K84" s="7"/>
      <c r="L84" s="7" t="s">
        <v>536</v>
      </c>
      <c r="M84" s="7" t="s">
        <v>642</v>
      </c>
      <c r="N84" s="8" t="s">
        <v>757</v>
      </c>
      <c r="O84" s="7"/>
      <c r="P84" s="7">
        <v>119</v>
      </c>
      <c r="Q84" s="7"/>
      <c r="R84" s="7" t="s">
        <v>614</v>
      </c>
      <c r="S84" s="7" t="s">
        <v>614</v>
      </c>
      <c r="T84" s="7" t="s">
        <v>544</v>
      </c>
      <c r="U84" s="7"/>
      <c r="V84" s="7"/>
      <c r="W84" s="7"/>
      <c r="X84" s="7" t="s">
        <v>499</v>
      </c>
      <c r="Y84" s="7"/>
      <c r="Z84" s="7"/>
      <c r="AA84" s="7"/>
      <c r="AB84" s="7"/>
      <c r="AC84" s="7"/>
      <c r="AD84" t="s">
        <v>506</v>
      </c>
    </row>
    <row r="85" spans="1:30">
      <c r="R85" s="7"/>
      <c r="S85" s="7"/>
    </row>
    <row r="86" spans="1:30">
      <c r="R86" s="7"/>
      <c r="S86" s="7"/>
    </row>
    <row r="87" spans="1:30">
      <c r="R87" s="7"/>
      <c r="S87" s="7"/>
    </row>
  </sheetData>
  <conditionalFormatting sqref="G2:G84">
    <cfRule type="expression" dxfId="324" priority="27">
      <formula>$I2&lt;&gt;""</formula>
    </cfRule>
    <cfRule type="expression" dxfId="323" priority="28">
      <formula>$I2=""</formula>
    </cfRule>
  </conditionalFormatting>
  <conditionalFormatting sqref="H2:L84 O2:P84">
    <cfRule type="expression" dxfId="322" priority="25">
      <formula>AND(OR($I2="Addition",$I2="Omission"), H2="")</formula>
    </cfRule>
    <cfRule type="expression" dxfId="321" priority="26">
      <formula>AND($I2&lt;&gt;"Addition",$I2&lt;&gt;"Omission",$I2&lt;&gt;"Substitution - Word")</formula>
    </cfRule>
  </conditionalFormatting>
  <conditionalFormatting sqref="H2:P84">
    <cfRule type="expression" dxfId="320" priority="24">
      <formula>AND(OR($I2="Addition",$I2="Omission"), H2&lt;&gt;"")</formula>
    </cfRule>
  </conditionalFormatting>
  <conditionalFormatting sqref="K2:K84">
    <cfRule type="expression" dxfId="319" priority="19">
      <formula>AND($K2&lt;&gt;"",$K2&gt;1)</formula>
    </cfRule>
  </conditionalFormatting>
  <conditionalFormatting sqref="M2:N84">
    <cfRule type="expression" dxfId="318" priority="15">
      <formula>$N2="Absent"</formula>
    </cfRule>
    <cfRule type="expression" dxfId="317" priority="16">
      <formula>$N2="NA"</formula>
    </cfRule>
    <cfRule type="expression" dxfId="316" priority="17">
      <formula>AND(OR($I2="Addition",$I2="Omission"), M2="")</formula>
    </cfRule>
    <cfRule type="expression" dxfId="315" priority="18">
      <formula>AND($I2&lt;&gt;"Addition",$I2&lt;&gt;"Omission")</formula>
    </cfRule>
  </conditionalFormatting>
  <conditionalFormatting sqref="O2:O84">
    <cfRule type="expression" dxfId="314" priority="20">
      <formula>AND(OR($I2="Addition",$I2="Omission",$I2="Substitution - Word"),RIGHT($AD2,6)&lt;&gt;"strict",$AC2&lt;&gt;"Yes")</formula>
    </cfRule>
  </conditionalFormatting>
  <conditionalFormatting sqref="Q2:S84 R85:S87">
    <cfRule type="expression" dxfId="313" priority="21">
      <formula>AND(AND(LEFT($I2,3)="Sub", RIGHT($I2,4)&lt;&gt;"Form"),$S2&lt;&gt;"")</formula>
    </cfRule>
    <cfRule type="expression" dxfId="312" priority="22">
      <formula>AND(AND(LEFT($I2,3)="Sub", RIGHT($I2,4)&lt;&gt;"Form"),$S2="")</formula>
    </cfRule>
    <cfRule type="expression" dxfId="311" priority="23">
      <formula>"&lt;&gt;AND(LEFT($J2,3)=""Sub"", RIGHT($J2,4)&lt;&gt;""Form"")"</formula>
    </cfRule>
  </conditionalFormatting>
  <conditionalFormatting sqref="T2:T84">
    <cfRule type="expression" dxfId="310" priority="9">
      <formula>AND($V2&lt;&gt;"",OR($AC2="Yes",$AD2&lt;&gt;""))</formula>
    </cfRule>
    <cfRule type="expression" dxfId="309" priority="10">
      <formula>OR($AC2="Yes",$AD2&lt;&gt;"")</formula>
    </cfRule>
    <cfRule type="expression" dxfId="308" priority="13">
      <formula>AND($AC2&lt;&gt;"Yes",$AD2="")</formula>
    </cfRule>
  </conditionalFormatting>
  <conditionalFormatting sqref="T2:AC8 T10:AC33">
    <cfRule type="expression" dxfId="307" priority="29">
      <formula>AND($I2&lt;&gt;"",$I2&lt;&gt;"Unclear due to correction")</formula>
    </cfRule>
  </conditionalFormatting>
  <conditionalFormatting sqref="T2:AC8 T10:AC84">
    <cfRule type="expression" dxfId="306" priority="30">
      <formula>OR($I2="",$I2="Unclear due to correction")</formula>
    </cfRule>
  </conditionalFormatting>
  <conditionalFormatting sqref="T9:AC9">
    <cfRule type="expression" dxfId="305" priority="2">
      <formula>AND($I9&lt;&gt;"",$I9&lt;&gt;"Unclear due to correction")</formula>
    </cfRule>
    <cfRule type="expression" dxfId="304" priority="3">
      <formula>OR($I9="",$I9="Unclear due to correction")</formula>
    </cfRule>
  </conditionalFormatting>
  <conditionalFormatting sqref="T34:AC84">
    <cfRule type="expression" dxfId="303" priority="1">
      <formula>AND($I34&lt;&gt;"",$I34&lt;&gt;"Unclear due to correction")</formula>
    </cfRule>
  </conditionalFormatting>
  <conditionalFormatting sqref="U2:U84">
    <cfRule type="expression" dxfId="302" priority="8">
      <formula>AND($I2&lt;&gt;"",$I2&lt;&gt;"Unclear due to correction",$W2="")</formula>
    </cfRule>
  </conditionalFormatting>
  <conditionalFormatting sqref="V2:V84">
    <cfRule type="expression" dxfId="301" priority="11">
      <formula>AND($W2="Yes",$X2="")</formula>
    </cfRule>
    <cfRule type="expression" dxfId="300" priority="12">
      <formula>$W2=""</formula>
    </cfRule>
  </conditionalFormatting>
  <conditionalFormatting sqref="AA2:AA84">
    <cfRule type="expression" dxfId="299" priority="14">
      <formula>AND(OR($AA2&lt;&gt;"",$AB2&lt;&gt;""),$AC2="")</formula>
    </cfRule>
  </conditionalFormatting>
  <dataValidations count="1">
    <dataValidation type="list" allowBlank="1" showInputMessage="1" showErrorMessage="1" sqref="AD2:AD84" xr:uid="{045E5785-6BE8-4CCC-84BE-BCC41FED7AE1}">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F14E95B1-F31E-4D74-81DC-EED294C88931}">
          <x14:formula1>
            <xm:f>'Data Regularization'!$A$2:$A$1048576</xm:f>
          </x14:formula1>
          <xm:sqref>D2:D8 D10:D84</xm:sqref>
        </x14:dataValidation>
        <x14:dataValidation type="list" allowBlank="1" showInputMessage="1" showErrorMessage="1" xr:uid="{80677B4B-A380-43D7-87FD-AAEE69D1438D}">
          <x14:formula1>
            <xm:f>'Data Regularization'!$B$2:$B$1048576</xm:f>
          </x14:formula1>
          <xm:sqref>E2:E8 E10:E84</xm:sqref>
        </x14:dataValidation>
        <x14:dataValidation type="list" allowBlank="1" showInputMessage="1" showErrorMessage="1" xr:uid="{E3855053-E2D6-41B0-A914-A52416947B33}">
          <x14:formula1>
            <xm:f>'Data Regularization'!$C$2:$C$1048576</xm:f>
          </x14:formula1>
          <xm:sqref>F2:F8 F10:F84</xm:sqref>
        </x14:dataValidation>
        <x14:dataValidation type="list" allowBlank="1" showInputMessage="1" showErrorMessage="1" xr:uid="{2D60F6FE-8C55-441B-BF2A-87C9EA804D86}">
          <x14:formula1>
            <xm:f>'Data Regularization'!$D$2:$D$1048576</xm:f>
          </x14:formula1>
          <xm:sqref>G2:G8 G10:G84</xm:sqref>
        </x14:dataValidation>
        <x14:dataValidation type="list" allowBlank="1" showInputMessage="1" showErrorMessage="1" xr:uid="{0787CB31-B2EB-4FD8-B581-97E0BBDCE7DA}">
          <x14:formula1>
            <xm:f>'Data Regularization'!$E$2:$E$1048576</xm:f>
          </x14:formula1>
          <xm:sqref>K2:K8 K10:K84</xm:sqref>
        </x14:dataValidation>
        <x14:dataValidation type="list" allowBlank="1" showInputMessage="1" showErrorMessage="1" xr:uid="{237BD9A0-0E21-4A3F-8B35-5E38CAD37BCC}">
          <x14:formula1>
            <xm:f>'Data Regularization'!$F$2:$F$1048576</xm:f>
          </x14:formula1>
          <xm:sqref>L2:L8 L10:L84</xm:sqref>
        </x14:dataValidation>
        <x14:dataValidation type="list" allowBlank="1" showInputMessage="1" showErrorMessage="1" xr:uid="{EB7BD73C-1C81-4706-9073-5FFB5AA0E911}">
          <x14:formula1>
            <xm:f>'Data Regularization'!$G$2:$G$1048576</xm:f>
          </x14:formula1>
          <xm:sqref>O2:O8 O10:O84</xm:sqref>
        </x14:dataValidation>
        <x14:dataValidation type="list" allowBlank="1" showInputMessage="1" showErrorMessage="1" xr:uid="{7D28E9D1-A25A-4E2F-B86E-D0335BB13008}">
          <x14:formula1>
            <xm:f>'Data Regularization'!$H$2:$H$1048576</xm:f>
          </x14:formula1>
          <xm:sqref>T2:T8 T10:T84</xm:sqref>
        </x14:dataValidation>
        <x14:dataValidation type="list" allowBlank="1" showInputMessage="1" xr:uid="{547ED45D-8063-4948-B7D4-37BB4BB98DFC}">
          <x14:formula1>
            <xm:f>'Data Regularization'!$I$2:$I$1048576</xm:f>
          </x14:formula1>
          <xm:sqref>U2:U8 U10:U84</xm:sqref>
        </x14:dataValidation>
        <x14:dataValidation type="list" allowBlank="1" showInputMessage="1" showErrorMessage="1" xr:uid="{23CAB4D0-E0B3-4A6D-877C-BA660EA5A360}">
          <x14:formula1>
            <xm:f>'Data Regularization'!$K$2:$K$1048576</xm:f>
          </x14:formula1>
          <xm:sqref>W2:W8 W10:W84</xm:sqref>
        </x14:dataValidation>
        <x14:dataValidation type="list" allowBlank="1" showInputMessage="1" showErrorMessage="1" xr:uid="{D11A3614-A87A-41BD-9C2E-9F019E5EF4EA}">
          <x14:formula1>
            <xm:f>'Data Regularization'!$J$2:$J$1048576</xm:f>
          </x14:formula1>
          <xm:sqref>V2:V8 V10:V84</xm:sqref>
        </x14:dataValidation>
        <x14:dataValidation type="list" allowBlank="1" showInputMessage="1" showErrorMessage="1" xr:uid="{F69B3807-187A-40B3-A8C1-1E9C915640F3}">
          <x14:formula1>
            <xm:f>'Data Regularization'!$L$2:$L$1048576</xm:f>
          </x14:formula1>
          <xm:sqref>X2:X8 X10:X84</xm:sqref>
        </x14:dataValidation>
        <x14:dataValidation type="list" allowBlank="1" showInputMessage="1" showErrorMessage="1" xr:uid="{8C67EF72-93B9-41B3-B3D6-A61FAB0094B3}">
          <x14:formula1>
            <xm:f>'Data Regularization'!$M$2:$M$1048576</xm:f>
          </x14:formula1>
          <xm:sqref>Y2:Y8 Y10:Y84</xm:sqref>
        </x14:dataValidation>
        <x14:dataValidation type="list" allowBlank="1" showInputMessage="1" showErrorMessage="1" xr:uid="{D9AFA127-AB30-4FAA-A655-F2589EA18DC7}">
          <x14:formula1>
            <xm:f>'Data Regularization'!$O$2:$O$1048576</xm:f>
          </x14:formula1>
          <xm:sqref>AB2:AB8 AB10:AB84</xm:sqref>
        </x14:dataValidation>
        <x14:dataValidation type="list" allowBlank="1" showInputMessage="1" showErrorMessage="1" xr:uid="{3940B2ED-1FDB-4C01-ABD7-AFA7AE557BC9}">
          <x14:formula1>
            <xm:f>'Data Regularization'!$P$2:$P$1048576</xm:f>
          </x14:formula1>
          <xm:sqref>AC2:AC8 AC10:AC84</xm:sqref>
        </x14:dataValidation>
        <x14:dataValidation type="list" allowBlank="1" showInputMessage="1" showErrorMessage="1" xr:uid="{76576052-5BE2-45C2-8DD6-FDE52F36402C}">
          <x14:formula1>
            <xm:f>'Data Regularization'!$N$2:$N$1048576</xm:f>
          </x14:formula1>
          <xm:sqref>AA2:AA8 AA10:AA84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FD1AB-3775-434E-83DD-EAB1AE1BE582}">
  <dimension ref="A1:AE99"/>
  <sheetViews>
    <sheetView workbookViewId="0">
      <pane xSplit="3" ySplit="1" topLeftCell="D83" activePane="bottomRight" state="frozen"/>
      <selection pane="topRight" activeCell="D1" sqref="D1"/>
      <selection pane="bottomLeft" activeCell="A2" sqref="A2"/>
      <selection pane="bottomRight" activeCell="A100" sqref="A100:XFD1048576"/>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831</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29">
      <c r="A2" s="1" t="s">
        <v>20</v>
      </c>
      <c r="B2" s="1" t="s">
        <v>340</v>
      </c>
      <c r="C2" s="1" t="s">
        <v>341</v>
      </c>
      <c r="D2" s="1"/>
      <c r="E2" s="1"/>
      <c r="F2" s="1"/>
      <c r="G2" s="7" t="s">
        <v>504</v>
      </c>
      <c r="H2" s="7">
        <v>0</v>
      </c>
      <c r="I2" s="7">
        <v>1</v>
      </c>
      <c r="J2" s="7">
        <v>1</v>
      </c>
      <c r="K2" s="7" t="s">
        <v>541</v>
      </c>
      <c r="L2" s="7" t="s">
        <v>550</v>
      </c>
      <c r="M2" s="7"/>
      <c r="N2" s="8"/>
      <c r="O2" s="7"/>
      <c r="P2" s="7">
        <v>19277</v>
      </c>
      <c r="Q2" s="7">
        <f>IF(ISNUMBER(P2), (P2/$F$96)*10000, "")</f>
        <v>1547.9804063277925</v>
      </c>
      <c r="R2" s="7"/>
      <c r="S2" s="7" t="s">
        <v>614</v>
      </c>
      <c r="T2" s="7" t="s">
        <v>614</v>
      </c>
      <c r="U2" s="7" t="s">
        <v>544</v>
      </c>
      <c r="V2" s="7"/>
      <c r="W2" s="7"/>
      <c r="X2" s="7"/>
      <c r="Y2" s="7" t="s">
        <v>499</v>
      </c>
      <c r="Z2" s="7"/>
      <c r="AA2" s="7"/>
      <c r="AB2" s="7"/>
      <c r="AC2" s="7"/>
      <c r="AD2" s="7"/>
      <c r="AE2" t="s">
        <v>499</v>
      </c>
    </row>
    <row r="3" spans="1:31" ht="29">
      <c r="A3" s="1" t="s">
        <v>21</v>
      </c>
      <c r="B3" s="1" t="s">
        <v>342</v>
      </c>
      <c r="C3" s="1" t="s">
        <v>343</v>
      </c>
      <c r="D3" s="1"/>
      <c r="E3" s="1"/>
      <c r="F3" s="1"/>
      <c r="G3" s="7" t="s">
        <v>504</v>
      </c>
      <c r="H3" s="7">
        <v>0</v>
      </c>
      <c r="I3" s="7">
        <v>1</v>
      </c>
      <c r="J3" s="7">
        <v>1</v>
      </c>
      <c r="K3" s="7" t="s">
        <v>541</v>
      </c>
      <c r="L3" s="7" t="s">
        <v>550</v>
      </c>
      <c r="M3" s="7"/>
      <c r="N3" s="8"/>
      <c r="O3" s="7"/>
      <c r="P3" s="7">
        <v>19277</v>
      </c>
      <c r="Q3" s="7">
        <f t="shared" ref="Q3:Q44" si="0">IF(ISNUMBER(P3), (P3/$F$96)*10000, "")</f>
        <v>1547.9804063277925</v>
      </c>
      <c r="R3" s="7"/>
      <c r="S3" s="7" t="s">
        <v>614</v>
      </c>
      <c r="T3" s="7" t="s">
        <v>614</v>
      </c>
      <c r="U3" s="7" t="s">
        <v>544</v>
      </c>
      <c r="V3" s="7"/>
      <c r="W3" s="7"/>
      <c r="X3" s="7"/>
      <c r="Y3" s="7" t="s">
        <v>499</v>
      </c>
      <c r="Z3" s="7"/>
      <c r="AA3" s="7"/>
      <c r="AB3" s="7"/>
      <c r="AC3" s="7"/>
      <c r="AD3" s="7"/>
      <c r="AE3" t="s">
        <v>499</v>
      </c>
    </row>
    <row r="4" spans="1:31" ht="72.5">
      <c r="A4" t="s">
        <v>53</v>
      </c>
      <c r="B4" s="10" t="s">
        <v>813</v>
      </c>
      <c r="C4" s="10" t="s">
        <v>814</v>
      </c>
      <c r="G4" s="7" t="s">
        <v>504</v>
      </c>
      <c r="H4" s="7"/>
      <c r="I4" s="7">
        <v>4</v>
      </c>
      <c r="J4" s="7">
        <v>16</v>
      </c>
      <c r="K4" s="7"/>
      <c r="L4" s="7" t="s">
        <v>536</v>
      </c>
      <c r="M4" s="7" t="s">
        <v>594</v>
      </c>
      <c r="N4" s="8" t="s">
        <v>595</v>
      </c>
      <c r="O4" s="7"/>
      <c r="P4" s="7">
        <v>38</v>
      </c>
      <c r="Q4" s="7">
        <f t="shared" si="0"/>
        <v>3.0514735405123266</v>
      </c>
      <c r="R4" s="7"/>
      <c r="S4" s="7" t="s">
        <v>614</v>
      </c>
      <c r="T4" s="7" t="s">
        <v>614</v>
      </c>
      <c r="U4" s="7"/>
      <c r="V4" s="7"/>
      <c r="W4" s="7"/>
      <c r="X4" s="7"/>
      <c r="Y4" s="7" t="s">
        <v>499</v>
      </c>
      <c r="Z4" s="7"/>
      <c r="AA4" s="7"/>
      <c r="AB4" s="7"/>
      <c r="AC4" s="7"/>
      <c r="AD4" s="7"/>
      <c r="AE4" t="s">
        <v>499</v>
      </c>
    </row>
    <row r="5" spans="1:31" ht="58">
      <c r="A5" s="1" t="s">
        <v>62</v>
      </c>
      <c r="B5" s="1" t="s">
        <v>607</v>
      </c>
      <c r="C5" s="1" t="s">
        <v>608</v>
      </c>
      <c r="D5" s="1"/>
      <c r="E5" s="1"/>
      <c r="F5" s="1"/>
      <c r="G5" s="7" t="s">
        <v>504</v>
      </c>
      <c r="H5" s="7">
        <v>0</v>
      </c>
      <c r="I5" s="7">
        <v>1</v>
      </c>
      <c r="J5" s="7">
        <v>3</v>
      </c>
      <c r="K5" s="7" t="s">
        <v>541</v>
      </c>
      <c r="L5" s="7" t="s">
        <v>536</v>
      </c>
      <c r="M5" s="7" t="s">
        <v>594</v>
      </c>
      <c r="N5" s="8" t="s">
        <v>595</v>
      </c>
      <c r="O5" s="7"/>
      <c r="P5" s="7">
        <v>19277</v>
      </c>
      <c r="Q5" s="7">
        <f t="shared" si="0"/>
        <v>1547.9804063277925</v>
      </c>
      <c r="R5" s="7"/>
      <c r="S5" s="7" t="s">
        <v>614</v>
      </c>
      <c r="T5" s="7" t="s">
        <v>614</v>
      </c>
      <c r="U5" s="7"/>
      <c r="V5" s="7"/>
      <c r="W5" s="7"/>
      <c r="X5" s="7"/>
      <c r="Y5" s="7" t="s">
        <v>499</v>
      </c>
      <c r="Z5" s="7"/>
      <c r="AA5" s="7"/>
      <c r="AB5" s="7"/>
      <c r="AC5" s="7"/>
      <c r="AD5" s="7"/>
      <c r="AE5" t="s">
        <v>506</v>
      </c>
    </row>
    <row r="6" spans="1:31" ht="72.5">
      <c r="A6" s="1" t="s">
        <v>63</v>
      </c>
      <c r="B6" s="1" t="s">
        <v>609</v>
      </c>
      <c r="C6" s="1" t="s">
        <v>610</v>
      </c>
      <c r="D6" s="1"/>
      <c r="E6" s="1"/>
      <c r="F6" s="1"/>
      <c r="G6" s="7" t="s">
        <v>504</v>
      </c>
      <c r="H6" s="7">
        <v>1</v>
      </c>
      <c r="I6" s="7">
        <v>3</v>
      </c>
      <c r="J6" s="7">
        <v>14</v>
      </c>
      <c r="K6" s="7"/>
      <c r="L6" s="7" t="s">
        <v>536</v>
      </c>
      <c r="M6" s="7" t="s">
        <v>594</v>
      </c>
      <c r="N6" s="8" t="s">
        <v>595</v>
      </c>
      <c r="O6" s="7"/>
      <c r="P6" s="7">
        <v>1</v>
      </c>
      <c r="Q6" s="7">
        <f t="shared" si="0"/>
        <v>8.0301935276640174E-2</v>
      </c>
      <c r="R6" s="7"/>
      <c r="S6" s="7" t="s">
        <v>614</v>
      </c>
      <c r="T6" s="7" t="s">
        <v>614</v>
      </c>
      <c r="U6" s="7"/>
      <c r="V6" s="7"/>
      <c r="W6" s="7"/>
      <c r="X6" s="7"/>
      <c r="Y6" s="7" t="s">
        <v>499</v>
      </c>
      <c r="Z6" s="7"/>
      <c r="AA6" s="7"/>
      <c r="AB6" s="7"/>
      <c r="AC6" s="7"/>
      <c r="AD6" s="7"/>
      <c r="AE6" t="s">
        <v>506</v>
      </c>
    </row>
    <row r="7" spans="1:31" ht="319">
      <c r="A7" s="1" t="s">
        <v>65</v>
      </c>
      <c r="B7" s="1" t="s">
        <v>873</v>
      </c>
      <c r="C7" s="1" t="s">
        <v>874</v>
      </c>
      <c r="D7" s="1"/>
      <c r="E7" s="1"/>
      <c r="F7" s="1"/>
      <c r="G7" s="7" t="s">
        <v>504</v>
      </c>
      <c r="H7" s="7">
        <v>4</v>
      </c>
      <c r="I7" s="7">
        <v>13</v>
      </c>
      <c r="J7" s="7">
        <v>75</v>
      </c>
      <c r="K7" s="7"/>
      <c r="L7" s="7" t="s">
        <v>536</v>
      </c>
      <c r="M7" s="7" t="s">
        <v>594</v>
      </c>
      <c r="N7" s="8" t="s">
        <v>611</v>
      </c>
      <c r="O7" s="7" t="s">
        <v>537</v>
      </c>
      <c r="P7" s="7">
        <v>2</v>
      </c>
      <c r="Q7" s="7">
        <f t="shared" si="0"/>
        <v>0.16060387055328035</v>
      </c>
      <c r="R7" s="7"/>
      <c r="S7" s="7" t="s">
        <v>614</v>
      </c>
      <c r="T7" s="7" t="s">
        <v>614</v>
      </c>
      <c r="U7" s="7"/>
      <c r="V7" s="7"/>
      <c r="W7" s="7"/>
      <c r="X7" s="7"/>
      <c r="Y7" s="7" t="s">
        <v>499</v>
      </c>
      <c r="Z7" s="7"/>
      <c r="AA7" s="7"/>
      <c r="AB7" s="7"/>
      <c r="AC7" s="7"/>
      <c r="AD7" s="7"/>
      <c r="AE7" t="s">
        <v>506</v>
      </c>
    </row>
    <row r="8" spans="1:31" ht="145">
      <c r="A8" s="1" t="s">
        <v>65</v>
      </c>
      <c r="B8" s="1" t="s">
        <v>875</v>
      </c>
      <c r="C8" s="1" t="s">
        <v>877</v>
      </c>
      <c r="D8" s="1"/>
      <c r="E8" s="1"/>
      <c r="F8" s="1"/>
      <c r="G8" s="7" t="s">
        <v>504</v>
      </c>
      <c r="H8" s="7">
        <v>0</v>
      </c>
      <c r="I8" s="7">
        <v>2</v>
      </c>
      <c r="J8" s="7">
        <v>18</v>
      </c>
      <c r="K8" s="7"/>
      <c r="L8" s="7" t="s">
        <v>536</v>
      </c>
      <c r="M8" s="7" t="s">
        <v>594</v>
      </c>
      <c r="N8" s="8" t="s">
        <v>612</v>
      </c>
      <c r="O8" s="7"/>
      <c r="P8" s="7">
        <v>49</v>
      </c>
      <c r="Q8" s="7">
        <f t="shared" si="0"/>
        <v>3.9347948285553684</v>
      </c>
      <c r="R8" s="7"/>
      <c r="S8" s="7" t="s">
        <v>614</v>
      </c>
      <c r="T8" s="7" t="s">
        <v>614</v>
      </c>
      <c r="U8" s="7"/>
      <c r="V8" s="7"/>
      <c r="W8" s="7"/>
      <c r="X8" s="7"/>
      <c r="Y8" s="7" t="s">
        <v>499</v>
      </c>
      <c r="Z8" s="7"/>
      <c r="AA8" s="7"/>
      <c r="AB8" s="7"/>
      <c r="AC8" s="7"/>
      <c r="AD8" s="7"/>
      <c r="AE8" t="s">
        <v>506</v>
      </c>
    </row>
    <row r="9" spans="1:31" ht="145">
      <c r="A9" s="1" t="s">
        <v>65</v>
      </c>
      <c r="B9" s="1" t="s">
        <v>876</v>
      </c>
      <c r="C9" s="1" t="s">
        <v>877</v>
      </c>
      <c r="D9" s="1"/>
      <c r="E9" s="1"/>
      <c r="F9" s="1"/>
      <c r="G9" s="7" t="s">
        <v>504</v>
      </c>
      <c r="H9" s="7">
        <v>1</v>
      </c>
      <c r="I9" s="7">
        <v>4</v>
      </c>
      <c r="J9" s="7">
        <v>14</v>
      </c>
      <c r="K9" s="7"/>
      <c r="L9" s="7" t="s">
        <v>536</v>
      </c>
      <c r="M9" s="7" t="s">
        <v>594</v>
      </c>
      <c r="N9" s="8" t="s">
        <v>613</v>
      </c>
      <c r="O9" s="7"/>
      <c r="P9" s="7">
        <v>22</v>
      </c>
      <c r="Q9" s="7">
        <f t="shared" si="0"/>
        <v>1.7666425760860838</v>
      </c>
      <c r="R9" s="7"/>
      <c r="S9" s="7" t="s">
        <v>614</v>
      </c>
      <c r="T9" s="7" t="s">
        <v>614</v>
      </c>
      <c r="U9" s="7"/>
      <c r="V9" s="7"/>
      <c r="W9" s="7"/>
      <c r="X9" s="7"/>
      <c r="Y9" s="7" t="s">
        <v>499</v>
      </c>
      <c r="Z9" s="7"/>
      <c r="AA9" s="7"/>
      <c r="AB9" s="7"/>
      <c r="AC9" s="7"/>
      <c r="AD9" s="7"/>
      <c r="AE9" t="s">
        <v>506</v>
      </c>
    </row>
    <row r="10" spans="1:31" ht="43.5">
      <c r="A10" s="1" t="s">
        <v>7</v>
      </c>
      <c r="B10" s="1" t="s">
        <v>6</v>
      </c>
      <c r="C10" s="1" t="s">
        <v>5</v>
      </c>
      <c r="D10" s="1"/>
      <c r="E10" s="1"/>
      <c r="F10" s="1"/>
      <c r="G10" s="7" t="s">
        <v>504</v>
      </c>
      <c r="H10" s="7">
        <v>0</v>
      </c>
      <c r="I10" s="7">
        <v>1</v>
      </c>
      <c r="J10" s="7">
        <v>3</v>
      </c>
      <c r="K10" s="7" t="s">
        <v>541</v>
      </c>
      <c r="L10" s="7" t="s">
        <v>542</v>
      </c>
      <c r="M10" s="7"/>
      <c r="N10" s="8"/>
      <c r="O10" s="7"/>
      <c r="P10" s="7">
        <v>19277</v>
      </c>
      <c r="Q10" s="7">
        <f t="shared" si="0"/>
        <v>1547.9804063277925</v>
      </c>
      <c r="R10" s="7"/>
      <c r="S10" s="7" t="s">
        <v>614</v>
      </c>
      <c r="T10" s="7" t="s">
        <v>614</v>
      </c>
      <c r="U10" s="7"/>
      <c r="V10" s="7"/>
      <c r="W10" s="7"/>
      <c r="X10" s="7"/>
      <c r="Y10" s="7" t="s">
        <v>499</v>
      </c>
      <c r="Z10" s="7"/>
      <c r="AA10" s="7"/>
      <c r="AB10" s="7"/>
      <c r="AC10" s="7"/>
      <c r="AD10" s="7"/>
      <c r="AE10" t="s">
        <v>506</v>
      </c>
    </row>
    <row r="11" spans="1:31" ht="101.5">
      <c r="A11" s="1" t="s">
        <v>7</v>
      </c>
      <c r="B11" s="1" t="s">
        <v>370</v>
      </c>
      <c r="C11" s="1" t="s">
        <v>371</v>
      </c>
      <c r="D11" s="1"/>
      <c r="E11" s="1"/>
      <c r="F11" s="1"/>
      <c r="G11" s="7" t="s">
        <v>504</v>
      </c>
      <c r="H11" s="7">
        <v>0</v>
      </c>
      <c r="I11" s="7">
        <v>3</v>
      </c>
      <c r="J11" s="7">
        <v>19</v>
      </c>
      <c r="K11" s="7"/>
      <c r="L11" s="7" t="s">
        <v>542</v>
      </c>
      <c r="M11" s="7"/>
      <c r="N11" s="8"/>
      <c r="O11" s="7"/>
      <c r="P11" s="7">
        <v>7</v>
      </c>
      <c r="Q11" s="7">
        <f t="shared" si="0"/>
        <v>0.56211354693648119</v>
      </c>
      <c r="R11" s="7"/>
      <c r="S11" s="7" t="s">
        <v>614</v>
      </c>
      <c r="T11" s="7" t="s">
        <v>614</v>
      </c>
      <c r="U11" s="7"/>
      <c r="V11" s="7"/>
      <c r="W11" s="7"/>
      <c r="X11" s="7"/>
      <c r="Y11" s="7" t="s">
        <v>499</v>
      </c>
      <c r="Z11" s="7"/>
      <c r="AA11" s="7"/>
      <c r="AB11" s="7"/>
      <c r="AC11" s="7"/>
      <c r="AD11" s="7"/>
      <c r="AE11" t="s">
        <v>506</v>
      </c>
    </row>
    <row r="12" spans="1:31" ht="174">
      <c r="A12" s="1" t="s">
        <v>74</v>
      </c>
      <c r="B12" s="1" t="s">
        <v>618</v>
      </c>
      <c r="C12" s="1" t="s">
        <v>617</v>
      </c>
      <c r="D12" s="1"/>
      <c r="E12" s="1"/>
      <c r="F12" s="1"/>
      <c r="G12" s="7" t="s">
        <v>504</v>
      </c>
      <c r="H12" s="7">
        <v>1</v>
      </c>
      <c r="I12" s="7">
        <v>6</v>
      </c>
      <c r="J12" s="7">
        <v>30</v>
      </c>
      <c r="K12" s="7"/>
      <c r="L12" s="7" t="s">
        <v>536</v>
      </c>
      <c r="M12" s="7" t="s">
        <v>642</v>
      </c>
      <c r="N12" s="8" t="s">
        <v>643</v>
      </c>
      <c r="O12" s="7"/>
      <c r="P12" s="7">
        <v>0</v>
      </c>
      <c r="Q12" s="7">
        <f t="shared" si="0"/>
        <v>0</v>
      </c>
      <c r="R12" s="7"/>
      <c r="S12" s="7" t="s">
        <v>614</v>
      </c>
      <c r="T12" s="7" t="s">
        <v>614</v>
      </c>
      <c r="U12" s="7"/>
      <c r="V12" s="7"/>
      <c r="W12" s="7"/>
      <c r="X12" s="7"/>
      <c r="Y12" s="7" t="s">
        <v>499</v>
      </c>
      <c r="Z12" s="7"/>
      <c r="AA12" s="7"/>
      <c r="AB12" s="7"/>
      <c r="AC12" s="7"/>
      <c r="AD12" s="7"/>
      <c r="AE12" t="s">
        <v>506</v>
      </c>
    </row>
    <row r="13" spans="1:31" ht="29">
      <c r="A13" s="1" t="s">
        <v>80</v>
      </c>
      <c r="B13" s="1" t="s">
        <v>385</v>
      </c>
      <c r="C13" s="1" t="s">
        <v>386</v>
      </c>
      <c r="D13" s="1"/>
      <c r="E13" s="1"/>
      <c r="F13" s="1"/>
      <c r="G13" s="7" t="s">
        <v>504</v>
      </c>
      <c r="H13" s="7">
        <v>0</v>
      </c>
      <c r="I13" s="7">
        <v>1</v>
      </c>
      <c r="J13" s="7">
        <v>2</v>
      </c>
      <c r="K13" s="7" t="s">
        <v>541</v>
      </c>
      <c r="L13" s="7" t="s">
        <v>550</v>
      </c>
      <c r="M13" s="7"/>
      <c r="N13" s="8"/>
      <c r="O13" s="7"/>
      <c r="P13" s="7">
        <v>19277</v>
      </c>
      <c r="Q13" s="7">
        <f t="shared" si="0"/>
        <v>1547.9804063277925</v>
      </c>
      <c r="R13" s="7"/>
      <c r="S13" s="7" t="s">
        <v>614</v>
      </c>
      <c r="T13" s="7" t="s">
        <v>614</v>
      </c>
      <c r="U13" s="7"/>
      <c r="V13" s="7"/>
      <c r="W13" s="7"/>
      <c r="X13" s="7"/>
      <c r="Y13" s="7" t="s">
        <v>499</v>
      </c>
      <c r="Z13" s="7"/>
      <c r="AA13" s="7"/>
      <c r="AB13" s="7"/>
      <c r="AC13" s="7"/>
      <c r="AD13" s="7"/>
      <c r="AE13" t="s">
        <v>506</v>
      </c>
    </row>
    <row r="14" spans="1:31" ht="43.5">
      <c r="A14" s="1" t="s">
        <v>84</v>
      </c>
      <c r="B14" s="1" t="s">
        <v>619</v>
      </c>
      <c r="C14" s="1" t="s">
        <v>620</v>
      </c>
      <c r="D14" s="1"/>
      <c r="E14" s="1"/>
      <c r="F14" s="1" t="s">
        <v>339</v>
      </c>
      <c r="G14" s="7" t="s">
        <v>500</v>
      </c>
      <c r="H14" s="7">
        <v>0</v>
      </c>
      <c r="I14" s="7">
        <v>1</v>
      </c>
      <c r="J14" s="7">
        <v>1</v>
      </c>
      <c r="K14" s="7" t="s">
        <v>541</v>
      </c>
      <c r="L14" s="7" t="s">
        <v>550</v>
      </c>
      <c r="M14" s="7"/>
      <c r="N14" s="8"/>
      <c r="O14" s="7"/>
      <c r="P14" s="7">
        <v>19277</v>
      </c>
      <c r="Q14" s="7">
        <f t="shared" si="0"/>
        <v>1547.9804063277925</v>
      </c>
      <c r="R14" s="7"/>
      <c r="S14" s="7" t="s">
        <v>614</v>
      </c>
      <c r="T14" s="7" t="s">
        <v>614</v>
      </c>
      <c r="U14" s="7" t="s">
        <v>544</v>
      </c>
      <c r="V14" s="7"/>
      <c r="W14" s="7"/>
      <c r="X14" s="7"/>
      <c r="Y14" s="7" t="s">
        <v>499</v>
      </c>
      <c r="Z14" s="7"/>
      <c r="AA14" s="7"/>
      <c r="AB14" s="7"/>
      <c r="AC14" s="7"/>
      <c r="AD14" s="7"/>
      <c r="AE14" t="s">
        <v>506</v>
      </c>
    </row>
    <row r="15" spans="1:31" ht="29">
      <c r="A15" s="1" t="s">
        <v>96</v>
      </c>
      <c r="B15" s="1" t="s">
        <v>391</v>
      </c>
      <c r="C15" s="1" t="s">
        <v>390</v>
      </c>
      <c r="D15" s="1"/>
      <c r="E15" s="1"/>
      <c r="F15" s="1"/>
      <c r="G15" s="7" t="s">
        <v>504</v>
      </c>
      <c r="H15" s="7">
        <v>0</v>
      </c>
      <c r="I15" s="7">
        <v>1</v>
      </c>
      <c r="J15" s="7">
        <v>2</v>
      </c>
      <c r="K15" s="7" t="s">
        <v>568</v>
      </c>
      <c r="L15" s="7" t="s">
        <v>550</v>
      </c>
      <c r="M15" s="7"/>
      <c r="N15" s="8"/>
      <c r="O15" s="7" t="s">
        <v>537</v>
      </c>
      <c r="P15" s="7">
        <v>273</v>
      </c>
      <c r="Q15" s="7">
        <f t="shared" si="0"/>
        <v>21.922428330522767</v>
      </c>
      <c r="R15" s="7"/>
      <c r="S15" s="7" t="s">
        <v>614</v>
      </c>
      <c r="T15" s="7" t="s">
        <v>614</v>
      </c>
      <c r="U15" s="7"/>
      <c r="V15" s="7"/>
      <c r="W15" s="7"/>
      <c r="X15" s="7"/>
      <c r="Y15" s="7" t="s">
        <v>499</v>
      </c>
      <c r="Z15" s="7"/>
      <c r="AA15" s="7"/>
      <c r="AB15" s="7"/>
      <c r="AC15" s="7"/>
      <c r="AD15" s="7"/>
      <c r="AE15" t="s">
        <v>499</v>
      </c>
    </row>
    <row r="16" spans="1:31" ht="29">
      <c r="A16" s="1" t="s">
        <v>119</v>
      </c>
      <c r="B16" s="1" t="s">
        <v>398</v>
      </c>
      <c r="C16" s="1" t="s">
        <v>399</v>
      </c>
      <c r="D16" s="1"/>
      <c r="E16" s="1"/>
      <c r="F16" s="1"/>
      <c r="G16" s="7" t="s">
        <v>504</v>
      </c>
      <c r="H16" s="7">
        <v>0</v>
      </c>
      <c r="I16" s="7">
        <v>1</v>
      </c>
      <c r="J16" s="7">
        <v>3</v>
      </c>
      <c r="K16" s="7" t="s">
        <v>541</v>
      </c>
      <c r="L16" s="7" t="s">
        <v>550</v>
      </c>
      <c r="M16" s="7"/>
      <c r="N16" s="8"/>
      <c r="O16" s="7"/>
      <c r="P16" s="7">
        <v>19277</v>
      </c>
      <c r="Q16" s="7">
        <f t="shared" si="0"/>
        <v>1547.9804063277925</v>
      </c>
      <c r="R16" s="7"/>
      <c r="S16" s="7" t="s">
        <v>614</v>
      </c>
      <c r="T16" s="7" t="s">
        <v>614</v>
      </c>
      <c r="U16" s="7"/>
      <c r="V16" s="7"/>
      <c r="W16" s="7"/>
      <c r="X16" s="7"/>
      <c r="Y16" s="7" t="s">
        <v>499</v>
      </c>
      <c r="Z16" s="7"/>
      <c r="AA16" s="7"/>
      <c r="AB16" s="7"/>
      <c r="AC16" s="7"/>
      <c r="AD16" s="7"/>
      <c r="AE16" t="s">
        <v>506</v>
      </c>
    </row>
    <row r="17" spans="1:31" ht="130.5">
      <c r="A17" s="1" t="s">
        <v>130</v>
      </c>
      <c r="B17" s="1" t="s">
        <v>631</v>
      </c>
      <c r="C17" s="1" t="s">
        <v>632</v>
      </c>
      <c r="D17" s="1"/>
      <c r="E17" s="1"/>
      <c r="F17" s="1" t="s">
        <v>339</v>
      </c>
      <c r="G17" s="7" t="s">
        <v>500</v>
      </c>
      <c r="H17" s="7">
        <v>1</v>
      </c>
      <c r="I17" s="7">
        <v>3</v>
      </c>
      <c r="J17" s="7">
        <v>17</v>
      </c>
      <c r="K17" s="7"/>
      <c r="L17" s="7" t="s">
        <v>536</v>
      </c>
      <c r="M17" s="7" t="s">
        <v>594</v>
      </c>
      <c r="N17" s="8" t="s">
        <v>633</v>
      </c>
      <c r="O17" s="7" t="s">
        <v>537</v>
      </c>
      <c r="P17" s="7">
        <v>26</v>
      </c>
      <c r="Q17" s="7">
        <f t="shared" si="0"/>
        <v>2.0878503171926446</v>
      </c>
      <c r="R17" s="7"/>
      <c r="S17" s="7" t="s">
        <v>614</v>
      </c>
      <c r="T17" s="7" t="s">
        <v>614</v>
      </c>
      <c r="U17" s="7"/>
      <c r="V17" s="7"/>
      <c r="W17" s="7"/>
      <c r="X17" s="7"/>
      <c r="Y17" s="7" t="s">
        <v>499</v>
      </c>
      <c r="Z17" s="7"/>
      <c r="AA17" s="7"/>
      <c r="AB17" s="7"/>
      <c r="AC17" s="7"/>
      <c r="AD17" s="7"/>
      <c r="AE17" t="s">
        <v>506</v>
      </c>
    </row>
    <row r="18" spans="1:31" ht="217.5">
      <c r="A18" s="1" t="s">
        <v>133</v>
      </c>
      <c r="B18" s="1" t="s">
        <v>406</v>
      </c>
      <c r="C18" s="1" t="s">
        <v>407</v>
      </c>
      <c r="D18" s="1"/>
      <c r="E18" s="1"/>
      <c r="F18" s="1"/>
      <c r="G18" s="7" t="s">
        <v>504</v>
      </c>
      <c r="H18" s="7">
        <v>3</v>
      </c>
      <c r="I18" s="7">
        <v>13</v>
      </c>
      <c r="J18" s="7">
        <v>60</v>
      </c>
      <c r="K18" s="7"/>
      <c r="L18" s="7" t="s">
        <v>536</v>
      </c>
      <c r="M18" s="7" t="s">
        <v>594</v>
      </c>
      <c r="N18" s="8" t="s">
        <v>634</v>
      </c>
      <c r="O18" s="7"/>
      <c r="P18" s="7">
        <v>13</v>
      </c>
      <c r="Q18" s="7">
        <f t="shared" si="0"/>
        <v>1.0439251585963223</v>
      </c>
      <c r="R18" s="7"/>
      <c r="S18" s="7" t="s">
        <v>614</v>
      </c>
      <c r="T18" s="7" t="s">
        <v>614</v>
      </c>
      <c r="U18" s="7"/>
      <c r="V18" s="7"/>
      <c r="W18" s="7"/>
      <c r="X18" s="7"/>
      <c r="Y18" s="7" t="s">
        <v>499</v>
      </c>
      <c r="Z18" s="7"/>
      <c r="AA18" s="7"/>
      <c r="AB18" s="7"/>
      <c r="AC18" s="7"/>
      <c r="AD18" s="7"/>
      <c r="AE18" t="s">
        <v>506</v>
      </c>
    </row>
    <row r="19" spans="1:31" ht="43.5">
      <c r="A19" s="1" t="s">
        <v>155</v>
      </c>
      <c r="B19" s="1" t="s">
        <v>638</v>
      </c>
      <c r="C19" s="1" t="s">
        <v>639</v>
      </c>
      <c r="D19" s="1"/>
      <c r="E19" s="1"/>
      <c r="F19" s="1"/>
      <c r="G19" s="7" t="s">
        <v>504</v>
      </c>
      <c r="H19" s="7">
        <v>0</v>
      </c>
      <c r="I19" s="7">
        <v>1</v>
      </c>
      <c r="J19" s="7">
        <v>2</v>
      </c>
      <c r="K19" s="7" t="s">
        <v>541</v>
      </c>
      <c r="L19" s="7" t="s">
        <v>550</v>
      </c>
      <c r="M19" s="7"/>
      <c r="N19" s="8"/>
      <c r="O19" s="7"/>
      <c r="P19" s="7">
        <v>19277</v>
      </c>
      <c r="Q19" s="7">
        <f t="shared" si="0"/>
        <v>1547.9804063277925</v>
      </c>
      <c r="R19" s="7"/>
      <c r="S19" s="7" t="s">
        <v>614</v>
      </c>
      <c r="T19" s="7" t="s">
        <v>614</v>
      </c>
      <c r="U19" s="7"/>
      <c r="V19" s="7"/>
      <c r="W19" s="7"/>
      <c r="X19" s="7"/>
      <c r="Y19" s="7" t="s">
        <v>499</v>
      </c>
      <c r="Z19" s="7"/>
      <c r="AA19" s="7"/>
      <c r="AB19" s="7"/>
      <c r="AC19" s="7"/>
      <c r="AD19" s="7"/>
      <c r="AE19" t="s">
        <v>506</v>
      </c>
    </row>
    <row r="20" spans="1:31" ht="29">
      <c r="A20" s="1" t="s">
        <v>176</v>
      </c>
      <c r="B20" s="1" t="s">
        <v>662</v>
      </c>
      <c r="C20" s="1" t="s">
        <v>663</v>
      </c>
      <c r="D20" s="1"/>
      <c r="E20" s="1"/>
      <c r="F20" s="1"/>
      <c r="G20" s="7" t="s">
        <v>500</v>
      </c>
      <c r="H20" s="7">
        <v>0</v>
      </c>
      <c r="I20" s="7">
        <v>1</v>
      </c>
      <c r="J20" s="7">
        <v>1</v>
      </c>
      <c r="K20" s="7" t="s">
        <v>541</v>
      </c>
      <c r="L20" s="7" t="s">
        <v>550</v>
      </c>
      <c r="M20" s="7"/>
      <c r="N20" s="8"/>
      <c r="O20" s="7"/>
      <c r="P20" s="7">
        <v>19277</v>
      </c>
      <c r="Q20" s="7">
        <f t="shared" si="0"/>
        <v>1547.9804063277925</v>
      </c>
      <c r="R20" s="7"/>
      <c r="S20" s="7" t="s">
        <v>614</v>
      </c>
      <c r="T20" s="7" t="s">
        <v>614</v>
      </c>
      <c r="U20" s="7"/>
      <c r="V20" s="7"/>
      <c r="W20" s="7"/>
      <c r="X20" s="7"/>
      <c r="Y20" s="7" t="s">
        <v>499</v>
      </c>
      <c r="Z20" s="7"/>
      <c r="AA20" s="7"/>
      <c r="AB20" s="7"/>
      <c r="AC20" s="7"/>
      <c r="AD20" s="7"/>
      <c r="AE20" t="s">
        <v>506</v>
      </c>
    </row>
    <row r="21" spans="1:31" ht="319">
      <c r="A21" s="1" t="s">
        <v>196</v>
      </c>
      <c r="B21" s="1" t="s">
        <v>672</v>
      </c>
      <c r="C21" s="1" t="s">
        <v>886</v>
      </c>
      <c r="D21" s="1"/>
      <c r="E21" s="1"/>
      <c r="F21" s="1"/>
      <c r="G21" s="7" t="s">
        <v>500</v>
      </c>
      <c r="H21" s="7">
        <v>0</v>
      </c>
      <c r="I21" s="7">
        <v>6</v>
      </c>
      <c r="J21" s="7">
        <v>34</v>
      </c>
      <c r="K21" s="7"/>
      <c r="L21" s="7" t="s">
        <v>536</v>
      </c>
      <c r="M21" s="7" t="s">
        <v>594</v>
      </c>
      <c r="N21" s="8" t="s">
        <v>887</v>
      </c>
      <c r="O21" s="7" t="s">
        <v>543</v>
      </c>
      <c r="P21" s="7">
        <v>17</v>
      </c>
      <c r="Q21" s="7">
        <f t="shared" si="0"/>
        <v>1.3651328997028829</v>
      </c>
      <c r="R21" s="7"/>
      <c r="S21" s="7" t="s">
        <v>614</v>
      </c>
      <c r="T21" s="7" t="s">
        <v>614</v>
      </c>
      <c r="U21" s="7"/>
      <c r="V21" s="7"/>
      <c r="W21" s="7"/>
      <c r="X21" s="7"/>
      <c r="Y21" s="7" t="s">
        <v>499</v>
      </c>
      <c r="Z21" s="7"/>
      <c r="AA21" s="7"/>
      <c r="AB21" s="7"/>
      <c r="AC21" s="7"/>
      <c r="AD21" s="7"/>
      <c r="AE21" t="s">
        <v>506</v>
      </c>
    </row>
    <row r="22" spans="1:31" ht="43.5">
      <c r="A22" s="1" t="s">
        <v>203</v>
      </c>
      <c r="B22" s="1" t="s">
        <v>677</v>
      </c>
      <c r="C22" s="1" t="s">
        <v>678</v>
      </c>
      <c r="D22" s="1"/>
      <c r="E22" s="1"/>
      <c r="F22" s="1"/>
      <c r="G22" s="7" t="s">
        <v>504</v>
      </c>
      <c r="H22" s="7">
        <v>0</v>
      </c>
      <c r="I22" s="7">
        <v>1</v>
      </c>
      <c r="J22" s="7">
        <v>4</v>
      </c>
      <c r="K22" s="7" t="s">
        <v>562</v>
      </c>
      <c r="L22" s="7" t="s">
        <v>542</v>
      </c>
      <c r="M22" s="7"/>
      <c r="N22" s="8"/>
      <c r="O22" s="7"/>
      <c r="P22" s="7">
        <v>79</v>
      </c>
      <c r="Q22" s="7">
        <f t="shared" si="0"/>
        <v>6.3438528868545729</v>
      </c>
      <c r="R22" s="7"/>
      <c r="S22" s="7" t="s">
        <v>614</v>
      </c>
      <c r="T22" s="7" t="s">
        <v>614</v>
      </c>
      <c r="U22" s="7"/>
      <c r="V22" s="7"/>
      <c r="W22" s="7"/>
      <c r="X22" s="7"/>
      <c r="Y22" s="7" t="s">
        <v>499</v>
      </c>
      <c r="Z22" s="7"/>
      <c r="AA22" s="7"/>
      <c r="AB22" s="7"/>
      <c r="AC22" s="7"/>
      <c r="AD22" s="7"/>
      <c r="AE22" t="s">
        <v>506</v>
      </c>
    </row>
    <row r="23" spans="1:31" ht="43.5">
      <c r="A23" s="1" t="s">
        <v>211</v>
      </c>
      <c r="B23" s="1" t="s">
        <v>423</v>
      </c>
      <c r="C23" s="1" t="s">
        <v>424</v>
      </c>
      <c r="D23" s="1"/>
      <c r="E23" s="1"/>
      <c r="F23" s="1"/>
      <c r="G23" s="7" t="s">
        <v>500</v>
      </c>
      <c r="H23" s="7">
        <v>0</v>
      </c>
      <c r="I23" s="7">
        <v>1</v>
      </c>
      <c r="J23" s="7">
        <v>1</v>
      </c>
      <c r="K23" s="7" t="s">
        <v>541</v>
      </c>
      <c r="L23" s="7" t="s">
        <v>550</v>
      </c>
      <c r="M23" s="7"/>
      <c r="N23" s="8"/>
      <c r="O23" s="7"/>
      <c r="P23" s="7">
        <v>19277</v>
      </c>
      <c r="Q23" s="7">
        <f t="shared" si="0"/>
        <v>1547.9804063277925</v>
      </c>
      <c r="R23" s="7"/>
      <c r="S23" s="7" t="s">
        <v>614</v>
      </c>
      <c r="T23" s="7" t="s">
        <v>614</v>
      </c>
      <c r="U23" s="7"/>
      <c r="V23" s="7"/>
      <c r="W23" s="7"/>
      <c r="X23" s="7"/>
      <c r="Y23" s="7" t="s">
        <v>499</v>
      </c>
      <c r="Z23" s="7"/>
      <c r="AA23" s="7"/>
      <c r="AB23" s="7"/>
      <c r="AC23" s="7"/>
      <c r="AD23" s="7"/>
      <c r="AE23" t="s">
        <v>506</v>
      </c>
    </row>
    <row r="24" spans="1:31" ht="101.5">
      <c r="A24" s="1" t="s">
        <v>215</v>
      </c>
      <c r="B24" s="1" t="s">
        <v>682</v>
      </c>
      <c r="C24" s="1" t="s">
        <v>683</v>
      </c>
      <c r="D24" s="1"/>
      <c r="E24" s="1"/>
      <c r="F24" s="1"/>
      <c r="G24" s="7" t="s">
        <v>504</v>
      </c>
      <c r="H24" s="7">
        <v>1</v>
      </c>
      <c r="I24" s="7">
        <v>4</v>
      </c>
      <c r="J24" s="7">
        <v>16</v>
      </c>
      <c r="K24" s="7"/>
      <c r="L24" s="7" t="s">
        <v>536</v>
      </c>
      <c r="M24" s="7" t="s">
        <v>594</v>
      </c>
      <c r="N24" s="8" t="s">
        <v>612</v>
      </c>
      <c r="O24" s="7"/>
      <c r="P24" s="7">
        <v>188</v>
      </c>
      <c r="Q24" s="7">
        <f t="shared" si="0"/>
        <v>15.096763832008351</v>
      </c>
      <c r="R24" s="7"/>
      <c r="S24" s="7" t="s">
        <v>614</v>
      </c>
      <c r="T24" s="7" t="s">
        <v>614</v>
      </c>
      <c r="U24" s="7" t="s">
        <v>544</v>
      </c>
      <c r="V24" s="7"/>
      <c r="W24" s="7"/>
      <c r="X24" s="7"/>
      <c r="Y24" s="7" t="s">
        <v>499</v>
      </c>
      <c r="Z24" s="7"/>
      <c r="AA24" s="7"/>
      <c r="AB24" s="7"/>
      <c r="AC24" s="7"/>
      <c r="AD24" s="7"/>
      <c r="AE24" t="s">
        <v>506</v>
      </c>
    </row>
    <row r="25" spans="1:31" ht="29">
      <c r="A25" s="1" t="s">
        <v>218</v>
      </c>
      <c r="B25" s="1" t="s">
        <v>686</v>
      </c>
      <c r="C25" s="1" t="s">
        <v>685</v>
      </c>
      <c r="D25" s="1"/>
      <c r="E25" s="1"/>
      <c r="F25" s="1"/>
      <c r="G25" s="7" t="s">
        <v>504</v>
      </c>
      <c r="H25" s="7">
        <v>0</v>
      </c>
      <c r="I25" s="7">
        <v>1</v>
      </c>
      <c r="J25" s="7">
        <v>1</v>
      </c>
      <c r="K25" s="7" t="s">
        <v>541</v>
      </c>
      <c r="L25" s="7" t="s">
        <v>550</v>
      </c>
      <c r="M25" s="7"/>
      <c r="N25" s="8"/>
      <c r="O25" s="7"/>
      <c r="P25" s="7">
        <v>19277</v>
      </c>
      <c r="Q25" s="7">
        <f t="shared" si="0"/>
        <v>1547.9804063277925</v>
      </c>
      <c r="R25" s="7"/>
      <c r="S25" s="7" t="s">
        <v>614</v>
      </c>
      <c r="T25" s="7" t="s">
        <v>614</v>
      </c>
      <c r="U25" s="7"/>
      <c r="V25" s="7"/>
      <c r="W25" s="7"/>
      <c r="X25" s="7"/>
      <c r="Y25" s="7" t="s">
        <v>499</v>
      </c>
      <c r="Z25" s="7"/>
      <c r="AA25" s="7"/>
      <c r="AB25" s="7"/>
      <c r="AC25" s="7"/>
      <c r="AD25" s="7"/>
      <c r="AE25" t="s">
        <v>506</v>
      </c>
    </row>
    <row r="26" spans="1:31" ht="87">
      <c r="A26" s="1" t="s">
        <v>223</v>
      </c>
      <c r="B26" s="1" t="s">
        <v>430</v>
      </c>
      <c r="C26" s="1" t="s">
        <v>431</v>
      </c>
      <c r="D26" s="1"/>
      <c r="E26" s="1"/>
      <c r="F26" s="1"/>
      <c r="G26" s="7" t="s">
        <v>504</v>
      </c>
      <c r="H26" s="7">
        <v>1</v>
      </c>
      <c r="I26" s="7">
        <v>4</v>
      </c>
      <c r="J26" s="7">
        <v>16</v>
      </c>
      <c r="K26" s="7"/>
      <c r="L26" s="7" t="s">
        <v>536</v>
      </c>
      <c r="M26" s="7" t="s">
        <v>642</v>
      </c>
      <c r="N26" s="8" t="s">
        <v>692</v>
      </c>
      <c r="O26" s="7"/>
      <c r="P26" s="7">
        <v>189</v>
      </c>
      <c r="Q26" s="7">
        <f t="shared" si="0"/>
        <v>15.177065767284992</v>
      </c>
      <c r="R26" s="7"/>
      <c r="S26" s="7" t="s">
        <v>614</v>
      </c>
      <c r="T26" s="7" t="s">
        <v>614</v>
      </c>
      <c r="U26" s="7"/>
      <c r="V26" s="7"/>
      <c r="W26" s="7"/>
      <c r="X26" s="7"/>
      <c r="Y26" s="7" t="s">
        <v>499</v>
      </c>
      <c r="Z26" s="7"/>
      <c r="AA26" s="7"/>
      <c r="AB26" s="7"/>
      <c r="AC26" s="7"/>
      <c r="AD26" s="7"/>
      <c r="AE26" t="s">
        <v>506</v>
      </c>
    </row>
    <row r="27" spans="1:31" ht="43.5">
      <c r="A27" s="1" t="s">
        <v>223</v>
      </c>
      <c r="B27" s="1" t="s">
        <v>433</v>
      </c>
      <c r="C27" s="1" t="s">
        <v>434</v>
      </c>
      <c r="D27" s="1"/>
      <c r="E27" s="1"/>
      <c r="F27" s="1"/>
      <c r="G27" s="7" t="s">
        <v>500</v>
      </c>
      <c r="H27" s="7">
        <v>0</v>
      </c>
      <c r="I27" s="7">
        <v>1</v>
      </c>
      <c r="J27" s="7">
        <v>3</v>
      </c>
      <c r="K27" s="7" t="s">
        <v>541</v>
      </c>
      <c r="L27" s="7" t="s">
        <v>542</v>
      </c>
      <c r="M27" s="7"/>
      <c r="N27" s="8"/>
      <c r="O27" s="7"/>
      <c r="P27" s="7">
        <v>19277</v>
      </c>
      <c r="Q27" s="7">
        <f t="shared" si="0"/>
        <v>1547.9804063277925</v>
      </c>
      <c r="R27" s="7"/>
      <c r="S27" s="7" t="s">
        <v>614</v>
      </c>
      <c r="T27" s="7" t="s">
        <v>614</v>
      </c>
      <c r="U27" s="7"/>
      <c r="V27" s="7"/>
      <c r="W27" s="7"/>
      <c r="X27" s="7"/>
      <c r="Y27" s="7" t="s">
        <v>499</v>
      </c>
      <c r="Z27" s="7"/>
      <c r="AA27" s="7"/>
      <c r="AB27" s="7"/>
      <c r="AC27" s="7"/>
      <c r="AD27" s="7"/>
      <c r="AE27" t="s">
        <v>506</v>
      </c>
    </row>
    <row r="28" spans="1:31" ht="409.5">
      <c r="A28" s="1" t="s">
        <v>438</v>
      </c>
      <c r="B28" s="1" t="s">
        <v>889</v>
      </c>
      <c r="C28" s="1" t="s">
        <v>439</v>
      </c>
      <c r="D28" s="1"/>
      <c r="E28" s="1"/>
      <c r="F28" s="1"/>
      <c r="G28" s="7" t="s">
        <v>504</v>
      </c>
      <c r="H28" s="7">
        <v>7</v>
      </c>
      <c r="I28" s="7">
        <v>22</v>
      </c>
      <c r="J28" s="7">
        <v>106</v>
      </c>
      <c r="K28" s="7"/>
      <c r="L28" s="7" t="s">
        <v>536</v>
      </c>
      <c r="M28" s="7" t="s">
        <v>594</v>
      </c>
      <c r="N28" s="8" t="s">
        <v>693</v>
      </c>
      <c r="O28" s="7"/>
      <c r="P28" s="7">
        <v>1</v>
      </c>
      <c r="Q28" s="7">
        <f t="shared" si="0"/>
        <v>8.0301935276640174E-2</v>
      </c>
      <c r="R28" s="7"/>
      <c r="S28" s="7" t="s">
        <v>614</v>
      </c>
      <c r="T28" s="7" t="s">
        <v>614</v>
      </c>
      <c r="U28" s="7"/>
      <c r="V28" s="7"/>
      <c r="W28" s="7"/>
      <c r="X28" s="7"/>
      <c r="Y28" s="7" t="s">
        <v>499</v>
      </c>
      <c r="Z28" s="7"/>
      <c r="AA28" s="7"/>
      <c r="AB28" s="7"/>
      <c r="AC28" s="7"/>
      <c r="AD28" s="7"/>
      <c r="AE28" t="s">
        <v>506</v>
      </c>
    </row>
    <row r="29" spans="1:31" ht="72.5">
      <c r="A29" s="1" t="s">
        <v>231</v>
      </c>
      <c r="B29" s="1" t="s">
        <v>443</v>
      </c>
      <c r="C29" s="1" t="s">
        <v>444</v>
      </c>
      <c r="D29" s="1"/>
      <c r="E29" s="1"/>
      <c r="F29" s="1"/>
      <c r="G29" s="7" t="s">
        <v>504</v>
      </c>
      <c r="H29" s="7">
        <v>0</v>
      </c>
      <c r="I29" s="7">
        <v>1</v>
      </c>
      <c r="J29" s="7">
        <v>3</v>
      </c>
      <c r="K29" s="7" t="s">
        <v>541</v>
      </c>
      <c r="L29" s="7" t="s">
        <v>542</v>
      </c>
      <c r="M29" s="7"/>
      <c r="N29" s="8"/>
      <c r="O29" s="7"/>
      <c r="P29" s="7">
        <v>19277</v>
      </c>
      <c r="Q29" s="7">
        <f t="shared" si="0"/>
        <v>1547.9804063277925</v>
      </c>
      <c r="R29" s="7"/>
      <c r="S29" s="7" t="s">
        <v>614</v>
      </c>
      <c r="T29" s="7" t="s">
        <v>614</v>
      </c>
      <c r="U29" s="7" t="s">
        <v>544</v>
      </c>
      <c r="V29" s="7"/>
      <c r="W29" s="7"/>
      <c r="X29" s="7"/>
      <c r="Y29" s="7" t="s">
        <v>499</v>
      </c>
      <c r="Z29" s="7"/>
      <c r="AA29" s="7"/>
      <c r="AB29" s="7"/>
      <c r="AC29" s="7"/>
      <c r="AD29" s="7"/>
      <c r="AE29" t="s">
        <v>506</v>
      </c>
    </row>
    <row r="30" spans="1:31" ht="72.5">
      <c r="A30" s="1" t="s">
        <v>231</v>
      </c>
      <c r="B30" s="1" t="s">
        <v>445</v>
      </c>
      <c r="C30" s="1" t="s">
        <v>446</v>
      </c>
      <c r="D30" s="1"/>
      <c r="E30" s="1"/>
      <c r="F30" s="1"/>
      <c r="G30" s="7" t="s">
        <v>504</v>
      </c>
      <c r="H30" s="7">
        <v>0</v>
      </c>
      <c r="I30" s="7">
        <v>1</v>
      </c>
      <c r="J30" s="7">
        <v>3</v>
      </c>
      <c r="K30" s="7" t="s">
        <v>541</v>
      </c>
      <c r="L30" s="7" t="s">
        <v>542</v>
      </c>
      <c r="M30" s="7"/>
      <c r="N30" s="8"/>
      <c r="O30" s="7"/>
      <c r="P30" s="7">
        <v>19277</v>
      </c>
      <c r="Q30" s="7">
        <f t="shared" si="0"/>
        <v>1547.9804063277925</v>
      </c>
      <c r="R30" s="7"/>
      <c r="S30" s="7" t="s">
        <v>614</v>
      </c>
      <c r="T30" s="7" t="s">
        <v>614</v>
      </c>
      <c r="U30" s="7" t="s">
        <v>544</v>
      </c>
      <c r="V30" s="7"/>
      <c r="W30" s="7"/>
      <c r="X30" s="7"/>
      <c r="Y30" s="7" t="s">
        <v>499</v>
      </c>
      <c r="Z30" s="7"/>
      <c r="AA30" s="7"/>
      <c r="AB30" s="7"/>
      <c r="AC30" s="7"/>
      <c r="AD30" s="7"/>
      <c r="AE30" t="s">
        <v>506</v>
      </c>
    </row>
    <row r="31" spans="1:31" ht="116">
      <c r="A31" s="1" t="s">
        <v>234</v>
      </c>
      <c r="B31" s="1" t="s">
        <v>449</v>
      </c>
      <c r="C31" s="1" t="s">
        <v>450</v>
      </c>
      <c r="D31" s="1"/>
      <c r="E31" s="1"/>
      <c r="F31" s="1"/>
      <c r="G31" s="7" t="s">
        <v>504</v>
      </c>
      <c r="H31" s="7">
        <v>1</v>
      </c>
      <c r="I31" s="7">
        <v>4</v>
      </c>
      <c r="J31" s="7">
        <v>16</v>
      </c>
      <c r="K31" s="7"/>
      <c r="L31" s="7" t="s">
        <v>536</v>
      </c>
      <c r="M31" s="7" t="s">
        <v>594</v>
      </c>
      <c r="N31" s="8" t="s">
        <v>604</v>
      </c>
      <c r="O31" s="7"/>
      <c r="P31" s="7">
        <v>311</v>
      </c>
      <c r="Q31" s="7">
        <f t="shared" si="0"/>
        <v>24.973901871035093</v>
      </c>
      <c r="R31" s="7"/>
      <c r="S31" s="7" t="s">
        <v>614</v>
      </c>
      <c r="T31" s="7" t="s">
        <v>614</v>
      </c>
      <c r="U31" s="7"/>
      <c r="V31" s="7"/>
      <c r="W31" s="7"/>
      <c r="X31" s="7"/>
      <c r="Y31" s="7" t="s">
        <v>499</v>
      </c>
      <c r="Z31" s="7"/>
      <c r="AA31" s="7"/>
      <c r="AB31" s="7"/>
      <c r="AC31" s="7"/>
      <c r="AD31" s="7"/>
      <c r="AE31" t="s">
        <v>506</v>
      </c>
    </row>
    <row r="32" spans="1:31" ht="58">
      <c r="A32" s="1" t="s">
        <v>242</v>
      </c>
      <c r="B32" s="1" t="s">
        <v>457</v>
      </c>
      <c r="C32" s="1" t="s">
        <v>705</v>
      </c>
      <c r="D32" s="1"/>
      <c r="E32" s="1"/>
      <c r="F32" s="1" t="s">
        <v>339</v>
      </c>
      <c r="G32" s="7" t="s">
        <v>500</v>
      </c>
      <c r="H32" s="7">
        <v>0</v>
      </c>
      <c r="I32" s="7">
        <v>1</v>
      </c>
      <c r="J32" s="7">
        <v>4</v>
      </c>
      <c r="K32" s="7" t="s">
        <v>562</v>
      </c>
      <c r="L32" s="7" t="s">
        <v>542</v>
      </c>
      <c r="M32" s="7"/>
      <c r="N32" s="8"/>
      <c r="O32" s="7"/>
      <c r="P32" s="7">
        <v>3713</v>
      </c>
      <c r="Q32" s="7">
        <f t="shared" si="0"/>
        <v>298.16108568216498</v>
      </c>
      <c r="R32" s="7"/>
      <c r="S32" s="7" t="s">
        <v>614</v>
      </c>
      <c r="T32" s="7" t="s">
        <v>614</v>
      </c>
      <c r="U32" s="7"/>
      <c r="V32" s="7"/>
      <c r="W32" s="7"/>
      <c r="X32" s="7"/>
      <c r="Y32" s="7" t="s">
        <v>499</v>
      </c>
      <c r="Z32" s="7"/>
      <c r="AA32" s="7"/>
      <c r="AB32" s="7"/>
      <c r="AC32" s="7"/>
      <c r="AD32" s="7"/>
      <c r="AE32" t="s">
        <v>506</v>
      </c>
    </row>
    <row r="33" spans="1:31" ht="87">
      <c r="A33" s="1" t="s">
        <v>246</v>
      </c>
      <c r="B33" s="1" t="s">
        <v>706</v>
      </c>
      <c r="C33" s="1" t="s">
        <v>707</v>
      </c>
      <c r="D33" s="1"/>
      <c r="E33" s="1"/>
      <c r="F33" s="1"/>
      <c r="G33" s="7" t="s">
        <v>500</v>
      </c>
      <c r="H33" s="7">
        <v>0</v>
      </c>
      <c r="I33" s="7">
        <v>1</v>
      </c>
      <c r="J33" s="7">
        <v>2</v>
      </c>
      <c r="K33" s="7" t="s">
        <v>564</v>
      </c>
      <c r="L33" s="7" t="s">
        <v>550</v>
      </c>
      <c r="M33" s="7"/>
      <c r="N33" s="8"/>
      <c r="O33" s="7"/>
      <c r="P33" s="7">
        <v>903</v>
      </c>
      <c r="Q33" s="7">
        <f t="shared" si="0"/>
        <v>72.512647554806065</v>
      </c>
      <c r="R33" s="7"/>
      <c r="S33" s="7" t="s">
        <v>614</v>
      </c>
      <c r="T33" s="7" t="s">
        <v>614</v>
      </c>
      <c r="U33" s="7" t="s">
        <v>544</v>
      </c>
      <c r="V33" s="7"/>
      <c r="W33" s="7"/>
      <c r="X33" s="7"/>
      <c r="Y33" s="7" t="s">
        <v>499</v>
      </c>
      <c r="Z33" s="7"/>
      <c r="AA33" s="7"/>
      <c r="AB33" s="7"/>
      <c r="AC33" s="7"/>
      <c r="AD33" s="7"/>
      <c r="AE33" t="s">
        <v>499</v>
      </c>
    </row>
    <row r="34" spans="1:31" ht="29">
      <c r="A34" s="1" t="s">
        <v>251</v>
      </c>
      <c r="B34" s="1" t="s">
        <v>458</v>
      </c>
      <c r="C34" s="1" t="s">
        <v>459</v>
      </c>
      <c r="D34" s="1"/>
      <c r="E34" s="1"/>
      <c r="F34" s="1"/>
      <c r="G34" s="7" t="s">
        <v>504</v>
      </c>
      <c r="H34" s="7">
        <v>0</v>
      </c>
      <c r="I34" s="7">
        <v>1</v>
      </c>
      <c r="J34" s="7">
        <v>1</v>
      </c>
      <c r="K34" s="7" t="s">
        <v>541</v>
      </c>
      <c r="L34" s="7" t="s">
        <v>550</v>
      </c>
      <c r="M34" s="7"/>
      <c r="N34" s="8"/>
      <c r="O34" s="7"/>
      <c r="P34" s="7">
        <v>19277</v>
      </c>
      <c r="Q34" s="7">
        <f t="shared" si="0"/>
        <v>1547.9804063277925</v>
      </c>
      <c r="R34" s="7"/>
      <c r="S34" s="7" t="s">
        <v>614</v>
      </c>
      <c r="T34" s="7" t="s">
        <v>614</v>
      </c>
      <c r="U34" s="7" t="s">
        <v>544</v>
      </c>
      <c r="V34" s="7"/>
      <c r="W34" s="7"/>
      <c r="X34" s="7"/>
      <c r="Y34" s="7" t="s">
        <v>499</v>
      </c>
      <c r="Z34" s="7"/>
      <c r="AA34" s="7"/>
      <c r="AB34" s="7"/>
      <c r="AC34" s="7"/>
      <c r="AD34" s="7"/>
      <c r="AE34" t="s">
        <v>499</v>
      </c>
    </row>
    <row r="35" spans="1:31" ht="101.5">
      <c r="A35" s="1" t="s">
        <v>253</v>
      </c>
      <c r="B35" s="1" t="s">
        <v>460</v>
      </c>
      <c r="C35" s="1" t="s">
        <v>461</v>
      </c>
      <c r="D35" s="1"/>
      <c r="E35" s="1"/>
      <c r="F35" s="1"/>
      <c r="G35" s="7" t="s">
        <v>504</v>
      </c>
      <c r="H35" s="7">
        <v>0</v>
      </c>
      <c r="I35" s="7">
        <v>3</v>
      </c>
      <c r="J35" s="7">
        <v>14</v>
      </c>
      <c r="K35" s="7"/>
      <c r="L35" s="7" t="s">
        <v>536</v>
      </c>
      <c r="M35" s="7" t="s">
        <v>594</v>
      </c>
      <c r="N35" s="8" t="s">
        <v>714</v>
      </c>
      <c r="O35" s="7"/>
      <c r="P35" s="7">
        <v>367</v>
      </c>
      <c r="Q35" s="7">
        <f t="shared" si="0"/>
        <v>29.470810246526941</v>
      </c>
      <c r="R35" s="7"/>
      <c r="S35" s="7" t="s">
        <v>614</v>
      </c>
      <c r="T35" s="7" t="s">
        <v>614</v>
      </c>
      <c r="U35" s="7"/>
      <c r="V35" s="7"/>
      <c r="W35" s="7"/>
      <c r="X35" s="7"/>
      <c r="Y35" s="7" t="s">
        <v>499</v>
      </c>
      <c r="Z35" s="7"/>
      <c r="AA35" s="7"/>
      <c r="AB35" s="7"/>
      <c r="AC35" s="7"/>
      <c r="AD35" s="7"/>
      <c r="AE35" t="s">
        <v>506</v>
      </c>
    </row>
    <row r="36" spans="1:31" ht="29">
      <c r="A36" s="1" t="s">
        <v>254</v>
      </c>
      <c r="B36" s="1" t="s">
        <v>464</v>
      </c>
      <c r="C36" s="1" t="s">
        <v>465</v>
      </c>
      <c r="D36" s="1"/>
      <c r="E36" s="1"/>
      <c r="F36" s="1"/>
      <c r="G36" s="7" t="s">
        <v>504</v>
      </c>
      <c r="H36" s="7">
        <v>0</v>
      </c>
      <c r="I36" s="7">
        <v>1</v>
      </c>
      <c r="J36" s="7">
        <v>2</v>
      </c>
      <c r="K36" s="7" t="s">
        <v>541</v>
      </c>
      <c r="L36" s="7" t="s">
        <v>550</v>
      </c>
      <c r="M36" s="7"/>
      <c r="N36" s="8"/>
      <c r="O36" s="7"/>
      <c r="P36" s="7">
        <v>19277</v>
      </c>
      <c r="Q36" s="7">
        <f t="shared" si="0"/>
        <v>1547.9804063277925</v>
      </c>
      <c r="R36" s="7"/>
      <c r="S36" s="7" t="s">
        <v>614</v>
      </c>
      <c r="T36" s="7" t="s">
        <v>614</v>
      </c>
      <c r="U36" s="7"/>
      <c r="V36" s="7"/>
      <c r="W36" s="7"/>
      <c r="X36" s="7"/>
      <c r="Y36" s="7" t="s">
        <v>499</v>
      </c>
      <c r="Z36" s="7"/>
      <c r="AA36" s="7"/>
      <c r="AB36" s="7"/>
      <c r="AC36" s="7"/>
      <c r="AD36" s="7"/>
      <c r="AE36" t="s">
        <v>499</v>
      </c>
    </row>
    <row r="37" spans="1:31" ht="29">
      <c r="A37" s="1" t="s">
        <v>261</v>
      </c>
      <c r="B37" s="1" t="s">
        <v>471</v>
      </c>
      <c r="C37" s="1" t="s">
        <v>472</v>
      </c>
      <c r="D37" s="1"/>
      <c r="E37" s="1"/>
      <c r="F37" s="1"/>
      <c r="G37" s="7" t="s">
        <v>500</v>
      </c>
      <c r="H37" s="7">
        <v>0</v>
      </c>
      <c r="I37" s="7">
        <v>1</v>
      </c>
      <c r="J37" s="7">
        <v>2</v>
      </c>
      <c r="K37" s="7" t="s">
        <v>541</v>
      </c>
      <c r="L37" s="7" t="s">
        <v>550</v>
      </c>
      <c r="M37" s="7"/>
      <c r="N37" s="8"/>
      <c r="O37" s="7"/>
      <c r="P37" s="7">
        <v>19277</v>
      </c>
      <c r="Q37" s="7">
        <f t="shared" si="0"/>
        <v>1547.9804063277925</v>
      </c>
      <c r="R37" s="7"/>
      <c r="S37" s="7" t="s">
        <v>614</v>
      </c>
      <c r="T37" s="7" t="s">
        <v>614</v>
      </c>
      <c r="U37" s="7"/>
      <c r="V37" s="7"/>
      <c r="W37" s="7"/>
      <c r="X37" s="7"/>
      <c r="Y37" s="7" t="s">
        <v>499</v>
      </c>
      <c r="Z37" s="7"/>
      <c r="AA37" s="7"/>
      <c r="AB37" s="7"/>
      <c r="AC37" s="7"/>
      <c r="AD37" s="7"/>
      <c r="AE37" t="s">
        <v>506</v>
      </c>
    </row>
    <row r="38" spans="1:31" ht="87">
      <c r="A38" s="1" t="s">
        <v>274</v>
      </c>
      <c r="B38" s="1" t="s">
        <v>729</v>
      </c>
      <c r="C38" s="1" t="s">
        <v>730</v>
      </c>
      <c r="D38" s="1" t="s">
        <v>501</v>
      </c>
      <c r="E38" s="1"/>
      <c r="F38" s="1"/>
      <c r="G38" s="7" t="s">
        <v>504</v>
      </c>
      <c r="H38" s="7">
        <v>0</v>
      </c>
      <c r="I38" s="7">
        <v>1</v>
      </c>
      <c r="J38" s="7">
        <v>3</v>
      </c>
      <c r="K38" s="7" t="s">
        <v>554</v>
      </c>
      <c r="L38" s="7" t="s">
        <v>542</v>
      </c>
      <c r="M38" s="7"/>
      <c r="N38" s="8"/>
      <c r="O38" s="7"/>
      <c r="P38" s="7">
        <v>11721</v>
      </c>
      <c r="Q38" s="7">
        <f t="shared" si="0"/>
        <v>941.2189833774994</v>
      </c>
      <c r="R38" s="7"/>
      <c r="S38" s="7" t="s">
        <v>614</v>
      </c>
      <c r="T38" s="7" t="s">
        <v>614</v>
      </c>
      <c r="U38" s="7"/>
      <c r="V38" s="7"/>
      <c r="W38" s="7"/>
      <c r="X38" s="7"/>
      <c r="Y38" s="7" t="s">
        <v>499</v>
      </c>
      <c r="Z38" s="7"/>
      <c r="AA38" s="7"/>
      <c r="AB38" s="7"/>
      <c r="AC38" s="7"/>
      <c r="AD38" s="7"/>
      <c r="AE38" t="s">
        <v>506</v>
      </c>
    </row>
    <row r="39" spans="1:31" ht="72.5">
      <c r="A39" s="1" t="s">
        <v>313</v>
      </c>
      <c r="B39" s="1" t="s">
        <v>482</v>
      </c>
      <c r="C39" s="1" t="s">
        <v>483</v>
      </c>
      <c r="D39" s="1"/>
      <c r="E39" s="1"/>
      <c r="F39" s="1"/>
      <c r="G39" s="7" t="s">
        <v>504</v>
      </c>
      <c r="H39" s="7">
        <v>0</v>
      </c>
      <c r="I39" s="7">
        <v>1</v>
      </c>
      <c r="J39" s="7">
        <v>12</v>
      </c>
      <c r="K39" s="7" t="s">
        <v>560</v>
      </c>
      <c r="L39" s="7" t="s">
        <v>536</v>
      </c>
      <c r="M39" s="7" t="s">
        <v>746</v>
      </c>
      <c r="N39" s="8" t="s">
        <v>649</v>
      </c>
      <c r="O39" s="7"/>
      <c r="P39" s="7">
        <v>106</v>
      </c>
      <c r="Q39" s="7">
        <f t="shared" si="0"/>
        <v>8.5120051393238576</v>
      </c>
      <c r="R39" s="7"/>
      <c r="S39" s="7" t="s">
        <v>614</v>
      </c>
      <c r="T39" s="7" t="s">
        <v>614</v>
      </c>
      <c r="U39" s="7"/>
      <c r="V39" s="7"/>
      <c r="W39" s="7"/>
      <c r="X39" s="7"/>
      <c r="Y39" s="7" t="s">
        <v>499</v>
      </c>
      <c r="Z39" s="7"/>
      <c r="AA39" s="7"/>
      <c r="AB39" s="7"/>
      <c r="AC39" s="7"/>
      <c r="AD39" s="7"/>
      <c r="AE39" t="s">
        <v>506</v>
      </c>
    </row>
    <row r="40" spans="1:31" ht="116">
      <c r="A40" s="1" t="s">
        <v>314</v>
      </c>
      <c r="B40" s="1" t="s">
        <v>484</v>
      </c>
      <c r="C40" s="1" t="s">
        <v>485</v>
      </c>
      <c r="D40" s="1"/>
      <c r="E40" s="1"/>
      <c r="F40" s="1"/>
      <c r="G40" s="7" t="s">
        <v>504</v>
      </c>
      <c r="H40" s="7">
        <v>1</v>
      </c>
      <c r="I40" s="7">
        <v>4</v>
      </c>
      <c r="J40" s="7">
        <v>17</v>
      </c>
      <c r="K40" s="7"/>
      <c r="L40" s="7" t="s">
        <v>536</v>
      </c>
      <c r="M40" s="7" t="s">
        <v>642</v>
      </c>
      <c r="N40" s="8" t="s">
        <v>747</v>
      </c>
      <c r="O40" s="7"/>
      <c r="P40" s="7">
        <v>43</v>
      </c>
      <c r="Q40" s="7">
        <f t="shared" si="0"/>
        <v>3.452983216895527</v>
      </c>
      <c r="R40" s="7"/>
      <c r="S40" s="7" t="s">
        <v>614</v>
      </c>
      <c r="T40" s="7" t="s">
        <v>614</v>
      </c>
      <c r="U40" s="7" t="s">
        <v>544</v>
      </c>
      <c r="V40" s="7"/>
      <c r="W40" s="7"/>
      <c r="X40" s="7"/>
      <c r="Y40" s="7" t="s">
        <v>499</v>
      </c>
      <c r="Z40" s="7"/>
      <c r="AA40" s="7"/>
      <c r="AB40" s="7"/>
      <c r="AC40" s="7"/>
      <c r="AD40" s="7"/>
      <c r="AE40" t="s">
        <v>499</v>
      </c>
    </row>
    <row r="41" spans="1:31" ht="43.5">
      <c r="A41" s="1" t="s">
        <v>325</v>
      </c>
      <c r="B41" s="1" t="s">
        <v>489</v>
      </c>
      <c r="C41" s="1" t="s">
        <v>490</v>
      </c>
      <c r="D41" s="1"/>
      <c r="E41" s="1"/>
      <c r="F41" s="1"/>
      <c r="G41" s="7" t="s">
        <v>504</v>
      </c>
      <c r="H41" s="7">
        <v>0</v>
      </c>
      <c r="I41" s="7">
        <v>1</v>
      </c>
      <c r="J41" s="7">
        <v>2</v>
      </c>
      <c r="K41" s="7" t="s">
        <v>541</v>
      </c>
      <c r="L41" s="7" t="s">
        <v>550</v>
      </c>
      <c r="M41" s="7"/>
      <c r="N41" s="8"/>
      <c r="O41" s="7"/>
      <c r="P41" s="7">
        <v>19277</v>
      </c>
      <c r="Q41" s="7">
        <f t="shared" si="0"/>
        <v>1547.9804063277925</v>
      </c>
      <c r="R41" s="7"/>
      <c r="S41" s="7" t="s">
        <v>614</v>
      </c>
      <c r="T41" s="7" t="s">
        <v>614</v>
      </c>
      <c r="U41" s="7" t="s">
        <v>544</v>
      </c>
      <c r="V41" s="7"/>
      <c r="W41" s="7"/>
      <c r="X41" s="7"/>
      <c r="Y41" s="7" t="s">
        <v>499</v>
      </c>
      <c r="Z41" s="7"/>
      <c r="AA41" s="7"/>
      <c r="AB41" s="7"/>
      <c r="AC41" s="7"/>
      <c r="AD41" s="7"/>
      <c r="AE41" t="s">
        <v>499</v>
      </c>
    </row>
    <row r="42" spans="1:31" ht="217.5">
      <c r="A42" s="1" t="s">
        <v>326</v>
      </c>
      <c r="B42" s="1" t="s">
        <v>752</v>
      </c>
      <c r="C42" s="1" t="s">
        <v>751</v>
      </c>
      <c r="D42" s="1"/>
      <c r="E42" s="1"/>
      <c r="F42" s="1"/>
      <c r="G42" s="7" t="s">
        <v>504</v>
      </c>
      <c r="H42" s="7">
        <v>3</v>
      </c>
      <c r="I42" s="7">
        <v>11</v>
      </c>
      <c r="J42" s="7">
        <v>53</v>
      </c>
      <c r="K42" s="7"/>
      <c r="L42" s="7" t="s">
        <v>536</v>
      </c>
      <c r="M42" s="7" t="s">
        <v>594</v>
      </c>
      <c r="N42" s="8" t="s">
        <v>612</v>
      </c>
      <c r="O42" s="7"/>
      <c r="P42" s="7">
        <v>48</v>
      </c>
      <c r="Q42" s="7">
        <f t="shared" si="0"/>
        <v>3.8544928932787279</v>
      </c>
      <c r="R42" s="7"/>
      <c r="S42" s="7" t="s">
        <v>614</v>
      </c>
      <c r="T42" s="7" t="s">
        <v>614</v>
      </c>
      <c r="U42" s="7"/>
      <c r="V42" s="7"/>
      <c r="W42" s="7"/>
      <c r="X42" s="7"/>
      <c r="Y42" s="7" t="s">
        <v>499</v>
      </c>
      <c r="Z42" s="7"/>
      <c r="AA42" s="7"/>
      <c r="AB42" s="7"/>
      <c r="AC42" s="7"/>
      <c r="AD42" s="7"/>
      <c r="AE42" t="s">
        <v>506</v>
      </c>
    </row>
    <row r="43" spans="1:31" ht="43.5">
      <c r="A43" s="1" t="s">
        <v>329</v>
      </c>
      <c r="B43" s="1" t="s">
        <v>491</v>
      </c>
      <c r="C43" s="1" t="s">
        <v>492</v>
      </c>
      <c r="D43" s="1"/>
      <c r="E43" s="1"/>
      <c r="F43" s="1"/>
      <c r="G43" s="7" t="s">
        <v>504</v>
      </c>
      <c r="H43" s="7">
        <v>0</v>
      </c>
      <c r="I43" s="7">
        <v>1</v>
      </c>
      <c r="J43" s="7">
        <v>2</v>
      </c>
      <c r="K43" s="7" t="s">
        <v>541</v>
      </c>
      <c r="L43" s="7" t="s">
        <v>550</v>
      </c>
      <c r="M43" s="7"/>
      <c r="N43" s="8"/>
      <c r="O43" s="7"/>
      <c r="P43" s="7">
        <v>19277</v>
      </c>
      <c r="Q43" s="7">
        <f t="shared" si="0"/>
        <v>1547.9804063277925</v>
      </c>
      <c r="R43" s="7"/>
      <c r="S43" s="7" t="s">
        <v>614</v>
      </c>
      <c r="T43" s="7" t="s">
        <v>614</v>
      </c>
      <c r="U43" s="7" t="s">
        <v>544</v>
      </c>
      <c r="V43" s="7"/>
      <c r="W43" s="7"/>
      <c r="X43" s="7"/>
      <c r="Y43" s="7" t="s">
        <v>499</v>
      </c>
      <c r="Z43" s="7"/>
      <c r="AA43" s="7"/>
      <c r="AB43" s="7"/>
      <c r="AC43" s="7"/>
      <c r="AD43" s="7"/>
      <c r="AE43" t="s">
        <v>499</v>
      </c>
    </row>
    <row r="44" spans="1:31" ht="87">
      <c r="A44" s="1" t="s">
        <v>330</v>
      </c>
      <c r="B44" s="1" t="s">
        <v>494</v>
      </c>
      <c r="C44" s="1" t="s">
        <v>495</v>
      </c>
      <c r="D44" s="1"/>
      <c r="E44" s="1"/>
      <c r="F44" s="1"/>
      <c r="G44" s="7" t="s">
        <v>504</v>
      </c>
      <c r="H44" s="7">
        <v>1</v>
      </c>
      <c r="I44" s="7">
        <v>3</v>
      </c>
      <c r="J44" s="7">
        <v>14</v>
      </c>
      <c r="K44" s="7"/>
      <c r="L44" s="7" t="s">
        <v>536</v>
      </c>
      <c r="M44" s="7" t="s">
        <v>642</v>
      </c>
      <c r="N44" s="8" t="s">
        <v>757</v>
      </c>
      <c r="O44" s="7"/>
      <c r="P44" s="7">
        <v>119</v>
      </c>
      <c r="Q44" s="7">
        <f t="shared" si="0"/>
        <v>9.5559302979201792</v>
      </c>
      <c r="R44" s="7"/>
      <c r="S44" s="7" t="s">
        <v>614</v>
      </c>
      <c r="T44" s="7" t="s">
        <v>614</v>
      </c>
      <c r="U44" s="7" t="s">
        <v>544</v>
      </c>
      <c r="V44" s="7"/>
      <c r="W44" s="7"/>
      <c r="X44" s="7"/>
      <c r="Y44" s="7" t="s">
        <v>499</v>
      </c>
      <c r="Z44" s="7"/>
      <c r="AA44" s="7"/>
      <c r="AB44" s="7"/>
      <c r="AC44" s="7"/>
      <c r="AD44" s="7"/>
      <c r="AE44" t="s">
        <v>506</v>
      </c>
    </row>
    <row r="45" spans="1:31">
      <c r="S45" s="7"/>
      <c r="T45" s="7"/>
    </row>
    <row r="46" spans="1:31">
      <c r="S46" s="7"/>
      <c r="T46" s="7"/>
    </row>
    <row r="47" spans="1:31">
      <c r="E47" t="s">
        <v>795</v>
      </c>
      <c r="F47">
        <f>COUNTIF(G:G,"Addition")</f>
        <v>9</v>
      </c>
      <c r="S47" s="7"/>
      <c r="T47" s="7"/>
    </row>
    <row r="48" spans="1:31">
      <c r="B48" t="s">
        <v>797</v>
      </c>
      <c r="C48" t="s">
        <v>798</v>
      </c>
      <c r="E48" t="s">
        <v>796</v>
      </c>
      <c r="F48">
        <f>COUNTIF(G:G,"Omission")</f>
        <v>34</v>
      </c>
      <c r="S48" s="7"/>
      <c r="T48" s="7"/>
    </row>
    <row r="49" spans="2:20">
      <c r="B49" t="s">
        <v>541</v>
      </c>
      <c r="C49" t="s">
        <v>535</v>
      </c>
      <c r="E49" t="s">
        <v>794</v>
      </c>
      <c r="F49">
        <f>F47/(F47+F48)</f>
        <v>0.20930232558139536</v>
      </c>
      <c r="S49" s="7"/>
      <c r="T49" s="7"/>
    </row>
    <row r="50" spans="2:20">
      <c r="B50" t="s">
        <v>554</v>
      </c>
      <c r="C50" t="s">
        <v>549</v>
      </c>
      <c r="S50" s="7"/>
      <c r="T50" s="7"/>
    </row>
    <row r="51" spans="2:20">
      <c r="B51" t="s">
        <v>562</v>
      </c>
      <c r="C51" t="s">
        <v>560</v>
      </c>
      <c r="S51" s="7"/>
      <c r="T51" s="7"/>
    </row>
    <row r="52" spans="2:20">
      <c r="B52" t="s">
        <v>564</v>
      </c>
      <c r="C52" t="s">
        <v>566</v>
      </c>
      <c r="E52" t="s">
        <v>799</v>
      </c>
      <c r="F52">
        <f>COUNTIFS(G:G,"Addition", K:K,"Article")+COUNTIFS(G:G,"Addition", K:K,"Conjunction")+COUNTIFS(G:G,"Addition", K:K,"Pronoun")+COUNTIFS(G:G,"Addition", K:K,"Preposition")+COUNTIFS(G:G,"Addition", K:K,"Particle")+COUNTIFS(G:G,"Addition", K:K,"Vocative")</f>
        <v>7</v>
      </c>
      <c r="S52" s="7"/>
      <c r="T52" s="7"/>
    </row>
    <row r="53" spans="2:20">
      <c r="B53" t="s">
        <v>568</v>
      </c>
      <c r="C53" t="s">
        <v>593</v>
      </c>
      <c r="E53" t="s">
        <v>800</v>
      </c>
      <c r="F53">
        <f>COUNTIFS(G:G,"Omission", K:K,"Article")+COUNTIFS(G:G,"Omission", K:K,"Conjunction")+COUNTIFS(G:G,"Omission", K:K,"Pronoun")+COUNTIFS(G:G,"Omission", K:K,"Preposition")+COUNTIFS(G:G,"Omission", K:K,"Particle")+COUNTIFS(G:G,"Omission", K:K,"Vocative")</f>
        <v>17</v>
      </c>
      <c r="S53" s="7"/>
      <c r="T53" s="7"/>
    </row>
    <row r="54" spans="2:20">
      <c r="B54" t="s">
        <v>569</v>
      </c>
      <c r="E54" t="s">
        <v>801</v>
      </c>
      <c r="F54">
        <f>F52/(F52+F53)</f>
        <v>0.29166666666666669</v>
      </c>
      <c r="S54" s="7"/>
      <c r="T54" s="7"/>
    </row>
    <row r="55" spans="2:20">
      <c r="S55" s="7"/>
      <c r="T55" s="7"/>
    </row>
    <row r="56" spans="2:20">
      <c r="S56" s="7"/>
      <c r="T56" s="7"/>
    </row>
    <row r="57" spans="2:20">
      <c r="E57" t="s">
        <v>806</v>
      </c>
      <c r="F57">
        <f>COUNTIFS(G:G,"Addition", K:K,"Adjective")+COUNTIFS(G:G,"Addition", K:K,"Adverb")+COUNTIFS(G:G,"Addition", K:K,"Noun")+COUNTIFS(G:G,"Addition", K:K,"Participle")+COUNTIFS(G:G,"Addition", K:K,"Verb")</f>
        <v>0</v>
      </c>
      <c r="S57" s="7"/>
      <c r="T57" s="7"/>
    </row>
    <row r="58" spans="2:20">
      <c r="E58" t="s">
        <v>807</v>
      </c>
      <c r="F58">
        <f>COUNTIFS(G:G,"Omission", K:K,"Adjective")+COUNTIFS(G:G,"Omission", K:K,"Adverb")+COUNTIFS(G:G,"Omission", K:K,"Noun")+COUNTIFS(G:G,"Omission", K:K,"Participle")+COUNTIFS(G:G,"Omission", K:K,"Verb")</f>
        <v>1</v>
      </c>
      <c r="S58" s="7"/>
      <c r="T58" s="7"/>
    </row>
    <row r="59" spans="2:20">
      <c r="E59" t="s">
        <v>808</v>
      </c>
      <c r="F59">
        <f>F57/(F57+F58)</f>
        <v>0</v>
      </c>
      <c r="S59" s="7"/>
      <c r="T59" s="7"/>
    </row>
    <row r="60" spans="2:20">
      <c r="E60" t="s">
        <v>816</v>
      </c>
      <c r="F60">
        <f>F59-F54</f>
        <v>-0.29166666666666669</v>
      </c>
      <c r="S60" s="7"/>
      <c r="T60" s="7"/>
    </row>
    <row r="61" spans="2:20">
      <c r="S61" s="7"/>
      <c r="T61" s="7"/>
    </row>
    <row r="62" spans="2:20">
      <c r="S62" s="7"/>
      <c r="T62" s="7"/>
    </row>
    <row r="63" spans="2:20">
      <c r="D63" s="13" t="s">
        <v>809</v>
      </c>
      <c r="E63" s="13"/>
      <c r="F63" s="13"/>
      <c r="S63" s="7"/>
      <c r="T63" s="7"/>
    </row>
    <row r="64" spans="2:20">
      <c r="D64" t="s">
        <v>536</v>
      </c>
      <c r="E64" t="s">
        <v>810</v>
      </c>
      <c r="F64" t="s">
        <v>811</v>
      </c>
      <c r="S64" s="7"/>
      <c r="T64" s="7"/>
    </row>
    <row r="65" spans="3:20">
      <c r="C65" t="s">
        <v>803</v>
      </c>
      <c r="D65">
        <f>COUNTIFS(G:G,"Addition", L:L, "Present")</f>
        <v>2</v>
      </c>
      <c r="E65">
        <f>COUNTIFS(G:G,"Addition", L:L, "Absent")</f>
        <v>2</v>
      </c>
      <c r="F65">
        <f>D65/(D65+E65)</f>
        <v>0.5</v>
      </c>
      <c r="S65" s="7"/>
      <c r="T65" s="7"/>
    </row>
    <row r="66" spans="3:20">
      <c r="C66" t="s">
        <v>804</v>
      </c>
      <c r="D66">
        <f>COUNTIFS(G:G,"Omission", L:L, "Present")</f>
        <v>17</v>
      </c>
      <c r="E66">
        <f>COUNTIFS(G:G,"Omission", L:L, "Absent")</f>
        <v>6</v>
      </c>
      <c r="F66">
        <f>D66/(D66+E66)</f>
        <v>0.73913043478260865</v>
      </c>
      <c r="S66" s="7"/>
      <c r="T66" s="7"/>
    </row>
    <row r="67" spans="3:20">
      <c r="C67" t="s">
        <v>812</v>
      </c>
      <c r="D67">
        <f>SUM(D65+D66)</f>
        <v>19</v>
      </c>
      <c r="E67">
        <f>SUM(E65+E66)</f>
        <v>8</v>
      </c>
      <c r="F67">
        <f>D67/(D67+E67)</f>
        <v>0.70370370370370372</v>
      </c>
      <c r="S67" s="7"/>
      <c r="T67" s="7"/>
    </row>
    <row r="68" spans="3:20">
      <c r="S68" s="7"/>
      <c r="T68" s="7"/>
    </row>
    <row r="69" spans="3:20">
      <c r="S69" s="7"/>
      <c r="T69" s="7"/>
    </row>
    <row r="70" spans="3:20">
      <c r="D70" t="s">
        <v>803</v>
      </c>
      <c r="E70" t="s">
        <v>804</v>
      </c>
      <c r="F70" t="s">
        <v>817</v>
      </c>
      <c r="S70" s="7"/>
      <c r="T70" s="7"/>
    </row>
    <row r="71" spans="3:20">
      <c r="C71" t="s">
        <v>818</v>
      </c>
      <c r="D71">
        <f>COUNTIFS(G:G,"Addition", L:L, "Absent")</f>
        <v>2</v>
      </c>
      <c r="E71">
        <f>COUNTIFS(G:G,"Omission", L:L, "Absent")</f>
        <v>6</v>
      </c>
      <c r="F71">
        <f>D71/(D71+E71)</f>
        <v>0.25</v>
      </c>
      <c r="S71" s="7"/>
      <c r="T71" s="7"/>
    </row>
    <row r="72" spans="3:20">
      <c r="C72" t="s">
        <v>819</v>
      </c>
      <c r="D72">
        <f>COUNTIFS(G:G,"Addition", L:L, "Present")</f>
        <v>2</v>
      </c>
      <c r="E72">
        <f>COUNTIFS(G:G,"Omission", L:L, "Present")</f>
        <v>17</v>
      </c>
      <c r="F72">
        <f>D72/(D72+E72)</f>
        <v>0.10526315789473684</v>
      </c>
      <c r="S72" s="7"/>
      <c r="T72" s="7"/>
    </row>
    <row r="73" spans="3:20">
      <c r="E73" t="s">
        <v>871</v>
      </c>
      <c r="F73">
        <f>F72-F71</f>
        <v>-0.14473684210526316</v>
      </c>
      <c r="S73" s="7"/>
      <c r="T73" s="7"/>
    </row>
    <row r="74" spans="3:20">
      <c r="S74" s="7"/>
      <c r="T74" s="7"/>
    </row>
    <row r="75" spans="3:20">
      <c r="S75" s="7"/>
      <c r="T75" s="7"/>
    </row>
    <row r="76" spans="3:20">
      <c r="D76" t="s">
        <v>803</v>
      </c>
      <c r="E76" t="s">
        <v>804</v>
      </c>
      <c r="F76" t="s">
        <v>817</v>
      </c>
      <c r="S76" s="7"/>
      <c r="T76" s="7"/>
    </row>
    <row r="77" spans="3:20">
      <c r="C77" t="s">
        <v>820</v>
      </c>
      <c r="D77">
        <f>COUNTIFS(G:G,"Addition", O:O, "")</f>
        <v>7</v>
      </c>
      <c r="E77">
        <f>COUNTIFS(G:G,"Omission", O:O, "")</f>
        <v>32</v>
      </c>
      <c r="F77">
        <f>D77/(D77+E77)</f>
        <v>0.17948717948717949</v>
      </c>
      <c r="S77" s="7"/>
      <c r="T77" s="7"/>
    </row>
    <row r="78" spans="3:20">
      <c r="C78" t="s">
        <v>821</v>
      </c>
      <c r="D78">
        <f>COUNTIFS(G:G,"Addition", O:O, "Dittography")</f>
        <v>1</v>
      </c>
      <c r="E78">
        <f>COUNTIFS(G:G,"Omission", O:O, "Dittography")</f>
        <v>2</v>
      </c>
      <c r="F78">
        <f>D78/(D78+E78)</f>
        <v>0.33333333333333331</v>
      </c>
      <c r="S78" s="7"/>
      <c r="T78" s="7"/>
    </row>
    <row r="79" spans="3:20">
      <c r="E79" t="s">
        <v>871</v>
      </c>
      <c r="F79">
        <f>F78-F77</f>
        <v>0.15384615384615383</v>
      </c>
      <c r="S79" s="7"/>
      <c r="T79" s="7"/>
    </row>
    <row r="80" spans="3:20">
      <c r="S80" s="7"/>
      <c r="T80" s="7"/>
    </row>
    <row r="81" spans="3:20">
      <c r="S81" s="7"/>
      <c r="T81" s="7"/>
    </row>
    <row r="82" spans="3:20">
      <c r="C82" t="s">
        <v>802</v>
      </c>
      <c r="D82" t="s">
        <v>803</v>
      </c>
      <c r="E82" t="s">
        <v>804</v>
      </c>
      <c r="F82" t="s">
        <v>817</v>
      </c>
      <c r="S82" s="7"/>
      <c r="T82" s="7"/>
    </row>
    <row r="83" spans="3:20">
      <c r="C83" s="11">
        <v>1</v>
      </c>
      <c r="D83">
        <f>COUNTIFS(G:G,"Addition", I:I, 1)</f>
        <v>7</v>
      </c>
      <c r="E83">
        <f>COUNTIFS(G:G,"Omission", I:I, 1)</f>
        <v>18</v>
      </c>
      <c r="F83">
        <f>D83/(D83+E83)</f>
        <v>0.28000000000000003</v>
      </c>
      <c r="S83" s="7"/>
      <c r="T83" s="7"/>
    </row>
    <row r="84" spans="3:20">
      <c r="C84" s="11" t="s">
        <v>822</v>
      </c>
      <c r="D84">
        <f>COUNTIFS(G:G,"Addition", I:I, "&gt;=2", I:I, "&lt;=3")</f>
        <v>1</v>
      </c>
      <c r="E84">
        <f>COUNTIFS(G:G,"Omission", I:I, "&gt;=2", I:I, "&lt;=3")</f>
        <v>5</v>
      </c>
      <c r="F84">
        <f t="shared" ref="F84:F85" si="1">D84/(D84+E84)</f>
        <v>0.16666666666666666</v>
      </c>
      <c r="S84" s="7"/>
      <c r="T84" s="7"/>
    </row>
    <row r="85" spans="3:20">
      <c r="C85" s="11" t="s">
        <v>823</v>
      </c>
      <c r="D85">
        <f>COUNTIFS(G:G,"Addition", I:I, "&gt;=4")</f>
        <v>1</v>
      </c>
      <c r="E85">
        <f>COUNTIFS(G:G,"Omission", I:I, "&gt;=4")</f>
        <v>11</v>
      </c>
      <c r="F85">
        <f t="shared" si="1"/>
        <v>8.3333333333333329E-2</v>
      </c>
      <c r="S85" s="7"/>
      <c r="T85" s="7"/>
    </row>
    <row r="86" spans="3:20">
      <c r="S86" s="7"/>
      <c r="T86" s="7"/>
    </row>
    <row r="87" spans="3:20">
      <c r="S87" s="7"/>
      <c r="T87" s="7"/>
    </row>
    <row r="88" spans="3:20">
      <c r="C88" t="s">
        <v>802</v>
      </c>
      <c r="D88" t="s">
        <v>803</v>
      </c>
      <c r="E88" t="s">
        <v>804</v>
      </c>
      <c r="F88" t="s">
        <v>805</v>
      </c>
      <c r="S88" s="7"/>
      <c r="T88" s="7"/>
    </row>
    <row r="89" spans="3:20">
      <c r="C89">
        <v>1</v>
      </c>
      <c r="D89" s="11">
        <f>COUNTIFS(G:G,"Addition", I:I, C89)</f>
        <v>7</v>
      </c>
      <c r="E89">
        <f>COUNTIFS(G:G,"Omission", I:I, C89)</f>
        <v>18</v>
      </c>
      <c r="F89">
        <f>D89/(D89+E89)</f>
        <v>0.28000000000000003</v>
      </c>
      <c r="S89" s="7"/>
      <c r="T89" s="7"/>
    </row>
    <row r="90" spans="3:20">
      <c r="C90">
        <v>2</v>
      </c>
      <c r="D90" s="11">
        <f>COUNTIFS(G:G,"Addition", I:I, C90)</f>
        <v>0</v>
      </c>
      <c r="E90">
        <f>COUNTIFS(G:G,"Omission", I:I, C90)</f>
        <v>1</v>
      </c>
      <c r="F90">
        <f t="shared" ref="F90:F93" si="2">D90/(D90+E90)</f>
        <v>0</v>
      </c>
      <c r="S90" s="7"/>
      <c r="T90" s="7"/>
    </row>
    <row r="91" spans="3:20">
      <c r="C91">
        <v>3</v>
      </c>
      <c r="D91" s="11">
        <f>COUNTIFS(G:G,"Addition", I:I, C91)</f>
        <v>1</v>
      </c>
      <c r="E91">
        <f>COUNTIFS(G:G,"Omission", I:I, C91)</f>
        <v>4</v>
      </c>
      <c r="F91">
        <f t="shared" si="2"/>
        <v>0.2</v>
      </c>
      <c r="S91" s="7"/>
      <c r="T91" s="7"/>
    </row>
    <row r="92" spans="3:20">
      <c r="C92">
        <v>4</v>
      </c>
      <c r="D92" s="11">
        <f>COUNTIFS(G:G,"Addition", I:I, C92)</f>
        <v>0</v>
      </c>
      <c r="E92">
        <f>COUNTIFS(G:G,"Omission", I:I, C92)</f>
        <v>6</v>
      </c>
      <c r="F92">
        <f t="shared" si="2"/>
        <v>0</v>
      </c>
      <c r="S92" s="7"/>
      <c r="T92" s="7"/>
    </row>
    <row r="93" spans="3:20">
      <c r="C93" t="s">
        <v>824</v>
      </c>
      <c r="D93" s="11">
        <f>COUNTIFS(G:G,"Addition", I:I, C93)</f>
        <v>1</v>
      </c>
      <c r="E93">
        <f>COUNTIFS(G:G,"Omission", I:I, C93)</f>
        <v>5</v>
      </c>
      <c r="F93">
        <f t="shared" si="2"/>
        <v>0.16666666666666666</v>
      </c>
      <c r="S93" s="7"/>
      <c r="T93" s="7"/>
    </row>
    <row r="94" spans="3:20">
      <c r="D94" s="11"/>
      <c r="S94" s="7"/>
      <c r="T94" s="7"/>
    </row>
    <row r="95" spans="3:20">
      <c r="S95" s="7"/>
      <c r="T95" s="7"/>
    </row>
    <row r="96" spans="3:20">
      <c r="E96" t="s">
        <v>825</v>
      </c>
      <c r="F96">
        <v>124530</v>
      </c>
      <c r="S96" s="7"/>
      <c r="T96" s="7"/>
    </row>
    <row r="97" spans="19:20">
      <c r="S97" s="7"/>
      <c r="T97" s="7"/>
    </row>
    <row r="98" spans="19:20">
      <c r="S98" s="7"/>
      <c r="T98" s="7"/>
    </row>
    <row r="99" spans="19:20">
      <c r="S99" s="7"/>
      <c r="T99" s="7"/>
    </row>
  </sheetData>
  <mergeCells count="1">
    <mergeCell ref="D63:F63"/>
  </mergeCells>
  <conditionalFormatting sqref="G2:G44">
    <cfRule type="expression" dxfId="298" priority="26">
      <formula>$I2&lt;&gt;""</formula>
    </cfRule>
    <cfRule type="expression" dxfId="297" priority="27">
      <formula>$I2=""</formula>
    </cfRule>
  </conditionalFormatting>
  <conditionalFormatting sqref="H2:L44 O2:P44">
    <cfRule type="expression" dxfId="296" priority="24">
      <formula>AND(OR($I2="Addition",$I2="Omission"), H2="")</formula>
    </cfRule>
    <cfRule type="expression" dxfId="295" priority="25">
      <formula>AND($I2&lt;&gt;"Addition",$I2&lt;&gt;"Omission",$I2&lt;&gt;"Substitution - Word")</formula>
    </cfRule>
  </conditionalFormatting>
  <conditionalFormatting sqref="H2:P44">
    <cfRule type="expression" dxfId="294" priority="23">
      <formula>AND(OR($I2="Addition",$I2="Omission"), H2&lt;&gt;"")</formula>
    </cfRule>
  </conditionalFormatting>
  <conditionalFormatting sqref="K2:K44">
    <cfRule type="expression" dxfId="293" priority="18">
      <formula>AND($K2&lt;&gt;"",$K2&gt;1)</formula>
    </cfRule>
  </conditionalFormatting>
  <conditionalFormatting sqref="M2:N44">
    <cfRule type="expression" dxfId="292" priority="14">
      <formula>$N2="Absent"</formula>
    </cfRule>
    <cfRule type="expression" dxfId="291" priority="15">
      <formula>$N2="NA"</formula>
    </cfRule>
    <cfRule type="expression" dxfId="290" priority="16">
      <formula>AND(OR($I2="Addition",$I2="Omission"), M2="")</formula>
    </cfRule>
    <cfRule type="expression" dxfId="289" priority="17">
      <formula>AND($I2&lt;&gt;"Addition",$I2&lt;&gt;"Omission")</formula>
    </cfRule>
  </conditionalFormatting>
  <conditionalFormatting sqref="O2:O44">
    <cfRule type="expression" dxfId="288" priority="19">
      <formula>AND(OR($I2="Addition",$I2="Omission",$I2="Substitution - Word"),RIGHT($AE2,6)&lt;&gt;"strict",$AD2&lt;&gt;"Yes")</formula>
    </cfRule>
  </conditionalFormatting>
  <conditionalFormatting sqref="Q2:Q44">
    <cfRule type="expression" dxfId="287" priority="1">
      <formula>AND(OR($I2="Addition",$I2="Omission"), Q2&lt;&gt;"")</formula>
    </cfRule>
    <cfRule type="expression" dxfId="286" priority="2">
      <formula>AND(OR($I2="Addition",$I2="Omission"), Q2="")</formula>
    </cfRule>
    <cfRule type="expression" dxfId="285" priority="3">
      <formula>AND($I2&lt;&gt;"Addition",$I2&lt;&gt;"Omission",$I2&lt;&gt;"Substitution - Word")</formula>
    </cfRule>
  </conditionalFormatting>
  <conditionalFormatting sqref="R2:T44 S45:T99">
    <cfRule type="expression" dxfId="284" priority="20">
      <formula>AND(AND(LEFT($I2,3)="Sub", RIGHT($I2,4)&lt;&gt;"Form"),$T2&lt;&gt;"")</formula>
    </cfRule>
    <cfRule type="expression" dxfId="283" priority="21">
      <formula>AND(AND(LEFT($I2,3)="Sub", RIGHT($I2,4)&lt;&gt;"Form"),$T2="")</formula>
    </cfRule>
    <cfRule type="expression" dxfId="282" priority="22">
      <formula>"&lt;&gt;AND(LEFT($J2,3)=""Sub"", RIGHT($J2,4)&lt;&gt;""Form"")"</formula>
    </cfRule>
  </conditionalFormatting>
  <conditionalFormatting sqref="U2:U44">
    <cfRule type="expression" dxfId="281" priority="8">
      <formula>AND($W2&lt;&gt;"",OR($AD2="Yes",$AE2&lt;&gt;""))</formula>
    </cfRule>
    <cfRule type="expression" dxfId="280" priority="9">
      <formula>OR($AD2="Yes",$AE2&lt;&gt;"")</formula>
    </cfRule>
    <cfRule type="expression" dxfId="279" priority="12">
      <formula>AND($AD2&lt;&gt;"Yes",$AE2="")</formula>
    </cfRule>
  </conditionalFormatting>
  <conditionalFormatting sqref="U2:AD3 U5:AD16">
    <cfRule type="expression" dxfId="278" priority="28">
      <formula>AND($I2&lt;&gt;"",$I2&lt;&gt;"Unclear due to correction")</formula>
    </cfRule>
  </conditionalFormatting>
  <conditionalFormatting sqref="U2:AD3 U5:AD44">
    <cfRule type="expression" dxfId="277" priority="29">
      <formula>OR($I2="",$I2="Unclear due to correction")</formula>
    </cfRule>
  </conditionalFormatting>
  <conditionalFormatting sqref="U4:AD4">
    <cfRule type="expression" dxfId="276" priority="5">
      <formula>AND($I4&lt;&gt;"",$I4&lt;&gt;"Unclear due to correction")</formula>
    </cfRule>
    <cfRule type="expression" dxfId="275" priority="6">
      <formula>OR($I4="",$I4="Unclear due to correction")</formula>
    </cfRule>
  </conditionalFormatting>
  <conditionalFormatting sqref="U17:AD44">
    <cfRule type="expression" dxfId="274" priority="4">
      <formula>AND($I17&lt;&gt;"",$I17&lt;&gt;"Unclear due to correction")</formula>
    </cfRule>
  </conditionalFormatting>
  <conditionalFormatting sqref="V2:V44">
    <cfRule type="expression" dxfId="273" priority="7">
      <formula>AND($I2&lt;&gt;"",$I2&lt;&gt;"Unclear due to correction",$X2="")</formula>
    </cfRule>
  </conditionalFormatting>
  <conditionalFormatting sqref="W2:W44">
    <cfRule type="expression" dxfId="272" priority="10">
      <formula>AND($X2="Yes",$Y2="")</formula>
    </cfRule>
    <cfRule type="expression" dxfId="271" priority="11">
      <formula>$X2=""</formula>
    </cfRule>
  </conditionalFormatting>
  <conditionalFormatting sqref="AB2:AB44">
    <cfRule type="expression" dxfId="270" priority="13">
      <formula>AND(OR($AB2&lt;&gt;"",$AC2&lt;&gt;""),$AD2="")</formula>
    </cfRule>
  </conditionalFormatting>
  <dataValidations count="1">
    <dataValidation type="list" allowBlank="1" showInputMessage="1" showErrorMessage="1" sqref="AE2:AE44" xr:uid="{3B8E7745-05C3-477E-9040-43D31436061F}">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C1E3682A-7693-4A80-9A35-1C210221B1FB}">
          <x14:formula1>
            <xm:f>'Data Regularization'!$A$2:$A$1048576</xm:f>
          </x14:formula1>
          <xm:sqref>D2:D3 D5:D44</xm:sqref>
        </x14:dataValidation>
        <x14:dataValidation type="list" allowBlank="1" showInputMessage="1" showErrorMessage="1" xr:uid="{CAAC5360-98CD-42C9-A0FD-E19C92DB3BCC}">
          <x14:formula1>
            <xm:f>'Data Regularization'!$B$2:$B$1048576</xm:f>
          </x14:formula1>
          <xm:sqref>E2:E3 E5:E44</xm:sqref>
        </x14:dataValidation>
        <x14:dataValidation type="list" allowBlank="1" showInputMessage="1" showErrorMessage="1" xr:uid="{F7E68B9C-CCDE-45A9-A1B5-A1D1585FA44E}">
          <x14:formula1>
            <xm:f>'Data Regularization'!$C$2:$C$1048576</xm:f>
          </x14:formula1>
          <xm:sqref>F2:F3 F5:F44</xm:sqref>
        </x14:dataValidation>
        <x14:dataValidation type="list" allowBlank="1" showInputMessage="1" showErrorMessage="1" xr:uid="{AD35EB17-A8E7-4ABD-A8FE-B850048B42EE}">
          <x14:formula1>
            <xm:f>'Data Regularization'!$D$2:$D$1048576</xm:f>
          </x14:formula1>
          <xm:sqref>G2:G3 G5:G44</xm:sqref>
        </x14:dataValidation>
        <x14:dataValidation type="list" allowBlank="1" showInputMessage="1" showErrorMessage="1" xr:uid="{23C807CB-6DFC-4FB5-B94B-E91C47791DF8}">
          <x14:formula1>
            <xm:f>'Data Regularization'!$E$2:$E$1048576</xm:f>
          </x14:formula1>
          <xm:sqref>K2:K3 K5:K44</xm:sqref>
        </x14:dataValidation>
        <x14:dataValidation type="list" allowBlank="1" showInputMessage="1" showErrorMessage="1" xr:uid="{D47051A1-5619-46A0-8724-785CA7394BB8}">
          <x14:formula1>
            <xm:f>'Data Regularization'!$F$2:$F$1048576</xm:f>
          </x14:formula1>
          <xm:sqref>L2:L3 L5:L44</xm:sqref>
        </x14:dataValidation>
        <x14:dataValidation type="list" allowBlank="1" showInputMessage="1" showErrorMessage="1" xr:uid="{AC713055-237E-4612-A359-09962C2F5C5A}">
          <x14:formula1>
            <xm:f>'Data Regularization'!$G$2:$G$1048576</xm:f>
          </x14:formula1>
          <xm:sqref>O2:O3 O5:O44</xm:sqref>
        </x14:dataValidation>
        <x14:dataValidation type="list" allowBlank="1" showInputMessage="1" showErrorMessage="1" xr:uid="{BAD5FB1E-8B12-4D64-B243-9B896F0E3BD9}">
          <x14:formula1>
            <xm:f>'Data Regularization'!$H$2:$H$1048576</xm:f>
          </x14:formula1>
          <xm:sqref>U2:U3 U5:U44</xm:sqref>
        </x14:dataValidation>
        <x14:dataValidation type="list" allowBlank="1" showInputMessage="1" xr:uid="{4D1D3608-74F0-4661-B1BE-F44D127E4510}">
          <x14:formula1>
            <xm:f>'Data Regularization'!$I$2:$I$1048576</xm:f>
          </x14:formula1>
          <xm:sqref>V2:V3 V5:V44</xm:sqref>
        </x14:dataValidation>
        <x14:dataValidation type="list" allowBlank="1" showInputMessage="1" showErrorMessage="1" xr:uid="{6A9F8883-AA6D-497D-A4B1-A765E01EEFDB}">
          <x14:formula1>
            <xm:f>'Data Regularization'!$K$2:$K$1048576</xm:f>
          </x14:formula1>
          <xm:sqref>X2:X3 X5:X44</xm:sqref>
        </x14:dataValidation>
        <x14:dataValidation type="list" allowBlank="1" showInputMessage="1" showErrorMessage="1" xr:uid="{6FD8EA49-E976-4FAA-B4E6-EB78C021F718}">
          <x14:formula1>
            <xm:f>'Data Regularization'!$J$2:$J$1048576</xm:f>
          </x14:formula1>
          <xm:sqref>W2:W3 W5:W44</xm:sqref>
        </x14:dataValidation>
        <x14:dataValidation type="list" allowBlank="1" showInputMessage="1" showErrorMessage="1" xr:uid="{2D7B063E-C603-4BDC-B89E-B1A74C8210F7}">
          <x14:formula1>
            <xm:f>'Data Regularization'!$L$2:$L$1048576</xm:f>
          </x14:formula1>
          <xm:sqref>Y2:Y3 Y5:Y44</xm:sqref>
        </x14:dataValidation>
        <x14:dataValidation type="list" allowBlank="1" showInputMessage="1" showErrorMessage="1" xr:uid="{415147F1-6572-414A-BBA5-D3AE2FFD48D4}">
          <x14:formula1>
            <xm:f>'Data Regularization'!$M$2:$M$1048576</xm:f>
          </x14:formula1>
          <xm:sqref>Z2:Z3 Z5:Z44</xm:sqref>
        </x14:dataValidation>
        <x14:dataValidation type="list" allowBlank="1" showInputMessage="1" showErrorMessage="1" xr:uid="{EBE4232B-6E4A-4F33-B4D9-8DDFB7B4FCFF}">
          <x14:formula1>
            <xm:f>'Data Regularization'!$O$2:$O$1048576</xm:f>
          </x14:formula1>
          <xm:sqref>AC2:AC3 AC5:AC44</xm:sqref>
        </x14:dataValidation>
        <x14:dataValidation type="list" allowBlank="1" showInputMessage="1" showErrorMessage="1" xr:uid="{B73BF7B4-5029-4761-B24C-4770463AE91D}">
          <x14:formula1>
            <xm:f>'Data Regularization'!$P$2:$P$1048576</xm:f>
          </x14:formula1>
          <xm:sqref>AD2:AD3 AD5:AD44</xm:sqref>
        </x14:dataValidation>
        <x14:dataValidation type="list" allowBlank="1" showInputMessage="1" showErrorMessage="1" xr:uid="{59371608-E7BB-48B7-878C-0045FC405BD2}">
          <x14:formula1>
            <xm:f>'Data Regularization'!$N$2:$N$1048576</xm:f>
          </x14:formula1>
          <xm:sqref>AB2:AB3 AB5:AB44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B3F12-617B-423E-9A41-9D1F86EE732A}">
  <dimension ref="A1:AE42"/>
  <sheetViews>
    <sheetView workbookViewId="0">
      <pane xSplit="3" ySplit="1" topLeftCell="D28" activePane="bottomRight" state="frozen"/>
      <selection pane="topRight" activeCell="D1" sqref="D1"/>
      <selection pane="bottomLeft" activeCell="A2" sqref="A2"/>
      <selection pane="bottomRight" activeCell="A45" sqref="A45:XFD1048576"/>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831</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29">
      <c r="A2" s="1" t="s">
        <v>20</v>
      </c>
      <c r="B2" s="1" t="s">
        <v>340</v>
      </c>
      <c r="C2" s="1" t="s">
        <v>341</v>
      </c>
      <c r="D2" s="1"/>
      <c r="E2" s="1"/>
      <c r="F2" s="1"/>
      <c r="G2" s="7" t="s">
        <v>504</v>
      </c>
      <c r="H2" s="7">
        <v>0</v>
      </c>
      <c r="I2" s="7">
        <v>1</v>
      </c>
      <c r="J2" s="7">
        <v>1</v>
      </c>
      <c r="K2" s="7" t="s">
        <v>541</v>
      </c>
      <c r="L2" s="7" t="s">
        <v>550</v>
      </c>
      <c r="M2" s="7"/>
      <c r="N2" s="8"/>
      <c r="O2" s="7"/>
      <c r="P2" s="7">
        <v>19277</v>
      </c>
      <c r="Q2" s="7">
        <v>1547.9804063277925</v>
      </c>
      <c r="R2" s="7"/>
      <c r="S2" s="7" t="s">
        <v>614</v>
      </c>
      <c r="T2" s="7" t="s">
        <v>614</v>
      </c>
      <c r="U2" s="7" t="s">
        <v>544</v>
      </c>
      <c r="V2" s="7"/>
      <c r="W2" s="7"/>
      <c r="X2" s="7"/>
      <c r="Y2" s="7" t="s">
        <v>499</v>
      </c>
      <c r="Z2" s="7"/>
      <c r="AA2" s="7"/>
      <c r="AB2" s="7"/>
      <c r="AC2" s="7"/>
      <c r="AD2" s="7"/>
      <c r="AE2" t="s">
        <v>499</v>
      </c>
    </row>
    <row r="3" spans="1:31" ht="29">
      <c r="A3" s="1" t="s">
        <v>21</v>
      </c>
      <c r="B3" s="1" t="s">
        <v>342</v>
      </c>
      <c r="C3" s="1" t="s">
        <v>343</v>
      </c>
      <c r="D3" s="1"/>
      <c r="E3" s="1"/>
      <c r="F3" s="1"/>
      <c r="G3" s="7" t="s">
        <v>504</v>
      </c>
      <c r="H3" s="7">
        <v>0</v>
      </c>
      <c r="I3" s="7">
        <v>1</v>
      </c>
      <c r="J3" s="7">
        <v>1</v>
      </c>
      <c r="K3" s="7" t="s">
        <v>541</v>
      </c>
      <c r="L3" s="7" t="s">
        <v>550</v>
      </c>
      <c r="M3" s="7"/>
      <c r="N3" s="8"/>
      <c r="O3" s="7"/>
      <c r="P3" s="7">
        <v>19277</v>
      </c>
      <c r="Q3" s="7">
        <v>1547.9804063277925</v>
      </c>
      <c r="R3" s="7"/>
      <c r="S3" s="7" t="s">
        <v>614</v>
      </c>
      <c r="T3" s="7" t="s">
        <v>614</v>
      </c>
      <c r="U3" s="7" t="s">
        <v>544</v>
      </c>
      <c r="V3" s="7"/>
      <c r="W3" s="7"/>
      <c r="X3" s="7"/>
      <c r="Y3" s="7" t="s">
        <v>499</v>
      </c>
      <c r="Z3" s="7"/>
      <c r="AA3" s="7"/>
      <c r="AB3" s="7"/>
      <c r="AC3" s="7"/>
      <c r="AD3" s="7"/>
      <c r="AE3" t="s">
        <v>499</v>
      </c>
    </row>
    <row r="4" spans="1:31" ht="58">
      <c r="A4" s="1" t="s">
        <v>62</v>
      </c>
      <c r="B4" s="1" t="s">
        <v>607</v>
      </c>
      <c r="C4" s="1" t="s">
        <v>608</v>
      </c>
      <c r="D4" s="1"/>
      <c r="E4" s="1"/>
      <c r="F4" s="1"/>
      <c r="G4" s="7" t="s">
        <v>504</v>
      </c>
      <c r="H4" s="7">
        <v>0</v>
      </c>
      <c r="I4" s="7">
        <v>1</v>
      </c>
      <c r="J4" s="7">
        <v>3</v>
      </c>
      <c r="K4" s="7" t="s">
        <v>541</v>
      </c>
      <c r="L4" s="7" t="s">
        <v>536</v>
      </c>
      <c r="M4" s="7" t="s">
        <v>594</v>
      </c>
      <c r="N4" s="8" t="s">
        <v>595</v>
      </c>
      <c r="O4" s="7"/>
      <c r="P4" s="7">
        <v>19277</v>
      </c>
      <c r="Q4" s="7">
        <v>1547.9804063277925</v>
      </c>
      <c r="R4" s="7"/>
      <c r="S4" s="7" t="s">
        <v>614</v>
      </c>
      <c r="T4" s="7" t="s">
        <v>614</v>
      </c>
      <c r="U4" s="7"/>
      <c r="V4" s="7"/>
      <c r="W4" s="7"/>
      <c r="X4" s="7"/>
      <c r="Y4" s="7" t="s">
        <v>499</v>
      </c>
      <c r="Z4" s="7"/>
      <c r="AA4" s="7"/>
      <c r="AB4" s="7"/>
      <c r="AC4" s="7"/>
      <c r="AD4" s="7"/>
      <c r="AE4" t="s">
        <v>506</v>
      </c>
    </row>
    <row r="5" spans="1:31" ht="43.5">
      <c r="A5" s="1" t="s">
        <v>7</v>
      </c>
      <c r="B5" s="1" t="s">
        <v>6</v>
      </c>
      <c r="C5" s="1" t="s">
        <v>5</v>
      </c>
      <c r="D5" s="1"/>
      <c r="E5" s="1"/>
      <c r="F5" s="1"/>
      <c r="G5" s="7" t="s">
        <v>504</v>
      </c>
      <c r="H5" s="7">
        <v>0</v>
      </c>
      <c r="I5" s="7">
        <v>1</v>
      </c>
      <c r="J5" s="7">
        <v>3</v>
      </c>
      <c r="K5" s="7" t="s">
        <v>541</v>
      </c>
      <c r="L5" s="7" t="s">
        <v>542</v>
      </c>
      <c r="M5" s="7"/>
      <c r="N5" s="8"/>
      <c r="O5" s="7"/>
      <c r="P5" s="7">
        <v>19277</v>
      </c>
      <c r="Q5" s="7">
        <v>1547.9804063277925</v>
      </c>
      <c r="R5" s="7"/>
      <c r="S5" s="7" t="s">
        <v>614</v>
      </c>
      <c r="T5" s="7" t="s">
        <v>614</v>
      </c>
      <c r="U5" s="7"/>
      <c r="V5" s="7"/>
      <c r="W5" s="7"/>
      <c r="X5" s="7"/>
      <c r="Y5" s="7" t="s">
        <v>499</v>
      </c>
      <c r="Z5" s="7"/>
      <c r="AA5" s="7"/>
      <c r="AB5" s="7"/>
      <c r="AC5" s="7"/>
      <c r="AD5" s="7"/>
      <c r="AE5" t="s">
        <v>506</v>
      </c>
    </row>
    <row r="6" spans="1:31" ht="29">
      <c r="A6" s="1" t="s">
        <v>80</v>
      </c>
      <c r="B6" s="1" t="s">
        <v>385</v>
      </c>
      <c r="C6" s="1" t="s">
        <v>386</v>
      </c>
      <c r="D6" s="1"/>
      <c r="E6" s="1"/>
      <c r="F6" s="1"/>
      <c r="G6" s="7" t="s">
        <v>504</v>
      </c>
      <c r="H6" s="7">
        <v>0</v>
      </c>
      <c r="I6" s="7">
        <v>1</v>
      </c>
      <c r="J6" s="7">
        <v>2</v>
      </c>
      <c r="K6" s="7" t="s">
        <v>541</v>
      </c>
      <c r="L6" s="7" t="s">
        <v>550</v>
      </c>
      <c r="M6" s="7"/>
      <c r="N6" s="8"/>
      <c r="O6" s="7"/>
      <c r="P6" s="7">
        <v>19277</v>
      </c>
      <c r="Q6" s="7">
        <v>1547.9804063277925</v>
      </c>
      <c r="R6" s="7"/>
      <c r="S6" s="7" t="s">
        <v>614</v>
      </c>
      <c r="T6" s="7" t="s">
        <v>614</v>
      </c>
      <c r="U6" s="7"/>
      <c r="V6" s="7"/>
      <c r="W6" s="7"/>
      <c r="X6" s="7"/>
      <c r="Y6" s="7" t="s">
        <v>499</v>
      </c>
      <c r="Z6" s="7"/>
      <c r="AA6" s="7"/>
      <c r="AB6" s="7"/>
      <c r="AC6" s="7"/>
      <c r="AD6" s="7"/>
      <c r="AE6" t="s">
        <v>506</v>
      </c>
    </row>
    <row r="7" spans="1:31" ht="43.5">
      <c r="A7" s="1" t="s">
        <v>84</v>
      </c>
      <c r="B7" s="1" t="s">
        <v>619</v>
      </c>
      <c r="C7" s="1" t="s">
        <v>620</v>
      </c>
      <c r="D7" s="1"/>
      <c r="E7" s="1"/>
      <c r="F7" s="1" t="s">
        <v>339</v>
      </c>
      <c r="G7" s="7" t="s">
        <v>500</v>
      </c>
      <c r="H7" s="7">
        <v>0</v>
      </c>
      <c r="I7" s="7">
        <v>1</v>
      </c>
      <c r="J7" s="7">
        <v>1</v>
      </c>
      <c r="K7" s="7" t="s">
        <v>541</v>
      </c>
      <c r="L7" s="7" t="s">
        <v>550</v>
      </c>
      <c r="M7" s="7"/>
      <c r="N7" s="8"/>
      <c r="O7" s="7"/>
      <c r="P7" s="7">
        <v>19277</v>
      </c>
      <c r="Q7" s="7">
        <v>1547.9804063277925</v>
      </c>
      <c r="R7" s="7"/>
      <c r="S7" s="7" t="s">
        <v>614</v>
      </c>
      <c r="T7" s="7" t="s">
        <v>614</v>
      </c>
      <c r="U7" s="7" t="s">
        <v>544</v>
      </c>
      <c r="V7" s="7"/>
      <c r="W7" s="7"/>
      <c r="X7" s="7"/>
      <c r="Y7" s="7" t="s">
        <v>499</v>
      </c>
      <c r="Z7" s="7"/>
      <c r="AA7" s="7"/>
      <c r="AB7" s="7"/>
      <c r="AC7" s="7"/>
      <c r="AD7" s="7"/>
      <c r="AE7" t="s">
        <v>506</v>
      </c>
    </row>
    <row r="8" spans="1:31" ht="29">
      <c r="A8" s="1" t="s">
        <v>96</v>
      </c>
      <c r="B8" s="1" t="s">
        <v>391</v>
      </c>
      <c r="C8" s="1" t="s">
        <v>390</v>
      </c>
      <c r="D8" s="1"/>
      <c r="E8" s="1"/>
      <c r="F8" s="1"/>
      <c r="G8" s="7" t="s">
        <v>504</v>
      </c>
      <c r="H8" s="7">
        <v>0</v>
      </c>
      <c r="I8" s="7">
        <v>1</v>
      </c>
      <c r="J8" s="7">
        <v>2</v>
      </c>
      <c r="K8" s="7" t="s">
        <v>568</v>
      </c>
      <c r="L8" s="7" t="s">
        <v>550</v>
      </c>
      <c r="M8" s="7"/>
      <c r="N8" s="8"/>
      <c r="O8" s="7" t="s">
        <v>537</v>
      </c>
      <c r="P8" s="7">
        <v>273</v>
      </c>
      <c r="Q8" s="7">
        <v>21.922428330522767</v>
      </c>
      <c r="R8" s="7"/>
      <c r="S8" s="7" t="s">
        <v>614</v>
      </c>
      <c r="T8" s="7" t="s">
        <v>614</v>
      </c>
      <c r="U8" s="7"/>
      <c r="V8" s="7"/>
      <c r="W8" s="7"/>
      <c r="X8" s="7"/>
      <c r="Y8" s="7" t="s">
        <v>499</v>
      </c>
      <c r="Z8" s="7"/>
      <c r="AA8" s="7"/>
      <c r="AB8" s="7"/>
      <c r="AC8" s="7"/>
      <c r="AD8" s="7"/>
      <c r="AE8" t="s">
        <v>499</v>
      </c>
    </row>
    <row r="9" spans="1:31" ht="29">
      <c r="A9" s="1" t="s">
        <v>119</v>
      </c>
      <c r="B9" s="1" t="s">
        <v>398</v>
      </c>
      <c r="C9" s="1" t="s">
        <v>399</v>
      </c>
      <c r="D9" s="1"/>
      <c r="E9" s="1"/>
      <c r="F9" s="1"/>
      <c r="G9" s="7" t="s">
        <v>504</v>
      </c>
      <c r="H9" s="7">
        <v>0</v>
      </c>
      <c r="I9" s="7">
        <v>1</v>
      </c>
      <c r="J9" s="7">
        <v>3</v>
      </c>
      <c r="K9" s="7" t="s">
        <v>541</v>
      </c>
      <c r="L9" s="7" t="s">
        <v>550</v>
      </c>
      <c r="M9" s="7"/>
      <c r="N9" s="8"/>
      <c r="O9" s="7"/>
      <c r="P9" s="7">
        <v>19277</v>
      </c>
      <c r="Q9" s="7">
        <v>1547.9804063277925</v>
      </c>
      <c r="R9" s="7"/>
      <c r="S9" s="7" t="s">
        <v>614</v>
      </c>
      <c r="T9" s="7" t="s">
        <v>614</v>
      </c>
      <c r="U9" s="7"/>
      <c r="V9" s="7"/>
      <c r="W9" s="7"/>
      <c r="X9" s="7"/>
      <c r="Y9" s="7" t="s">
        <v>499</v>
      </c>
      <c r="Z9" s="7"/>
      <c r="AA9" s="7"/>
      <c r="AB9" s="7"/>
      <c r="AC9" s="7"/>
      <c r="AD9" s="7"/>
      <c r="AE9" t="s">
        <v>506</v>
      </c>
    </row>
    <row r="10" spans="1:31" ht="43.5">
      <c r="A10" s="1" t="s">
        <v>155</v>
      </c>
      <c r="B10" s="1" t="s">
        <v>638</v>
      </c>
      <c r="C10" s="1" t="s">
        <v>639</v>
      </c>
      <c r="D10" s="1"/>
      <c r="E10" s="1"/>
      <c r="F10" s="1"/>
      <c r="G10" s="7" t="s">
        <v>504</v>
      </c>
      <c r="H10" s="7">
        <v>0</v>
      </c>
      <c r="I10" s="7">
        <v>1</v>
      </c>
      <c r="J10" s="7">
        <v>2</v>
      </c>
      <c r="K10" s="7" t="s">
        <v>541</v>
      </c>
      <c r="L10" s="7" t="s">
        <v>550</v>
      </c>
      <c r="M10" s="7"/>
      <c r="N10" s="8"/>
      <c r="O10" s="7"/>
      <c r="P10" s="7">
        <v>19277</v>
      </c>
      <c r="Q10" s="7">
        <v>1547.9804063277925</v>
      </c>
      <c r="R10" s="7"/>
      <c r="S10" s="7" t="s">
        <v>614</v>
      </c>
      <c r="T10" s="7" t="s">
        <v>614</v>
      </c>
      <c r="U10" s="7"/>
      <c r="V10" s="7"/>
      <c r="W10" s="7"/>
      <c r="X10" s="7"/>
      <c r="Y10" s="7" t="s">
        <v>499</v>
      </c>
      <c r="Z10" s="7"/>
      <c r="AA10" s="7"/>
      <c r="AB10" s="7"/>
      <c r="AC10" s="7"/>
      <c r="AD10" s="7"/>
      <c r="AE10" t="s">
        <v>506</v>
      </c>
    </row>
    <row r="11" spans="1:31" ht="29">
      <c r="A11" s="1" t="s">
        <v>176</v>
      </c>
      <c r="B11" s="1" t="s">
        <v>662</v>
      </c>
      <c r="C11" s="1" t="s">
        <v>663</v>
      </c>
      <c r="D11" s="1"/>
      <c r="E11" s="1"/>
      <c r="F11" s="1"/>
      <c r="G11" s="7" t="s">
        <v>500</v>
      </c>
      <c r="H11" s="7">
        <v>0</v>
      </c>
      <c r="I11" s="7">
        <v>1</v>
      </c>
      <c r="J11" s="7">
        <v>1</v>
      </c>
      <c r="K11" s="7" t="s">
        <v>541</v>
      </c>
      <c r="L11" s="7" t="s">
        <v>550</v>
      </c>
      <c r="M11" s="7"/>
      <c r="N11" s="8"/>
      <c r="O11" s="7"/>
      <c r="P11" s="7">
        <v>19277</v>
      </c>
      <c r="Q11" s="7">
        <v>1547.9804063277925</v>
      </c>
      <c r="R11" s="7"/>
      <c r="S11" s="7" t="s">
        <v>614</v>
      </c>
      <c r="T11" s="7" t="s">
        <v>614</v>
      </c>
      <c r="U11" s="7"/>
      <c r="V11" s="7"/>
      <c r="W11" s="7"/>
      <c r="X11" s="7"/>
      <c r="Y11" s="7" t="s">
        <v>499</v>
      </c>
      <c r="Z11" s="7"/>
      <c r="AA11" s="7"/>
      <c r="AB11" s="7"/>
      <c r="AC11" s="7"/>
      <c r="AD11" s="7"/>
      <c r="AE11" t="s">
        <v>506</v>
      </c>
    </row>
    <row r="12" spans="1:31" ht="43.5">
      <c r="A12" s="1" t="s">
        <v>203</v>
      </c>
      <c r="B12" s="1" t="s">
        <v>677</v>
      </c>
      <c r="C12" s="1" t="s">
        <v>678</v>
      </c>
      <c r="D12" s="1"/>
      <c r="E12" s="1"/>
      <c r="F12" s="1"/>
      <c r="G12" s="7" t="s">
        <v>504</v>
      </c>
      <c r="H12" s="7">
        <v>0</v>
      </c>
      <c r="I12" s="7">
        <v>1</v>
      </c>
      <c r="J12" s="7">
        <v>4</v>
      </c>
      <c r="K12" s="7" t="s">
        <v>562</v>
      </c>
      <c r="L12" s="7" t="s">
        <v>542</v>
      </c>
      <c r="M12" s="7"/>
      <c r="N12" s="8"/>
      <c r="O12" s="7"/>
      <c r="P12" s="7">
        <v>79</v>
      </c>
      <c r="Q12" s="7">
        <v>6.3438528868545729</v>
      </c>
      <c r="R12" s="7"/>
      <c r="S12" s="7" t="s">
        <v>614</v>
      </c>
      <c r="T12" s="7" t="s">
        <v>614</v>
      </c>
      <c r="U12" s="7"/>
      <c r="V12" s="7"/>
      <c r="W12" s="7"/>
      <c r="X12" s="7"/>
      <c r="Y12" s="7" t="s">
        <v>499</v>
      </c>
      <c r="Z12" s="7"/>
      <c r="AA12" s="7"/>
      <c r="AB12" s="7"/>
      <c r="AC12" s="7"/>
      <c r="AD12" s="7"/>
      <c r="AE12" t="s">
        <v>506</v>
      </c>
    </row>
    <row r="13" spans="1:31" ht="43.5">
      <c r="A13" s="1" t="s">
        <v>211</v>
      </c>
      <c r="B13" s="1" t="s">
        <v>423</v>
      </c>
      <c r="C13" s="1" t="s">
        <v>424</v>
      </c>
      <c r="D13" s="1"/>
      <c r="E13" s="1"/>
      <c r="F13" s="1"/>
      <c r="G13" s="7" t="s">
        <v>500</v>
      </c>
      <c r="H13" s="7">
        <v>0</v>
      </c>
      <c r="I13" s="7">
        <v>1</v>
      </c>
      <c r="J13" s="7">
        <v>1</v>
      </c>
      <c r="K13" s="7" t="s">
        <v>541</v>
      </c>
      <c r="L13" s="7" t="s">
        <v>550</v>
      </c>
      <c r="M13" s="7"/>
      <c r="N13" s="8"/>
      <c r="O13" s="7"/>
      <c r="P13" s="7">
        <v>19277</v>
      </c>
      <c r="Q13" s="7">
        <v>1547.9804063277925</v>
      </c>
      <c r="R13" s="7"/>
      <c r="S13" s="7" t="s">
        <v>614</v>
      </c>
      <c r="T13" s="7" t="s">
        <v>614</v>
      </c>
      <c r="U13" s="7"/>
      <c r="V13" s="7"/>
      <c r="W13" s="7"/>
      <c r="X13" s="7"/>
      <c r="Y13" s="7" t="s">
        <v>499</v>
      </c>
      <c r="Z13" s="7"/>
      <c r="AA13" s="7"/>
      <c r="AB13" s="7"/>
      <c r="AC13" s="7"/>
      <c r="AD13" s="7"/>
      <c r="AE13" t="s">
        <v>506</v>
      </c>
    </row>
    <row r="14" spans="1:31" ht="29">
      <c r="A14" s="1" t="s">
        <v>218</v>
      </c>
      <c r="B14" s="1" t="s">
        <v>686</v>
      </c>
      <c r="C14" s="1" t="s">
        <v>685</v>
      </c>
      <c r="D14" s="1"/>
      <c r="E14" s="1"/>
      <c r="F14" s="1"/>
      <c r="G14" s="7" t="s">
        <v>504</v>
      </c>
      <c r="H14" s="7">
        <v>0</v>
      </c>
      <c r="I14" s="7">
        <v>1</v>
      </c>
      <c r="J14" s="7">
        <v>1</v>
      </c>
      <c r="K14" s="7" t="s">
        <v>541</v>
      </c>
      <c r="L14" s="7" t="s">
        <v>550</v>
      </c>
      <c r="M14" s="7"/>
      <c r="N14" s="8"/>
      <c r="O14" s="7"/>
      <c r="P14" s="7">
        <v>19277</v>
      </c>
      <c r="Q14" s="7">
        <v>1547.9804063277925</v>
      </c>
      <c r="R14" s="7"/>
      <c r="S14" s="7" t="s">
        <v>614</v>
      </c>
      <c r="T14" s="7" t="s">
        <v>614</v>
      </c>
      <c r="U14" s="7"/>
      <c r="V14" s="7"/>
      <c r="W14" s="7"/>
      <c r="X14" s="7"/>
      <c r="Y14" s="7" t="s">
        <v>499</v>
      </c>
      <c r="Z14" s="7"/>
      <c r="AA14" s="7"/>
      <c r="AB14" s="7"/>
      <c r="AC14" s="7"/>
      <c r="AD14" s="7"/>
      <c r="AE14" t="s">
        <v>506</v>
      </c>
    </row>
    <row r="15" spans="1:31" ht="43.5">
      <c r="A15" s="1" t="s">
        <v>223</v>
      </c>
      <c r="B15" s="1" t="s">
        <v>433</v>
      </c>
      <c r="C15" s="1" t="s">
        <v>434</v>
      </c>
      <c r="D15" s="1"/>
      <c r="E15" s="1"/>
      <c r="F15" s="1"/>
      <c r="G15" s="7" t="s">
        <v>500</v>
      </c>
      <c r="H15" s="7">
        <v>0</v>
      </c>
      <c r="I15" s="7">
        <v>1</v>
      </c>
      <c r="J15" s="7">
        <v>3</v>
      </c>
      <c r="K15" s="7" t="s">
        <v>541</v>
      </c>
      <c r="L15" s="7" t="s">
        <v>542</v>
      </c>
      <c r="M15" s="7"/>
      <c r="N15" s="8"/>
      <c r="O15" s="7"/>
      <c r="P15" s="7">
        <v>19277</v>
      </c>
      <c r="Q15" s="7">
        <v>1547.9804063277925</v>
      </c>
      <c r="R15" s="7"/>
      <c r="S15" s="7" t="s">
        <v>614</v>
      </c>
      <c r="T15" s="7" t="s">
        <v>614</v>
      </c>
      <c r="U15" s="7"/>
      <c r="V15" s="7"/>
      <c r="W15" s="7"/>
      <c r="X15" s="7"/>
      <c r="Y15" s="7" t="s">
        <v>499</v>
      </c>
      <c r="Z15" s="7"/>
      <c r="AA15" s="7"/>
      <c r="AB15" s="7"/>
      <c r="AC15" s="7"/>
      <c r="AD15" s="7"/>
      <c r="AE15" t="s">
        <v>506</v>
      </c>
    </row>
    <row r="16" spans="1:31" ht="72.5">
      <c r="A16" s="1" t="s">
        <v>231</v>
      </c>
      <c r="B16" s="1" t="s">
        <v>443</v>
      </c>
      <c r="C16" s="1" t="s">
        <v>444</v>
      </c>
      <c r="D16" s="1"/>
      <c r="E16" s="1"/>
      <c r="F16" s="1"/>
      <c r="G16" s="7" t="s">
        <v>504</v>
      </c>
      <c r="H16" s="7">
        <v>0</v>
      </c>
      <c r="I16" s="7">
        <v>1</v>
      </c>
      <c r="J16" s="7">
        <v>3</v>
      </c>
      <c r="K16" s="7" t="s">
        <v>541</v>
      </c>
      <c r="L16" s="7" t="s">
        <v>542</v>
      </c>
      <c r="M16" s="7"/>
      <c r="N16" s="8"/>
      <c r="O16" s="7"/>
      <c r="P16" s="7">
        <v>19277</v>
      </c>
      <c r="Q16" s="7">
        <v>1547.9804063277925</v>
      </c>
      <c r="R16" s="7"/>
      <c r="S16" s="7" t="s">
        <v>614</v>
      </c>
      <c r="T16" s="7" t="s">
        <v>614</v>
      </c>
      <c r="U16" s="7" t="s">
        <v>544</v>
      </c>
      <c r="V16" s="7"/>
      <c r="W16" s="7"/>
      <c r="X16" s="7"/>
      <c r="Y16" s="7" t="s">
        <v>499</v>
      </c>
      <c r="Z16" s="7"/>
      <c r="AA16" s="7"/>
      <c r="AB16" s="7"/>
      <c r="AC16" s="7"/>
      <c r="AD16" s="7"/>
      <c r="AE16" t="s">
        <v>506</v>
      </c>
    </row>
    <row r="17" spans="1:31" ht="72.5">
      <c r="A17" s="1" t="s">
        <v>231</v>
      </c>
      <c r="B17" s="1" t="s">
        <v>445</v>
      </c>
      <c r="C17" s="1" t="s">
        <v>446</v>
      </c>
      <c r="D17" s="1"/>
      <c r="E17" s="1"/>
      <c r="F17" s="1"/>
      <c r="G17" s="7" t="s">
        <v>504</v>
      </c>
      <c r="H17" s="7">
        <v>0</v>
      </c>
      <c r="I17" s="7">
        <v>1</v>
      </c>
      <c r="J17" s="7">
        <v>3</v>
      </c>
      <c r="K17" s="7" t="s">
        <v>541</v>
      </c>
      <c r="L17" s="7" t="s">
        <v>542</v>
      </c>
      <c r="M17" s="7"/>
      <c r="N17" s="8"/>
      <c r="O17" s="7"/>
      <c r="P17" s="7">
        <v>19277</v>
      </c>
      <c r="Q17" s="7">
        <v>1547.9804063277925</v>
      </c>
      <c r="R17" s="7"/>
      <c r="S17" s="7" t="s">
        <v>614</v>
      </c>
      <c r="T17" s="7" t="s">
        <v>614</v>
      </c>
      <c r="U17" s="7" t="s">
        <v>544</v>
      </c>
      <c r="V17" s="7"/>
      <c r="W17" s="7"/>
      <c r="X17" s="7"/>
      <c r="Y17" s="7" t="s">
        <v>499</v>
      </c>
      <c r="Z17" s="7"/>
      <c r="AA17" s="7"/>
      <c r="AB17" s="7"/>
      <c r="AC17" s="7"/>
      <c r="AD17" s="7"/>
      <c r="AE17" t="s">
        <v>506</v>
      </c>
    </row>
    <row r="18" spans="1:31" ht="58">
      <c r="A18" s="1" t="s">
        <v>242</v>
      </c>
      <c r="B18" s="1" t="s">
        <v>457</v>
      </c>
      <c r="C18" s="1" t="s">
        <v>705</v>
      </c>
      <c r="D18" s="1"/>
      <c r="E18" s="1"/>
      <c r="F18" s="1" t="s">
        <v>339</v>
      </c>
      <c r="G18" s="7" t="s">
        <v>500</v>
      </c>
      <c r="H18" s="7">
        <v>0</v>
      </c>
      <c r="I18" s="7">
        <v>1</v>
      </c>
      <c r="J18" s="7">
        <v>4</v>
      </c>
      <c r="K18" s="7" t="s">
        <v>562</v>
      </c>
      <c r="L18" s="7" t="s">
        <v>542</v>
      </c>
      <c r="M18" s="7"/>
      <c r="N18" s="8"/>
      <c r="O18" s="7"/>
      <c r="P18" s="7">
        <v>3713</v>
      </c>
      <c r="Q18" s="7">
        <v>298.16108568216498</v>
      </c>
      <c r="R18" s="7"/>
      <c r="S18" s="7" t="s">
        <v>614</v>
      </c>
      <c r="T18" s="7" t="s">
        <v>614</v>
      </c>
      <c r="U18" s="7"/>
      <c r="V18" s="7"/>
      <c r="W18" s="7"/>
      <c r="X18" s="7"/>
      <c r="Y18" s="7" t="s">
        <v>499</v>
      </c>
      <c r="Z18" s="7"/>
      <c r="AA18" s="7"/>
      <c r="AB18" s="7"/>
      <c r="AC18" s="7"/>
      <c r="AD18" s="7"/>
      <c r="AE18" t="s">
        <v>506</v>
      </c>
    </row>
    <row r="19" spans="1:31" ht="87">
      <c r="A19" s="1" t="s">
        <v>246</v>
      </c>
      <c r="B19" s="1" t="s">
        <v>706</v>
      </c>
      <c r="C19" s="1" t="s">
        <v>707</v>
      </c>
      <c r="D19" s="1"/>
      <c r="E19" s="1"/>
      <c r="F19" s="1"/>
      <c r="G19" s="7" t="s">
        <v>500</v>
      </c>
      <c r="H19" s="7">
        <v>0</v>
      </c>
      <c r="I19" s="7">
        <v>1</v>
      </c>
      <c r="J19" s="7">
        <v>2</v>
      </c>
      <c r="K19" s="7" t="s">
        <v>564</v>
      </c>
      <c r="L19" s="7" t="s">
        <v>550</v>
      </c>
      <c r="M19" s="7"/>
      <c r="N19" s="8"/>
      <c r="O19" s="7"/>
      <c r="P19" s="7">
        <v>903</v>
      </c>
      <c r="Q19" s="7">
        <v>72.512647554806065</v>
      </c>
      <c r="R19" s="7"/>
      <c r="S19" s="7" t="s">
        <v>614</v>
      </c>
      <c r="T19" s="7" t="s">
        <v>614</v>
      </c>
      <c r="U19" s="7" t="s">
        <v>544</v>
      </c>
      <c r="V19" s="7"/>
      <c r="W19" s="7"/>
      <c r="X19" s="7"/>
      <c r="Y19" s="7" t="s">
        <v>499</v>
      </c>
      <c r="Z19" s="7"/>
      <c r="AA19" s="7"/>
      <c r="AB19" s="7"/>
      <c r="AC19" s="7"/>
      <c r="AD19" s="7"/>
      <c r="AE19" t="s">
        <v>499</v>
      </c>
    </row>
    <row r="20" spans="1:31" ht="29">
      <c r="A20" s="1" t="s">
        <v>251</v>
      </c>
      <c r="B20" s="1" t="s">
        <v>458</v>
      </c>
      <c r="C20" s="1" t="s">
        <v>459</v>
      </c>
      <c r="D20" s="1"/>
      <c r="E20" s="1"/>
      <c r="F20" s="1"/>
      <c r="G20" s="7" t="s">
        <v>504</v>
      </c>
      <c r="H20" s="7">
        <v>0</v>
      </c>
      <c r="I20" s="7">
        <v>1</v>
      </c>
      <c r="J20" s="7">
        <v>1</v>
      </c>
      <c r="K20" s="7" t="s">
        <v>541</v>
      </c>
      <c r="L20" s="7" t="s">
        <v>550</v>
      </c>
      <c r="M20" s="7"/>
      <c r="N20" s="8"/>
      <c r="O20" s="7"/>
      <c r="P20" s="7">
        <v>19277</v>
      </c>
      <c r="Q20" s="7">
        <v>1547.9804063277925</v>
      </c>
      <c r="R20" s="7"/>
      <c r="S20" s="7" t="s">
        <v>614</v>
      </c>
      <c r="T20" s="7" t="s">
        <v>614</v>
      </c>
      <c r="U20" s="7" t="s">
        <v>544</v>
      </c>
      <c r="V20" s="7"/>
      <c r="W20" s="7"/>
      <c r="X20" s="7"/>
      <c r="Y20" s="7" t="s">
        <v>499</v>
      </c>
      <c r="Z20" s="7"/>
      <c r="AA20" s="7"/>
      <c r="AB20" s="7"/>
      <c r="AC20" s="7"/>
      <c r="AD20" s="7"/>
      <c r="AE20" t="s">
        <v>499</v>
      </c>
    </row>
    <row r="21" spans="1:31" ht="29">
      <c r="A21" s="1" t="s">
        <v>254</v>
      </c>
      <c r="B21" s="1" t="s">
        <v>464</v>
      </c>
      <c r="C21" s="1" t="s">
        <v>465</v>
      </c>
      <c r="D21" s="1"/>
      <c r="E21" s="1"/>
      <c r="F21" s="1"/>
      <c r="G21" s="7" t="s">
        <v>504</v>
      </c>
      <c r="H21" s="7">
        <v>0</v>
      </c>
      <c r="I21" s="7">
        <v>1</v>
      </c>
      <c r="J21" s="7">
        <v>2</v>
      </c>
      <c r="K21" s="7" t="s">
        <v>541</v>
      </c>
      <c r="L21" s="7" t="s">
        <v>550</v>
      </c>
      <c r="M21" s="7"/>
      <c r="N21" s="8"/>
      <c r="O21" s="7"/>
      <c r="P21" s="7">
        <v>19277</v>
      </c>
      <c r="Q21" s="7">
        <v>1547.9804063277925</v>
      </c>
      <c r="R21" s="7"/>
      <c r="S21" s="7" t="s">
        <v>614</v>
      </c>
      <c r="T21" s="7" t="s">
        <v>614</v>
      </c>
      <c r="U21" s="7"/>
      <c r="V21" s="7"/>
      <c r="W21" s="7"/>
      <c r="X21" s="7"/>
      <c r="Y21" s="7" t="s">
        <v>499</v>
      </c>
      <c r="Z21" s="7"/>
      <c r="AA21" s="7"/>
      <c r="AB21" s="7"/>
      <c r="AC21" s="7"/>
      <c r="AD21" s="7"/>
      <c r="AE21" t="s">
        <v>499</v>
      </c>
    </row>
    <row r="22" spans="1:31" ht="29">
      <c r="A22" s="1" t="s">
        <v>261</v>
      </c>
      <c r="B22" s="1" t="s">
        <v>471</v>
      </c>
      <c r="C22" s="1" t="s">
        <v>472</v>
      </c>
      <c r="D22" s="1"/>
      <c r="E22" s="1"/>
      <c r="F22" s="1"/>
      <c r="G22" s="7" t="s">
        <v>500</v>
      </c>
      <c r="H22" s="7">
        <v>0</v>
      </c>
      <c r="I22" s="7">
        <v>1</v>
      </c>
      <c r="J22" s="7">
        <v>2</v>
      </c>
      <c r="K22" s="7" t="s">
        <v>541</v>
      </c>
      <c r="L22" s="7" t="s">
        <v>550</v>
      </c>
      <c r="M22" s="7"/>
      <c r="N22" s="8"/>
      <c r="O22" s="7"/>
      <c r="P22" s="7">
        <v>19277</v>
      </c>
      <c r="Q22" s="7">
        <v>1547.9804063277925</v>
      </c>
      <c r="R22" s="7"/>
      <c r="S22" s="7" t="s">
        <v>614</v>
      </c>
      <c r="T22" s="7" t="s">
        <v>614</v>
      </c>
      <c r="U22" s="7"/>
      <c r="V22" s="7"/>
      <c r="W22" s="7"/>
      <c r="X22" s="7"/>
      <c r="Y22" s="7" t="s">
        <v>499</v>
      </c>
      <c r="Z22" s="7"/>
      <c r="AA22" s="7"/>
      <c r="AB22" s="7"/>
      <c r="AC22" s="7"/>
      <c r="AD22" s="7"/>
      <c r="AE22" t="s">
        <v>506</v>
      </c>
    </row>
    <row r="23" spans="1:31" ht="87">
      <c r="A23" s="1" t="s">
        <v>274</v>
      </c>
      <c r="B23" s="1" t="s">
        <v>729</v>
      </c>
      <c r="C23" s="1" t="s">
        <v>730</v>
      </c>
      <c r="D23" s="1" t="s">
        <v>501</v>
      </c>
      <c r="E23" s="1"/>
      <c r="F23" s="1"/>
      <c r="G23" s="7" t="s">
        <v>504</v>
      </c>
      <c r="H23" s="7">
        <v>0</v>
      </c>
      <c r="I23" s="7">
        <v>1</v>
      </c>
      <c r="J23" s="7">
        <v>3</v>
      </c>
      <c r="K23" s="7" t="s">
        <v>554</v>
      </c>
      <c r="L23" s="7" t="s">
        <v>542</v>
      </c>
      <c r="M23" s="7"/>
      <c r="N23" s="8"/>
      <c r="O23" s="7"/>
      <c r="P23" s="7">
        <v>11721</v>
      </c>
      <c r="Q23" s="7">
        <v>941.2189833774994</v>
      </c>
      <c r="R23" s="7"/>
      <c r="S23" s="7" t="s">
        <v>614</v>
      </c>
      <c r="T23" s="7" t="s">
        <v>614</v>
      </c>
      <c r="U23" s="7"/>
      <c r="V23" s="7"/>
      <c r="W23" s="7"/>
      <c r="X23" s="7"/>
      <c r="Y23" s="7" t="s">
        <v>499</v>
      </c>
      <c r="Z23" s="7"/>
      <c r="AA23" s="7"/>
      <c r="AB23" s="7"/>
      <c r="AC23" s="7"/>
      <c r="AD23" s="7"/>
      <c r="AE23" t="s">
        <v>506</v>
      </c>
    </row>
    <row r="24" spans="1:31" ht="43.5">
      <c r="A24" s="1" t="s">
        <v>325</v>
      </c>
      <c r="B24" s="1" t="s">
        <v>489</v>
      </c>
      <c r="C24" s="1" t="s">
        <v>490</v>
      </c>
      <c r="D24" s="1"/>
      <c r="E24" s="1"/>
      <c r="F24" s="1"/>
      <c r="G24" s="7" t="s">
        <v>504</v>
      </c>
      <c r="H24" s="7">
        <v>0</v>
      </c>
      <c r="I24" s="7">
        <v>1</v>
      </c>
      <c r="J24" s="7">
        <v>2</v>
      </c>
      <c r="K24" s="7" t="s">
        <v>541</v>
      </c>
      <c r="L24" s="7" t="s">
        <v>550</v>
      </c>
      <c r="M24" s="7"/>
      <c r="N24" s="8"/>
      <c r="O24" s="7"/>
      <c r="P24" s="7">
        <v>19277</v>
      </c>
      <c r="Q24" s="7">
        <v>1547.9804063277925</v>
      </c>
      <c r="R24" s="7"/>
      <c r="S24" s="7" t="s">
        <v>614</v>
      </c>
      <c r="T24" s="7" t="s">
        <v>614</v>
      </c>
      <c r="U24" s="7" t="s">
        <v>544</v>
      </c>
      <c r="V24" s="7"/>
      <c r="W24" s="7"/>
      <c r="X24" s="7"/>
      <c r="Y24" s="7" t="s">
        <v>499</v>
      </c>
      <c r="Z24" s="7"/>
      <c r="AA24" s="7"/>
      <c r="AB24" s="7"/>
      <c r="AC24" s="7"/>
      <c r="AD24" s="7"/>
      <c r="AE24" t="s">
        <v>499</v>
      </c>
    </row>
    <row r="25" spans="1:31" ht="43.5">
      <c r="A25" s="1" t="s">
        <v>329</v>
      </c>
      <c r="B25" s="1" t="s">
        <v>491</v>
      </c>
      <c r="C25" s="1" t="s">
        <v>492</v>
      </c>
      <c r="D25" s="1"/>
      <c r="E25" s="1"/>
      <c r="F25" s="1"/>
      <c r="G25" s="7" t="s">
        <v>504</v>
      </c>
      <c r="H25" s="7">
        <v>0</v>
      </c>
      <c r="I25" s="7">
        <v>1</v>
      </c>
      <c r="J25" s="7">
        <v>2</v>
      </c>
      <c r="K25" s="7" t="s">
        <v>541</v>
      </c>
      <c r="L25" s="7" t="s">
        <v>550</v>
      </c>
      <c r="M25" s="7"/>
      <c r="N25" s="8"/>
      <c r="O25" s="7"/>
      <c r="P25" s="7">
        <v>19277</v>
      </c>
      <c r="Q25" s="7">
        <v>1547.9804063277925</v>
      </c>
      <c r="R25" s="7"/>
      <c r="S25" s="7" t="s">
        <v>614</v>
      </c>
      <c r="T25" s="7" t="s">
        <v>614</v>
      </c>
      <c r="U25" s="7" t="s">
        <v>544</v>
      </c>
      <c r="V25" s="7"/>
      <c r="W25" s="7"/>
      <c r="X25" s="7"/>
      <c r="Y25" s="7" t="s">
        <v>499</v>
      </c>
      <c r="Z25" s="7"/>
      <c r="AA25" s="7"/>
      <c r="AB25" s="7"/>
      <c r="AC25" s="7"/>
      <c r="AD25" s="7"/>
      <c r="AE25" t="s">
        <v>499</v>
      </c>
    </row>
    <row r="28" spans="1:31">
      <c r="D28" t="s">
        <v>825</v>
      </c>
      <c r="E28">
        <v>124530</v>
      </c>
    </row>
    <row r="29" spans="1:31">
      <c r="D29" t="s">
        <v>832</v>
      </c>
      <c r="E29">
        <f>MEDIAN(Q:Q)</f>
        <v>1547.9804063277925</v>
      </c>
    </row>
    <row r="32" spans="1:31">
      <c r="D32" t="s">
        <v>833</v>
      </c>
      <c r="E32">
        <f>COUNTIFS(G:G, "Addition", Q:Q, "&gt;=" &amp; $E$29)</f>
        <v>5</v>
      </c>
    </row>
    <row r="33" spans="4:5">
      <c r="D33" t="s">
        <v>834</v>
      </c>
      <c r="E33">
        <f>COUNTIFS(G:G, "Omission", Q:Q, "&gt;=" &amp; $E$29)</f>
        <v>14</v>
      </c>
    </row>
    <row r="34" spans="4:5">
      <c r="D34" t="s">
        <v>835</v>
      </c>
      <c r="E34">
        <f>E32/(E32+E33)</f>
        <v>0.26315789473684209</v>
      </c>
    </row>
    <row r="35" spans="4:5">
      <c r="D35" t="s">
        <v>836</v>
      </c>
      <c r="E35">
        <f>COUNTIFS(G:G, "Addition", Q:Q, "&lt;" &amp; $E$29)</f>
        <v>2</v>
      </c>
    </row>
    <row r="36" spans="4:5">
      <c r="D36" t="s">
        <v>837</v>
      </c>
      <c r="E36">
        <f>COUNTIFS(G:G, "Omission", Q:Q, "&lt;" &amp; $E$29)</f>
        <v>3</v>
      </c>
    </row>
    <row r="37" spans="4:5">
      <c r="D37" t="s">
        <v>838</v>
      </c>
      <c r="E37">
        <f>E35/(E35+E36)</f>
        <v>0.4</v>
      </c>
    </row>
    <row r="40" spans="4:5">
      <c r="D40" t="s">
        <v>840</v>
      </c>
      <c r="E40">
        <f>COUNTIFS(G:G, "Addition", K:K, "Article")</f>
        <v>5</v>
      </c>
    </row>
    <row r="41" spans="4:5">
      <c r="D41" t="s">
        <v>841</v>
      </c>
      <c r="E41">
        <f>COUNTIFS(G:G, "Omission", K:K, "Article")</f>
        <v>14</v>
      </c>
    </row>
    <row r="42" spans="4:5">
      <c r="D42" t="s">
        <v>842</v>
      </c>
      <c r="E42">
        <f>COUNTIFS(G:G, "Addition", K:K, "Article")/(COUNTIFS(G:G, "Addition", K:K, "Article") + COUNTIFS(G:G, "Omission", K:K, "Article"))</f>
        <v>0.26315789473684209</v>
      </c>
    </row>
  </sheetData>
  <conditionalFormatting sqref="G2:G25">
    <cfRule type="expression" dxfId="269" priority="24">
      <formula>$I2&lt;&gt;""</formula>
    </cfRule>
    <cfRule type="expression" dxfId="268" priority="25">
      <formula>$I2=""</formula>
    </cfRule>
  </conditionalFormatting>
  <conditionalFormatting sqref="H2:L25 O2:P25">
    <cfRule type="expression" dxfId="267" priority="22">
      <formula>AND(OR($I2="Addition",$I2="Omission"), H2="")</formula>
    </cfRule>
    <cfRule type="expression" dxfId="266" priority="23">
      <formula>AND($I2&lt;&gt;"Addition",$I2&lt;&gt;"Omission",$I2&lt;&gt;"Substitution - Word")</formula>
    </cfRule>
  </conditionalFormatting>
  <conditionalFormatting sqref="H2:P25">
    <cfRule type="expression" dxfId="265" priority="21">
      <formula>AND(OR($I2="Addition",$I2="Omission"), H2&lt;&gt;"")</formula>
    </cfRule>
  </conditionalFormatting>
  <conditionalFormatting sqref="K2:K25">
    <cfRule type="expression" dxfId="264" priority="16">
      <formula>AND($K2&lt;&gt;"",$K2&gt;1)</formula>
    </cfRule>
  </conditionalFormatting>
  <conditionalFormatting sqref="M2:N25">
    <cfRule type="expression" dxfId="263" priority="12">
      <formula>$N2="Absent"</formula>
    </cfRule>
    <cfRule type="expression" dxfId="262" priority="13">
      <formula>$N2="NA"</formula>
    </cfRule>
    <cfRule type="expression" dxfId="261" priority="14">
      <formula>AND(OR($I2="Addition",$I2="Omission"), M2="")</formula>
    </cfRule>
    <cfRule type="expression" dxfId="260" priority="15">
      <formula>AND($I2&lt;&gt;"Addition",$I2&lt;&gt;"Omission")</formula>
    </cfRule>
  </conditionalFormatting>
  <conditionalFormatting sqref="O2:O25">
    <cfRule type="expression" dxfId="259" priority="17">
      <formula>AND(OR($I2="Addition",$I2="Omission",$I2="Substitution - Word"),RIGHT($AE2,6)&lt;&gt;"strict",$AD2&lt;&gt;"Yes")</formula>
    </cfRule>
  </conditionalFormatting>
  <conditionalFormatting sqref="Q2:Q25">
    <cfRule type="expression" dxfId="258" priority="2">
      <formula>AND(OR($I2="Addition",$I2="Omission"), Q2&lt;&gt;"")</formula>
    </cfRule>
    <cfRule type="expression" dxfId="257" priority="3">
      <formula>AND(OR($I2="Addition",$I2="Omission"), Q2="")</formula>
    </cfRule>
    <cfRule type="expression" dxfId="256" priority="4">
      <formula>AND($I2&lt;&gt;"Addition",$I2&lt;&gt;"Omission",$I2&lt;&gt;"Substitution - Word")</formula>
    </cfRule>
  </conditionalFormatting>
  <conditionalFormatting sqref="R2:T25">
    <cfRule type="expression" dxfId="255" priority="18">
      <formula>AND(AND(LEFT($I2,3)="Sub", RIGHT($I2,4)&lt;&gt;"Form"),$T2&lt;&gt;"")</formula>
    </cfRule>
    <cfRule type="expression" dxfId="254" priority="19">
      <formula>AND(AND(LEFT($I2,3)="Sub", RIGHT($I2,4)&lt;&gt;"Form"),$T2="")</formula>
    </cfRule>
    <cfRule type="expression" dxfId="253" priority="20">
      <formula>"&lt;&gt;AND(LEFT($J2,3)=""Sub"", RIGHT($J2,4)&lt;&gt;""Form"")"</formula>
    </cfRule>
  </conditionalFormatting>
  <conditionalFormatting sqref="U2:U25">
    <cfRule type="expression" dxfId="252" priority="6">
      <formula>AND($W2&lt;&gt;"",OR($AD2="Yes",$AE2&lt;&gt;""))</formula>
    </cfRule>
    <cfRule type="expression" dxfId="251" priority="7">
      <formula>OR($AD2="Yes",$AE2&lt;&gt;"")</formula>
    </cfRule>
    <cfRule type="expression" dxfId="250" priority="10">
      <formula>AND($AD2&lt;&gt;"Yes",$AE2="")</formula>
    </cfRule>
  </conditionalFormatting>
  <conditionalFormatting sqref="U2:AD9">
    <cfRule type="expression" dxfId="249" priority="26">
      <formula>AND($I2&lt;&gt;"",$I2&lt;&gt;"Unclear due to correction")</formula>
    </cfRule>
  </conditionalFormatting>
  <conditionalFormatting sqref="U2:AD25">
    <cfRule type="expression" dxfId="248" priority="27">
      <formula>OR($I2="",$I2="Unclear due to correction")</formula>
    </cfRule>
  </conditionalFormatting>
  <conditionalFormatting sqref="U10:AD25">
    <cfRule type="expression" dxfId="247" priority="1">
      <formula>AND($I10&lt;&gt;"",$I10&lt;&gt;"Unclear due to correction")</formula>
    </cfRule>
  </conditionalFormatting>
  <conditionalFormatting sqref="V2:V25">
    <cfRule type="expression" dxfId="246" priority="5">
      <formula>AND($I2&lt;&gt;"",$I2&lt;&gt;"Unclear due to correction",$X2="")</formula>
    </cfRule>
  </conditionalFormatting>
  <conditionalFormatting sqref="W2:W25">
    <cfRule type="expression" dxfId="245" priority="8">
      <formula>AND($X2="Yes",$Y2="")</formula>
    </cfRule>
    <cfRule type="expression" dxfId="244" priority="9">
      <formula>$X2=""</formula>
    </cfRule>
  </conditionalFormatting>
  <conditionalFormatting sqref="AB2:AB25">
    <cfRule type="expression" dxfId="243" priority="11">
      <formula>AND(OR($AB2&lt;&gt;"",$AC2&lt;&gt;""),$AD2="")</formula>
    </cfRule>
  </conditionalFormatting>
  <dataValidations count="1">
    <dataValidation type="list" allowBlank="1" showInputMessage="1" showErrorMessage="1" sqref="AE2:AE25" xr:uid="{B3E55554-9C24-4249-AC6C-946C96286B0E}">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B3B488D-BDE9-4F73-BF3F-C2B244F9BC20}">
          <x14:formula1>
            <xm:f>'Data Regularization'!$N$2:$N$1048576</xm:f>
          </x14:formula1>
          <xm:sqref>AB2:AB25</xm:sqref>
        </x14:dataValidation>
        <x14:dataValidation type="list" allowBlank="1" showInputMessage="1" showErrorMessage="1" xr:uid="{21E70722-7975-4877-81D6-9E37321445F5}">
          <x14:formula1>
            <xm:f>'Data Regularization'!$P$2:$P$1048576</xm:f>
          </x14:formula1>
          <xm:sqref>AD2:AD25</xm:sqref>
        </x14:dataValidation>
        <x14:dataValidation type="list" allowBlank="1" showInputMessage="1" showErrorMessage="1" xr:uid="{F64F10FF-F218-4595-B7C7-B90F4A764D4A}">
          <x14:formula1>
            <xm:f>'Data Regularization'!$O$2:$O$1048576</xm:f>
          </x14:formula1>
          <xm:sqref>AC2:AC25</xm:sqref>
        </x14:dataValidation>
        <x14:dataValidation type="list" allowBlank="1" showInputMessage="1" showErrorMessage="1" xr:uid="{727AE634-00C0-405E-B052-676D8C55DD5D}">
          <x14:formula1>
            <xm:f>'Data Regularization'!$M$2:$M$1048576</xm:f>
          </x14:formula1>
          <xm:sqref>Z2:Z25</xm:sqref>
        </x14:dataValidation>
        <x14:dataValidation type="list" allowBlank="1" showInputMessage="1" showErrorMessage="1" xr:uid="{9A459BC9-9A3A-4B46-9B36-24A0426D62FE}">
          <x14:formula1>
            <xm:f>'Data Regularization'!$L$2:$L$1048576</xm:f>
          </x14:formula1>
          <xm:sqref>Y2:Y25</xm:sqref>
        </x14:dataValidation>
        <x14:dataValidation type="list" allowBlank="1" showInputMessage="1" showErrorMessage="1" xr:uid="{55D2F18A-030E-4F89-8696-42FFC083A5F0}">
          <x14:formula1>
            <xm:f>'Data Regularization'!$J$2:$J$1048576</xm:f>
          </x14:formula1>
          <xm:sqref>W2:W25</xm:sqref>
        </x14:dataValidation>
        <x14:dataValidation type="list" allowBlank="1" showInputMessage="1" showErrorMessage="1" xr:uid="{C326189E-8823-4C9B-A075-C39E206CF372}">
          <x14:formula1>
            <xm:f>'Data Regularization'!$K$2:$K$1048576</xm:f>
          </x14:formula1>
          <xm:sqref>X2:X25</xm:sqref>
        </x14:dataValidation>
        <x14:dataValidation type="list" allowBlank="1" showInputMessage="1" xr:uid="{7228389E-8210-4DA4-8229-1CB537C86A67}">
          <x14:formula1>
            <xm:f>'Data Regularization'!$I$2:$I$1048576</xm:f>
          </x14:formula1>
          <xm:sqref>V2:V25</xm:sqref>
        </x14:dataValidation>
        <x14:dataValidation type="list" allowBlank="1" showInputMessage="1" showErrorMessage="1" xr:uid="{5E9A30F2-BA62-498B-B4F2-53D5578B594C}">
          <x14:formula1>
            <xm:f>'Data Regularization'!$H$2:$H$1048576</xm:f>
          </x14:formula1>
          <xm:sqref>U2:U25</xm:sqref>
        </x14:dataValidation>
        <x14:dataValidation type="list" allowBlank="1" showInputMessage="1" showErrorMessage="1" xr:uid="{0BF71C3E-3912-4777-912B-3F3175895B13}">
          <x14:formula1>
            <xm:f>'Data Regularization'!$G$2:$G$1048576</xm:f>
          </x14:formula1>
          <xm:sqref>O2:O25</xm:sqref>
        </x14:dataValidation>
        <x14:dataValidation type="list" allowBlank="1" showInputMessage="1" showErrorMessage="1" xr:uid="{49F2C5FE-0BB1-4EA9-9B38-4AA3121B397F}">
          <x14:formula1>
            <xm:f>'Data Regularization'!$F$2:$F$1048576</xm:f>
          </x14:formula1>
          <xm:sqref>L2:L25</xm:sqref>
        </x14:dataValidation>
        <x14:dataValidation type="list" allowBlank="1" showInputMessage="1" showErrorMessage="1" xr:uid="{96F11975-7A0B-41E6-8385-AA5ADE6132A6}">
          <x14:formula1>
            <xm:f>'Data Regularization'!$E$2:$E$1048576</xm:f>
          </x14:formula1>
          <xm:sqref>K2:K25</xm:sqref>
        </x14:dataValidation>
        <x14:dataValidation type="list" allowBlank="1" showInputMessage="1" showErrorMessage="1" xr:uid="{C4093741-2034-431A-8C45-AE28CA26F636}">
          <x14:formula1>
            <xm:f>'Data Regularization'!$D$2:$D$1048576</xm:f>
          </x14:formula1>
          <xm:sqref>G2:G25</xm:sqref>
        </x14:dataValidation>
        <x14:dataValidation type="list" allowBlank="1" showInputMessage="1" showErrorMessage="1" xr:uid="{665B45D2-F32D-4861-80DD-D7C65BC81E0B}">
          <x14:formula1>
            <xm:f>'Data Regularization'!$C$2:$C$1048576</xm:f>
          </x14:formula1>
          <xm:sqref>F2:F25</xm:sqref>
        </x14:dataValidation>
        <x14:dataValidation type="list" allowBlank="1" showInputMessage="1" showErrorMessage="1" xr:uid="{832A0136-1B1B-4158-A333-1180807B3A2F}">
          <x14:formula1>
            <xm:f>'Data Regularization'!$B$2:$B$1048576</xm:f>
          </x14:formula1>
          <xm:sqref>E2:E25</xm:sqref>
        </x14:dataValidation>
        <x14:dataValidation type="list" allowBlank="1" showInputMessage="1" showErrorMessage="1" xr:uid="{8B047EB7-8296-4E5B-9791-30FEF4030700}">
          <x14:formula1>
            <xm:f>'Data Regularization'!$A$2:$A$1048576</xm:f>
          </x14:formula1>
          <xm:sqref>D2:D25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9C93E-07C3-4619-ABD1-D814719CE37B}">
  <dimension ref="A1:AE16"/>
  <sheetViews>
    <sheetView topLeftCell="A3" workbookViewId="0">
      <selection activeCell="A17" sqref="A17:XFD1048576"/>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831</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72.5">
      <c r="A2" s="1" t="s">
        <v>313</v>
      </c>
      <c r="B2" s="1" t="s">
        <v>482</v>
      </c>
      <c r="C2" s="1" t="s">
        <v>483</v>
      </c>
      <c r="D2" s="1"/>
      <c r="E2" s="1"/>
      <c r="F2" s="1"/>
      <c r="G2" s="7" t="s">
        <v>504</v>
      </c>
      <c r="H2" s="7">
        <v>0</v>
      </c>
      <c r="I2" s="7">
        <v>1</v>
      </c>
      <c r="J2" s="7">
        <v>12</v>
      </c>
      <c r="K2" s="7" t="s">
        <v>560</v>
      </c>
      <c r="L2" s="7" t="s">
        <v>536</v>
      </c>
      <c r="M2" s="7" t="s">
        <v>746</v>
      </c>
      <c r="N2" s="8" t="s">
        <v>649</v>
      </c>
      <c r="O2" s="7"/>
      <c r="P2" s="7">
        <v>106</v>
      </c>
      <c r="Q2" s="7">
        <v>8.5120051393238576</v>
      </c>
      <c r="R2" s="7"/>
      <c r="S2" s="7" t="s">
        <v>614</v>
      </c>
      <c r="T2" s="7" t="s">
        <v>614</v>
      </c>
      <c r="U2" s="7"/>
      <c r="V2" s="7"/>
      <c r="W2" s="7"/>
      <c r="X2" s="7"/>
      <c r="Y2" s="7" t="s">
        <v>499</v>
      </c>
      <c r="Z2" s="7"/>
      <c r="AA2" s="7"/>
      <c r="AB2" s="7"/>
      <c r="AC2" s="7"/>
      <c r="AD2" s="7"/>
      <c r="AE2" t="s">
        <v>506</v>
      </c>
    </row>
    <row r="3" spans="1:31">
      <c r="R3" s="7"/>
      <c r="S3" s="7"/>
    </row>
    <row r="4" spans="1:31">
      <c r="R4" s="7"/>
      <c r="S4" s="7"/>
    </row>
    <row r="5" spans="1:31">
      <c r="D5" t="s">
        <v>825</v>
      </c>
      <c r="E5">
        <v>124530</v>
      </c>
      <c r="R5" s="7"/>
      <c r="S5" s="7"/>
    </row>
    <row r="6" spans="1:31">
      <c r="D6" t="s">
        <v>832</v>
      </c>
      <c r="E6">
        <f>MEDIAN(Q:Q)</f>
        <v>8.5120051393238576</v>
      </c>
      <c r="R6" s="7"/>
      <c r="S6" s="7"/>
    </row>
    <row r="7" spans="1:31">
      <c r="R7" s="7"/>
      <c r="S7" s="7"/>
    </row>
    <row r="8" spans="1:31">
      <c r="R8" s="7"/>
      <c r="S8" s="7"/>
    </row>
    <row r="9" spans="1:31">
      <c r="D9" t="s">
        <v>833</v>
      </c>
      <c r="E9">
        <f>COUNTIFS(G:G, "Addition", Q:Q, "&gt;=" &amp; $E$6)</f>
        <v>0</v>
      </c>
      <c r="F9" t="s">
        <v>839</v>
      </c>
      <c r="R9" s="7"/>
      <c r="S9" s="7"/>
    </row>
    <row r="10" spans="1:31">
      <c r="D10" t="s">
        <v>834</v>
      </c>
      <c r="E10">
        <f>COUNTIFS(G:G, "Omission", Q:Q, "&gt;=" &amp; $E$6)</f>
        <v>1</v>
      </c>
      <c r="R10" s="7"/>
      <c r="S10" s="7"/>
    </row>
    <row r="11" spans="1:31">
      <c r="D11" t="s">
        <v>835</v>
      </c>
      <c r="E11">
        <f>E9/(E9+E10)</f>
        <v>0</v>
      </c>
      <c r="R11" s="7"/>
      <c r="S11" s="7"/>
    </row>
    <row r="12" spans="1:31">
      <c r="D12" t="s">
        <v>836</v>
      </c>
      <c r="E12">
        <f>COUNTIFS(G:G, "Addition", Q:Q, "&lt;" &amp; $E$6)</f>
        <v>0</v>
      </c>
      <c r="R12" s="7"/>
      <c r="S12" s="7"/>
    </row>
    <row r="13" spans="1:31">
      <c r="D13" t="s">
        <v>837</v>
      </c>
      <c r="E13">
        <f>COUNTIFS(G:G, "Omission", Q:Q, "&lt;" &amp; $E$6)</f>
        <v>0</v>
      </c>
      <c r="R13" s="7"/>
      <c r="S13" s="7"/>
    </row>
    <row r="14" spans="1:31">
      <c r="D14" t="s">
        <v>838</v>
      </c>
      <c r="E14" t="e">
        <f>E12/(E12+E13)</f>
        <v>#DIV/0!</v>
      </c>
      <c r="R14" s="7"/>
      <c r="S14" s="7"/>
    </row>
    <row r="15" spans="1:31">
      <c r="D15" t="s">
        <v>850</v>
      </c>
      <c r="E15" t="e">
        <f>E11-E14</f>
        <v>#DIV/0!</v>
      </c>
      <c r="R15" s="7"/>
      <c r="S15" s="7"/>
    </row>
    <row r="16" spans="1:31">
      <c r="R16" s="7"/>
      <c r="S16" s="7"/>
    </row>
  </sheetData>
  <conditionalFormatting sqref="G2">
    <cfRule type="expression" dxfId="242" priority="24">
      <formula>$I2&lt;&gt;""</formula>
    </cfRule>
    <cfRule type="expression" dxfId="241" priority="25">
      <formula>$I2=""</formula>
    </cfRule>
  </conditionalFormatting>
  <conditionalFormatting sqref="H2:L2 O2:P2">
    <cfRule type="expression" dxfId="240" priority="22">
      <formula>AND(OR($I2="Addition",$I2="Omission"), H2="")</formula>
    </cfRule>
    <cfRule type="expression" dxfId="239" priority="23">
      <formula>AND($I2&lt;&gt;"Addition",$I2&lt;&gt;"Omission",$I2&lt;&gt;"Substitution - Word")</formula>
    </cfRule>
  </conditionalFormatting>
  <conditionalFormatting sqref="H2:P2">
    <cfRule type="expression" dxfId="238" priority="21">
      <formula>AND(OR($I2="Addition",$I2="Omission"), H2&lt;&gt;"")</formula>
    </cfRule>
  </conditionalFormatting>
  <conditionalFormatting sqref="K2">
    <cfRule type="expression" dxfId="237" priority="16">
      <formula>AND($K2&lt;&gt;"",$K2&gt;1)</formula>
    </cfRule>
  </conditionalFormatting>
  <conditionalFormatting sqref="M2:N2">
    <cfRule type="expression" dxfId="236" priority="12">
      <formula>$N2="Absent"</formula>
    </cfRule>
    <cfRule type="expression" dxfId="235" priority="13">
      <formula>$N2="NA"</formula>
    </cfRule>
    <cfRule type="expression" dxfId="234" priority="14">
      <formula>AND(OR($I2="Addition",$I2="Omission"), M2="")</formula>
    </cfRule>
    <cfRule type="expression" dxfId="233" priority="15">
      <formula>AND($I2&lt;&gt;"Addition",$I2&lt;&gt;"Omission")</formula>
    </cfRule>
  </conditionalFormatting>
  <conditionalFormatting sqref="O2">
    <cfRule type="expression" dxfId="232" priority="17">
      <formula>AND(OR($I2="Addition",$I2="Omission",$I2="Substitution - Word"),RIGHT($AE2,6)&lt;&gt;"strict",$AD2&lt;&gt;"Yes")</formula>
    </cfRule>
  </conditionalFormatting>
  <conditionalFormatting sqref="Q2">
    <cfRule type="expression" dxfId="231" priority="1">
      <formula>AND(OR($I2="Addition",$I2="Omission"), Q2&lt;&gt;"")</formula>
    </cfRule>
    <cfRule type="expression" dxfId="230" priority="2">
      <formula>AND(OR($I2="Addition",$I2="Omission"), Q2="")</formula>
    </cfRule>
    <cfRule type="expression" dxfId="229" priority="3">
      <formula>AND($I2&lt;&gt;"Addition",$I2&lt;&gt;"Omission",$I2&lt;&gt;"Substitution - Word")</formula>
    </cfRule>
  </conditionalFormatting>
  <conditionalFormatting sqref="R3:S16">
    <cfRule type="expression" dxfId="228" priority="30">
      <formula>AND(AND(LEFT($I3,3)="Sub", RIGHT($I3,4)&lt;&gt;"Form"),$S3&lt;&gt;"")</formula>
    </cfRule>
    <cfRule type="expression" dxfId="227" priority="31">
      <formula>AND(AND(LEFT($I3,3)="Sub", RIGHT($I3,4)&lt;&gt;"Form"),$S3="")</formula>
    </cfRule>
    <cfRule type="expression" dxfId="226" priority="32">
      <formula>"&lt;&gt;AND(LEFT($J2,3)=""Sub"", RIGHT($J2,4)&lt;&gt;""Form"")"</formula>
    </cfRule>
  </conditionalFormatting>
  <conditionalFormatting sqref="R2:T2">
    <cfRule type="expression" dxfId="225" priority="18">
      <formula>AND(AND(LEFT($I2,3)="Sub", RIGHT($I2,4)&lt;&gt;"Form"),$T2&lt;&gt;"")</formula>
    </cfRule>
    <cfRule type="expression" dxfId="224" priority="19">
      <formula>AND(AND(LEFT($I2,3)="Sub", RIGHT($I2,4)&lt;&gt;"Form"),$T2="")</formula>
    </cfRule>
    <cfRule type="expression" dxfId="223" priority="20">
      <formula>"&lt;&gt;AND(LEFT($J2,3)=""Sub"", RIGHT($J2,4)&lt;&gt;""Form"")"</formula>
    </cfRule>
  </conditionalFormatting>
  <conditionalFormatting sqref="U2">
    <cfRule type="expression" dxfId="222" priority="6">
      <formula>AND($W2&lt;&gt;"",OR($AD2="Yes",$AE2&lt;&gt;""))</formula>
    </cfRule>
    <cfRule type="expression" dxfId="221" priority="7">
      <formula>OR($AD2="Yes",$AE2&lt;&gt;"")</formula>
    </cfRule>
    <cfRule type="expression" dxfId="220" priority="10">
      <formula>AND($AD2&lt;&gt;"Yes",$AE2="")</formula>
    </cfRule>
  </conditionalFormatting>
  <conditionalFormatting sqref="U2:AD2">
    <cfRule type="expression" dxfId="219" priority="4">
      <formula>AND($I2&lt;&gt;"",$I2&lt;&gt;"Unclear due to correction")</formula>
    </cfRule>
    <cfRule type="expression" dxfId="218" priority="26">
      <formula>OR($I2="",$I2="Unclear due to correction")</formula>
    </cfRule>
  </conditionalFormatting>
  <conditionalFormatting sqref="V2">
    <cfRule type="expression" dxfId="217" priority="5">
      <formula>AND($I2&lt;&gt;"",$I2&lt;&gt;"Unclear due to correction",$X2="")</formula>
    </cfRule>
  </conditionalFormatting>
  <conditionalFormatting sqref="W2">
    <cfRule type="expression" dxfId="216" priority="8">
      <formula>AND($X2="Yes",$Y2="")</formula>
    </cfRule>
    <cfRule type="expression" dxfId="215" priority="9">
      <formula>$X2=""</formula>
    </cfRule>
  </conditionalFormatting>
  <conditionalFormatting sqref="AB2">
    <cfRule type="expression" dxfId="214" priority="11">
      <formula>AND(OR($AB2&lt;&gt;"",$AC2&lt;&gt;""),$AD2="")</formula>
    </cfRule>
  </conditionalFormatting>
  <dataValidations count="1">
    <dataValidation type="list" allowBlank="1" showInputMessage="1" showErrorMessage="1" sqref="AE2" xr:uid="{7DF0CFCD-7737-499E-86EC-83AFE83E64E8}">
      <formula1>"Yes, 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A031E94E-8C5E-4F98-9D8F-B154480722E3}">
          <x14:formula1>
            <xm:f>'Data Regularization'!$N$2:$N$1048576</xm:f>
          </x14:formula1>
          <xm:sqref>AB2</xm:sqref>
        </x14:dataValidation>
        <x14:dataValidation type="list" allowBlank="1" showInputMessage="1" showErrorMessage="1" xr:uid="{1DE6C178-27BF-4A62-AC66-23D2C28DD50F}">
          <x14:formula1>
            <xm:f>'Data Regularization'!$P$2:$P$1048576</xm:f>
          </x14:formula1>
          <xm:sqref>AD2</xm:sqref>
        </x14:dataValidation>
        <x14:dataValidation type="list" allowBlank="1" showInputMessage="1" showErrorMessage="1" xr:uid="{1BF0CAD9-7156-4435-90EE-D106D1E1627B}">
          <x14:formula1>
            <xm:f>'Data Regularization'!$O$2:$O$1048576</xm:f>
          </x14:formula1>
          <xm:sqref>AC2</xm:sqref>
        </x14:dataValidation>
        <x14:dataValidation type="list" allowBlank="1" showInputMessage="1" showErrorMessage="1" xr:uid="{4C136CE7-A3DF-48A2-B6D5-49FCE2426B59}">
          <x14:formula1>
            <xm:f>'Data Regularization'!$M$2:$M$1048576</xm:f>
          </x14:formula1>
          <xm:sqref>Z2</xm:sqref>
        </x14:dataValidation>
        <x14:dataValidation type="list" allowBlank="1" showInputMessage="1" showErrorMessage="1" xr:uid="{F79D9717-A777-43AC-A526-2158BF913D57}">
          <x14:formula1>
            <xm:f>'Data Regularization'!$L$2:$L$1048576</xm:f>
          </x14:formula1>
          <xm:sqref>Y2</xm:sqref>
        </x14:dataValidation>
        <x14:dataValidation type="list" allowBlank="1" showInputMessage="1" showErrorMessage="1" xr:uid="{F87823B1-0E87-4D10-929E-2E42E298FBB3}">
          <x14:formula1>
            <xm:f>'Data Regularization'!$J$2:$J$1048576</xm:f>
          </x14:formula1>
          <xm:sqref>W2</xm:sqref>
        </x14:dataValidation>
        <x14:dataValidation type="list" allowBlank="1" showInputMessage="1" showErrorMessage="1" xr:uid="{0F064A1D-BD39-4FA1-BA41-8E9393163BB5}">
          <x14:formula1>
            <xm:f>'Data Regularization'!$K$2:$K$1048576</xm:f>
          </x14:formula1>
          <xm:sqref>X2</xm:sqref>
        </x14:dataValidation>
        <x14:dataValidation type="list" allowBlank="1" showInputMessage="1" xr:uid="{0AD67DB4-DFAA-462B-8855-1A611024FC73}">
          <x14:formula1>
            <xm:f>'Data Regularization'!$I$2:$I$1048576</xm:f>
          </x14:formula1>
          <xm:sqref>V2</xm:sqref>
        </x14:dataValidation>
        <x14:dataValidation type="list" allowBlank="1" showInputMessage="1" showErrorMessage="1" xr:uid="{EA9E8799-F669-4403-A23F-16DEC34BD448}">
          <x14:formula1>
            <xm:f>'Data Regularization'!$H$2:$H$1048576</xm:f>
          </x14:formula1>
          <xm:sqref>U2</xm:sqref>
        </x14:dataValidation>
        <x14:dataValidation type="list" allowBlank="1" showInputMessage="1" showErrorMessage="1" xr:uid="{EF73F3F2-7BB1-46D0-B231-21B484AE4DE1}">
          <x14:formula1>
            <xm:f>'Data Regularization'!$G$2:$G$1048576</xm:f>
          </x14:formula1>
          <xm:sqref>O2</xm:sqref>
        </x14:dataValidation>
        <x14:dataValidation type="list" allowBlank="1" showInputMessage="1" showErrorMessage="1" xr:uid="{082EAA4B-5D07-45C3-95F9-017986B38F7C}">
          <x14:formula1>
            <xm:f>'Data Regularization'!$F$2:$F$1048576</xm:f>
          </x14:formula1>
          <xm:sqref>L2</xm:sqref>
        </x14:dataValidation>
        <x14:dataValidation type="list" allowBlank="1" showInputMessage="1" showErrorMessage="1" xr:uid="{EACA6FF1-8EAA-4C5F-906B-56D08C68064C}">
          <x14:formula1>
            <xm:f>'Data Regularization'!$E$2:$E$1048576</xm:f>
          </x14:formula1>
          <xm:sqref>K2</xm:sqref>
        </x14:dataValidation>
        <x14:dataValidation type="list" allowBlank="1" showInputMessage="1" showErrorMessage="1" xr:uid="{61F21273-9503-4947-B05F-2C58B465865E}">
          <x14:formula1>
            <xm:f>'Data Regularization'!$D$2:$D$1048576</xm:f>
          </x14:formula1>
          <xm:sqref>G2</xm:sqref>
        </x14:dataValidation>
        <x14:dataValidation type="list" allowBlank="1" showInputMessage="1" showErrorMessage="1" xr:uid="{383B374A-0A2A-4506-AA5D-5F84199A8910}">
          <x14:formula1>
            <xm:f>'Data Regularization'!$C$2:$C$1048576</xm:f>
          </x14:formula1>
          <xm:sqref>F2</xm:sqref>
        </x14:dataValidation>
        <x14:dataValidation type="list" allowBlank="1" showInputMessage="1" showErrorMessage="1" xr:uid="{B4517A6D-AA1F-4016-B5F9-5D16F08348AA}">
          <x14:formula1>
            <xm:f>'Data Regularization'!$B$2:$B$1048576</xm:f>
          </x14:formula1>
          <xm:sqref>E2</xm:sqref>
        </x14:dataValidation>
        <x14:dataValidation type="list" allowBlank="1" showInputMessage="1" showErrorMessage="1" xr:uid="{8555F2D0-261A-488C-9B81-94B981AB95C0}">
          <x14:formula1>
            <xm:f>'Data Regularization'!$A$2:$A$1048576</xm:f>
          </x14:formula1>
          <xm:sqref>D2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936B8-3240-436A-A3A6-A38645D32224}">
  <dimension ref="A1:AH37"/>
  <sheetViews>
    <sheetView workbookViewId="0">
      <pane xSplit="3" ySplit="1" topLeftCell="D24" activePane="bottomRight" state="frozen"/>
      <selection pane="topRight" activeCell="D1" sqref="D1"/>
      <selection pane="bottomLeft" activeCell="A2" sqref="A2"/>
      <selection pane="bottomRight" activeCell="A41" sqref="A41:XFD1048576"/>
    </sheetView>
  </sheetViews>
  <sheetFormatPr defaultRowHeight="14.5"/>
  <sheetData>
    <row r="1" spans="1:34"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580</v>
      </c>
      <c r="R1" s="2" t="s">
        <v>826</v>
      </c>
      <c r="S1" s="2" t="s">
        <v>827</v>
      </c>
      <c r="T1" s="2" t="s">
        <v>828</v>
      </c>
      <c r="U1" s="2" t="s">
        <v>829</v>
      </c>
      <c r="V1" s="2" t="s">
        <v>830</v>
      </c>
      <c r="W1" s="2" t="s">
        <v>527</v>
      </c>
      <c r="X1" s="2" t="s">
        <v>528</v>
      </c>
      <c r="Y1" s="2" t="s">
        <v>529</v>
      </c>
      <c r="Z1" s="2" t="s">
        <v>530</v>
      </c>
      <c r="AA1" s="2" t="s">
        <v>531</v>
      </c>
      <c r="AB1" s="2" t="s">
        <v>532</v>
      </c>
      <c r="AC1" s="2" t="s">
        <v>582</v>
      </c>
      <c r="AD1" s="2" t="s">
        <v>581</v>
      </c>
      <c r="AE1" s="2" t="s">
        <v>533</v>
      </c>
      <c r="AF1" s="2" t="s">
        <v>534</v>
      </c>
      <c r="AG1" s="2" t="s">
        <v>791</v>
      </c>
    </row>
    <row r="2" spans="1:34" ht="58">
      <c r="A2" s="1" t="s">
        <v>30</v>
      </c>
      <c r="B2" s="1" t="s">
        <v>345</v>
      </c>
      <c r="C2" s="1" t="s">
        <v>346</v>
      </c>
      <c r="D2" s="1"/>
      <c r="E2" s="1"/>
      <c r="F2" s="1"/>
      <c r="G2" s="7" t="s">
        <v>548</v>
      </c>
      <c r="H2" s="7"/>
      <c r="I2" s="7"/>
      <c r="J2" s="7"/>
      <c r="K2" s="7"/>
      <c r="L2" s="7"/>
      <c r="M2" s="7"/>
      <c r="N2" s="8"/>
      <c r="O2" s="7"/>
      <c r="P2" s="7"/>
      <c r="Q2" s="7">
        <v>216</v>
      </c>
      <c r="R2" s="7">
        <v>1204</v>
      </c>
      <c r="S2" s="7">
        <v>1420</v>
      </c>
      <c r="T2" s="12">
        <f>IF(ISNUMBER(R2), (R2/$E$18)*10000, "")</f>
        <v>96.683530073074763</v>
      </c>
      <c r="U2" s="12">
        <f>IF(ISNUMBER(S2), (S2/$E$18)*10000, "")</f>
        <v>114.02874809282903</v>
      </c>
      <c r="V2" s="12">
        <f>IF(ISNUMBER(Q2), U2-T2, "")</f>
        <v>17.34521801975427</v>
      </c>
      <c r="W2" s="7" t="s">
        <v>4</v>
      </c>
      <c r="X2" s="7"/>
      <c r="Y2" s="7"/>
      <c r="Z2" s="7"/>
      <c r="AA2" s="7" t="s">
        <v>499</v>
      </c>
      <c r="AB2" s="7"/>
      <c r="AC2" s="7"/>
      <c r="AD2" s="7"/>
      <c r="AE2" s="7"/>
      <c r="AF2" s="7"/>
      <c r="AG2" t="s">
        <v>499</v>
      </c>
    </row>
    <row r="3" spans="1:34" ht="58">
      <c r="A3" s="1" t="s">
        <v>56</v>
      </c>
      <c r="B3" s="1" t="s">
        <v>761</v>
      </c>
      <c r="C3" s="1" t="s">
        <v>762</v>
      </c>
      <c r="D3" s="1"/>
      <c r="E3" s="1"/>
      <c r="F3" s="1"/>
      <c r="G3" s="7" t="s">
        <v>548</v>
      </c>
      <c r="H3" s="7"/>
      <c r="I3" s="7"/>
      <c r="J3" s="7"/>
      <c r="K3" s="7"/>
      <c r="L3" s="7"/>
      <c r="M3" s="7"/>
      <c r="N3" s="8"/>
      <c r="O3" s="7"/>
      <c r="P3" s="7"/>
      <c r="Q3" s="7">
        <v>-67</v>
      </c>
      <c r="R3" s="7">
        <v>67</v>
      </c>
      <c r="S3" s="7">
        <v>0</v>
      </c>
      <c r="T3" s="12">
        <f t="shared" ref="T3:T15" si="0">IF(ISNUMBER(R3), (R3/$E$18)*10000, "")</f>
        <v>5.380229663534891</v>
      </c>
      <c r="U3" s="12">
        <f t="shared" ref="U3:U15" si="1">IF(ISNUMBER(S3), (S3/$E$18)*10000, "")</f>
        <v>0</v>
      </c>
      <c r="V3" s="12">
        <f t="shared" ref="V3:V15" si="2">IF(ISNUMBER(Q3), U3-T3, "")</f>
        <v>-5.380229663534891</v>
      </c>
      <c r="W3" s="7" t="s">
        <v>544</v>
      </c>
      <c r="X3" s="7"/>
      <c r="Y3" s="7"/>
      <c r="Z3" s="7"/>
      <c r="AA3" s="7" t="s">
        <v>499</v>
      </c>
      <c r="AB3" s="7"/>
      <c r="AC3" s="7"/>
      <c r="AD3" s="7"/>
      <c r="AE3" s="7"/>
      <c r="AF3" s="7"/>
      <c r="AG3" t="s">
        <v>506</v>
      </c>
    </row>
    <row r="4" spans="1:34" ht="29">
      <c r="A4" s="1" t="s">
        <v>81</v>
      </c>
      <c r="B4" s="1" t="s">
        <v>82</v>
      </c>
      <c r="C4" s="1" t="s">
        <v>83</v>
      </c>
      <c r="D4" s="1"/>
      <c r="E4" s="1"/>
      <c r="F4" s="1"/>
      <c r="G4" s="7" t="s">
        <v>548</v>
      </c>
      <c r="H4" s="7"/>
      <c r="I4" s="7"/>
      <c r="J4" s="7"/>
      <c r="K4" s="7"/>
      <c r="L4" s="7"/>
      <c r="M4" s="7"/>
      <c r="N4" s="8"/>
      <c r="O4" s="7"/>
      <c r="P4" s="7"/>
      <c r="Q4" s="7">
        <v>67</v>
      </c>
      <c r="R4" s="7">
        <v>66</v>
      </c>
      <c r="S4" s="7">
        <v>133</v>
      </c>
      <c r="T4" s="12">
        <f t="shared" si="0"/>
        <v>5.2999277282582513</v>
      </c>
      <c r="U4" s="12">
        <f t="shared" si="1"/>
        <v>10.680157391793141</v>
      </c>
      <c r="V4" s="12">
        <f t="shared" si="2"/>
        <v>5.3802296635348901</v>
      </c>
      <c r="W4" s="7"/>
      <c r="X4" s="7"/>
      <c r="Y4" s="7"/>
      <c r="Z4" s="7"/>
      <c r="AA4" s="7" t="s">
        <v>499</v>
      </c>
      <c r="AB4" s="7"/>
      <c r="AC4" s="7"/>
      <c r="AD4" s="7"/>
      <c r="AE4" s="7"/>
      <c r="AF4" s="7"/>
      <c r="AG4" t="s">
        <v>506</v>
      </c>
    </row>
    <row r="5" spans="1:34" ht="29">
      <c r="A5" s="1" t="s">
        <v>87</v>
      </c>
      <c r="B5" s="1" t="s">
        <v>88</v>
      </c>
      <c r="C5" s="1" t="s">
        <v>89</v>
      </c>
      <c r="D5" s="1"/>
      <c r="E5" s="1"/>
      <c r="F5" s="1"/>
      <c r="G5" s="7" t="s">
        <v>548</v>
      </c>
      <c r="H5" s="7"/>
      <c r="I5" s="7"/>
      <c r="J5" s="7"/>
      <c r="K5" s="7"/>
      <c r="L5" s="7"/>
      <c r="M5" s="7"/>
      <c r="N5" s="8"/>
      <c r="O5" s="7"/>
      <c r="P5" s="7"/>
      <c r="Q5" s="7">
        <v>71</v>
      </c>
      <c r="R5" s="7">
        <v>4</v>
      </c>
      <c r="S5" s="7">
        <v>75</v>
      </c>
      <c r="T5" s="12">
        <f t="shared" si="0"/>
        <v>0.3212077411065607</v>
      </c>
      <c r="U5" s="12">
        <f t="shared" si="1"/>
        <v>6.0226451457480117</v>
      </c>
      <c r="V5" s="12">
        <f t="shared" si="2"/>
        <v>5.7014374046414513</v>
      </c>
      <c r="W5" s="7"/>
      <c r="X5" s="7"/>
      <c r="Y5" s="7"/>
      <c r="Z5" s="7"/>
      <c r="AA5" s="7" t="s">
        <v>499</v>
      </c>
      <c r="AB5" s="7"/>
      <c r="AC5" s="7"/>
      <c r="AD5" s="7"/>
      <c r="AE5" s="7"/>
      <c r="AF5" s="7"/>
      <c r="AG5" t="s">
        <v>499</v>
      </c>
      <c r="AH5" t="s">
        <v>793</v>
      </c>
    </row>
    <row r="6" spans="1:34" ht="29">
      <c r="A6" s="1" t="s">
        <v>158</v>
      </c>
      <c r="B6" s="1" t="s">
        <v>650</v>
      </c>
      <c r="C6" s="1" t="s">
        <v>651</v>
      </c>
      <c r="D6" s="1"/>
      <c r="E6" s="1"/>
      <c r="F6" s="1"/>
      <c r="G6" s="7" t="s">
        <v>548</v>
      </c>
      <c r="H6" s="7"/>
      <c r="I6" s="7"/>
      <c r="J6" s="7"/>
      <c r="K6" s="7"/>
      <c r="L6" s="7"/>
      <c r="M6" s="7"/>
      <c r="N6" s="8"/>
      <c r="O6" s="7"/>
      <c r="P6" s="7"/>
      <c r="Q6" s="7">
        <v>-14</v>
      </c>
      <c r="R6" s="7">
        <v>14</v>
      </c>
      <c r="S6" s="7">
        <v>0</v>
      </c>
      <c r="T6" s="12">
        <f t="shared" si="0"/>
        <v>1.1242270938729624</v>
      </c>
      <c r="U6" s="12">
        <f t="shared" si="1"/>
        <v>0</v>
      </c>
      <c r="V6" s="12">
        <f t="shared" si="2"/>
        <v>-1.1242270938729624</v>
      </c>
      <c r="W6" s="7"/>
      <c r="X6" s="7"/>
      <c r="Y6" s="7"/>
      <c r="Z6" s="7"/>
      <c r="AA6" s="7" t="s">
        <v>499</v>
      </c>
      <c r="AB6" s="7"/>
      <c r="AC6" s="7"/>
      <c r="AD6" s="7"/>
      <c r="AE6" s="7"/>
      <c r="AF6" s="7"/>
      <c r="AG6" t="s">
        <v>506</v>
      </c>
    </row>
    <row r="7" spans="1:34" ht="58">
      <c r="A7" s="1" t="s">
        <v>191</v>
      </c>
      <c r="B7" s="1" t="s">
        <v>667</v>
      </c>
      <c r="C7" s="1" t="s">
        <v>666</v>
      </c>
      <c r="D7" s="1"/>
      <c r="E7" s="1"/>
      <c r="F7" s="1"/>
      <c r="G7" s="7" t="s">
        <v>548</v>
      </c>
      <c r="H7" s="7"/>
      <c r="I7" s="7"/>
      <c r="J7" s="7"/>
      <c r="K7" s="7"/>
      <c r="L7" s="7"/>
      <c r="M7" s="7"/>
      <c r="N7" s="8"/>
      <c r="O7" s="7"/>
      <c r="P7" s="7"/>
      <c r="Q7" s="7">
        <v>-13267</v>
      </c>
      <c r="R7" s="7">
        <v>19277</v>
      </c>
      <c r="S7" s="7">
        <v>6010</v>
      </c>
      <c r="T7" s="12">
        <f t="shared" si="0"/>
        <v>1547.9804063277925</v>
      </c>
      <c r="U7" s="12">
        <f t="shared" si="1"/>
        <v>482.61463101260739</v>
      </c>
      <c r="V7" s="12">
        <f t="shared" si="2"/>
        <v>-1065.3657753151851</v>
      </c>
      <c r="W7" s="7"/>
      <c r="X7" s="7"/>
      <c r="Y7" s="7"/>
      <c r="Z7" s="7"/>
      <c r="AA7" s="7" t="s">
        <v>499</v>
      </c>
      <c r="AB7" s="7"/>
      <c r="AC7" s="7"/>
      <c r="AD7" s="7"/>
      <c r="AE7" s="7"/>
      <c r="AF7" s="7"/>
      <c r="AG7" t="s">
        <v>499</v>
      </c>
    </row>
    <row r="8" spans="1:34" ht="72.5">
      <c r="A8" s="1" t="s">
        <v>191</v>
      </c>
      <c r="B8" s="1" t="s">
        <v>884</v>
      </c>
      <c r="C8" s="1" t="s">
        <v>668</v>
      </c>
      <c r="D8" s="1"/>
      <c r="E8" s="1"/>
      <c r="F8" s="1"/>
      <c r="G8" s="7" t="s">
        <v>548</v>
      </c>
      <c r="H8" s="7"/>
      <c r="I8" s="7"/>
      <c r="J8" s="7"/>
      <c r="K8" s="7"/>
      <c r="L8" s="7"/>
      <c r="M8" s="7"/>
      <c r="N8" s="8"/>
      <c r="O8" s="7"/>
      <c r="P8" s="7"/>
      <c r="Q8" s="7">
        <v>-13267</v>
      </c>
      <c r="R8" s="7">
        <v>19277</v>
      </c>
      <c r="S8" s="7">
        <v>6010</v>
      </c>
      <c r="T8" s="12">
        <f t="shared" si="0"/>
        <v>1547.9804063277925</v>
      </c>
      <c r="U8" s="12">
        <f t="shared" si="1"/>
        <v>482.61463101260739</v>
      </c>
      <c r="V8" s="12">
        <f t="shared" si="2"/>
        <v>-1065.3657753151851</v>
      </c>
      <c r="W8" s="7"/>
      <c r="X8" s="7"/>
      <c r="Y8" s="7"/>
      <c r="Z8" s="7"/>
      <c r="AA8" s="7" t="s">
        <v>499</v>
      </c>
      <c r="AB8" s="7"/>
      <c r="AC8" s="7"/>
      <c r="AD8" s="7"/>
      <c r="AE8" s="7"/>
      <c r="AF8" s="7"/>
      <c r="AG8" t="s">
        <v>499</v>
      </c>
    </row>
    <row r="9" spans="1:34" ht="29">
      <c r="A9" s="1" t="s">
        <v>195</v>
      </c>
      <c r="B9" s="1" t="s">
        <v>670</v>
      </c>
      <c r="C9" s="1" t="s">
        <v>671</v>
      </c>
      <c r="D9" s="1"/>
      <c r="E9" s="1"/>
      <c r="F9" s="1"/>
      <c r="G9" s="7" t="s">
        <v>548</v>
      </c>
      <c r="H9" s="7"/>
      <c r="I9" s="7"/>
      <c r="J9" s="7"/>
      <c r="K9" s="7"/>
      <c r="L9" s="7"/>
      <c r="M9" s="7"/>
      <c r="N9" s="8"/>
      <c r="O9" s="7"/>
      <c r="P9" s="7"/>
      <c r="Q9" s="7">
        <v>795</v>
      </c>
      <c r="R9" s="7">
        <v>1420</v>
      </c>
      <c r="S9" s="7">
        <v>2215</v>
      </c>
      <c r="T9" s="12">
        <f t="shared" si="0"/>
        <v>114.02874809282903</v>
      </c>
      <c r="U9" s="12">
        <f t="shared" si="1"/>
        <v>177.86878663775798</v>
      </c>
      <c r="V9" s="12">
        <f t="shared" si="2"/>
        <v>63.840038544928944</v>
      </c>
      <c r="W9" s="7" t="s">
        <v>544</v>
      </c>
      <c r="X9" s="7"/>
      <c r="Y9" s="7"/>
      <c r="Z9" s="7"/>
      <c r="AA9" s="7" t="s">
        <v>499</v>
      </c>
      <c r="AB9" s="7"/>
      <c r="AC9" s="7"/>
      <c r="AD9" s="7"/>
      <c r="AE9" s="7"/>
      <c r="AF9" s="7"/>
      <c r="AG9" t="s">
        <v>506</v>
      </c>
    </row>
    <row r="10" spans="1:34" ht="43.5">
      <c r="A10" s="1" t="s">
        <v>202</v>
      </c>
      <c r="B10" s="1" t="s">
        <v>675</v>
      </c>
      <c r="C10" s="1" t="s">
        <v>676</v>
      </c>
      <c r="D10" s="1"/>
      <c r="E10" s="1"/>
      <c r="F10" s="1"/>
      <c r="G10" s="7" t="s">
        <v>548</v>
      </c>
      <c r="H10" s="7"/>
      <c r="I10" s="7"/>
      <c r="J10" s="7"/>
      <c r="K10" s="7"/>
      <c r="L10" s="7"/>
      <c r="M10" s="7"/>
      <c r="N10" s="8"/>
      <c r="O10" s="7"/>
      <c r="P10" s="7"/>
      <c r="Q10" s="7">
        <v>-351</v>
      </c>
      <c r="R10" s="7">
        <v>370</v>
      </c>
      <c r="S10" s="7">
        <v>19</v>
      </c>
      <c r="T10" s="12">
        <f t="shared" si="0"/>
        <v>29.711716052356859</v>
      </c>
      <c r="U10" s="12">
        <f t="shared" si="1"/>
        <v>1.5257367702561633</v>
      </c>
      <c r="V10" s="12">
        <f t="shared" si="2"/>
        <v>-28.185979282100696</v>
      </c>
      <c r="W10" s="7"/>
      <c r="X10" s="7"/>
      <c r="Y10" s="7"/>
      <c r="Z10" s="7"/>
      <c r="AA10" s="7" t="s">
        <v>499</v>
      </c>
      <c r="AB10" s="7"/>
      <c r="AC10" s="7"/>
      <c r="AD10" s="7"/>
      <c r="AE10" s="7"/>
      <c r="AF10" s="7"/>
      <c r="AG10" t="s">
        <v>506</v>
      </c>
    </row>
    <row r="11" spans="1:34" ht="43.5">
      <c r="A11" s="1" t="s">
        <v>219</v>
      </c>
      <c r="B11" s="1" t="s">
        <v>690</v>
      </c>
      <c r="C11" s="1" t="s">
        <v>689</v>
      </c>
      <c r="D11" s="1"/>
      <c r="E11" s="1"/>
      <c r="F11" s="1"/>
      <c r="G11" s="7" t="s">
        <v>548</v>
      </c>
      <c r="H11" s="7"/>
      <c r="I11" s="7"/>
      <c r="J11" s="7"/>
      <c r="K11" s="7"/>
      <c r="L11" s="7"/>
      <c r="M11" s="7"/>
      <c r="N11" s="8"/>
      <c r="O11" s="7"/>
      <c r="P11" s="7"/>
      <c r="Q11" s="7">
        <v>163</v>
      </c>
      <c r="R11" s="7">
        <v>21</v>
      </c>
      <c r="S11" s="7">
        <v>184</v>
      </c>
      <c r="T11" s="12">
        <f t="shared" si="0"/>
        <v>1.6863406408094435</v>
      </c>
      <c r="U11" s="12">
        <f t="shared" si="1"/>
        <v>14.775556090901791</v>
      </c>
      <c r="V11" s="12">
        <f t="shared" si="2"/>
        <v>13.089215450092347</v>
      </c>
      <c r="W11" s="7" t="s">
        <v>544</v>
      </c>
      <c r="X11" s="7"/>
      <c r="Y11" s="7"/>
      <c r="Z11" s="7"/>
      <c r="AA11" s="7" t="s">
        <v>499</v>
      </c>
      <c r="AB11" s="7"/>
      <c r="AC11" s="7"/>
      <c r="AD11" s="7"/>
      <c r="AE11" s="7"/>
      <c r="AF11" s="7"/>
      <c r="AG11" t="s">
        <v>506</v>
      </c>
    </row>
    <row r="12" spans="1:34" ht="87">
      <c r="A12" s="1" t="s">
        <v>246</v>
      </c>
      <c r="B12" s="1" t="s">
        <v>709</v>
      </c>
      <c r="C12" s="1" t="s">
        <v>708</v>
      </c>
      <c r="D12" s="1"/>
      <c r="E12" s="1"/>
      <c r="F12" s="1" t="s">
        <v>499</v>
      </c>
      <c r="G12" s="7" t="s">
        <v>548</v>
      </c>
      <c r="H12" s="7"/>
      <c r="I12" s="7"/>
      <c r="J12" s="7"/>
      <c r="K12" s="7"/>
      <c r="L12" s="7"/>
      <c r="M12" s="7"/>
      <c r="N12" s="8"/>
      <c r="O12" s="7"/>
      <c r="P12" s="7"/>
      <c r="Q12" s="7">
        <v>-19203</v>
      </c>
      <c r="R12" s="7">
        <v>19277</v>
      </c>
      <c r="S12" s="7">
        <v>74</v>
      </c>
      <c r="T12" s="12">
        <f t="shared" si="0"/>
        <v>1547.9804063277925</v>
      </c>
      <c r="U12" s="12">
        <f t="shared" si="1"/>
        <v>5.942343210471372</v>
      </c>
      <c r="V12" s="12">
        <f t="shared" si="2"/>
        <v>-1542.0380631173211</v>
      </c>
      <c r="W12" s="7"/>
      <c r="X12" s="7"/>
      <c r="Y12" s="7"/>
      <c r="Z12" s="7"/>
      <c r="AA12" s="7" t="s">
        <v>499</v>
      </c>
      <c r="AB12" s="7"/>
      <c r="AC12" s="7"/>
      <c r="AD12" s="7"/>
      <c r="AE12" s="7"/>
      <c r="AF12" s="7"/>
    </row>
    <row r="13" spans="1:34">
      <c r="A13" s="1" t="s">
        <v>247</v>
      </c>
      <c r="B13" t="s">
        <v>710</v>
      </c>
      <c r="C13" t="s">
        <v>711</v>
      </c>
      <c r="D13" s="1"/>
      <c r="E13" s="1"/>
      <c r="F13" s="1"/>
      <c r="G13" s="7" t="s">
        <v>548</v>
      </c>
      <c r="H13" s="7"/>
      <c r="I13" s="7"/>
      <c r="J13" s="7"/>
      <c r="K13" s="7"/>
      <c r="L13" s="7"/>
      <c r="M13" s="7"/>
      <c r="N13" s="8"/>
      <c r="O13" s="7"/>
      <c r="P13" s="7"/>
      <c r="Q13" s="7"/>
      <c r="R13" s="7" t="s">
        <v>614</v>
      </c>
      <c r="S13" s="7" t="s">
        <v>614</v>
      </c>
      <c r="T13" s="12" t="str">
        <f t="shared" si="0"/>
        <v/>
      </c>
      <c r="U13" s="12" t="str">
        <f t="shared" si="1"/>
        <v/>
      </c>
      <c r="V13" s="12" t="str">
        <f t="shared" si="2"/>
        <v/>
      </c>
      <c r="W13" s="7"/>
      <c r="X13" s="7"/>
      <c r="Y13" s="7"/>
      <c r="Z13" s="7"/>
      <c r="AA13" s="7" t="s">
        <v>499</v>
      </c>
      <c r="AB13" s="7"/>
      <c r="AC13" s="7"/>
      <c r="AD13" s="7"/>
      <c r="AE13" s="7"/>
      <c r="AF13" s="7"/>
      <c r="AG13" t="s">
        <v>506</v>
      </c>
    </row>
    <row r="14" spans="1:34" ht="58">
      <c r="A14" s="1" t="s">
        <v>257</v>
      </c>
      <c r="B14" s="1" t="s">
        <v>468</v>
      </c>
      <c r="C14" s="1" t="s">
        <v>469</v>
      </c>
      <c r="D14" s="1"/>
      <c r="E14" s="1"/>
      <c r="F14" s="1"/>
      <c r="G14" s="7" t="s">
        <v>548</v>
      </c>
      <c r="H14" s="7"/>
      <c r="I14" s="7"/>
      <c r="J14" s="7"/>
      <c r="K14" s="7"/>
      <c r="L14" s="7"/>
      <c r="M14" s="7"/>
      <c r="N14" s="8"/>
      <c r="O14" s="7"/>
      <c r="P14" s="7"/>
      <c r="Q14" s="7">
        <v>-1115</v>
      </c>
      <c r="R14" s="7">
        <v>1220</v>
      </c>
      <c r="S14" s="7">
        <v>105</v>
      </c>
      <c r="T14" s="12">
        <f t="shared" si="0"/>
        <v>97.968361037500998</v>
      </c>
      <c r="U14" s="12">
        <f t="shared" si="1"/>
        <v>8.4317032040472171</v>
      </c>
      <c r="V14" s="12">
        <f t="shared" si="2"/>
        <v>-89.536657833453773</v>
      </c>
      <c r="W14" s="7"/>
      <c r="X14" s="7"/>
      <c r="Y14" s="7"/>
      <c r="Z14" s="7"/>
      <c r="AA14" s="7" t="s">
        <v>499</v>
      </c>
      <c r="AB14" s="7"/>
      <c r="AC14" s="7"/>
      <c r="AD14" s="7"/>
      <c r="AE14" s="7"/>
      <c r="AF14" s="7"/>
      <c r="AG14" t="s">
        <v>506</v>
      </c>
    </row>
    <row r="15" spans="1:34" ht="87">
      <c r="A15" s="1" t="s">
        <v>284</v>
      </c>
      <c r="B15" s="1" t="s">
        <v>744</v>
      </c>
      <c r="C15" s="1" t="s">
        <v>745</v>
      </c>
      <c r="D15" s="1" t="s">
        <v>501</v>
      </c>
      <c r="E15" s="1"/>
      <c r="F15" s="1"/>
      <c r="G15" s="7" t="s">
        <v>548</v>
      </c>
      <c r="H15" s="7"/>
      <c r="I15" s="7"/>
      <c r="J15" s="7"/>
      <c r="K15" s="7"/>
      <c r="L15" s="7"/>
      <c r="M15" s="7"/>
      <c r="N15" s="8"/>
      <c r="O15" s="7"/>
      <c r="P15" s="7"/>
      <c r="Q15" s="7">
        <v>-1312</v>
      </c>
      <c r="R15" s="7">
        <v>2215</v>
      </c>
      <c r="S15" s="7">
        <v>903</v>
      </c>
      <c r="T15" s="12">
        <f t="shared" si="0"/>
        <v>177.86878663775798</v>
      </c>
      <c r="U15" s="12">
        <f t="shared" si="1"/>
        <v>72.512647554806065</v>
      </c>
      <c r="V15" s="12">
        <f t="shared" si="2"/>
        <v>-105.35613908295191</v>
      </c>
      <c r="W15" s="7"/>
      <c r="X15" s="7"/>
      <c r="Y15" s="7"/>
      <c r="Z15" s="7"/>
      <c r="AA15" s="7" t="s">
        <v>499</v>
      </c>
      <c r="AB15" s="7"/>
      <c r="AC15" s="7"/>
      <c r="AD15" s="7"/>
      <c r="AE15" s="7"/>
      <c r="AF15" s="7"/>
      <c r="AG15" t="s">
        <v>499</v>
      </c>
    </row>
    <row r="18" spans="4:5">
      <c r="D18" t="s">
        <v>825</v>
      </c>
      <c r="E18">
        <v>124530</v>
      </c>
    </row>
    <row r="21" spans="4:5">
      <c r="D21" t="s">
        <v>843</v>
      </c>
      <c r="E21">
        <f>COUNTIF(Q:Q, "&gt;0")</f>
        <v>5</v>
      </c>
    </row>
    <row r="22" spans="4:5">
      <c r="D22" t="s">
        <v>844</v>
      </c>
      <c r="E22">
        <f>COUNTIF(Q:Q, "&lt;0")</f>
        <v>8</v>
      </c>
    </row>
    <row r="23" spans="4:5">
      <c r="D23" t="s">
        <v>845</v>
      </c>
      <c r="E23">
        <f>_xlfn.BINOM.DIST(MIN(E21,E22),(E21+E22),0.5,TRUE)*2</f>
        <v>0.5810546875</v>
      </c>
    </row>
    <row r="25" spans="4:5">
      <c r="D25" t="s">
        <v>846</v>
      </c>
      <c r="E25">
        <f>AVERAGE(Q:Q)</f>
        <v>-3637.2307692307691</v>
      </c>
    </row>
    <row r="26" spans="4:5">
      <c r="D26" t="s">
        <v>847</v>
      </c>
      <c r="E26">
        <f>_xlfn.STDEV.S(Q:Q)</f>
        <v>6786.0531134802031</v>
      </c>
    </row>
    <row r="29" spans="4:5">
      <c r="D29" t="s">
        <v>848</v>
      </c>
      <c r="E29">
        <f>AVERAGE(V:V)</f>
        <v>-292.07666981697332</v>
      </c>
    </row>
    <row r="30" spans="4:5">
      <c r="D30" t="s">
        <v>849</v>
      </c>
      <c r="E30">
        <f>_xlfn.STDEV.S(V:V)</f>
        <v>544.93319790252986</v>
      </c>
    </row>
    <row r="33" spans="4:5">
      <c r="D33" t="s">
        <v>851</v>
      </c>
      <c r="E33">
        <f>COUNT(V:V)</f>
        <v>13</v>
      </c>
    </row>
    <row r="34" spans="4:5">
      <c r="D34" t="s">
        <v>852</v>
      </c>
      <c r="E34">
        <f>_xlfn.STDEV.P(V:V)</f>
        <v>523.55488156340573</v>
      </c>
    </row>
    <row r="37" spans="4:5">
      <c r="E37">
        <f>_xlfn.BINOM.DIST(6,14,0.5,TRUE)</f>
        <v>0.395263671875</v>
      </c>
    </row>
  </sheetData>
  <conditionalFormatting sqref="G2:G15">
    <cfRule type="expression" dxfId="213" priority="24">
      <formula>$I2&lt;&gt;""</formula>
    </cfRule>
    <cfRule type="expression" dxfId="212" priority="25">
      <formula>$I2=""</formula>
    </cfRule>
  </conditionalFormatting>
  <conditionalFormatting sqref="H2:L15 O2:P15">
    <cfRule type="expression" dxfId="211" priority="22">
      <formula>AND(OR($I2="Addition",$I2="Omission"), H2="")</formula>
    </cfRule>
    <cfRule type="expression" dxfId="210" priority="23">
      <formula>AND($I2&lt;&gt;"Addition",$I2&lt;&gt;"Omission",$I2&lt;&gt;"Substitution - Word")</formula>
    </cfRule>
  </conditionalFormatting>
  <conditionalFormatting sqref="H2:P15">
    <cfRule type="expression" dxfId="209" priority="21">
      <formula>AND(OR($I2="Addition",$I2="Omission"), H2&lt;&gt;"")</formula>
    </cfRule>
  </conditionalFormatting>
  <conditionalFormatting sqref="K2:K15">
    <cfRule type="expression" dxfId="208" priority="16">
      <formula>AND($K2&lt;&gt;"",$K2&gt;1)</formula>
    </cfRule>
  </conditionalFormatting>
  <conditionalFormatting sqref="M2:N15">
    <cfRule type="expression" dxfId="207" priority="12">
      <formula>$N2="Absent"</formula>
    </cfRule>
    <cfRule type="expression" dxfId="206" priority="13">
      <formula>$N2="NA"</formula>
    </cfRule>
    <cfRule type="expression" dxfId="205" priority="14">
      <formula>AND(OR($I2="Addition",$I2="Omission"), M2="")</formula>
    </cfRule>
    <cfRule type="expression" dxfId="204" priority="15">
      <formula>AND($I2&lt;&gt;"Addition",$I2&lt;&gt;"Omission")</formula>
    </cfRule>
  </conditionalFormatting>
  <conditionalFormatting sqref="O2:O15">
    <cfRule type="expression" dxfId="203" priority="17">
      <formula>AND(OR($I2="Addition",$I2="Omission",$I2="Substitution - Word"),RIGHT($AG2,6)&lt;&gt;"strict",$AF2&lt;&gt;"Yes")</formula>
    </cfRule>
  </conditionalFormatting>
  <conditionalFormatting sqref="Q2:V15">
    <cfRule type="expression" dxfId="202" priority="1">
      <formula>AND(AND(LEFT($I2,3)="Sub", RIGHT($I2,4)&lt;&gt;"Form"),$S2&lt;&gt;"")</formula>
    </cfRule>
    <cfRule type="expression" dxfId="201" priority="2">
      <formula>AND(AND(LEFT($I2,3)="Sub", RIGHT($I2,4)&lt;&gt;"Form"),$S2="")</formula>
    </cfRule>
    <cfRule type="expression" dxfId="200" priority="3">
      <formula>"&lt;&gt;AND(LEFT($J2,3)=""Sub"", RIGHT($J2,4)&lt;&gt;""Form"")"</formula>
    </cfRule>
  </conditionalFormatting>
  <conditionalFormatting sqref="W2:W15">
    <cfRule type="expression" dxfId="199" priority="6">
      <formula>AND($Y2&lt;&gt;"",OR($AF2="Yes",$AG2&lt;&gt;""))</formula>
    </cfRule>
    <cfRule type="expression" dxfId="198" priority="7">
      <formula>OR($AF2="Yes",$AG2&lt;&gt;"")</formula>
    </cfRule>
    <cfRule type="expression" dxfId="197" priority="10">
      <formula>AND($AF2&lt;&gt;"Yes",$AG2="")</formula>
    </cfRule>
  </conditionalFormatting>
  <conditionalFormatting sqref="W2:AF5">
    <cfRule type="expression" dxfId="196" priority="26">
      <formula>AND($I2&lt;&gt;"",$I2&lt;&gt;"Unclear due to correction")</formula>
    </cfRule>
  </conditionalFormatting>
  <conditionalFormatting sqref="W2:AF15">
    <cfRule type="expression" dxfId="195" priority="27">
      <formula>OR($I2="",$I2="Unclear due to correction")</formula>
    </cfRule>
  </conditionalFormatting>
  <conditionalFormatting sqref="W6:AF15">
    <cfRule type="expression" dxfId="194" priority="4">
      <formula>AND($I6&lt;&gt;"",$I6&lt;&gt;"Unclear due to correction")</formula>
    </cfRule>
  </conditionalFormatting>
  <conditionalFormatting sqref="X2:X15">
    <cfRule type="expression" dxfId="193" priority="5">
      <formula>AND($I2&lt;&gt;"",$I2&lt;&gt;"Unclear due to correction",$Z2="")</formula>
    </cfRule>
  </conditionalFormatting>
  <conditionalFormatting sqref="Y2:Y15">
    <cfRule type="expression" dxfId="192" priority="8">
      <formula>AND($Z2="Yes",$AA2="")</formula>
    </cfRule>
    <cfRule type="expression" dxfId="191" priority="9">
      <formula>$Z2=""</formula>
    </cfRule>
  </conditionalFormatting>
  <conditionalFormatting sqref="AD2:AD15">
    <cfRule type="expression" dxfId="190" priority="11">
      <formula>AND(OR($AD2&lt;&gt;"",$AE2&lt;&gt;""),$AF2="")</formula>
    </cfRule>
  </conditionalFormatting>
  <dataValidations count="1">
    <dataValidation type="list" allowBlank="1" showInputMessage="1" showErrorMessage="1" sqref="AG2:AG15" xr:uid="{2DCAC055-7CB1-46E4-BE03-C502563DB78B}">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DB323F60-7FC3-4465-A6B1-7F2CCA770B88}">
          <x14:formula1>
            <xm:f>'Data Regularization'!$A$2:$A$1048576</xm:f>
          </x14:formula1>
          <xm:sqref>D2:D15</xm:sqref>
        </x14:dataValidation>
        <x14:dataValidation type="list" allowBlank="1" showInputMessage="1" showErrorMessage="1" xr:uid="{08ABEBCE-BD55-487F-A49A-DFBE59829517}">
          <x14:formula1>
            <xm:f>'Data Regularization'!$B$2:$B$1048576</xm:f>
          </x14:formula1>
          <xm:sqref>E2:E15</xm:sqref>
        </x14:dataValidation>
        <x14:dataValidation type="list" allowBlank="1" showInputMessage="1" showErrorMessage="1" xr:uid="{F880D682-B6DA-4CD7-9D6C-3719A740B6F6}">
          <x14:formula1>
            <xm:f>'Data Regularization'!$C$2:$C$1048576</xm:f>
          </x14:formula1>
          <xm:sqref>F2:F15</xm:sqref>
        </x14:dataValidation>
        <x14:dataValidation type="list" allowBlank="1" showInputMessage="1" showErrorMessage="1" xr:uid="{4D5763EC-F6FC-4689-A265-3193B8DE8FAB}">
          <x14:formula1>
            <xm:f>'Data Regularization'!$D$2:$D$1048576</xm:f>
          </x14:formula1>
          <xm:sqref>G2:G15</xm:sqref>
        </x14:dataValidation>
        <x14:dataValidation type="list" allowBlank="1" showInputMessage="1" showErrorMessage="1" xr:uid="{31ED735F-E3E3-438F-9403-BDEC44F48E93}">
          <x14:formula1>
            <xm:f>'Data Regularization'!$E$2:$E$1048576</xm:f>
          </x14:formula1>
          <xm:sqref>K2:K15</xm:sqref>
        </x14:dataValidation>
        <x14:dataValidation type="list" allowBlank="1" showInputMessage="1" showErrorMessage="1" xr:uid="{F27C5914-23B7-4275-9415-FA705ABF705D}">
          <x14:formula1>
            <xm:f>'Data Regularization'!$F$2:$F$1048576</xm:f>
          </x14:formula1>
          <xm:sqref>L2:L15</xm:sqref>
        </x14:dataValidation>
        <x14:dataValidation type="list" allowBlank="1" showInputMessage="1" showErrorMessage="1" xr:uid="{672426A1-42F2-4C8A-BD25-255C9D1464D4}">
          <x14:formula1>
            <xm:f>'Data Regularization'!$G$2:$G$1048576</xm:f>
          </x14:formula1>
          <xm:sqref>O2:O15</xm:sqref>
        </x14:dataValidation>
        <x14:dataValidation type="list" allowBlank="1" showInputMessage="1" showErrorMessage="1" xr:uid="{4CE33EFB-A59E-4A51-AB03-C0E669F354DF}">
          <x14:formula1>
            <xm:f>'Data Regularization'!$H$2:$H$1048576</xm:f>
          </x14:formula1>
          <xm:sqref>W2:W15</xm:sqref>
        </x14:dataValidation>
        <x14:dataValidation type="list" allowBlank="1" showInputMessage="1" xr:uid="{D3ACA8E1-DE26-4298-A200-57FC2372AFDE}">
          <x14:formula1>
            <xm:f>'Data Regularization'!$I$2:$I$1048576</xm:f>
          </x14:formula1>
          <xm:sqref>X2:X15</xm:sqref>
        </x14:dataValidation>
        <x14:dataValidation type="list" allowBlank="1" showInputMessage="1" showErrorMessage="1" xr:uid="{ACCE3589-975F-44CD-8E60-1BBE702DE85D}">
          <x14:formula1>
            <xm:f>'Data Regularization'!$K$2:$K$1048576</xm:f>
          </x14:formula1>
          <xm:sqref>Z2:Z15</xm:sqref>
        </x14:dataValidation>
        <x14:dataValidation type="list" allowBlank="1" showInputMessage="1" showErrorMessage="1" xr:uid="{8D404A15-38BC-4CA1-9D84-B92ACA201844}">
          <x14:formula1>
            <xm:f>'Data Regularization'!$J$2:$J$1048576</xm:f>
          </x14:formula1>
          <xm:sqref>Y2:Y15</xm:sqref>
        </x14:dataValidation>
        <x14:dataValidation type="list" allowBlank="1" showInputMessage="1" showErrorMessage="1" xr:uid="{FF52845B-DB3E-4FC8-8519-FA91C74CD099}">
          <x14:formula1>
            <xm:f>'Data Regularization'!$L$2:$L$1048576</xm:f>
          </x14:formula1>
          <xm:sqref>AA2:AA15</xm:sqref>
        </x14:dataValidation>
        <x14:dataValidation type="list" allowBlank="1" showInputMessage="1" showErrorMessage="1" xr:uid="{FDA7B10C-F141-4C26-AFED-9E1DD66D0693}">
          <x14:formula1>
            <xm:f>'Data Regularization'!$M$2:$M$1048576</xm:f>
          </x14:formula1>
          <xm:sqref>AB2:AB15</xm:sqref>
        </x14:dataValidation>
        <x14:dataValidation type="list" allowBlank="1" showInputMessage="1" showErrorMessage="1" xr:uid="{D5B5CFBB-E105-4FAD-B38B-7E8EB453FF08}">
          <x14:formula1>
            <xm:f>'Data Regularization'!$O$2:$O$1048576</xm:f>
          </x14:formula1>
          <xm:sqref>AE2:AE15</xm:sqref>
        </x14:dataValidation>
        <x14:dataValidation type="list" allowBlank="1" showInputMessage="1" showErrorMessage="1" xr:uid="{63B03666-1F95-4C6A-827E-2EAD2DDECFB3}">
          <x14:formula1>
            <xm:f>'Data Regularization'!$P$2:$P$1048576</xm:f>
          </x14:formula1>
          <xm:sqref>AF2:AF15</xm:sqref>
        </x14:dataValidation>
        <x14:dataValidation type="list" allowBlank="1" showInputMessage="1" showErrorMessage="1" xr:uid="{60B4CD65-2332-438F-BD9D-067F17073FAD}">
          <x14:formula1>
            <xm:f>'Data Regularization'!$N$2:$N$1048576</xm:f>
          </x14:formula1>
          <xm:sqref>AD2:AD15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908C-36BB-4003-BA0A-490D07349575}">
  <dimension ref="A1:AE25"/>
  <sheetViews>
    <sheetView topLeftCell="A19" workbookViewId="0">
      <selection activeCell="A29" sqref="A29:XFD1048576"/>
    </sheetView>
  </sheetViews>
  <sheetFormatPr defaultRowHeight="14.5"/>
  <sheetData>
    <row r="1" spans="1:31" s="2" customFormat="1">
      <c r="A1" s="2" t="s">
        <v>0</v>
      </c>
      <c r="B1" s="2" t="s">
        <v>496</v>
      </c>
      <c r="C1" s="2" t="s">
        <v>497</v>
      </c>
      <c r="D1" s="2" t="s">
        <v>570</v>
      </c>
      <c r="E1" s="2" t="s">
        <v>571</v>
      </c>
      <c r="F1" s="2" t="s">
        <v>572</v>
      </c>
      <c r="G1" s="2" t="s">
        <v>8</v>
      </c>
      <c r="H1" s="2" t="s">
        <v>3</v>
      </c>
      <c r="I1" s="2" t="s">
        <v>573</v>
      </c>
      <c r="J1" s="2" t="s">
        <v>574</v>
      </c>
      <c r="K1" s="2" t="s">
        <v>575</v>
      </c>
      <c r="L1" s="2" t="s">
        <v>576</v>
      </c>
      <c r="M1" s="2" t="s">
        <v>525</v>
      </c>
      <c r="N1" s="2" t="s">
        <v>577</v>
      </c>
      <c r="O1" s="6" t="s">
        <v>578</v>
      </c>
      <c r="P1" s="2" t="s">
        <v>526</v>
      </c>
      <c r="Q1" s="2" t="s">
        <v>579</v>
      </c>
      <c r="R1" s="2" t="s">
        <v>580</v>
      </c>
      <c r="S1" s="2" t="s">
        <v>826</v>
      </c>
      <c r="T1" s="2" t="s">
        <v>827</v>
      </c>
      <c r="U1" s="2" t="s">
        <v>527</v>
      </c>
      <c r="V1" s="2" t="s">
        <v>528</v>
      </c>
      <c r="W1" s="2" t="s">
        <v>529</v>
      </c>
      <c r="X1" s="2" t="s">
        <v>530</v>
      </c>
      <c r="Y1" s="2" t="s">
        <v>531</v>
      </c>
      <c r="Z1" s="2" t="s">
        <v>532</v>
      </c>
      <c r="AA1" s="2" t="s">
        <v>582</v>
      </c>
      <c r="AB1" s="2" t="s">
        <v>581</v>
      </c>
      <c r="AC1" s="2" t="s">
        <v>533</v>
      </c>
      <c r="AD1" s="2" t="s">
        <v>534</v>
      </c>
      <c r="AE1" s="2" t="s">
        <v>791</v>
      </c>
    </row>
    <row r="2" spans="1:31" ht="29">
      <c r="A2" s="1" t="s">
        <v>20</v>
      </c>
      <c r="B2" s="1" t="s">
        <v>340</v>
      </c>
      <c r="C2" s="1" t="s">
        <v>341</v>
      </c>
      <c r="D2" s="1"/>
      <c r="E2" s="1"/>
      <c r="F2" s="1"/>
      <c r="G2" t="s">
        <v>586</v>
      </c>
      <c r="H2" s="7" t="s">
        <v>504</v>
      </c>
      <c r="I2" s="7">
        <v>0</v>
      </c>
      <c r="J2" s="7">
        <v>1</v>
      </c>
      <c r="K2" s="7">
        <v>1</v>
      </c>
      <c r="L2" s="7" t="s">
        <v>541</v>
      </c>
      <c r="M2" s="7" t="s">
        <v>550</v>
      </c>
      <c r="N2" s="7"/>
      <c r="O2" s="8"/>
      <c r="P2" s="7"/>
      <c r="Q2" s="7">
        <v>19277</v>
      </c>
      <c r="R2" s="7"/>
      <c r="S2" s="7" t="s">
        <v>614</v>
      </c>
      <c r="T2" s="7" t="s">
        <v>614</v>
      </c>
      <c r="U2" s="7" t="s">
        <v>544</v>
      </c>
      <c r="V2" s="7"/>
      <c r="W2" s="7"/>
      <c r="X2" s="7"/>
      <c r="Y2" s="7" t="s">
        <v>499</v>
      </c>
      <c r="Z2" s="7"/>
      <c r="AA2" s="7"/>
      <c r="AB2" s="7"/>
      <c r="AC2" s="7"/>
      <c r="AD2" s="7"/>
      <c r="AE2" t="s">
        <v>499</v>
      </c>
    </row>
    <row r="3" spans="1:31" ht="29">
      <c r="A3" s="1" t="s">
        <v>21</v>
      </c>
      <c r="B3" s="1" t="s">
        <v>342</v>
      </c>
      <c r="C3" s="1" t="s">
        <v>343</v>
      </c>
      <c r="D3" s="1"/>
      <c r="E3" s="1"/>
      <c r="F3" s="1"/>
      <c r="G3" t="s">
        <v>586</v>
      </c>
      <c r="H3" s="7" t="s">
        <v>504</v>
      </c>
      <c r="I3" s="7">
        <v>0</v>
      </c>
      <c r="J3" s="7">
        <v>1</v>
      </c>
      <c r="K3" s="7">
        <v>1</v>
      </c>
      <c r="L3" s="7" t="s">
        <v>541</v>
      </c>
      <c r="M3" s="7" t="s">
        <v>550</v>
      </c>
      <c r="N3" s="7"/>
      <c r="O3" s="8"/>
      <c r="P3" s="7"/>
      <c r="Q3" s="7">
        <v>19277</v>
      </c>
      <c r="R3" s="7"/>
      <c r="S3" s="7" t="s">
        <v>614</v>
      </c>
      <c r="T3" s="7" t="s">
        <v>614</v>
      </c>
      <c r="U3" s="7" t="s">
        <v>544</v>
      </c>
      <c r="V3" s="7"/>
      <c r="W3" s="7"/>
      <c r="X3" s="7"/>
      <c r="Y3" s="7" t="s">
        <v>499</v>
      </c>
      <c r="Z3" s="7"/>
      <c r="AA3" s="7"/>
      <c r="AB3" s="7"/>
      <c r="AC3" s="7"/>
      <c r="AD3" s="7"/>
      <c r="AE3" t="s">
        <v>499</v>
      </c>
    </row>
    <row r="4" spans="1:31" ht="58">
      <c r="A4" s="1" t="s">
        <v>30</v>
      </c>
      <c r="B4" s="1" t="s">
        <v>345</v>
      </c>
      <c r="C4" s="1" t="s">
        <v>346</v>
      </c>
      <c r="D4" s="1"/>
      <c r="E4" s="1"/>
      <c r="F4" s="1"/>
      <c r="G4" t="s">
        <v>591</v>
      </c>
      <c r="H4" s="7" t="s">
        <v>548</v>
      </c>
      <c r="I4" s="7"/>
      <c r="J4" s="7"/>
      <c r="K4" s="7"/>
      <c r="L4" s="7"/>
      <c r="M4" s="7"/>
      <c r="N4" s="7"/>
      <c r="O4" s="8"/>
      <c r="P4" s="7"/>
      <c r="Q4" s="7"/>
      <c r="R4" s="7">
        <v>216</v>
      </c>
      <c r="S4" s="7">
        <v>1204</v>
      </c>
      <c r="T4" s="7">
        <v>1420</v>
      </c>
      <c r="U4" s="7" t="s">
        <v>4</v>
      </c>
      <c r="V4" s="7"/>
      <c r="W4" s="7"/>
      <c r="X4" s="7"/>
      <c r="Y4" s="7" t="s">
        <v>499</v>
      </c>
      <c r="Z4" s="7"/>
      <c r="AA4" s="7"/>
      <c r="AB4" s="7"/>
      <c r="AC4" s="7"/>
      <c r="AD4" s="7"/>
      <c r="AE4" t="s">
        <v>499</v>
      </c>
    </row>
    <row r="5" spans="1:31" ht="58">
      <c r="A5" s="1" t="s">
        <v>56</v>
      </c>
      <c r="B5" s="1" t="s">
        <v>761</v>
      </c>
      <c r="C5" s="1" t="s">
        <v>762</v>
      </c>
      <c r="D5" s="1"/>
      <c r="E5" s="1"/>
      <c r="F5" s="1"/>
      <c r="G5" t="s">
        <v>763</v>
      </c>
      <c r="H5" s="7" t="s">
        <v>548</v>
      </c>
      <c r="I5" s="7"/>
      <c r="J5" s="7"/>
      <c r="K5" s="7"/>
      <c r="L5" s="7"/>
      <c r="M5" s="7"/>
      <c r="N5" s="7"/>
      <c r="O5" s="8"/>
      <c r="P5" s="7"/>
      <c r="Q5" s="7"/>
      <c r="R5" s="7">
        <v>-67</v>
      </c>
      <c r="S5" s="7">
        <v>67</v>
      </c>
      <c r="T5" s="7">
        <v>0</v>
      </c>
      <c r="U5" s="7" t="s">
        <v>544</v>
      </c>
      <c r="V5" s="7"/>
      <c r="W5" s="7"/>
      <c r="X5" s="7"/>
      <c r="Y5" s="7" t="s">
        <v>499</v>
      </c>
      <c r="Z5" s="7"/>
      <c r="AA5" s="7"/>
      <c r="AB5" s="7"/>
      <c r="AC5" s="7"/>
      <c r="AD5" s="7"/>
      <c r="AE5" t="s">
        <v>506</v>
      </c>
    </row>
    <row r="6" spans="1:31" ht="43.5">
      <c r="A6" s="1" t="s">
        <v>84</v>
      </c>
      <c r="B6" s="1" t="s">
        <v>619</v>
      </c>
      <c r="C6" s="1" t="s">
        <v>620</v>
      </c>
      <c r="D6" s="1"/>
      <c r="E6" s="1"/>
      <c r="F6" s="1" t="s">
        <v>339</v>
      </c>
      <c r="G6" s="9" t="s">
        <v>764</v>
      </c>
      <c r="H6" s="7" t="s">
        <v>500</v>
      </c>
      <c r="I6" s="7">
        <v>0</v>
      </c>
      <c r="J6" s="7">
        <v>1</v>
      </c>
      <c r="K6" s="7">
        <v>1</v>
      </c>
      <c r="L6" s="7" t="s">
        <v>541</v>
      </c>
      <c r="M6" s="7" t="s">
        <v>550</v>
      </c>
      <c r="N6" s="7"/>
      <c r="O6" s="8"/>
      <c r="P6" s="7"/>
      <c r="Q6" s="7">
        <v>19277</v>
      </c>
      <c r="R6" s="7"/>
      <c r="S6" s="7" t="s">
        <v>614</v>
      </c>
      <c r="T6" s="7" t="s">
        <v>614</v>
      </c>
      <c r="U6" s="7" t="s">
        <v>544</v>
      </c>
      <c r="V6" s="7"/>
      <c r="W6" s="7"/>
      <c r="X6" s="7"/>
      <c r="Y6" s="7" t="s">
        <v>499</v>
      </c>
      <c r="Z6" s="7"/>
      <c r="AA6" s="7"/>
      <c r="AB6" s="7"/>
      <c r="AC6" s="7"/>
      <c r="AD6" s="7"/>
      <c r="AE6" t="s">
        <v>506</v>
      </c>
    </row>
    <row r="7" spans="1:31" ht="72.5">
      <c r="A7" s="1" t="s">
        <v>98</v>
      </c>
      <c r="B7" s="1" t="s">
        <v>765</v>
      </c>
      <c r="C7" s="1" t="s">
        <v>766</v>
      </c>
      <c r="D7" s="1"/>
      <c r="E7" s="1"/>
      <c r="F7" s="1"/>
      <c r="G7" t="s">
        <v>902</v>
      </c>
      <c r="H7" s="7" t="s">
        <v>553</v>
      </c>
      <c r="I7" s="7"/>
      <c r="J7" s="7"/>
      <c r="K7" s="7"/>
      <c r="L7" s="7"/>
      <c r="M7" s="7"/>
      <c r="N7" s="7"/>
      <c r="O7" s="8"/>
      <c r="P7" s="7"/>
      <c r="Q7" s="7"/>
      <c r="R7" s="7"/>
      <c r="S7" s="7" t="s">
        <v>614</v>
      </c>
      <c r="T7" s="7" t="s">
        <v>614</v>
      </c>
      <c r="U7" s="7" t="s">
        <v>544</v>
      </c>
      <c r="V7" s="7"/>
      <c r="W7" s="7"/>
      <c r="X7" s="7"/>
      <c r="Y7" s="7" t="s">
        <v>499</v>
      </c>
      <c r="Z7" s="7"/>
      <c r="AA7" s="7"/>
      <c r="AB7" s="7"/>
      <c r="AC7" s="7"/>
      <c r="AD7" s="7"/>
      <c r="AE7" t="s">
        <v>499</v>
      </c>
    </row>
    <row r="8" spans="1:31" ht="43.5">
      <c r="A8" s="1" t="s">
        <v>150</v>
      </c>
      <c r="B8" s="1" t="s">
        <v>770</v>
      </c>
      <c r="C8" s="1" t="s">
        <v>771</v>
      </c>
      <c r="D8" s="1"/>
      <c r="E8" s="1"/>
      <c r="F8" s="1"/>
      <c r="G8" t="s">
        <v>903</v>
      </c>
      <c r="H8" s="7" t="s">
        <v>553</v>
      </c>
      <c r="I8" s="7"/>
      <c r="J8" s="7"/>
      <c r="K8" s="7"/>
      <c r="L8" s="7"/>
      <c r="M8" s="7"/>
      <c r="N8" s="7"/>
      <c r="O8" s="8"/>
      <c r="P8" s="7"/>
      <c r="Q8" s="7"/>
      <c r="R8" s="7"/>
      <c r="S8" s="7" t="s">
        <v>614</v>
      </c>
      <c r="T8" s="7" t="s">
        <v>614</v>
      </c>
      <c r="U8" s="7" t="s">
        <v>544</v>
      </c>
      <c r="V8" s="7"/>
      <c r="W8" s="7"/>
      <c r="X8" s="7"/>
      <c r="Y8" s="7" t="s">
        <v>499</v>
      </c>
      <c r="Z8" s="7"/>
      <c r="AA8" s="7"/>
      <c r="AB8" s="7"/>
      <c r="AC8" s="7"/>
      <c r="AD8" s="7"/>
      <c r="AE8" t="s">
        <v>506</v>
      </c>
    </row>
    <row r="9" spans="1:31" ht="29">
      <c r="A9" s="1" t="s">
        <v>165</v>
      </c>
      <c r="B9" s="1" t="s">
        <v>653</v>
      </c>
      <c r="C9" s="1" t="s">
        <v>654</v>
      </c>
      <c r="D9" s="1"/>
      <c r="E9" s="1"/>
      <c r="F9" s="1"/>
      <c r="G9" t="s">
        <v>773</v>
      </c>
      <c r="H9" s="7" t="s">
        <v>553</v>
      </c>
      <c r="I9" s="7"/>
      <c r="J9" s="7"/>
      <c r="K9" s="7"/>
      <c r="L9" s="7"/>
      <c r="M9" s="7"/>
      <c r="N9" s="7"/>
      <c r="O9" s="8"/>
      <c r="P9" s="7"/>
      <c r="Q9" s="7"/>
      <c r="R9" s="7"/>
      <c r="S9" s="7" t="s">
        <v>614</v>
      </c>
      <c r="T9" s="7" t="s">
        <v>614</v>
      </c>
      <c r="U9" s="7" t="s">
        <v>544</v>
      </c>
      <c r="V9" s="7"/>
      <c r="W9" s="7"/>
      <c r="X9" s="7"/>
      <c r="Y9" s="7" t="s">
        <v>499</v>
      </c>
      <c r="Z9" s="7"/>
      <c r="AA9" s="7"/>
      <c r="AB9" s="7"/>
      <c r="AC9" s="7"/>
      <c r="AD9" s="7"/>
      <c r="AE9" t="s">
        <v>499</v>
      </c>
    </row>
    <row r="10" spans="1:31" ht="29">
      <c r="A10" s="1" t="s">
        <v>195</v>
      </c>
      <c r="B10" s="1" t="s">
        <v>670</v>
      </c>
      <c r="C10" s="1" t="s">
        <v>671</v>
      </c>
      <c r="D10" s="1"/>
      <c r="E10" s="1"/>
      <c r="F10" s="1"/>
      <c r="G10" t="s">
        <v>774</v>
      </c>
      <c r="H10" s="7" t="s">
        <v>548</v>
      </c>
      <c r="I10" s="7"/>
      <c r="J10" s="7"/>
      <c r="K10" s="7"/>
      <c r="L10" s="7"/>
      <c r="M10" s="7"/>
      <c r="N10" s="7"/>
      <c r="O10" s="8"/>
      <c r="P10" s="7"/>
      <c r="Q10" s="7"/>
      <c r="R10" s="7">
        <v>795</v>
      </c>
      <c r="S10" s="7">
        <v>1420</v>
      </c>
      <c r="T10" s="7">
        <v>2215</v>
      </c>
      <c r="U10" s="7" t="s">
        <v>544</v>
      </c>
      <c r="V10" s="7"/>
      <c r="W10" s="7"/>
      <c r="X10" s="7"/>
      <c r="Y10" s="7" t="s">
        <v>499</v>
      </c>
      <c r="Z10" s="7"/>
      <c r="AA10" s="7"/>
      <c r="AB10" s="7"/>
      <c r="AC10" s="7"/>
      <c r="AD10" s="7"/>
      <c r="AE10" t="s">
        <v>506</v>
      </c>
    </row>
    <row r="11" spans="1:31" ht="101.5">
      <c r="A11" s="1" t="s">
        <v>215</v>
      </c>
      <c r="B11" s="1" t="s">
        <v>682</v>
      </c>
      <c r="C11" s="1" t="s">
        <v>683</v>
      </c>
      <c r="D11" s="1"/>
      <c r="E11" s="1"/>
      <c r="F11" s="1"/>
      <c r="G11" t="s">
        <v>775</v>
      </c>
      <c r="H11" s="7" t="s">
        <v>504</v>
      </c>
      <c r="I11" s="7">
        <v>1</v>
      </c>
      <c r="J11" s="7">
        <v>4</v>
      </c>
      <c r="K11" s="7">
        <v>16</v>
      </c>
      <c r="L11" s="7"/>
      <c r="M11" s="7" t="s">
        <v>536</v>
      </c>
      <c r="N11" s="7" t="s">
        <v>594</v>
      </c>
      <c r="O11" s="8" t="s">
        <v>612</v>
      </c>
      <c r="P11" s="7"/>
      <c r="Q11" s="7">
        <v>188</v>
      </c>
      <c r="R11" s="7"/>
      <c r="S11" s="7" t="s">
        <v>614</v>
      </c>
      <c r="T11" s="7" t="s">
        <v>614</v>
      </c>
      <c r="U11" s="7" t="s">
        <v>544</v>
      </c>
      <c r="V11" s="7"/>
      <c r="W11" s="7"/>
      <c r="X11" s="7"/>
      <c r="Y11" s="7" t="s">
        <v>499</v>
      </c>
      <c r="Z11" s="7"/>
      <c r="AA11" s="7"/>
      <c r="AB11" s="7"/>
      <c r="AC11" s="7"/>
      <c r="AD11" s="7"/>
      <c r="AE11" t="s">
        <v>506</v>
      </c>
    </row>
    <row r="12" spans="1:31" ht="43.5">
      <c r="A12" s="1" t="s">
        <v>219</v>
      </c>
      <c r="B12" s="1" t="s">
        <v>690</v>
      </c>
      <c r="C12" s="1" t="s">
        <v>689</v>
      </c>
      <c r="D12" s="1"/>
      <c r="E12" s="1"/>
      <c r="F12" s="1"/>
      <c r="G12" t="s">
        <v>776</v>
      </c>
      <c r="H12" s="7" t="s">
        <v>548</v>
      </c>
      <c r="I12" s="7"/>
      <c r="J12" s="7"/>
      <c r="K12" s="7"/>
      <c r="L12" s="7"/>
      <c r="M12" s="7"/>
      <c r="N12" s="7"/>
      <c r="O12" s="8"/>
      <c r="P12" s="7"/>
      <c r="Q12" s="7"/>
      <c r="R12" s="7">
        <v>163</v>
      </c>
      <c r="S12" s="7">
        <v>21</v>
      </c>
      <c r="T12" s="7">
        <v>184</v>
      </c>
      <c r="U12" s="7" t="s">
        <v>544</v>
      </c>
      <c r="V12" s="7"/>
      <c r="W12" s="7"/>
      <c r="X12" s="7"/>
      <c r="Y12" s="7" t="s">
        <v>499</v>
      </c>
      <c r="Z12" s="7"/>
      <c r="AA12" s="7"/>
      <c r="AB12" s="7"/>
      <c r="AC12" s="7"/>
      <c r="AD12" s="7"/>
      <c r="AE12" t="s">
        <v>506</v>
      </c>
    </row>
    <row r="13" spans="1:31" ht="72.5">
      <c r="A13" s="1" t="s">
        <v>231</v>
      </c>
      <c r="B13" s="1" t="s">
        <v>443</v>
      </c>
      <c r="C13" s="1" t="s">
        <v>444</v>
      </c>
      <c r="D13" s="1"/>
      <c r="E13" s="1"/>
      <c r="F13" s="1"/>
      <c r="G13" t="s">
        <v>900</v>
      </c>
      <c r="H13" s="7" t="s">
        <v>504</v>
      </c>
      <c r="I13" s="7">
        <v>0</v>
      </c>
      <c r="J13" s="7">
        <v>1</v>
      </c>
      <c r="K13" s="7">
        <v>3</v>
      </c>
      <c r="L13" s="7" t="s">
        <v>541</v>
      </c>
      <c r="M13" s="7" t="s">
        <v>542</v>
      </c>
      <c r="N13" s="7"/>
      <c r="O13" s="8"/>
      <c r="P13" s="7"/>
      <c r="Q13" s="7">
        <v>19277</v>
      </c>
      <c r="R13" s="7"/>
      <c r="S13" s="7" t="s">
        <v>614</v>
      </c>
      <c r="T13" s="7" t="s">
        <v>614</v>
      </c>
      <c r="U13" s="7" t="s">
        <v>544</v>
      </c>
      <c r="V13" s="7"/>
      <c r="W13" s="7"/>
      <c r="X13" s="7"/>
      <c r="Y13" s="7" t="s">
        <v>499</v>
      </c>
      <c r="Z13" s="7"/>
      <c r="AA13" s="7"/>
      <c r="AB13" s="7"/>
      <c r="AC13" s="7"/>
      <c r="AD13" s="7"/>
      <c r="AE13" t="s">
        <v>506</v>
      </c>
    </row>
    <row r="14" spans="1:31" ht="72.5">
      <c r="A14" s="1" t="s">
        <v>231</v>
      </c>
      <c r="B14" s="1" t="s">
        <v>445</v>
      </c>
      <c r="C14" s="1" t="s">
        <v>446</v>
      </c>
      <c r="D14" s="1"/>
      <c r="E14" s="1"/>
      <c r="F14" s="1"/>
      <c r="G14" t="s">
        <v>900</v>
      </c>
      <c r="H14" s="7" t="s">
        <v>504</v>
      </c>
      <c r="I14" s="7">
        <v>0</v>
      </c>
      <c r="J14" s="7">
        <v>1</v>
      </c>
      <c r="K14" s="7">
        <v>3</v>
      </c>
      <c r="L14" s="7" t="s">
        <v>541</v>
      </c>
      <c r="M14" s="7" t="s">
        <v>542</v>
      </c>
      <c r="N14" s="7"/>
      <c r="O14" s="8"/>
      <c r="P14" s="7"/>
      <c r="Q14" s="7">
        <v>19277</v>
      </c>
      <c r="R14" s="7"/>
      <c r="S14" s="7" t="s">
        <v>614</v>
      </c>
      <c r="T14" s="7" t="s">
        <v>614</v>
      </c>
      <c r="U14" s="7" t="s">
        <v>544</v>
      </c>
      <c r="V14" s="7"/>
      <c r="W14" s="7"/>
      <c r="X14" s="7"/>
      <c r="Y14" s="7" t="s">
        <v>499</v>
      </c>
      <c r="Z14" s="7"/>
      <c r="AA14" s="7"/>
      <c r="AB14" s="7"/>
      <c r="AC14" s="7"/>
      <c r="AD14" s="7"/>
      <c r="AE14" t="s">
        <v>506</v>
      </c>
    </row>
    <row r="15" spans="1:31" ht="87">
      <c r="A15" s="1" t="s">
        <v>246</v>
      </c>
      <c r="B15" s="1" t="s">
        <v>706</v>
      </c>
      <c r="C15" s="1" t="s">
        <v>707</v>
      </c>
      <c r="D15" s="1"/>
      <c r="E15" s="1"/>
      <c r="F15" s="1"/>
      <c r="G15" t="s">
        <v>777</v>
      </c>
      <c r="H15" s="7" t="s">
        <v>500</v>
      </c>
      <c r="I15" s="7">
        <v>0</v>
      </c>
      <c r="J15" s="7">
        <v>1</v>
      </c>
      <c r="K15" s="7">
        <v>2</v>
      </c>
      <c r="L15" s="7" t="s">
        <v>564</v>
      </c>
      <c r="M15" s="7" t="s">
        <v>550</v>
      </c>
      <c r="N15" s="7"/>
      <c r="O15" s="8"/>
      <c r="P15" s="7"/>
      <c r="Q15" s="7">
        <v>903</v>
      </c>
      <c r="R15" s="7"/>
      <c r="S15" s="7" t="s">
        <v>614</v>
      </c>
      <c r="T15" s="7" t="s">
        <v>614</v>
      </c>
      <c r="U15" s="7" t="s">
        <v>544</v>
      </c>
      <c r="V15" s="7"/>
      <c r="W15" s="7"/>
      <c r="X15" s="7"/>
      <c r="Y15" s="7" t="s">
        <v>499</v>
      </c>
      <c r="Z15" s="7"/>
      <c r="AA15" s="7"/>
      <c r="AB15" s="7"/>
      <c r="AC15" s="7"/>
      <c r="AD15" s="7"/>
      <c r="AE15" t="s">
        <v>499</v>
      </c>
    </row>
    <row r="16" spans="1:31" ht="29">
      <c r="A16" s="1" t="s">
        <v>251</v>
      </c>
      <c r="B16" s="1" t="s">
        <v>458</v>
      </c>
      <c r="C16" s="1" t="s">
        <v>459</v>
      </c>
      <c r="D16" s="1"/>
      <c r="E16" s="1"/>
      <c r="F16" s="1"/>
      <c r="G16" t="s">
        <v>778</v>
      </c>
      <c r="H16" s="7" t="s">
        <v>504</v>
      </c>
      <c r="I16" s="7">
        <v>0</v>
      </c>
      <c r="J16" s="7">
        <v>1</v>
      </c>
      <c r="K16" s="7">
        <v>1</v>
      </c>
      <c r="L16" s="7" t="s">
        <v>541</v>
      </c>
      <c r="M16" s="7" t="s">
        <v>550</v>
      </c>
      <c r="N16" s="7"/>
      <c r="O16" s="8"/>
      <c r="P16" s="7"/>
      <c r="Q16" s="7">
        <v>19277</v>
      </c>
      <c r="R16" s="7"/>
      <c r="S16" s="7" t="s">
        <v>614</v>
      </c>
      <c r="T16" s="7" t="s">
        <v>614</v>
      </c>
      <c r="U16" s="7" t="s">
        <v>544</v>
      </c>
      <c r="V16" s="7"/>
      <c r="W16" s="7"/>
      <c r="X16" s="7"/>
      <c r="Y16" s="7" t="s">
        <v>499</v>
      </c>
      <c r="Z16" s="7"/>
      <c r="AA16" s="7"/>
      <c r="AB16" s="7"/>
      <c r="AC16" s="7"/>
      <c r="AD16" s="7"/>
      <c r="AE16" t="s">
        <v>499</v>
      </c>
    </row>
    <row r="17" spans="1:31" ht="116">
      <c r="A17" s="1" t="s">
        <v>314</v>
      </c>
      <c r="B17" s="1" t="s">
        <v>484</v>
      </c>
      <c r="C17" s="1" t="s">
        <v>485</v>
      </c>
      <c r="D17" s="1"/>
      <c r="E17" s="1"/>
      <c r="F17" s="1"/>
      <c r="G17" t="s">
        <v>779</v>
      </c>
      <c r="H17" s="7" t="s">
        <v>504</v>
      </c>
      <c r="I17" s="7">
        <v>1</v>
      </c>
      <c r="J17" s="7">
        <v>4</v>
      </c>
      <c r="K17" s="7">
        <v>17</v>
      </c>
      <c r="L17" s="7"/>
      <c r="M17" s="7" t="s">
        <v>536</v>
      </c>
      <c r="N17" s="7" t="s">
        <v>642</v>
      </c>
      <c r="O17" s="8" t="s">
        <v>747</v>
      </c>
      <c r="P17" s="7"/>
      <c r="Q17" s="7">
        <v>43</v>
      </c>
      <c r="R17" s="7"/>
      <c r="S17" s="7" t="s">
        <v>614</v>
      </c>
      <c r="T17" s="7" t="s">
        <v>614</v>
      </c>
      <c r="U17" s="7" t="s">
        <v>544</v>
      </c>
      <c r="V17" s="7"/>
      <c r="W17" s="7"/>
      <c r="X17" s="7"/>
      <c r="Y17" s="7" t="s">
        <v>499</v>
      </c>
      <c r="Z17" s="7"/>
      <c r="AA17" s="7"/>
      <c r="AB17" s="7"/>
      <c r="AC17" s="7"/>
      <c r="AD17" s="7"/>
      <c r="AE17" t="s">
        <v>499</v>
      </c>
    </row>
    <row r="18" spans="1:31" ht="43.5">
      <c r="A18" s="1" t="s">
        <v>325</v>
      </c>
      <c r="B18" s="1" t="s">
        <v>489</v>
      </c>
      <c r="C18" s="1" t="s">
        <v>490</v>
      </c>
      <c r="D18" s="1"/>
      <c r="E18" s="1"/>
      <c r="F18" s="1"/>
      <c r="G18" t="s">
        <v>780</v>
      </c>
      <c r="H18" s="7" t="s">
        <v>504</v>
      </c>
      <c r="I18" s="7">
        <v>0</v>
      </c>
      <c r="J18" s="7">
        <v>1</v>
      </c>
      <c r="K18" s="7">
        <v>2</v>
      </c>
      <c r="L18" s="7" t="s">
        <v>541</v>
      </c>
      <c r="M18" s="7" t="s">
        <v>550</v>
      </c>
      <c r="N18" s="7"/>
      <c r="O18" s="8"/>
      <c r="P18" s="7"/>
      <c r="Q18" s="7">
        <v>19277</v>
      </c>
      <c r="R18" s="7"/>
      <c r="S18" s="7" t="s">
        <v>614</v>
      </c>
      <c r="T18" s="7" t="s">
        <v>614</v>
      </c>
      <c r="U18" s="7" t="s">
        <v>544</v>
      </c>
      <c r="V18" s="7"/>
      <c r="W18" s="7"/>
      <c r="X18" s="7"/>
      <c r="Y18" s="7" t="s">
        <v>499</v>
      </c>
      <c r="Z18" s="7"/>
      <c r="AA18" s="7"/>
      <c r="AB18" s="7"/>
      <c r="AC18" s="7"/>
      <c r="AD18" s="7"/>
      <c r="AE18" t="s">
        <v>499</v>
      </c>
    </row>
    <row r="19" spans="1:31" ht="43.5">
      <c r="A19" s="1" t="s">
        <v>329</v>
      </c>
      <c r="B19" s="1" t="s">
        <v>491</v>
      </c>
      <c r="C19" s="1" t="s">
        <v>492</v>
      </c>
      <c r="D19" s="1"/>
      <c r="E19" s="1"/>
      <c r="F19" s="1"/>
      <c r="G19" t="s">
        <v>781</v>
      </c>
      <c r="H19" s="7" t="s">
        <v>504</v>
      </c>
      <c r="I19" s="7">
        <v>0</v>
      </c>
      <c r="J19" s="7">
        <v>1</v>
      </c>
      <c r="K19" s="7">
        <v>2</v>
      </c>
      <c r="L19" s="7" t="s">
        <v>541</v>
      </c>
      <c r="M19" s="7" t="s">
        <v>550</v>
      </c>
      <c r="N19" s="7"/>
      <c r="O19" s="8"/>
      <c r="P19" s="7"/>
      <c r="Q19" s="7">
        <v>19277</v>
      </c>
      <c r="R19" s="7"/>
      <c r="S19" s="7" t="s">
        <v>614</v>
      </c>
      <c r="T19" s="7" t="s">
        <v>614</v>
      </c>
      <c r="U19" s="7" t="s">
        <v>544</v>
      </c>
      <c r="V19" s="7"/>
      <c r="W19" s="7"/>
      <c r="X19" s="7"/>
      <c r="Y19" s="7" t="s">
        <v>499</v>
      </c>
      <c r="Z19" s="7"/>
      <c r="AA19" s="7"/>
      <c r="AB19" s="7"/>
      <c r="AC19" s="7"/>
      <c r="AD19" s="7"/>
      <c r="AE19" t="s">
        <v>499</v>
      </c>
    </row>
    <row r="20" spans="1:31" ht="87">
      <c r="A20" s="1" t="s">
        <v>330</v>
      </c>
      <c r="B20" s="1" t="s">
        <v>494</v>
      </c>
      <c r="C20" s="1" t="s">
        <v>495</v>
      </c>
      <c r="D20" s="1"/>
      <c r="E20" s="1"/>
      <c r="F20" s="1"/>
      <c r="G20" t="s">
        <v>782</v>
      </c>
      <c r="H20" s="7" t="s">
        <v>504</v>
      </c>
      <c r="I20" s="7">
        <v>1</v>
      </c>
      <c r="J20" s="7">
        <v>3</v>
      </c>
      <c r="K20" s="7">
        <v>14</v>
      </c>
      <c r="L20" s="7"/>
      <c r="M20" s="7" t="s">
        <v>536</v>
      </c>
      <c r="N20" s="7" t="s">
        <v>642</v>
      </c>
      <c r="O20" s="8" t="s">
        <v>757</v>
      </c>
      <c r="P20" s="7"/>
      <c r="Q20" s="7">
        <v>119</v>
      </c>
      <c r="R20" s="7"/>
      <c r="S20" s="7" t="s">
        <v>614</v>
      </c>
      <c r="T20" s="7" t="s">
        <v>614</v>
      </c>
      <c r="U20" s="7" t="s">
        <v>544</v>
      </c>
      <c r="V20" s="7"/>
      <c r="W20" s="7"/>
      <c r="X20" s="7"/>
      <c r="Y20" s="7" t="s">
        <v>499</v>
      </c>
      <c r="Z20" s="7"/>
      <c r="AA20" s="7"/>
      <c r="AB20" s="7"/>
      <c r="AC20" s="7"/>
      <c r="AD20" s="7"/>
      <c r="AE20" t="s">
        <v>506</v>
      </c>
    </row>
    <row r="23" spans="1:31">
      <c r="D23" t="s">
        <v>853</v>
      </c>
      <c r="E23">
        <f>COUNTIF(U:U, "Harmonizing")</f>
        <v>1</v>
      </c>
    </row>
    <row r="24" spans="1:31">
      <c r="D24" t="s">
        <v>854</v>
      </c>
      <c r="E24">
        <f>COUNTIF(U:U, "Disharmonizing")</f>
        <v>18</v>
      </c>
    </row>
    <row r="25" spans="1:31">
      <c r="D25" t="s">
        <v>855</v>
      </c>
      <c r="E25">
        <f>E23/(E23+E24)</f>
        <v>5.2631578947368418E-2</v>
      </c>
    </row>
  </sheetData>
  <conditionalFormatting sqref="H2:H20">
    <cfRule type="expression" dxfId="189" priority="21">
      <formula>$J2&lt;&gt;""</formula>
    </cfRule>
    <cfRule type="expression" dxfId="188" priority="22">
      <formula>$J2=""</formula>
    </cfRule>
  </conditionalFormatting>
  <conditionalFormatting sqref="I2:M20 P2:Q20">
    <cfRule type="expression" dxfId="187" priority="19">
      <formula>AND(OR($J2="Addition",$J2="Omission"), I2="")</formula>
    </cfRule>
    <cfRule type="expression" dxfId="186" priority="20">
      <formula>AND($J2&lt;&gt;"Addition",$J2&lt;&gt;"Omission",$J2&lt;&gt;"Substitution - Word")</formula>
    </cfRule>
  </conditionalFormatting>
  <conditionalFormatting sqref="I2:Q20">
    <cfRule type="expression" dxfId="185" priority="18">
      <formula>AND(OR($J2="Addition",$J2="Omission"), I2&lt;&gt;"")</formula>
    </cfRule>
  </conditionalFormatting>
  <conditionalFormatting sqref="L2:L20">
    <cfRule type="expression" dxfId="184" priority="13">
      <formula>AND($L2&lt;&gt;"",$L2&gt;1)</formula>
    </cfRule>
  </conditionalFormatting>
  <conditionalFormatting sqref="N2:O20">
    <cfRule type="expression" dxfId="183" priority="9">
      <formula>$O2="Absent"</formula>
    </cfRule>
    <cfRule type="expression" dxfId="182" priority="10">
      <formula>$O2="NA"</formula>
    </cfRule>
    <cfRule type="expression" dxfId="181" priority="11">
      <formula>AND(OR($J2="Addition",$J2="Omission"), N2="")</formula>
    </cfRule>
    <cfRule type="expression" dxfId="180" priority="12">
      <formula>AND($J2&lt;&gt;"Addition",$J2&lt;&gt;"Omission")</formula>
    </cfRule>
  </conditionalFormatting>
  <conditionalFormatting sqref="P2:P20">
    <cfRule type="expression" dxfId="179" priority="14">
      <formula>AND(OR($J2="Addition",$J2="Omission",$J2="Substitution - Word"),RIGHT($AE2,6)&lt;&gt;"strict",$AD2&lt;&gt;"Yes")</formula>
    </cfRule>
  </conditionalFormatting>
  <conditionalFormatting sqref="R2:T20">
    <cfRule type="expression" dxfId="178" priority="15">
      <formula>AND(AND(LEFT($J2,3)="Sub", RIGHT($J2,4)&lt;&gt;"Form"),$T2&lt;&gt;"")</formula>
    </cfRule>
    <cfRule type="expression" dxfId="177" priority="16">
      <formula>AND(AND(LEFT($J2,3)="Sub", RIGHT($J2,4)&lt;&gt;"Form"),$T2="")</formula>
    </cfRule>
    <cfRule type="expression" dxfId="176" priority="17">
      <formula>"&lt;&gt;AND(LEFT($J2,3)=""Sub"", RIGHT($J2,4)&lt;&gt;""Form"")"</formula>
    </cfRule>
  </conditionalFormatting>
  <conditionalFormatting sqref="U2:U20">
    <cfRule type="expression" dxfId="175" priority="3">
      <formula>AND($W2&lt;&gt;"",OR($AD2="Yes",$AE2&lt;&gt;""))</formula>
    </cfRule>
    <cfRule type="expression" dxfId="174" priority="4">
      <formula>OR($AD2="Yes",$AE2&lt;&gt;"")</formula>
    </cfRule>
    <cfRule type="expression" dxfId="173" priority="7">
      <formula>AND($AD2&lt;&gt;"Yes",$AE2="")</formula>
    </cfRule>
  </conditionalFormatting>
  <conditionalFormatting sqref="U2:AD7">
    <cfRule type="expression" dxfId="172" priority="23">
      <formula>AND($J2&lt;&gt;"",$J2&lt;&gt;"Unclear due to correction")</formula>
    </cfRule>
  </conditionalFormatting>
  <conditionalFormatting sqref="U2:AD20">
    <cfRule type="expression" dxfId="171" priority="24">
      <formula>OR($J2="",$J2="Unclear due to correction")</formula>
    </cfRule>
  </conditionalFormatting>
  <conditionalFormatting sqref="U8:AD20">
    <cfRule type="expression" dxfId="170" priority="1">
      <formula>AND($J8&lt;&gt;"",$J8&lt;&gt;"Unclear due to correction")</formula>
    </cfRule>
  </conditionalFormatting>
  <conditionalFormatting sqref="V2:V20">
    <cfRule type="expression" dxfId="169" priority="2">
      <formula>AND($J2&lt;&gt;"",$J2&lt;&gt;"Unclear due to correction",$X2="")</formula>
    </cfRule>
  </conditionalFormatting>
  <conditionalFormatting sqref="W2:W20">
    <cfRule type="expression" dxfId="168" priority="5">
      <formula>AND($X2="Yes",$Y2="")</formula>
    </cfRule>
    <cfRule type="expression" dxfId="167" priority="6">
      <formula>$X2=""</formula>
    </cfRule>
  </conditionalFormatting>
  <conditionalFormatting sqref="AB2:AB20">
    <cfRule type="expression" dxfId="166" priority="8">
      <formula>AND(OR($AB2&lt;&gt;"",$AC2&lt;&gt;""),$AD2="")</formula>
    </cfRule>
  </conditionalFormatting>
  <dataValidations count="1">
    <dataValidation type="list" allowBlank="1" showInputMessage="1" showErrorMessage="1" sqref="AE2:AE20" xr:uid="{003BA854-8E63-4D84-9444-33B6745AE2D5}">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97702572-5940-43E7-A376-026149B5FF1B}">
          <x14:formula1>
            <xm:f>'Data Regularization'!$A$2:$A$1048576</xm:f>
          </x14:formula1>
          <xm:sqref>D2:D20</xm:sqref>
        </x14:dataValidation>
        <x14:dataValidation type="list" allowBlank="1" showInputMessage="1" showErrorMessage="1" xr:uid="{892B13F5-A867-4F56-9686-FEE7EA50E926}">
          <x14:formula1>
            <xm:f>'Data Regularization'!$B$2:$B$1048576</xm:f>
          </x14:formula1>
          <xm:sqref>E2:E20</xm:sqref>
        </x14:dataValidation>
        <x14:dataValidation type="list" allowBlank="1" showInputMessage="1" showErrorMessage="1" xr:uid="{FCD575B0-3FC1-4E83-980F-D488F104890B}">
          <x14:formula1>
            <xm:f>'Data Regularization'!$C$2:$C$1048576</xm:f>
          </x14:formula1>
          <xm:sqref>F2:F20</xm:sqref>
        </x14:dataValidation>
        <x14:dataValidation type="list" allowBlank="1" showInputMessage="1" showErrorMessage="1" xr:uid="{32EEBD4A-5EE7-44C1-8C18-964C878BCBA3}">
          <x14:formula1>
            <xm:f>'Data Regularization'!$D$2:$D$1048576</xm:f>
          </x14:formula1>
          <xm:sqref>H2:H20</xm:sqref>
        </x14:dataValidation>
        <x14:dataValidation type="list" allowBlank="1" showInputMessage="1" showErrorMessage="1" xr:uid="{105D60AA-763F-4885-A798-4C1FB61A1131}">
          <x14:formula1>
            <xm:f>'Data Regularization'!$E$2:$E$1048576</xm:f>
          </x14:formula1>
          <xm:sqref>L2:L20</xm:sqref>
        </x14:dataValidation>
        <x14:dataValidation type="list" allowBlank="1" showInputMessage="1" showErrorMessage="1" xr:uid="{C68AF3EA-FEBB-4E64-A219-747B44D6D22E}">
          <x14:formula1>
            <xm:f>'Data Regularization'!$F$2:$F$1048576</xm:f>
          </x14:formula1>
          <xm:sqref>M2:M20</xm:sqref>
        </x14:dataValidation>
        <x14:dataValidation type="list" allowBlank="1" showInputMessage="1" showErrorMessage="1" xr:uid="{0B4829E6-9697-4B11-A017-983F9163903E}">
          <x14:formula1>
            <xm:f>'Data Regularization'!$G$2:$G$1048576</xm:f>
          </x14:formula1>
          <xm:sqref>P2:P20</xm:sqref>
        </x14:dataValidation>
        <x14:dataValidation type="list" allowBlank="1" showInputMessage="1" showErrorMessage="1" xr:uid="{BAB18D36-86C4-4C84-A077-E7BAFD8D268D}">
          <x14:formula1>
            <xm:f>'Data Regularization'!$H$2:$H$1048576</xm:f>
          </x14:formula1>
          <xm:sqref>U2:U20</xm:sqref>
        </x14:dataValidation>
        <x14:dataValidation type="list" allowBlank="1" showInputMessage="1" xr:uid="{A0426D7E-A79B-4F43-9F12-85DB22101188}">
          <x14:formula1>
            <xm:f>'Data Regularization'!$I$2:$I$1048576</xm:f>
          </x14:formula1>
          <xm:sqref>V2:V20</xm:sqref>
        </x14:dataValidation>
        <x14:dataValidation type="list" allowBlank="1" showInputMessage="1" showErrorMessage="1" xr:uid="{A23FAC15-EEA9-45CD-A432-4921615F3E03}">
          <x14:formula1>
            <xm:f>'Data Regularization'!$K$2:$K$1048576</xm:f>
          </x14:formula1>
          <xm:sqref>X2:X20</xm:sqref>
        </x14:dataValidation>
        <x14:dataValidation type="list" allowBlank="1" showInputMessage="1" showErrorMessage="1" xr:uid="{862A06C4-B9A5-4A0C-ABB8-0FE4DD0FBD9E}">
          <x14:formula1>
            <xm:f>'Data Regularization'!$J$2:$J$1048576</xm:f>
          </x14:formula1>
          <xm:sqref>W2:W20</xm:sqref>
        </x14:dataValidation>
        <x14:dataValidation type="list" allowBlank="1" showInputMessage="1" showErrorMessage="1" xr:uid="{B0FC5FBA-DB03-4C98-ABE8-4AFF4BD54223}">
          <x14:formula1>
            <xm:f>'Data Regularization'!$L$2:$L$1048576</xm:f>
          </x14:formula1>
          <xm:sqref>Y2:Y20</xm:sqref>
        </x14:dataValidation>
        <x14:dataValidation type="list" allowBlank="1" showInputMessage="1" showErrorMessage="1" xr:uid="{7F02B5F5-ECBD-44A9-9D20-2BE95A10EB61}">
          <x14:formula1>
            <xm:f>'Data Regularization'!$M$2:$M$1048576</xm:f>
          </x14:formula1>
          <xm:sqref>Z2:Z20</xm:sqref>
        </x14:dataValidation>
        <x14:dataValidation type="list" allowBlank="1" showInputMessage="1" showErrorMessage="1" xr:uid="{9FB6F3E3-6D2A-4229-9AC9-C7D8D5B493FA}">
          <x14:formula1>
            <xm:f>'Data Regularization'!$O$2:$O$1048576</xm:f>
          </x14:formula1>
          <xm:sqref>AC2:AC20</xm:sqref>
        </x14:dataValidation>
        <x14:dataValidation type="list" allowBlank="1" showInputMessage="1" showErrorMessage="1" xr:uid="{FE33B8AB-F0BD-46D2-948D-9EF54CA86569}">
          <x14:formula1>
            <xm:f>'Data Regularization'!$P$2:$P$1048576</xm:f>
          </x14:formula1>
          <xm:sqref>AD2:AD20</xm:sqref>
        </x14:dataValidation>
        <x14:dataValidation type="list" allowBlank="1" showInputMessage="1" showErrorMessage="1" xr:uid="{131B3DB2-1C25-487E-8C9C-30D8CF0FD221}">
          <x14:formula1>
            <xm:f>'Data Regularization'!$N$2:$N$1048576</xm:f>
          </x14:formula1>
          <xm:sqref>AB2:AB20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5912-2355-4FBC-88A0-DE35471790E0}">
  <dimension ref="A1:AD55"/>
  <sheetViews>
    <sheetView workbookViewId="0">
      <pane xSplit="3" ySplit="1" topLeftCell="D55" activePane="bottomRight" state="frozen"/>
      <selection pane="topRight" activeCell="D1" sqref="D1"/>
      <selection pane="bottomLeft" activeCell="A2" sqref="A2"/>
      <selection pane="bottomRight" activeCell="A59" sqref="A59:XFD1048576"/>
    </sheetView>
  </sheetViews>
  <sheetFormatPr defaultRowHeight="14.5"/>
  <sheetData>
    <row r="1" spans="1:30"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580</v>
      </c>
      <c r="R1" s="2" t="s">
        <v>826</v>
      </c>
      <c r="S1" s="2" t="s">
        <v>827</v>
      </c>
      <c r="T1" s="2" t="s">
        <v>527</v>
      </c>
      <c r="U1" s="2" t="s">
        <v>528</v>
      </c>
      <c r="V1" s="2" t="s">
        <v>529</v>
      </c>
      <c r="W1" s="2" t="s">
        <v>530</v>
      </c>
      <c r="X1" s="2" t="s">
        <v>531</v>
      </c>
      <c r="Y1" s="2" t="s">
        <v>532</v>
      </c>
      <c r="Z1" s="2" t="s">
        <v>582</v>
      </c>
      <c r="AA1" s="2" t="s">
        <v>581</v>
      </c>
      <c r="AB1" s="2" t="s">
        <v>533</v>
      </c>
      <c r="AC1" s="2" t="s">
        <v>534</v>
      </c>
      <c r="AD1" s="2" t="s">
        <v>791</v>
      </c>
    </row>
    <row r="2" spans="1:30" ht="29">
      <c r="A2" s="1" t="s">
        <v>37</v>
      </c>
      <c r="B2" s="1" t="s">
        <v>16</v>
      </c>
      <c r="C2" s="1" t="s">
        <v>38</v>
      </c>
      <c r="D2" s="1"/>
      <c r="E2" s="1"/>
      <c r="F2" s="1"/>
      <c r="G2" s="7" t="s">
        <v>553</v>
      </c>
      <c r="H2" s="7"/>
      <c r="I2" s="7"/>
      <c r="J2" s="7"/>
      <c r="K2" s="7"/>
      <c r="L2" s="7"/>
      <c r="M2" s="7"/>
      <c r="N2" s="8"/>
      <c r="O2" s="7"/>
      <c r="P2" s="7"/>
      <c r="Q2" s="7"/>
      <c r="R2" s="7" t="s">
        <v>614</v>
      </c>
      <c r="S2" s="7" t="s">
        <v>614</v>
      </c>
      <c r="T2" s="7"/>
      <c r="U2" s="7"/>
      <c r="V2" s="7"/>
      <c r="W2" s="7"/>
      <c r="X2" s="7" t="s">
        <v>499</v>
      </c>
      <c r="Y2" s="7"/>
      <c r="Z2" s="7"/>
      <c r="AA2" s="7"/>
      <c r="AB2" s="7"/>
      <c r="AC2" s="7"/>
      <c r="AD2" t="s">
        <v>506</v>
      </c>
    </row>
    <row r="3" spans="1:30" ht="29">
      <c r="A3" s="1" t="s">
        <v>39</v>
      </c>
      <c r="B3" s="1" t="s">
        <v>40</v>
      </c>
      <c r="C3" s="1" t="s">
        <v>351</v>
      </c>
      <c r="D3" s="1"/>
      <c r="E3" s="1"/>
      <c r="F3" s="1"/>
      <c r="G3" s="7" t="s">
        <v>553</v>
      </c>
      <c r="H3" s="7"/>
      <c r="I3" s="7"/>
      <c r="J3" s="7"/>
      <c r="K3" s="7"/>
      <c r="L3" s="7"/>
      <c r="M3" s="7"/>
      <c r="N3" s="8"/>
      <c r="O3" s="7"/>
      <c r="P3" s="7"/>
      <c r="Q3" s="7"/>
      <c r="R3" s="7" t="s">
        <v>614</v>
      </c>
      <c r="S3" s="7" t="s">
        <v>614</v>
      </c>
      <c r="T3" s="7"/>
      <c r="U3" s="7"/>
      <c r="V3" s="7"/>
      <c r="W3" s="7"/>
      <c r="X3" s="7" t="s">
        <v>499</v>
      </c>
      <c r="Y3" s="7"/>
      <c r="Z3" s="7"/>
      <c r="AA3" s="7"/>
      <c r="AB3" s="7"/>
      <c r="AC3" s="7"/>
      <c r="AD3" t="s">
        <v>506</v>
      </c>
    </row>
    <row r="4" spans="1:30" ht="29">
      <c r="A4" s="1" t="s">
        <v>56</v>
      </c>
      <c r="B4" s="1" t="s">
        <v>57</v>
      </c>
      <c r="C4" s="1" t="s">
        <v>58</v>
      </c>
      <c r="D4" s="1"/>
      <c r="E4" s="1"/>
      <c r="F4" s="1" t="s">
        <v>339</v>
      </c>
      <c r="G4" s="7" t="s">
        <v>553</v>
      </c>
      <c r="H4" s="7"/>
      <c r="I4" s="7"/>
      <c r="J4" s="7"/>
      <c r="K4" s="7"/>
      <c r="L4" s="7"/>
      <c r="M4" s="7"/>
      <c r="N4" s="8"/>
      <c r="O4" s="7"/>
      <c r="P4" s="7"/>
      <c r="Q4" s="7"/>
      <c r="R4" s="7" t="s">
        <v>614</v>
      </c>
      <c r="S4" s="7" t="s">
        <v>614</v>
      </c>
      <c r="T4" s="7"/>
      <c r="U4" s="7"/>
      <c r="V4" s="7"/>
      <c r="W4" s="7"/>
      <c r="X4" s="7" t="s">
        <v>499</v>
      </c>
      <c r="Y4" s="7"/>
      <c r="Z4" s="7"/>
      <c r="AA4" s="7"/>
      <c r="AB4" s="7"/>
      <c r="AC4" s="7"/>
      <c r="AD4" t="s">
        <v>506</v>
      </c>
    </row>
    <row r="5" spans="1:30" ht="58">
      <c r="A5" s="1" t="s">
        <v>56</v>
      </c>
      <c r="B5" s="1" t="s">
        <v>761</v>
      </c>
      <c r="C5" s="1" t="s">
        <v>762</v>
      </c>
      <c r="D5" s="1"/>
      <c r="E5" s="1"/>
      <c r="F5" s="1"/>
      <c r="G5" s="7" t="s">
        <v>548</v>
      </c>
      <c r="H5" s="7"/>
      <c r="I5" s="7"/>
      <c r="J5" s="7"/>
      <c r="K5" s="7"/>
      <c r="L5" s="7"/>
      <c r="M5" s="7"/>
      <c r="N5" s="8"/>
      <c r="O5" s="7"/>
      <c r="P5" s="7"/>
      <c r="Q5" s="7">
        <v>-67</v>
      </c>
      <c r="R5" s="7">
        <v>67</v>
      </c>
      <c r="S5" s="7">
        <v>0</v>
      </c>
      <c r="T5" s="7" t="s">
        <v>544</v>
      </c>
      <c r="U5" s="7"/>
      <c r="V5" s="7"/>
      <c r="W5" s="7"/>
      <c r="X5" s="7" t="s">
        <v>499</v>
      </c>
      <c r="Y5" s="7"/>
      <c r="Z5" s="7"/>
      <c r="AA5" s="7"/>
      <c r="AB5" s="7"/>
      <c r="AC5" s="7"/>
      <c r="AD5" t="s">
        <v>506</v>
      </c>
    </row>
    <row r="6" spans="1:30" ht="58">
      <c r="A6" s="1" t="s">
        <v>62</v>
      </c>
      <c r="B6" s="1" t="s">
        <v>607</v>
      </c>
      <c r="C6" s="1" t="s">
        <v>608</v>
      </c>
      <c r="D6" s="1"/>
      <c r="E6" s="1"/>
      <c r="F6" s="1"/>
      <c r="G6" s="7" t="s">
        <v>504</v>
      </c>
      <c r="H6" s="7">
        <v>0</v>
      </c>
      <c r="I6" s="7">
        <v>1</v>
      </c>
      <c r="J6" s="7">
        <v>3</v>
      </c>
      <c r="K6" s="7" t="s">
        <v>541</v>
      </c>
      <c r="L6" s="7" t="s">
        <v>536</v>
      </c>
      <c r="M6" s="7" t="s">
        <v>594</v>
      </c>
      <c r="N6" s="8" t="s">
        <v>595</v>
      </c>
      <c r="O6" s="7"/>
      <c r="P6" s="7">
        <v>19277</v>
      </c>
      <c r="Q6" s="7"/>
      <c r="R6" s="7" t="s">
        <v>614</v>
      </c>
      <c r="S6" s="7" t="s">
        <v>614</v>
      </c>
      <c r="T6" s="7"/>
      <c r="U6" s="7"/>
      <c r="V6" s="7"/>
      <c r="W6" s="7"/>
      <c r="X6" s="7" t="s">
        <v>499</v>
      </c>
      <c r="Y6" s="7"/>
      <c r="Z6" s="7"/>
      <c r="AA6" s="7"/>
      <c r="AB6" s="7"/>
      <c r="AC6" s="7"/>
      <c r="AD6" t="s">
        <v>506</v>
      </c>
    </row>
    <row r="7" spans="1:30" ht="72.5">
      <c r="A7" s="1" t="s">
        <v>63</v>
      </c>
      <c r="B7" s="1" t="s">
        <v>609</v>
      </c>
      <c r="C7" s="1" t="s">
        <v>610</v>
      </c>
      <c r="D7" s="1"/>
      <c r="E7" s="1"/>
      <c r="F7" s="1"/>
      <c r="G7" s="7" t="s">
        <v>504</v>
      </c>
      <c r="H7" s="7">
        <v>1</v>
      </c>
      <c r="I7" s="7">
        <v>3</v>
      </c>
      <c r="J7" s="7">
        <v>14</v>
      </c>
      <c r="K7" s="7"/>
      <c r="L7" s="7" t="s">
        <v>536</v>
      </c>
      <c r="M7" s="7" t="s">
        <v>594</v>
      </c>
      <c r="N7" s="8" t="s">
        <v>595</v>
      </c>
      <c r="O7" s="7"/>
      <c r="P7" s="7">
        <v>1</v>
      </c>
      <c r="Q7" s="7"/>
      <c r="R7" s="7" t="s">
        <v>614</v>
      </c>
      <c r="S7" s="7" t="s">
        <v>614</v>
      </c>
      <c r="T7" s="7"/>
      <c r="U7" s="7"/>
      <c r="V7" s="7"/>
      <c r="W7" s="7"/>
      <c r="X7" s="7" t="s">
        <v>499</v>
      </c>
      <c r="Y7" s="7"/>
      <c r="Z7" s="7"/>
      <c r="AA7" s="7"/>
      <c r="AB7" s="7"/>
      <c r="AC7" s="7"/>
      <c r="AD7" t="s">
        <v>506</v>
      </c>
    </row>
    <row r="8" spans="1:30" ht="319">
      <c r="A8" s="1" t="s">
        <v>65</v>
      </c>
      <c r="B8" s="1" t="s">
        <v>873</v>
      </c>
      <c r="C8" s="1" t="s">
        <v>874</v>
      </c>
      <c r="D8" s="1"/>
      <c r="E8" s="1"/>
      <c r="F8" s="1"/>
      <c r="G8" s="7" t="s">
        <v>504</v>
      </c>
      <c r="H8" s="7">
        <v>4</v>
      </c>
      <c r="I8" s="7">
        <v>13</v>
      </c>
      <c r="J8" s="7">
        <v>75</v>
      </c>
      <c r="K8" s="7"/>
      <c r="L8" s="7" t="s">
        <v>536</v>
      </c>
      <c r="M8" s="7" t="s">
        <v>594</v>
      </c>
      <c r="N8" s="8" t="s">
        <v>611</v>
      </c>
      <c r="O8" s="7" t="s">
        <v>537</v>
      </c>
      <c r="P8" s="7">
        <v>2</v>
      </c>
      <c r="Q8" s="7"/>
      <c r="R8" s="7" t="s">
        <v>614</v>
      </c>
      <c r="S8" s="7" t="s">
        <v>614</v>
      </c>
      <c r="T8" s="7"/>
      <c r="U8" s="7"/>
      <c r="V8" s="7"/>
      <c r="W8" s="7"/>
      <c r="X8" s="7" t="s">
        <v>499</v>
      </c>
      <c r="Y8" s="7"/>
      <c r="Z8" s="7"/>
      <c r="AA8" s="7"/>
      <c r="AB8" s="7"/>
      <c r="AC8" s="7"/>
      <c r="AD8" t="s">
        <v>506</v>
      </c>
    </row>
    <row r="9" spans="1:30" ht="145">
      <c r="A9" s="1" t="s">
        <v>65</v>
      </c>
      <c r="B9" s="1" t="s">
        <v>875</v>
      </c>
      <c r="C9" s="1" t="s">
        <v>877</v>
      </c>
      <c r="D9" s="1"/>
      <c r="E9" s="1"/>
      <c r="F9" s="1"/>
      <c r="G9" s="7" t="s">
        <v>504</v>
      </c>
      <c r="H9" s="7">
        <v>0</v>
      </c>
      <c r="I9" s="7">
        <v>2</v>
      </c>
      <c r="J9" s="7">
        <v>18</v>
      </c>
      <c r="K9" s="7"/>
      <c r="L9" s="7" t="s">
        <v>536</v>
      </c>
      <c r="M9" s="7" t="s">
        <v>594</v>
      </c>
      <c r="N9" s="8" t="s">
        <v>612</v>
      </c>
      <c r="O9" s="7"/>
      <c r="P9" s="7">
        <v>49</v>
      </c>
      <c r="Q9" s="7"/>
      <c r="R9" s="7" t="s">
        <v>614</v>
      </c>
      <c r="S9" s="7" t="s">
        <v>614</v>
      </c>
      <c r="T9" s="7"/>
      <c r="U9" s="7"/>
      <c r="V9" s="7"/>
      <c r="W9" s="7"/>
      <c r="X9" s="7" t="s">
        <v>499</v>
      </c>
      <c r="Y9" s="7"/>
      <c r="Z9" s="7"/>
      <c r="AA9" s="7"/>
      <c r="AB9" s="7"/>
      <c r="AC9" s="7"/>
      <c r="AD9" t="s">
        <v>506</v>
      </c>
    </row>
    <row r="10" spans="1:30" ht="145">
      <c r="A10" s="1" t="s">
        <v>65</v>
      </c>
      <c r="B10" s="1" t="s">
        <v>876</v>
      </c>
      <c r="C10" s="1" t="s">
        <v>877</v>
      </c>
      <c r="D10" s="1"/>
      <c r="E10" s="1"/>
      <c r="F10" s="1"/>
      <c r="G10" s="7" t="s">
        <v>504</v>
      </c>
      <c r="H10" s="7">
        <v>1</v>
      </c>
      <c r="I10" s="7">
        <v>4</v>
      </c>
      <c r="J10" s="7">
        <v>14</v>
      </c>
      <c r="K10" s="7"/>
      <c r="L10" s="7" t="s">
        <v>536</v>
      </c>
      <c r="M10" s="7" t="s">
        <v>594</v>
      </c>
      <c r="N10" s="8" t="s">
        <v>613</v>
      </c>
      <c r="O10" s="7"/>
      <c r="P10" s="7">
        <v>22</v>
      </c>
      <c r="Q10" s="7"/>
      <c r="R10" s="7" t="s">
        <v>614</v>
      </c>
      <c r="S10" s="7" t="s">
        <v>614</v>
      </c>
      <c r="T10" s="7"/>
      <c r="U10" s="7"/>
      <c r="V10" s="7"/>
      <c r="W10" s="7"/>
      <c r="X10" s="7" t="s">
        <v>499</v>
      </c>
      <c r="Y10" s="7"/>
      <c r="Z10" s="7"/>
      <c r="AA10" s="7"/>
      <c r="AB10" s="7"/>
      <c r="AC10" s="7"/>
      <c r="AD10" t="s">
        <v>506</v>
      </c>
    </row>
    <row r="11" spans="1:30" ht="58">
      <c r="A11" s="1" t="s">
        <v>65</v>
      </c>
      <c r="B11" s="1" t="s">
        <v>368</v>
      </c>
      <c r="C11" s="1" t="s">
        <v>369</v>
      </c>
      <c r="D11" s="1"/>
      <c r="E11" s="1"/>
      <c r="F11" s="1" t="s">
        <v>339</v>
      </c>
      <c r="G11" s="7" t="s">
        <v>553</v>
      </c>
      <c r="H11" s="7"/>
      <c r="I11" s="7"/>
      <c r="J11" s="7"/>
      <c r="K11" s="7"/>
      <c r="L11" s="7"/>
      <c r="M11" s="7"/>
      <c r="N11" s="8"/>
      <c r="O11" s="7"/>
      <c r="P11" s="7"/>
      <c r="Q11" s="7"/>
      <c r="R11" s="7" t="s">
        <v>614</v>
      </c>
      <c r="S11" s="7" t="s">
        <v>614</v>
      </c>
      <c r="T11" s="7"/>
      <c r="U11" s="7"/>
      <c r="V11" s="7"/>
      <c r="W11" s="7"/>
      <c r="X11" s="7" t="s">
        <v>499</v>
      </c>
      <c r="Y11" s="7"/>
      <c r="Z11" s="7"/>
      <c r="AA11" s="7"/>
      <c r="AB11" s="7"/>
      <c r="AC11" s="7"/>
      <c r="AD11" t="s">
        <v>506</v>
      </c>
    </row>
    <row r="12" spans="1:30" ht="43.5">
      <c r="A12" s="1" t="s">
        <v>7</v>
      </c>
      <c r="B12" s="1" t="s">
        <v>6</v>
      </c>
      <c r="C12" s="1" t="s">
        <v>5</v>
      </c>
      <c r="D12" s="1"/>
      <c r="E12" s="1"/>
      <c r="F12" s="1"/>
      <c r="G12" s="7" t="s">
        <v>504</v>
      </c>
      <c r="H12" s="7">
        <v>0</v>
      </c>
      <c r="I12" s="7">
        <v>1</v>
      </c>
      <c r="J12" s="7">
        <v>3</v>
      </c>
      <c r="K12" s="7" t="s">
        <v>541</v>
      </c>
      <c r="L12" s="7" t="s">
        <v>542</v>
      </c>
      <c r="M12" s="7"/>
      <c r="N12" s="8"/>
      <c r="O12" s="7"/>
      <c r="P12" s="7">
        <v>19277</v>
      </c>
      <c r="Q12" s="7"/>
      <c r="R12" s="7" t="s">
        <v>614</v>
      </c>
      <c r="S12" s="7" t="s">
        <v>614</v>
      </c>
      <c r="T12" s="7"/>
      <c r="U12" s="7"/>
      <c r="V12" s="7"/>
      <c r="W12" s="7"/>
      <c r="X12" s="7" t="s">
        <v>499</v>
      </c>
      <c r="Y12" s="7"/>
      <c r="Z12" s="7"/>
      <c r="AA12" s="7"/>
      <c r="AB12" s="7"/>
      <c r="AC12" s="7"/>
      <c r="AD12" t="s">
        <v>506</v>
      </c>
    </row>
    <row r="13" spans="1:30" ht="101.5">
      <c r="A13" s="1" t="s">
        <v>7</v>
      </c>
      <c r="B13" s="1" t="s">
        <v>370</v>
      </c>
      <c r="C13" s="1" t="s">
        <v>371</v>
      </c>
      <c r="D13" s="1"/>
      <c r="E13" s="1"/>
      <c r="F13" s="1"/>
      <c r="G13" s="7" t="s">
        <v>504</v>
      </c>
      <c r="H13" s="7">
        <v>0</v>
      </c>
      <c r="I13" s="7">
        <v>3</v>
      </c>
      <c r="J13" s="7">
        <v>19</v>
      </c>
      <c r="K13" s="7"/>
      <c r="L13" s="7" t="s">
        <v>542</v>
      </c>
      <c r="M13" s="7"/>
      <c r="N13" s="8"/>
      <c r="O13" s="7"/>
      <c r="P13" s="7">
        <v>7</v>
      </c>
      <c r="Q13" s="7"/>
      <c r="R13" s="7" t="s">
        <v>614</v>
      </c>
      <c r="S13" s="7" t="s">
        <v>614</v>
      </c>
      <c r="T13" s="7"/>
      <c r="U13" s="7"/>
      <c r="V13" s="7"/>
      <c r="W13" s="7"/>
      <c r="X13" s="7" t="s">
        <v>499</v>
      </c>
      <c r="Y13" s="7"/>
      <c r="Z13" s="7"/>
      <c r="AA13" s="7"/>
      <c r="AB13" s="7"/>
      <c r="AC13" s="7"/>
      <c r="AD13" t="s">
        <v>506</v>
      </c>
    </row>
    <row r="14" spans="1:30" ht="174">
      <c r="A14" s="1" t="s">
        <v>74</v>
      </c>
      <c r="B14" s="1" t="s">
        <v>618</v>
      </c>
      <c r="C14" s="1" t="s">
        <v>617</v>
      </c>
      <c r="D14" s="1"/>
      <c r="E14" s="1"/>
      <c r="F14" s="1"/>
      <c r="G14" s="7" t="s">
        <v>504</v>
      </c>
      <c r="H14" s="7">
        <v>1</v>
      </c>
      <c r="I14" s="7">
        <v>6</v>
      </c>
      <c r="J14" s="7">
        <v>30</v>
      </c>
      <c r="K14" s="7"/>
      <c r="L14" s="7" t="s">
        <v>536</v>
      </c>
      <c r="M14" s="7" t="s">
        <v>642</v>
      </c>
      <c r="N14" s="8" t="s">
        <v>643</v>
      </c>
      <c r="O14" s="7"/>
      <c r="P14" s="7">
        <v>0</v>
      </c>
      <c r="Q14" s="7"/>
      <c r="R14" s="7" t="s">
        <v>614</v>
      </c>
      <c r="S14" s="7" t="s">
        <v>614</v>
      </c>
      <c r="T14" s="7"/>
      <c r="U14" s="7"/>
      <c r="V14" s="7"/>
      <c r="W14" s="7"/>
      <c r="X14" s="7" t="s">
        <v>499</v>
      </c>
      <c r="Y14" s="7"/>
      <c r="Z14" s="7"/>
      <c r="AA14" s="7"/>
      <c r="AB14" s="7"/>
      <c r="AC14" s="7"/>
      <c r="AD14" t="s">
        <v>506</v>
      </c>
    </row>
    <row r="15" spans="1:30" ht="29">
      <c r="A15" s="1" t="s">
        <v>80</v>
      </c>
      <c r="B15" s="1" t="s">
        <v>385</v>
      </c>
      <c r="C15" s="1" t="s">
        <v>386</v>
      </c>
      <c r="D15" s="1"/>
      <c r="E15" s="1"/>
      <c r="F15" s="1"/>
      <c r="G15" s="7" t="s">
        <v>504</v>
      </c>
      <c r="H15" s="7">
        <v>0</v>
      </c>
      <c r="I15" s="7">
        <v>1</v>
      </c>
      <c r="J15" s="7">
        <v>2</v>
      </c>
      <c r="K15" s="7" t="s">
        <v>541</v>
      </c>
      <c r="L15" s="7" t="s">
        <v>550</v>
      </c>
      <c r="M15" s="7"/>
      <c r="N15" s="8"/>
      <c r="O15" s="7"/>
      <c r="P15" s="7">
        <v>19277</v>
      </c>
      <c r="Q15" s="7"/>
      <c r="R15" s="7" t="s">
        <v>614</v>
      </c>
      <c r="S15" s="7" t="s">
        <v>614</v>
      </c>
      <c r="T15" s="7"/>
      <c r="U15" s="7"/>
      <c r="V15" s="7"/>
      <c r="W15" s="7"/>
      <c r="X15" s="7" t="s">
        <v>499</v>
      </c>
      <c r="Y15" s="7"/>
      <c r="Z15" s="7"/>
      <c r="AA15" s="7"/>
      <c r="AB15" s="7"/>
      <c r="AC15" s="7"/>
      <c r="AD15" t="s">
        <v>506</v>
      </c>
    </row>
    <row r="16" spans="1:30" ht="29">
      <c r="A16" s="1" t="s">
        <v>81</v>
      </c>
      <c r="B16" s="1" t="s">
        <v>82</v>
      </c>
      <c r="C16" s="1" t="s">
        <v>83</v>
      </c>
      <c r="D16" s="1"/>
      <c r="E16" s="1"/>
      <c r="F16" s="1"/>
      <c r="G16" s="7" t="s">
        <v>548</v>
      </c>
      <c r="H16" s="7"/>
      <c r="I16" s="7"/>
      <c r="J16" s="7"/>
      <c r="K16" s="7"/>
      <c r="L16" s="7"/>
      <c r="M16" s="7"/>
      <c r="N16" s="8"/>
      <c r="O16" s="7"/>
      <c r="P16" s="7"/>
      <c r="Q16" s="7">
        <v>67</v>
      </c>
      <c r="R16" s="7">
        <v>66</v>
      </c>
      <c r="S16" s="7">
        <v>133</v>
      </c>
      <c r="T16" s="7"/>
      <c r="U16" s="7"/>
      <c r="V16" s="7"/>
      <c r="W16" s="7"/>
      <c r="X16" s="7" t="s">
        <v>499</v>
      </c>
      <c r="Y16" s="7"/>
      <c r="Z16" s="7"/>
      <c r="AA16" s="7"/>
      <c r="AB16" s="7"/>
      <c r="AC16" s="7"/>
      <c r="AD16" t="s">
        <v>506</v>
      </c>
    </row>
    <row r="17" spans="1:30" ht="43.5">
      <c r="A17" s="1" t="s">
        <v>84</v>
      </c>
      <c r="B17" s="1" t="s">
        <v>619</v>
      </c>
      <c r="C17" s="1" t="s">
        <v>620</v>
      </c>
      <c r="D17" s="1"/>
      <c r="E17" s="1"/>
      <c r="F17" s="1" t="s">
        <v>339</v>
      </c>
      <c r="G17" s="7" t="s">
        <v>500</v>
      </c>
      <c r="H17" s="7">
        <v>0</v>
      </c>
      <c r="I17" s="7">
        <v>1</v>
      </c>
      <c r="J17" s="7">
        <v>1</v>
      </c>
      <c r="K17" s="7" t="s">
        <v>541</v>
      </c>
      <c r="L17" s="7" t="s">
        <v>550</v>
      </c>
      <c r="M17" s="7"/>
      <c r="N17" s="8"/>
      <c r="O17" s="7"/>
      <c r="P17" s="7">
        <v>19277</v>
      </c>
      <c r="Q17" s="7"/>
      <c r="R17" s="7" t="s">
        <v>614</v>
      </c>
      <c r="S17" s="7" t="s">
        <v>614</v>
      </c>
      <c r="T17" s="7" t="s">
        <v>544</v>
      </c>
      <c r="U17" s="7"/>
      <c r="V17" s="7"/>
      <c r="W17" s="7"/>
      <c r="X17" s="7" t="s">
        <v>499</v>
      </c>
      <c r="Y17" s="7"/>
      <c r="Z17" s="7"/>
      <c r="AA17" s="7"/>
      <c r="AB17" s="7"/>
      <c r="AC17" s="7"/>
      <c r="AD17" t="s">
        <v>506</v>
      </c>
    </row>
    <row r="18" spans="1:30">
      <c r="A18" s="1" t="s">
        <v>105</v>
      </c>
      <c r="B18" s="1" t="s">
        <v>108</v>
      </c>
      <c r="C18" s="1" t="s">
        <v>109</v>
      </c>
      <c r="D18" s="1"/>
      <c r="E18" s="1"/>
      <c r="F18" s="1"/>
      <c r="G18" s="7" t="s">
        <v>553</v>
      </c>
      <c r="H18" s="7"/>
      <c r="I18" s="7"/>
      <c r="J18" s="7"/>
      <c r="K18" s="7"/>
      <c r="L18" s="7"/>
      <c r="M18" s="7"/>
      <c r="N18" s="8"/>
      <c r="O18" s="7"/>
      <c r="P18" s="7"/>
      <c r="Q18" s="7"/>
      <c r="R18" s="7" t="s">
        <v>614</v>
      </c>
      <c r="S18" s="7" t="s">
        <v>614</v>
      </c>
      <c r="T18" s="7"/>
      <c r="U18" s="7"/>
      <c r="V18" s="7"/>
      <c r="W18" s="7"/>
      <c r="X18" s="7" t="s">
        <v>499</v>
      </c>
      <c r="Y18" s="7"/>
      <c r="Z18" s="7"/>
      <c r="AA18" s="7"/>
      <c r="AB18" s="7"/>
      <c r="AC18" s="7"/>
      <c r="AD18" t="s">
        <v>506</v>
      </c>
    </row>
    <row r="19" spans="1:30" ht="58">
      <c r="A19" s="1" t="s">
        <v>110</v>
      </c>
      <c r="B19" s="1" t="s">
        <v>625</v>
      </c>
      <c r="C19" s="1" t="s">
        <v>626</v>
      </c>
      <c r="D19" s="1"/>
      <c r="E19" s="1"/>
      <c r="F19" s="1"/>
      <c r="G19" s="7" t="s">
        <v>553</v>
      </c>
      <c r="H19" s="7"/>
      <c r="I19" s="7"/>
      <c r="J19" s="7"/>
      <c r="K19" s="7"/>
      <c r="L19" s="7"/>
      <c r="M19" s="7"/>
      <c r="N19" s="8"/>
      <c r="O19" s="7"/>
      <c r="P19" s="7"/>
      <c r="Q19" s="7"/>
      <c r="R19" s="7" t="s">
        <v>614</v>
      </c>
      <c r="S19" s="7" t="s">
        <v>614</v>
      </c>
      <c r="T19" s="7"/>
      <c r="U19" s="7"/>
      <c r="V19" s="7"/>
      <c r="W19" s="7"/>
      <c r="X19" s="7" t="s">
        <v>499</v>
      </c>
      <c r="Y19" s="7"/>
      <c r="Z19" s="7"/>
      <c r="AA19" s="7"/>
      <c r="AB19" s="7"/>
      <c r="AC19" s="7"/>
      <c r="AD19" t="s">
        <v>506</v>
      </c>
    </row>
    <row r="20" spans="1:30" ht="58">
      <c r="A20" s="1" t="s">
        <v>118</v>
      </c>
      <c r="B20" s="1" t="s">
        <v>767</v>
      </c>
      <c r="C20" s="1" t="s">
        <v>768</v>
      </c>
      <c r="D20" s="1"/>
      <c r="E20" s="1"/>
      <c r="F20" s="1" t="s">
        <v>339</v>
      </c>
      <c r="G20" s="7" t="s">
        <v>553</v>
      </c>
      <c r="H20" s="7"/>
      <c r="I20" s="7"/>
      <c r="J20" s="7"/>
      <c r="K20" s="7"/>
      <c r="L20" s="7"/>
      <c r="M20" s="7"/>
      <c r="N20" s="8"/>
      <c r="O20" s="7"/>
      <c r="P20" s="7"/>
      <c r="Q20" s="7"/>
      <c r="R20" s="7" t="s">
        <v>614</v>
      </c>
      <c r="S20" s="7" t="s">
        <v>614</v>
      </c>
      <c r="T20" s="7"/>
      <c r="U20" s="7"/>
      <c r="V20" s="7"/>
      <c r="W20" s="7"/>
      <c r="X20" s="7" t="s">
        <v>499</v>
      </c>
      <c r="Y20" s="7"/>
      <c r="Z20" s="7"/>
      <c r="AA20" s="7"/>
      <c r="AB20" s="7"/>
      <c r="AC20" s="7"/>
      <c r="AD20" t="s">
        <v>506</v>
      </c>
    </row>
    <row r="21" spans="1:30" ht="29">
      <c r="A21" s="1" t="s">
        <v>119</v>
      </c>
      <c r="B21" s="1" t="s">
        <v>398</v>
      </c>
      <c r="C21" s="1" t="s">
        <v>399</v>
      </c>
      <c r="D21" s="1"/>
      <c r="E21" s="1"/>
      <c r="F21" s="1"/>
      <c r="G21" s="7" t="s">
        <v>504</v>
      </c>
      <c r="H21" s="7">
        <v>0</v>
      </c>
      <c r="I21" s="7">
        <v>1</v>
      </c>
      <c r="J21" s="7">
        <v>3</v>
      </c>
      <c r="K21" s="7" t="s">
        <v>541</v>
      </c>
      <c r="L21" s="7" t="s">
        <v>550</v>
      </c>
      <c r="M21" s="7"/>
      <c r="N21" s="8"/>
      <c r="O21" s="7"/>
      <c r="P21" s="7">
        <v>19277</v>
      </c>
      <c r="Q21" s="7"/>
      <c r="R21" s="7" t="s">
        <v>614</v>
      </c>
      <c r="S21" s="7" t="s">
        <v>614</v>
      </c>
      <c r="T21" s="7"/>
      <c r="U21" s="7"/>
      <c r="V21" s="7"/>
      <c r="W21" s="7"/>
      <c r="X21" s="7" t="s">
        <v>499</v>
      </c>
      <c r="Y21" s="7"/>
      <c r="Z21" s="7"/>
      <c r="AA21" s="7"/>
      <c r="AB21" s="7"/>
      <c r="AC21" s="7"/>
      <c r="AD21" t="s">
        <v>506</v>
      </c>
    </row>
    <row r="22" spans="1:30" ht="130.5">
      <c r="A22" s="1" t="s">
        <v>130</v>
      </c>
      <c r="B22" s="1" t="s">
        <v>631</v>
      </c>
      <c r="C22" s="1" t="s">
        <v>632</v>
      </c>
      <c r="D22" s="1"/>
      <c r="E22" s="1"/>
      <c r="F22" s="1" t="s">
        <v>339</v>
      </c>
      <c r="G22" s="7" t="s">
        <v>500</v>
      </c>
      <c r="H22" s="7">
        <v>1</v>
      </c>
      <c r="I22" s="7">
        <v>3</v>
      </c>
      <c r="J22" s="7">
        <v>17</v>
      </c>
      <c r="K22" s="7"/>
      <c r="L22" s="7" t="s">
        <v>536</v>
      </c>
      <c r="M22" s="7" t="s">
        <v>594</v>
      </c>
      <c r="N22" s="8" t="s">
        <v>633</v>
      </c>
      <c r="O22" s="7" t="s">
        <v>537</v>
      </c>
      <c r="P22" s="7">
        <v>26</v>
      </c>
      <c r="Q22" s="7"/>
      <c r="R22" s="7" t="s">
        <v>614</v>
      </c>
      <c r="S22" s="7" t="s">
        <v>614</v>
      </c>
      <c r="T22" s="7"/>
      <c r="U22" s="7"/>
      <c r="V22" s="7"/>
      <c r="W22" s="7"/>
      <c r="X22" s="7" t="s">
        <v>499</v>
      </c>
      <c r="Y22" s="7"/>
      <c r="Z22" s="7"/>
      <c r="AA22" s="7"/>
      <c r="AB22" s="7"/>
      <c r="AC22" s="7"/>
      <c r="AD22" t="s">
        <v>506</v>
      </c>
    </row>
    <row r="23" spans="1:30" ht="217.5">
      <c r="A23" s="1" t="s">
        <v>133</v>
      </c>
      <c r="B23" s="1" t="s">
        <v>406</v>
      </c>
      <c r="C23" s="1" t="s">
        <v>407</v>
      </c>
      <c r="D23" s="1"/>
      <c r="E23" s="1"/>
      <c r="F23" s="1"/>
      <c r="G23" s="7" t="s">
        <v>504</v>
      </c>
      <c r="H23" s="7">
        <v>3</v>
      </c>
      <c r="I23" s="7">
        <v>13</v>
      </c>
      <c r="J23" s="7">
        <v>60</v>
      </c>
      <c r="K23" s="7"/>
      <c r="L23" s="7" t="s">
        <v>536</v>
      </c>
      <c r="M23" s="7" t="s">
        <v>594</v>
      </c>
      <c r="N23" s="8" t="s">
        <v>634</v>
      </c>
      <c r="O23" s="7"/>
      <c r="P23" s="7">
        <v>13</v>
      </c>
      <c r="Q23" s="7"/>
      <c r="R23" s="7" t="s">
        <v>614</v>
      </c>
      <c r="S23" s="7" t="s">
        <v>614</v>
      </c>
      <c r="T23" s="7"/>
      <c r="U23" s="7"/>
      <c r="V23" s="7"/>
      <c r="W23" s="7"/>
      <c r="X23" s="7" t="s">
        <v>499</v>
      </c>
      <c r="Y23" s="7"/>
      <c r="Z23" s="7"/>
      <c r="AA23" s="7"/>
      <c r="AB23" s="7"/>
      <c r="AC23" s="7"/>
      <c r="AD23" t="s">
        <v>506</v>
      </c>
    </row>
    <row r="24" spans="1:30" ht="43.5">
      <c r="A24" s="1" t="s">
        <v>150</v>
      </c>
      <c r="B24" s="1" t="s">
        <v>770</v>
      </c>
      <c r="C24" s="1" t="s">
        <v>771</v>
      </c>
      <c r="D24" s="1"/>
      <c r="E24" s="1"/>
      <c r="F24" s="1"/>
      <c r="G24" s="7" t="s">
        <v>553</v>
      </c>
      <c r="H24" s="7"/>
      <c r="I24" s="7"/>
      <c r="J24" s="7"/>
      <c r="K24" s="7"/>
      <c r="L24" s="7"/>
      <c r="M24" s="7"/>
      <c r="N24" s="8"/>
      <c r="O24" s="7"/>
      <c r="P24" s="7"/>
      <c r="Q24" s="7"/>
      <c r="R24" s="7" t="s">
        <v>614</v>
      </c>
      <c r="S24" s="7" t="s">
        <v>614</v>
      </c>
      <c r="T24" s="7" t="s">
        <v>544</v>
      </c>
      <c r="U24" s="7"/>
      <c r="V24" s="7"/>
      <c r="W24" s="7"/>
      <c r="X24" s="7" t="s">
        <v>499</v>
      </c>
      <c r="Y24" s="7"/>
      <c r="Z24" s="7"/>
      <c r="AA24" s="7"/>
      <c r="AB24" s="7"/>
      <c r="AC24" s="7"/>
      <c r="AD24" t="s">
        <v>506</v>
      </c>
    </row>
    <row r="25" spans="1:30" ht="43.5">
      <c r="A25" s="1" t="s">
        <v>155</v>
      </c>
      <c r="B25" s="1" t="s">
        <v>638</v>
      </c>
      <c r="C25" s="1" t="s">
        <v>639</v>
      </c>
      <c r="D25" s="1"/>
      <c r="E25" s="1"/>
      <c r="F25" s="1"/>
      <c r="G25" s="7" t="s">
        <v>504</v>
      </c>
      <c r="H25" s="7">
        <v>0</v>
      </c>
      <c r="I25" s="7">
        <v>1</v>
      </c>
      <c r="J25" s="7">
        <v>2</v>
      </c>
      <c r="K25" s="7" t="s">
        <v>541</v>
      </c>
      <c r="L25" s="7" t="s">
        <v>550</v>
      </c>
      <c r="M25" s="7"/>
      <c r="N25" s="8"/>
      <c r="O25" s="7"/>
      <c r="P25" s="7">
        <v>19277</v>
      </c>
      <c r="Q25" s="7"/>
      <c r="R25" s="7" t="s">
        <v>614</v>
      </c>
      <c r="S25" s="7" t="s">
        <v>614</v>
      </c>
      <c r="T25" s="7"/>
      <c r="U25" s="7"/>
      <c r="V25" s="7"/>
      <c r="W25" s="7"/>
      <c r="X25" s="7" t="s">
        <v>499</v>
      </c>
      <c r="Y25" s="7"/>
      <c r="Z25" s="7"/>
      <c r="AA25" s="7"/>
      <c r="AB25" s="7"/>
      <c r="AC25" s="7"/>
      <c r="AD25" t="s">
        <v>506</v>
      </c>
    </row>
    <row r="26" spans="1:30" ht="43.5">
      <c r="A26" s="1" t="s">
        <v>156</v>
      </c>
      <c r="B26" s="1" t="s">
        <v>412</v>
      </c>
      <c r="C26" s="1" t="s">
        <v>411</v>
      </c>
      <c r="D26" s="1"/>
      <c r="E26" s="1"/>
      <c r="F26" s="1"/>
      <c r="G26" s="7" t="s">
        <v>509</v>
      </c>
      <c r="H26" s="7"/>
      <c r="I26" s="7"/>
      <c r="J26" s="7"/>
      <c r="K26" s="7"/>
      <c r="L26" s="7"/>
      <c r="M26" s="7"/>
      <c r="N26" s="8"/>
      <c r="O26" s="7"/>
      <c r="P26" s="7"/>
      <c r="Q26" s="7"/>
      <c r="R26" s="7" t="s">
        <v>614</v>
      </c>
      <c r="S26" s="7" t="s">
        <v>614</v>
      </c>
      <c r="T26" s="7"/>
      <c r="U26" s="7"/>
      <c r="V26" s="7"/>
      <c r="W26" s="7"/>
      <c r="X26" s="7" t="s">
        <v>499</v>
      </c>
      <c r="Y26" s="7"/>
      <c r="Z26" s="7"/>
      <c r="AA26" s="7"/>
      <c r="AB26" s="7"/>
      <c r="AC26" s="7"/>
      <c r="AD26" t="s">
        <v>506</v>
      </c>
    </row>
    <row r="27" spans="1:30" ht="29">
      <c r="A27" s="1" t="s">
        <v>158</v>
      </c>
      <c r="B27" s="1" t="s">
        <v>650</v>
      </c>
      <c r="C27" s="1" t="s">
        <v>651</v>
      </c>
      <c r="D27" s="1"/>
      <c r="E27" s="1"/>
      <c r="F27" s="1"/>
      <c r="G27" s="7" t="s">
        <v>548</v>
      </c>
      <c r="H27" s="7"/>
      <c r="I27" s="7"/>
      <c r="J27" s="7"/>
      <c r="K27" s="7"/>
      <c r="L27" s="7"/>
      <c r="M27" s="7"/>
      <c r="N27" s="8"/>
      <c r="O27" s="7"/>
      <c r="P27" s="7"/>
      <c r="Q27" s="7">
        <v>-14</v>
      </c>
      <c r="R27" s="7">
        <v>14</v>
      </c>
      <c r="S27" s="7">
        <v>0</v>
      </c>
      <c r="T27" s="7"/>
      <c r="U27" s="7"/>
      <c r="V27" s="7"/>
      <c r="W27" s="7"/>
      <c r="X27" s="7" t="s">
        <v>499</v>
      </c>
      <c r="Y27" s="7"/>
      <c r="Z27" s="7"/>
      <c r="AA27" s="7"/>
      <c r="AB27" s="7"/>
      <c r="AC27" s="7"/>
      <c r="AD27" t="s">
        <v>506</v>
      </c>
    </row>
    <row r="28" spans="1:30" ht="29">
      <c r="A28" s="1" t="s">
        <v>160</v>
      </c>
      <c r="B28" s="1" t="s">
        <v>161</v>
      </c>
      <c r="C28" s="1" t="s">
        <v>162</v>
      </c>
      <c r="D28" s="1"/>
      <c r="E28" s="1"/>
      <c r="F28" s="1" t="s">
        <v>339</v>
      </c>
      <c r="G28" s="7" t="s">
        <v>553</v>
      </c>
      <c r="H28" s="7"/>
      <c r="I28" s="7"/>
      <c r="J28" s="7"/>
      <c r="K28" s="7"/>
      <c r="L28" s="7"/>
      <c r="M28" s="7"/>
      <c r="N28" s="8"/>
      <c r="O28" s="7"/>
      <c r="P28" s="7"/>
      <c r="Q28" s="7"/>
      <c r="R28" s="7" t="s">
        <v>614</v>
      </c>
      <c r="S28" s="7" t="s">
        <v>614</v>
      </c>
      <c r="T28" s="7"/>
      <c r="U28" s="7"/>
      <c r="V28" s="7"/>
      <c r="W28" s="7"/>
      <c r="X28" s="7" t="s">
        <v>499</v>
      </c>
      <c r="Y28" s="7"/>
      <c r="Z28" s="7"/>
      <c r="AA28" s="7"/>
      <c r="AB28" s="7"/>
      <c r="AC28" s="7"/>
      <c r="AD28" t="s">
        <v>506</v>
      </c>
    </row>
    <row r="29" spans="1:30" ht="29">
      <c r="A29" s="1" t="s">
        <v>176</v>
      </c>
      <c r="B29" s="1" t="s">
        <v>662</v>
      </c>
      <c r="C29" s="1" t="s">
        <v>663</v>
      </c>
      <c r="D29" s="1"/>
      <c r="E29" s="1"/>
      <c r="F29" s="1"/>
      <c r="G29" s="7" t="s">
        <v>500</v>
      </c>
      <c r="H29" s="7">
        <v>0</v>
      </c>
      <c r="I29" s="7">
        <v>1</v>
      </c>
      <c r="J29" s="7">
        <v>1</v>
      </c>
      <c r="K29" s="7" t="s">
        <v>541</v>
      </c>
      <c r="L29" s="7" t="s">
        <v>550</v>
      </c>
      <c r="M29" s="7"/>
      <c r="N29" s="8"/>
      <c r="O29" s="7"/>
      <c r="P29" s="7">
        <v>19277</v>
      </c>
      <c r="Q29" s="7"/>
      <c r="R29" s="7" t="s">
        <v>614</v>
      </c>
      <c r="S29" s="7" t="s">
        <v>614</v>
      </c>
      <c r="T29" s="7"/>
      <c r="U29" s="7"/>
      <c r="V29" s="7"/>
      <c r="W29" s="7"/>
      <c r="X29" s="7" t="s">
        <v>499</v>
      </c>
      <c r="Y29" s="7"/>
      <c r="Z29" s="7"/>
      <c r="AA29" s="7"/>
      <c r="AB29" s="7"/>
      <c r="AC29" s="7"/>
      <c r="AD29" t="s">
        <v>506</v>
      </c>
    </row>
    <row r="30" spans="1:30" ht="29">
      <c r="A30" s="1" t="s">
        <v>195</v>
      </c>
      <c r="B30" s="1" t="s">
        <v>670</v>
      </c>
      <c r="C30" s="1" t="s">
        <v>671</v>
      </c>
      <c r="D30" s="1"/>
      <c r="E30" s="1"/>
      <c r="F30" s="1"/>
      <c r="G30" s="7" t="s">
        <v>548</v>
      </c>
      <c r="H30" s="7"/>
      <c r="I30" s="7"/>
      <c r="J30" s="7"/>
      <c r="K30" s="7"/>
      <c r="L30" s="7"/>
      <c r="M30" s="7"/>
      <c r="N30" s="8"/>
      <c r="O30" s="7"/>
      <c r="P30" s="7"/>
      <c r="Q30" s="7">
        <v>795</v>
      </c>
      <c r="R30" s="7">
        <v>1420</v>
      </c>
      <c r="S30" s="7">
        <v>2215</v>
      </c>
      <c r="T30" s="7" t="s">
        <v>544</v>
      </c>
      <c r="U30" s="7"/>
      <c r="V30" s="7"/>
      <c r="W30" s="7"/>
      <c r="X30" s="7" t="s">
        <v>499</v>
      </c>
      <c r="Y30" s="7"/>
      <c r="Z30" s="7"/>
      <c r="AA30" s="7"/>
      <c r="AB30" s="7"/>
      <c r="AC30" s="7"/>
      <c r="AD30" t="s">
        <v>506</v>
      </c>
    </row>
    <row r="31" spans="1:30" ht="319">
      <c r="A31" s="1" t="s">
        <v>196</v>
      </c>
      <c r="B31" s="1" t="s">
        <v>672</v>
      </c>
      <c r="C31" s="1" t="s">
        <v>886</v>
      </c>
      <c r="D31" s="1"/>
      <c r="E31" s="1"/>
      <c r="F31" s="1"/>
      <c r="G31" s="7" t="s">
        <v>500</v>
      </c>
      <c r="H31" s="7">
        <v>0</v>
      </c>
      <c r="I31" s="7">
        <v>6</v>
      </c>
      <c r="J31" s="7">
        <v>34</v>
      </c>
      <c r="K31" s="7"/>
      <c r="L31" s="7" t="s">
        <v>536</v>
      </c>
      <c r="M31" s="7" t="s">
        <v>594</v>
      </c>
      <c r="N31" s="8" t="s">
        <v>887</v>
      </c>
      <c r="O31" s="7" t="s">
        <v>543</v>
      </c>
      <c r="P31" s="7">
        <v>17</v>
      </c>
      <c r="Q31" s="7"/>
      <c r="R31" s="7" t="s">
        <v>614</v>
      </c>
      <c r="S31" s="7" t="s">
        <v>614</v>
      </c>
      <c r="T31" s="7"/>
      <c r="U31" s="7"/>
      <c r="V31" s="7"/>
      <c r="W31" s="7"/>
      <c r="X31" s="7" t="s">
        <v>499</v>
      </c>
      <c r="Y31" s="7"/>
      <c r="Z31" s="7"/>
      <c r="AA31" s="7"/>
      <c r="AB31" s="7"/>
      <c r="AC31" s="7"/>
      <c r="AD31" t="s">
        <v>506</v>
      </c>
    </row>
    <row r="32" spans="1:30" ht="43.5">
      <c r="A32" s="1" t="s">
        <v>202</v>
      </c>
      <c r="B32" s="1" t="s">
        <v>675</v>
      </c>
      <c r="C32" s="1" t="s">
        <v>676</v>
      </c>
      <c r="D32" s="1"/>
      <c r="E32" s="1"/>
      <c r="F32" s="1"/>
      <c r="G32" s="7" t="s">
        <v>548</v>
      </c>
      <c r="H32" s="7"/>
      <c r="I32" s="7"/>
      <c r="J32" s="7"/>
      <c r="K32" s="7"/>
      <c r="L32" s="7"/>
      <c r="M32" s="7"/>
      <c r="N32" s="8"/>
      <c r="O32" s="7"/>
      <c r="P32" s="7"/>
      <c r="Q32" s="7">
        <v>-351</v>
      </c>
      <c r="R32" s="7">
        <v>370</v>
      </c>
      <c r="S32" s="7">
        <v>19</v>
      </c>
      <c r="T32" s="7"/>
      <c r="U32" s="7"/>
      <c r="V32" s="7"/>
      <c r="W32" s="7"/>
      <c r="X32" s="7" t="s">
        <v>499</v>
      </c>
      <c r="Y32" s="7"/>
      <c r="Z32" s="7"/>
      <c r="AA32" s="7"/>
      <c r="AB32" s="7"/>
      <c r="AC32" s="7"/>
      <c r="AD32" t="s">
        <v>506</v>
      </c>
    </row>
    <row r="33" spans="1:30" ht="43.5">
      <c r="A33" s="1" t="s">
        <v>203</v>
      </c>
      <c r="B33" s="1" t="s">
        <v>677</v>
      </c>
      <c r="C33" s="1" t="s">
        <v>678</v>
      </c>
      <c r="D33" s="1"/>
      <c r="E33" s="1"/>
      <c r="F33" s="1"/>
      <c r="G33" s="7" t="s">
        <v>504</v>
      </c>
      <c r="H33" s="7">
        <v>0</v>
      </c>
      <c r="I33" s="7">
        <v>1</v>
      </c>
      <c r="J33" s="7">
        <v>4</v>
      </c>
      <c r="K33" s="7" t="s">
        <v>562</v>
      </c>
      <c r="L33" s="7" t="s">
        <v>542</v>
      </c>
      <c r="M33" s="7"/>
      <c r="N33" s="8"/>
      <c r="O33" s="7"/>
      <c r="P33" s="7">
        <v>79</v>
      </c>
      <c r="Q33" s="7"/>
      <c r="R33" s="7" t="s">
        <v>614</v>
      </c>
      <c r="S33" s="7" t="s">
        <v>614</v>
      </c>
      <c r="T33" s="7"/>
      <c r="U33" s="7"/>
      <c r="V33" s="7"/>
      <c r="W33" s="7"/>
      <c r="X33" s="7" t="s">
        <v>499</v>
      </c>
      <c r="Y33" s="7"/>
      <c r="Z33" s="7"/>
      <c r="AA33" s="7"/>
      <c r="AB33" s="7"/>
      <c r="AC33" s="7"/>
      <c r="AD33" t="s">
        <v>506</v>
      </c>
    </row>
    <row r="34" spans="1:30" ht="43.5">
      <c r="A34" s="1" t="s">
        <v>211</v>
      </c>
      <c r="B34" s="1" t="s">
        <v>423</v>
      </c>
      <c r="C34" s="1" t="s">
        <v>424</v>
      </c>
      <c r="D34" s="1"/>
      <c r="E34" s="1"/>
      <c r="F34" s="1"/>
      <c r="G34" s="7" t="s">
        <v>500</v>
      </c>
      <c r="H34" s="7">
        <v>0</v>
      </c>
      <c r="I34" s="7">
        <v>1</v>
      </c>
      <c r="J34" s="7">
        <v>1</v>
      </c>
      <c r="K34" s="7" t="s">
        <v>541</v>
      </c>
      <c r="L34" s="7" t="s">
        <v>550</v>
      </c>
      <c r="M34" s="7"/>
      <c r="N34" s="8"/>
      <c r="O34" s="7"/>
      <c r="P34" s="7">
        <v>19277</v>
      </c>
      <c r="Q34" s="7"/>
      <c r="R34" s="7" t="s">
        <v>614</v>
      </c>
      <c r="S34" s="7" t="s">
        <v>614</v>
      </c>
      <c r="T34" s="7"/>
      <c r="U34" s="7"/>
      <c r="V34" s="7"/>
      <c r="W34" s="7"/>
      <c r="X34" s="7" t="s">
        <v>499</v>
      </c>
      <c r="Y34" s="7"/>
      <c r="Z34" s="7"/>
      <c r="AA34" s="7"/>
      <c r="AB34" s="7"/>
      <c r="AC34" s="7"/>
      <c r="AD34" t="s">
        <v>506</v>
      </c>
    </row>
    <row r="35" spans="1:30" ht="101.5">
      <c r="A35" s="1" t="s">
        <v>215</v>
      </c>
      <c r="B35" s="1" t="s">
        <v>682</v>
      </c>
      <c r="C35" s="1" t="s">
        <v>683</v>
      </c>
      <c r="D35" s="1"/>
      <c r="E35" s="1"/>
      <c r="F35" s="1"/>
      <c r="G35" s="7" t="s">
        <v>504</v>
      </c>
      <c r="H35" s="7">
        <v>1</v>
      </c>
      <c r="I35" s="7">
        <v>4</v>
      </c>
      <c r="J35" s="7">
        <v>16</v>
      </c>
      <c r="K35" s="7"/>
      <c r="L35" s="7" t="s">
        <v>536</v>
      </c>
      <c r="M35" s="7" t="s">
        <v>594</v>
      </c>
      <c r="N35" s="8" t="s">
        <v>612</v>
      </c>
      <c r="O35" s="7"/>
      <c r="P35" s="7">
        <v>188</v>
      </c>
      <c r="Q35" s="7"/>
      <c r="R35" s="7" t="s">
        <v>614</v>
      </c>
      <c r="S35" s="7" t="s">
        <v>614</v>
      </c>
      <c r="T35" s="7" t="s">
        <v>544</v>
      </c>
      <c r="U35" s="7"/>
      <c r="V35" s="7"/>
      <c r="W35" s="7"/>
      <c r="X35" s="7" t="s">
        <v>499</v>
      </c>
      <c r="Y35" s="7"/>
      <c r="Z35" s="7"/>
      <c r="AA35" s="7"/>
      <c r="AB35" s="7"/>
      <c r="AC35" s="7"/>
      <c r="AD35" t="s">
        <v>506</v>
      </c>
    </row>
    <row r="36" spans="1:30" ht="29">
      <c r="A36" s="1" t="s">
        <v>218</v>
      </c>
      <c r="B36" s="1" t="s">
        <v>686</v>
      </c>
      <c r="C36" s="1" t="s">
        <v>685</v>
      </c>
      <c r="D36" s="1"/>
      <c r="E36" s="1"/>
      <c r="F36" s="1"/>
      <c r="G36" s="7" t="s">
        <v>504</v>
      </c>
      <c r="H36" s="7">
        <v>0</v>
      </c>
      <c r="I36" s="7">
        <v>1</v>
      </c>
      <c r="J36" s="7">
        <v>1</v>
      </c>
      <c r="K36" s="7" t="s">
        <v>541</v>
      </c>
      <c r="L36" s="7" t="s">
        <v>550</v>
      </c>
      <c r="M36" s="7"/>
      <c r="N36" s="8"/>
      <c r="O36" s="7"/>
      <c r="P36" s="7">
        <v>19277</v>
      </c>
      <c r="Q36" s="7"/>
      <c r="R36" s="7" t="s">
        <v>614</v>
      </c>
      <c r="S36" s="7" t="s">
        <v>614</v>
      </c>
      <c r="T36" s="7"/>
      <c r="U36" s="7"/>
      <c r="V36" s="7"/>
      <c r="W36" s="7"/>
      <c r="X36" s="7" t="s">
        <v>499</v>
      </c>
      <c r="Y36" s="7"/>
      <c r="Z36" s="7"/>
      <c r="AA36" s="7"/>
      <c r="AB36" s="7"/>
      <c r="AC36" s="7"/>
      <c r="AD36" t="s">
        <v>506</v>
      </c>
    </row>
    <row r="37" spans="1:30" ht="43.5">
      <c r="A37" s="1" t="s">
        <v>219</v>
      </c>
      <c r="B37" s="1" t="s">
        <v>690</v>
      </c>
      <c r="C37" s="1" t="s">
        <v>689</v>
      </c>
      <c r="D37" s="1"/>
      <c r="E37" s="1"/>
      <c r="F37" s="1"/>
      <c r="G37" s="7" t="s">
        <v>548</v>
      </c>
      <c r="H37" s="7"/>
      <c r="I37" s="7"/>
      <c r="J37" s="7"/>
      <c r="K37" s="7"/>
      <c r="L37" s="7"/>
      <c r="M37" s="7"/>
      <c r="N37" s="8"/>
      <c r="O37" s="7"/>
      <c r="P37" s="7"/>
      <c r="Q37" s="7">
        <v>163</v>
      </c>
      <c r="R37" s="7">
        <v>21</v>
      </c>
      <c r="S37" s="7">
        <v>184</v>
      </c>
      <c r="T37" s="7" t="s">
        <v>544</v>
      </c>
      <c r="U37" s="7"/>
      <c r="V37" s="7"/>
      <c r="W37" s="7"/>
      <c r="X37" s="7" t="s">
        <v>499</v>
      </c>
      <c r="Y37" s="7"/>
      <c r="Z37" s="7"/>
      <c r="AA37" s="7"/>
      <c r="AB37" s="7"/>
      <c r="AC37" s="7"/>
      <c r="AD37" t="s">
        <v>506</v>
      </c>
    </row>
    <row r="38" spans="1:30" ht="87">
      <c r="A38" s="1" t="s">
        <v>223</v>
      </c>
      <c r="B38" s="1" t="s">
        <v>430</v>
      </c>
      <c r="C38" s="1" t="s">
        <v>431</v>
      </c>
      <c r="D38" s="1"/>
      <c r="E38" s="1"/>
      <c r="F38" s="1"/>
      <c r="G38" s="7" t="s">
        <v>504</v>
      </c>
      <c r="H38" s="7">
        <v>1</v>
      </c>
      <c r="I38" s="7">
        <v>4</v>
      </c>
      <c r="J38" s="7">
        <v>16</v>
      </c>
      <c r="K38" s="7"/>
      <c r="L38" s="7" t="s">
        <v>536</v>
      </c>
      <c r="M38" s="7" t="s">
        <v>642</v>
      </c>
      <c r="N38" s="8" t="s">
        <v>692</v>
      </c>
      <c r="O38" s="7"/>
      <c r="P38" s="7">
        <v>189</v>
      </c>
      <c r="Q38" s="7"/>
      <c r="R38" s="7" t="s">
        <v>614</v>
      </c>
      <c r="S38" s="7" t="s">
        <v>614</v>
      </c>
      <c r="T38" s="7"/>
      <c r="U38" s="7"/>
      <c r="V38" s="7"/>
      <c r="W38" s="7"/>
      <c r="X38" s="7" t="s">
        <v>499</v>
      </c>
      <c r="Y38" s="7"/>
      <c r="Z38" s="7"/>
      <c r="AA38" s="7"/>
      <c r="AB38" s="7"/>
      <c r="AC38" s="7"/>
      <c r="AD38" t="s">
        <v>506</v>
      </c>
    </row>
    <row r="39" spans="1:30" ht="43.5">
      <c r="A39" s="1" t="s">
        <v>223</v>
      </c>
      <c r="B39" s="1" t="s">
        <v>433</v>
      </c>
      <c r="C39" s="1" t="s">
        <v>434</v>
      </c>
      <c r="D39" s="1"/>
      <c r="E39" s="1"/>
      <c r="F39" s="1"/>
      <c r="G39" s="7" t="s">
        <v>500</v>
      </c>
      <c r="H39" s="7">
        <v>0</v>
      </c>
      <c r="I39" s="7">
        <v>1</v>
      </c>
      <c r="J39" s="7">
        <v>3</v>
      </c>
      <c r="K39" s="7" t="s">
        <v>541</v>
      </c>
      <c r="L39" s="7" t="s">
        <v>542</v>
      </c>
      <c r="M39" s="7"/>
      <c r="N39" s="8"/>
      <c r="O39" s="7"/>
      <c r="P39" s="7">
        <v>19277</v>
      </c>
      <c r="Q39" s="7"/>
      <c r="R39" s="7" t="s">
        <v>614</v>
      </c>
      <c r="S39" s="7" t="s">
        <v>614</v>
      </c>
      <c r="T39" s="7"/>
      <c r="U39" s="7"/>
      <c r="V39" s="7"/>
      <c r="W39" s="7"/>
      <c r="X39" s="7" t="s">
        <v>499</v>
      </c>
      <c r="Y39" s="7"/>
      <c r="Z39" s="7"/>
      <c r="AA39" s="7"/>
      <c r="AB39" s="7"/>
      <c r="AC39" s="7"/>
      <c r="AD39" t="s">
        <v>506</v>
      </c>
    </row>
    <row r="40" spans="1:30" ht="409.5">
      <c r="A40" s="1" t="s">
        <v>438</v>
      </c>
      <c r="B40" s="1" t="s">
        <v>889</v>
      </c>
      <c r="C40" s="1" t="s">
        <v>439</v>
      </c>
      <c r="D40" s="1"/>
      <c r="E40" s="1"/>
      <c r="F40" s="1"/>
      <c r="G40" s="7" t="s">
        <v>504</v>
      </c>
      <c r="H40" s="7">
        <v>7</v>
      </c>
      <c r="I40" s="7">
        <v>22</v>
      </c>
      <c r="J40" s="7">
        <v>106</v>
      </c>
      <c r="K40" s="7"/>
      <c r="L40" s="7" t="s">
        <v>536</v>
      </c>
      <c r="M40" s="7" t="s">
        <v>594</v>
      </c>
      <c r="N40" s="8" t="s">
        <v>693</v>
      </c>
      <c r="O40" s="7"/>
      <c r="P40" s="7">
        <v>1</v>
      </c>
      <c r="Q40" s="7"/>
      <c r="R40" s="7" t="s">
        <v>614</v>
      </c>
      <c r="S40" s="7" t="s">
        <v>614</v>
      </c>
      <c r="T40" s="7"/>
      <c r="U40" s="7"/>
      <c r="V40" s="7"/>
      <c r="W40" s="7"/>
      <c r="X40" s="7" t="s">
        <v>499</v>
      </c>
      <c r="Y40" s="7"/>
      <c r="Z40" s="7"/>
      <c r="AA40" s="7"/>
      <c r="AB40" s="7"/>
      <c r="AC40" s="7"/>
      <c r="AD40" t="s">
        <v>506</v>
      </c>
    </row>
    <row r="41" spans="1:30" ht="72.5">
      <c r="A41" s="1" t="s">
        <v>231</v>
      </c>
      <c r="B41" s="1" t="s">
        <v>443</v>
      </c>
      <c r="C41" s="1" t="s">
        <v>444</v>
      </c>
      <c r="D41" s="1"/>
      <c r="E41" s="1"/>
      <c r="F41" s="1"/>
      <c r="G41" s="7" t="s">
        <v>504</v>
      </c>
      <c r="H41" s="7">
        <v>0</v>
      </c>
      <c r="I41" s="7">
        <v>1</v>
      </c>
      <c r="J41" s="7">
        <v>3</v>
      </c>
      <c r="K41" s="7" t="s">
        <v>541</v>
      </c>
      <c r="L41" s="7" t="s">
        <v>542</v>
      </c>
      <c r="M41" s="7"/>
      <c r="N41" s="8"/>
      <c r="O41" s="7"/>
      <c r="P41" s="7">
        <v>19277</v>
      </c>
      <c r="Q41" s="7"/>
      <c r="R41" s="7" t="s">
        <v>614</v>
      </c>
      <c r="S41" s="7" t="s">
        <v>614</v>
      </c>
      <c r="T41" s="7" t="s">
        <v>544</v>
      </c>
      <c r="U41" s="7"/>
      <c r="V41" s="7"/>
      <c r="W41" s="7"/>
      <c r="X41" s="7" t="s">
        <v>499</v>
      </c>
      <c r="Y41" s="7"/>
      <c r="Z41" s="7"/>
      <c r="AA41" s="7"/>
      <c r="AB41" s="7"/>
      <c r="AC41" s="7"/>
      <c r="AD41" t="s">
        <v>506</v>
      </c>
    </row>
    <row r="42" spans="1:30" ht="72.5">
      <c r="A42" s="1" t="s">
        <v>231</v>
      </c>
      <c r="B42" s="1" t="s">
        <v>445</v>
      </c>
      <c r="C42" s="1" t="s">
        <v>446</v>
      </c>
      <c r="D42" s="1"/>
      <c r="E42" s="1"/>
      <c r="F42" s="1"/>
      <c r="G42" s="7" t="s">
        <v>504</v>
      </c>
      <c r="H42" s="7">
        <v>0</v>
      </c>
      <c r="I42" s="7">
        <v>1</v>
      </c>
      <c r="J42" s="7">
        <v>3</v>
      </c>
      <c r="K42" s="7" t="s">
        <v>541</v>
      </c>
      <c r="L42" s="7" t="s">
        <v>542</v>
      </c>
      <c r="M42" s="7"/>
      <c r="N42" s="8"/>
      <c r="O42" s="7"/>
      <c r="P42" s="7">
        <v>19277</v>
      </c>
      <c r="Q42" s="7"/>
      <c r="R42" s="7" t="s">
        <v>614</v>
      </c>
      <c r="S42" s="7" t="s">
        <v>614</v>
      </c>
      <c r="T42" s="7" t="s">
        <v>544</v>
      </c>
      <c r="U42" s="7"/>
      <c r="V42" s="7"/>
      <c r="W42" s="7"/>
      <c r="X42" s="7" t="s">
        <v>499</v>
      </c>
      <c r="Y42" s="7"/>
      <c r="Z42" s="7"/>
      <c r="AA42" s="7"/>
      <c r="AB42" s="7"/>
      <c r="AC42" s="7"/>
      <c r="AD42" t="s">
        <v>506</v>
      </c>
    </row>
    <row r="43" spans="1:30" ht="72.5">
      <c r="A43" s="1" t="s">
        <v>234</v>
      </c>
      <c r="B43" s="1" t="s">
        <v>695</v>
      </c>
      <c r="C43" s="1" t="s">
        <v>696</v>
      </c>
      <c r="D43" s="1"/>
      <c r="E43" s="1"/>
      <c r="F43" s="1"/>
      <c r="G43" s="7" t="s">
        <v>553</v>
      </c>
      <c r="H43" s="7"/>
      <c r="I43" s="7"/>
      <c r="J43" s="7"/>
      <c r="K43" s="7"/>
      <c r="L43" s="7"/>
      <c r="M43" s="7"/>
      <c r="N43" s="8"/>
      <c r="O43" s="7"/>
      <c r="P43" s="7"/>
      <c r="Q43" s="7"/>
      <c r="R43" s="7" t="s">
        <v>614</v>
      </c>
      <c r="S43" s="7" t="s">
        <v>614</v>
      </c>
      <c r="T43" s="7"/>
      <c r="U43" s="7"/>
      <c r="V43" s="7"/>
      <c r="W43" s="7"/>
      <c r="X43" s="7" t="s">
        <v>499</v>
      </c>
      <c r="Y43" s="7"/>
      <c r="Z43" s="7"/>
      <c r="AA43" s="7"/>
      <c r="AB43" s="7"/>
      <c r="AC43" s="7"/>
      <c r="AD43" t="s">
        <v>506</v>
      </c>
    </row>
    <row r="44" spans="1:30" ht="116">
      <c r="A44" s="1" t="s">
        <v>234</v>
      </c>
      <c r="B44" s="1" t="s">
        <v>449</v>
      </c>
      <c r="C44" s="1" t="s">
        <v>450</v>
      </c>
      <c r="D44" s="1"/>
      <c r="E44" s="1"/>
      <c r="F44" s="1"/>
      <c r="G44" s="7" t="s">
        <v>504</v>
      </c>
      <c r="H44" s="7">
        <v>1</v>
      </c>
      <c r="I44" s="7">
        <v>4</v>
      </c>
      <c r="J44" s="7">
        <v>16</v>
      </c>
      <c r="K44" s="7"/>
      <c r="L44" s="7" t="s">
        <v>536</v>
      </c>
      <c r="M44" s="7" t="s">
        <v>594</v>
      </c>
      <c r="N44" s="8" t="s">
        <v>604</v>
      </c>
      <c r="O44" s="7"/>
      <c r="P44" s="7">
        <v>311</v>
      </c>
      <c r="Q44" s="7"/>
      <c r="R44" s="7" t="s">
        <v>614</v>
      </c>
      <c r="S44" s="7" t="s">
        <v>614</v>
      </c>
      <c r="T44" s="7"/>
      <c r="U44" s="7"/>
      <c r="V44" s="7"/>
      <c r="W44" s="7"/>
      <c r="X44" s="7" t="s">
        <v>499</v>
      </c>
      <c r="Y44" s="7"/>
      <c r="Z44" s="7"/>
      <c r="AA44" s="7"/>
      <c r="AB44" s="7"/>
      <c r="AC44" s="7"/>
      <c r="AD44" t="s">
        <v>506</v>
      </c>
    </row>
    <row r="45" spans="1:30" ht="58">
      <c r="A45" s="1" t="s">
        <v>242</v>
      </c>
      <c r="B45" s="1" t="s">
        <v>457</v>
      </c>
      <c r="C45" s="1" t="s">
        <v>705</v>
      </c>
      <c r="D45" s="1"/>
      <c r="E45" s="1"/>
      <c r="F45" s="1" t="s">
        <v>339</v>
      </c>
      <c r="G45" s="7" t="s">
        <v>500</v>
      </c>
      <c r="H45" s="7">
        <v>0</v>
      </c>
      <c r="I45" s="7">
        <v>1</v>
      </c>
      <c r="J45" s="7">
        <v>4</v>
      </c>
      <c r="K45" s="7" t="s">
        <v>562</v>
      </c>
      <c r="L45" s="7" t="s">
        <v>542</v>
      </c>
      <c r="M45" s="7"/>
      <c r="N45" s="8"/>
      <c r="O45" s="7"/>
      <c r="P45" s="7">
        <v>3713</v>
      </c>
      <c r="Q45" s="7"/>
      <c r="R45" s="7" t="s">
        <v>614</v>
      </c>
      <c r="S45" s="7" t="s">
        <v>614</v>
      </c>
      <c r="T45" s="7"/>
      <c r="U45" s="7"/>
      <c r="V45" s="7"/>
      <c r="W45" s="7"/>
      <c r="X45" s="7" t="s">
        <v>499</v>
      </c>
      <c r="Y45" s="7"/>
      <c r="Z45" s="7"/>
      <c r="AA45" s="7"/>
      <c r="AB45" s="7"/>
      <c r="AC45" s="7"/>
      <c r="AD45" t="s">
        <v>506</v>
      </c>
    </row>
    <row r="46" spans="1:30">
      <c r="A46" s="1" t="s">
        <v>247</v>
      </c>
      <c r="B46" t="s">
        <v>710</v>
      </c>
      <c r="C46" t="s">
        <v>711</v>
      </c>
      <c r="D46" s="1"/>
      <c r="E46" s="1"/>
      <c r="F46" s="1"/>
      <c r="G46" s="7" t="s">
        <v>548</v>
      </c>
      <c r="H46" s="7"/>
      <c r="I46" s="7"/>
      <c r="J46" s="7"/>
      <c r="K46" s="7"/>
      <c r="L46" s="7"/>
      <c r="M46" s="7"/>
      <c r="N46" s="8"/>
      <c r="O46" s="7"/>
      <c r="P46" s="7"/>
      <c r="Q46" s="7"/>
      <c r="R46" s="7" t="s">
        <v>614</v>
      </c>
      <c r="S46" s="7" t="s">
        <v>614</v>
      </c>
      <c r="T46" s="7"/>
      <c r="U46" s="7"/>
      <c r="V46" s="7"/>
      <c r="W46" s="7"/>
      <c r="X46" s="7" t="s">
        <v>499</v>
      </c>
      <c r="Y46" s="7"/>
      <c r="Z46" s="7"/>
      <c r="AA46" s="7"/>
      <c r="AB46" s="7"/>
      <c r="AC46" s="7"/>
      <c r="AD46" t="s">
        <v>506</v>
      </c>
    </row>
    <row r="47" spans="1:30" ht="101.5">
      <c r="A47" s="1" t="s">
        <v>253</v>
      </c>
      <c r="B47" s="1" t="s">
        <v>460</v>
      </c>
      <c r="C47" s="1" t="s">
        <v>461</v>
      </c>
      <c r="D47" s="1"/>
      <c r="E47" s="1"/>
      <c r="F47" s="1"/>
      <c r="G47" s="7" t="s">
        <v>504</v>
      </c>
      <c r="H47" s="7">
        <v>0</v>
      </c>
      <c r="I47" s="7">
        <v>3</v>
      </c>
      <c r="J47" s="7">
        <v>14</v>
      </c>
      <c r="K47" s="7"/>
      <c r="L47" s="7" t="s">
        <v>536</v>
      </c>
      <c r="M47" s="7" t="s">
        <v>594</v>
      </c>
      <c r="N47" s="8" t="s">
        <v>714</v>
      </c>
      <c r="O47" s="7"/>
      <c r="P47" s="7">
        <v>367</v>
      </c>
      <c r="Q47" s="7"/>
      <c r="R47" s="7" t="s">
        <v>614</v>
      </c>
      <c r="S47" s="7" t="s">
        <v>614</v>
      </c>
      <c r="T47" s="7"/>
      <c r="U47" s="7"/>
      <c r="V47" s="7"/>
      <c r="W47" s="7"/>
      <c r="X47" s="7" t="s">
        <v>499</v>
      </c>
      <c r="Y47" s="7"/>
      <c r="Z47" s="7"/>
      <c r="AA47" s="7"/>
      <c r="AB47" s="7"/>
      <c r="AC47" s="7"/>
      <c r="AD47" t="s">
        <v>506</v>
      </c>
    </row>
    <row r="48" spans="1:30" ht="29">
      <c r="A48" s="1" t="s">
        <v>254</v>
      </c>
      <c r="B48" s="1" t="s">
        <v>255</v>
      </c>
      <c r="C48" s="1" t="s">
        <v>256</v>
      </c>
      <c r="D48" s="1"/>
      <c r="E48" s="1"/>
      <c r="F48" s="1"/>
      <c r="G48" s="7" t="s">
        <v>553</v>
      </c>
      <c r="H48" s="7"/>
      <c r="I48" s="7"/>
      <c r="J48" s="7"/>
      <c r="K48" s="7"/>
      <c r="L48" s="7"/>
      <c r="M48" s="7"/>
      <c r="N48" s="8"/>
      <c r="O48" s="7"/>
      <c r="P48" s="7"/>
      <c r="Q48" s="7"/>
      <c r="R48" s="7" t="s">
        <v>614</v>
      </c>
      <c r="S48" s="7" t="s">
        <v>614</v>
      </c>
      <c r="T48" s="7"/>
      <c r="U48" s="7"/>
      <c r="V48" s="7"/>
      <c r="W48" s="7"/>
      <c r="X48" s="7" t="s">
        <v>499</v>
      </c>
      <c r="Y48" s="7"/>
      <c r="Z48" s="7"/>
      <c r="AA48" s="7"/>
      <c r="AB48" s="7"/>
      <c r="AC48" s="7"/>
      <c r="AD48" t="s">
        <v>506</v>
      </c>
    </row>
    <row r="49" spans="1:30" ht="58">
      <c r="A49" s="1" t="s">
        <v>257</v>
      </c>
      <c r="B49" s="1" t="s">
        <v>468</v>
      </c>
      <c r="C49" s="1" t="s">
        <v>469</v>
      </c>
      <c r="D49" s="1"/>
      <c r="E49" s="1"/>
      <c r="F49" s="1"/>
      <c r="G49" s="7" t="s">
        <v>548</v>
      </c>
      <c r="H49" s="7"/>
      <c r="I49" s="7"/>
      <c r="J49" s="7"/>
      <c r="K49" s="7"/>
      <c r="L49" s="7"/>
      <c r="M49" s="7"/>
      <c r="N49" s="8"/>
      <c r="O49" s="7"/>
      <c r="P49" s="7"/>
      <c r="Q49" s="7">
        <v>-1115</v>
      </c>
      <c r="R49" s="7">
        <v>1220</v>
      </c>
      <c r="S49" s="7">
        <v>105</v>
      </c>
      <c r="T49" s="7"/>
      <c r="U49" s="7"/>
      <c r="V49" s="7"/>
      <c r="W49" s="7"/>
      <c r="X49" s="7" t="s">
        <v>499</v>
      </c>
      <c r="Y49" s="7"/>
      <c r="Z49" s="7"/>
      <c r="AA49" s="7"/>
      <c r="AB49" s="7"/>
      <c r="AC49" s="7"/>
      <c r="AD49" t="s">
        <v>506</v>
      </c>
    </row>
    <row r="50" spans="1:30" ht="29">
      <c r="A50" s="1" t="s">
        <v>261</v>
      </c>
      <c r="B50" s="1" t="s">
        <v>471</v>
      </c>
      <c r="C50" s="1" t="s">
        <v>472</v>
      </c>
      <c r="D50" s="1"/>
      <c r="E50" s="1"/>
      <c r="F50" s="1"/>
      <c r="G50" s="7" t="s">
        <v>500</v>
      </c>
      <c r="H50" s="7">
        <v>0</v>
      </c>
      <c r="I50" s="7">
        <v>1</v>
      </c>
      <c r="J50" s="7">
        <v>2</v>
      </c>
      <c r="K50" s="7" t="s">
        <v>541</v>
      </c>
      <c r="L50" s="7" t="s">
        <v>550</v>
      </c>
      <c r="M50" s="7"/>
      <c r="N50" s="8"/>
      <c r="O50" s="7"/>
      <c r="P50" s="7">
        <v>19277</v>
      </c>
      <c r="Q50" s="7"/>
      <c r="R50" s="7" t="s">
        <v>614</v>
      </c>
      <c r="S50" s="7" t="s">
        <v>614</v>
      </c>
      <c r="T50" s="7"/>
      <c r="U50" s="7"/>
      <c r="V50" s="7"/>
      <c r="W50" s="7"/>
      <c r="X50" s="7" t="s">
        <v>499</v>
      </c>
      <c r="Y50" s="7"/>
      <c r="Z50" s="7"/>
      <c r="AA50" s="7"/>
      <c r="AB50" s="7"/>
      <c r="AC50" s="7"/>
      <c r="AD50" t="s">
        <v>506</v>
      </c>
    </row>
    <row r="51" spans="1:30" ht="43.5">
      <c r="A51" s="1" t="s">
        <v>271</v>
      </c>
      <c r="B51" s="1" t="s">
        <v>727</v>
      </c>
      <c r="C51" s="1" t="s">
        <v>728</v>
      </c>
      <c r="D51" s="1"/>
      <c r="E51" s="1"/>
      <c r="F51" s="1" t="s">
        <v>339</v>
      </c>
      <c r="G51" s="7" t="s">
        <v>553</v>
      </c>
      <c r="H51" s="7"/>
      <c r="I51" s="7"/>
      <c r="J51" s="7"/>
      <c r="K51" s="7"/>
      <c r="L51" s="7"/>
      <c r="M51" s="7"/>
      <c r="N51" s="8"/>
      <c r="O51" s="7"/>
      <c r="P51" s="7"/>
      <c r="Q51" s="7"/>
      <c r="R51" s="7" t="s">
        <v>614</v>
      </c>
      <c r="S51" s="7" t="s">
        <v>614</v>
      </c>
      <c r="T51" s="7"/>
      <c r="U51" s="7"/>
      <c r="V51" s="7"/>
      <c r="W51" s="7"/>
      <c r="X51" s="7" t="s">
        <v>499</v>
      </c>
      <c r="Y51" s="7"/>
      <c r="Z51" s="7"/>
      <c r="AA51" s="7"/>
      <c r="AB51" s="7"/>
      <c r="AC51" s="7"/>
      <c r="AD51" t="s">
        <v>506</v>
      </c>
    </row>
    <row r="52" spans="1:30" ht="87">
      <c r="A52" s="1" t="s">
        <v>274</v>
      </c>
      <c r="B52" s="1" t="s">
        <v>729</v>
      </c>
      <c r="C52" s="1" t="s">
        <v>730</v>
      </c>
      <c r="D52" s="1" t="s">
        <v>501</v>
      </c>
      <c r="E52" s="1"/>
      <c r="F52" s="1"/>
      <c r="G52" s="7" t="s">
        <v>504</v>
      </c>
      <c r="H52" s="7">
        <v>0</v>
      </c>
      <c r="I52" s="7">
        <v>1</v>
      </c>
      <c r="J52" s="7">
        <v>3</v>
      </c>
      <c r="K52" s="7" t="s">
        <v>554</v>
      </c>
      <c r="L52" s="7" t="s">
        <v>542</v>
      </c>
      <c r="M52" s="7"/>
      <c r="N52" s="8"/>
      <c r="O52" s="7"/>
      <c r="P52" s="7">
        <v>11721</v>
      </c>
      <c r="Q52" s="7"/>
      <c r="R52" s="7" t="s">
        <v>614</v>
      </c>
      <c r="S52" s="7" t="s">
        <v>614</v>
      </c>
      <c r="T52" s="7"/>
      <c r="U52" s="7"/>
      <c r="V52" s="7"/>
      <c r="W52" s="7"/>
      <c r="X52" s="7" t="s">
        <v>499</v>
      </c>
      <c r="Y52" s="7"/>
      <c r="Z52" s="7"/>
      <c r="AA52" s="7"/>
      <c r="AB52" s="7"/>
      <c r="AC52" s="7"/>
      <c r="AD52" t="s">
        <v>506</v>
      </c>
    </row>
    <row r="53" spans="1:30" ht="72.5">
      <c r="A53" s="1" t="s">
        <v>313</v>
      </c>
      <c r="B53" s="1" t="s">
        <v>482</v>
      </c>
      <c r="C53" s="1" t="s">
        <v>483</v>
      </c>
      <c r="D53" s="1"/>
      <c r="E53" s="1"/>
      <c r="F53" s="1"/>
      <c r="G53" s="7" t="s">
        <v>504</v>
      </c>
      <c r="H53" s="7">
        <v>0</v>
      </c>
      <c r="I53" s="7">
        <v>1</v>
      </c>
      <c r="J53" s="7">
        <v>12</v>
      </c>
      <c r="K53" s="7" t="s">
        <v>560</v>
      </c>
      <c r="L53" s="7" t="s">
        <v>536</v>
      </c>
      <c r="M53" s="7" t="s">
        <v>746</v>
      </c>
      <c r="N53" s="8" t="s">
        <v>649</v>
      </c>
      <c r="O53" s="7"/>
      <c r="P53" s="7">
        <v>106</v>
      </c>
      <c r="Q53" s="7"/>
      <c r="R53" s="7" t="s">
        <v>614</v>
      </c>
      <c r="S53" s="7" t="s">
        <v>614</v>
      </c>
      <c r="T53" s="7"/>
      <c r="U53" s="7"/>
      <c r="V53" s="7"/>
      <c r="W53" s="7"/>
      <c r="X53" s="7" t="s">
        <v>499</v>
      </c>
      <c r="Y53" s="7"/>
      <c r="Z53" s="7"/>
      <c r="AA53" s="7"/>
      <c r="AB53" s="7"/>
      <c r="AC53" s="7"/>
      <c r="AD53" t="s">
        <v>506</v>
      </c>
    </row>
    <row r="54" spans="1:30" ht="217.5">
      <c r="A54" s="1" t="s">
        <v>326</v>
      </c>
      <c r="B54" s="1" t="s">
        <v>752</v>
      </c>
      <c r="C54" s="1" t="s">
        <v>751</v>
      </c>
      <c r="D54" s="1"/>
      <c r="E54" s="1"/>
      <c r="F54" s="1"/>
      <c r="G54" s="7" t="s">
        <v>504</v>
      </c>
      <c r="H54" s="7">
        <v>3</v>
      </c>
      <c r="I54" s="7">
        <v>11</v>
      </c>
      <c r="J54" s="7">
        <v>53</v>
      </c>
      <c r="K54" s="7"/>
      <c r="L54" s="7" t="s">
        <v>536</v>
      </c>
      <c r="M54" s="7" t="s">
        <v>594</v>
      </c>
      <c r="N54" s="8" t="s">
        <v>612</v>
      </c>
      <c r="O54" s="7"/>
      <c r="P54" s="7">
        <v>48</v>
      </c>
      <c r="Q54" s="7"/>
      <c r="R54" s="7" t="s">
        <v>614</v>
      </c>
      <c r="S54" s="7" t="s">
        <v>614</v>
      </c>
      <c r="T54" s="7"/>
      <c r="U54" s="7"/>
      <c r="V54" s="7"/>
      <c r="W54" s="7"/>
      <c r="X54" s="7" t="s">
        <v>499</v>
      </c>
      <c r="Y54" s="7"/>
      <c r="Z54" s="7"/>
      <c r="AA54" s="7"/>
      <c r="AB54" s="7"/>
      <c r="AC54" s="7"/>
      <c r="AD54" t="s">
        <v>506</v>
      </c>
    </row>
    <row r="55" spans="1:30" ht="87">
      <c r="A55" s="1" t="s">
        <v>330</v>
      </c>
      <c r="B55" s="1" t="s">
        <v>494</v>
      </c>
      <c r="C55" s="1" t="s">
        <v>495</v>
      </c>
      <c r="D55" s="1"/>
      <c r="E55" s="1"/>
      <c r="F55" s="1"/>
      <c r="G55" s="7" t="s">
        <v>504</v>
      </c>
      <c r="H55" s="7">
        <v>1</v>
      </c>
      <c r="I55" s="7">
        <v>3</v>
      </c>
      <c r="J55" s="7">
        <v>14</v>
      </c>
      <c r="K55" s="7"/>
      <c r="L55" s="7" t="s">
        <v>536</v>
      </c>
      <c r="M55" s="7" t="s">
        <v>642</v>
      </c>
      <c r="N55" s="8" t="s">
        <v>757</v>
      </c>
      <c r="O55" s="7"/>
      <c r="P55" s="7">
        <v>119</v>
      </c>
      <c r="Q55" s="7"/>
      <c r="R55" s="7" t="s">
        <v>614</v>
      </c>
      <c r="S55" s="7" t="s">
        <v>614</v>
      </c>
      <c r="T55" s="7" t="s">
        <v>544</v>
      </c>
      <c r="U55" s="7"/>
      <c r="V55" s="7"/>
      <c r="W55" s="7"/>
      <c r="X55" s="7" t="s">
        <v>499</v>
      </c>
      <c r="Y55" s="7"/>
      <c r="Z55" s="7"/>
      <c r="AA55" s="7"/>
      <c r="AB55" s="7"/>
      <c r="AC55" s="7"/>
      <c r="AD55" t="s">
        <v>506</v>
      </c>
    </row>
  </sheetData>
  <conditionalFormatting sqref="G2:G55">
    <cfRule type="expression" dxfId="165" priority="21">
      <formula>$I2&lt;&gt;""</formula>
    </cfRule>
    <cfRule type="expression" dxfId="164" priority="22">
      <formula>$I2=""</formula>
    </cfRule>
  </conditionalFormatting>
  <conditionalFormatting sqref="H2:L55 O2:P55">
    <cfRule type="expression" dxfId="163" priority="19">
      <formula>AND(OR($I2="Addition",$I2="Omission"), H2="")</formula>
    </cfRule>
    <cfRule type="expression" dxfId="162" priority="20">
      <formula>AND($I2&lt;&gt;"Addition",$I2&lt;&gt;"Omission",$I2&lt;&gt;"Substitution - Word")</formula>
    </cfRule>
  </conditionalFormatting>
  <conditionalFormatting sqref="H2:P55">
    <cfRule type="expression" dxfId="161" priority="18">
      <formula>AND(OR($I2="Addition",$I2="Omission"), H2&lt;&gt;"")</formula>
    </cfRule>
  </conditionalFormatting>
  <conditionalFormatting sqref="K2:K55">
    <cfRule type="expression" dxfId="160" priority="13">
      <formula>AND($K2&lt;&gt;"",$K2&gt;1)</formula>
    </cfRule>
  </conditionalFormatting>
  <conditionalFormatting sqref="M2:N55">
    <cfRule type="expression" dxfId="159" priority="9">
      <formula>$N2="Absent"</formula>
    </cfRule>
    <cfRule type="expression" dxfId="158" priority="10">
      <formula>$N2="NA"</formula>
    </cfRule>
    <cfRule type="expression" dxfId="157" priority="11">
      <formula>AND(OR($I2="Addition",$I2="Omission"), M2="")</formula>
    </cfRule>
    <cfRule type="expression" dxfId="156" priority="12">
      <formula>AND($I2&lt;&gt;"Addition",$I2&lt;&gt;"Omission")</formula>
    </cfRule>
  </conditionalFormatting>
  <conditionalFormatting sqref="O2:O55">
    <cfRule type="expression" dxfId="155" priority="14">
      <formula>AND(OR($I2="Addition",$I2="Omission",$I2="Substitution - Word"),RIGHT($AD2,6)&lt;&gt;"strict",$AC2&lt;&gt;"Yes")</formula>
    </cfRule>
  </conditionalFormatting>
  <conditionalFormatting sqref="Q2:S55">
    <cfRule type="expression" dxfId="154" priority="15">
      <formula>AND(AND(LEFT($I2,3)="Sub", RIGHT($I2,4)&lt;&gt;"Form"),$S2&lt;&gt;"")</formula>
    </cfRule>
    <cfRule type="expression" dxfId="153" priority="16">
      <formula>AND(AND(LEFT($I2,3)="Sub", RIGHT($I2,4)&lt;&gt;"Form"),$S2="")</formula>
    </cfRule>
    <cfRule type="expression" dxfId="152" priority="17">
      <formula>"&lt;&gt;AND(LEFT($J2,3)=""Sub"", RIGHT($J2,4)&lt;&gt;""Form"")"</formula>
    </cfRule>
  </conditionalFormatting>
  <conditionalFormatting sqref="T2:T55">
    <cfRule type="expression" dxfId="151" priority="3">
      <formula>AND($V2&lt;&gt;"",OR($AC2="Yes",$AD2&lt;&gt;""))</formula>
    </cfRule>
    <cfRule type="expression" dxfId="150" priority="4">
      <formula>OR($AC2="Yes",$AD2&lt;&gt;"")</formula>
    </cfRule>
    <cfRule type="expression" dxfId="149" priority="7">
      <formula>AND($AC2&lt;&gt;"Yes",$AD2="")</formula>
    </cfRule>
  </conditionalFormatting>
  <conditionalFormatting sqref="T2:AC21">
    <cfRule type="expression" dxfId="148" priority="23">
      <formula>AND($I2&lt;&gt;"",$I2&lt;&gt;"Unclear due to correction")</formula>
    </cfRule>
  </conditionalFormatting>
  <conditionalFormatting sqref="T2:AC55">
    <cfRule type="expression" dxfId="147" priority="24">
      <formula>OR($I2="",$I2="Unclear due to correction")</formula>
    </cfRule>
  </conditionalFormatting>
  <conditionalFormatting sqref="T22:AC55">
    <cfRule type="expression" dxfId="146" priority="1">
      <formula>AND($I22&lt;&gt;"",$I22&lt;&gt;"Unclear due to correction")</formula>
    </cfRule>
  </conditionalFormatting>
  <conditionalFormatting sqref="U2:U55">
    <cfRule type="expression" dxfId="145" priority="2">
      <formula>AND($I2&lt;&gt;"",$I2&lt;&gt;"Unclear due to correction",$W2="")</formula>
    </cfRule>
  </conditionalFormatting>
  <conditionalFormatting sqref="V2:V55">
    <cfRule type="expression" dxfId="144" priority="5">
      <formula>AND($W2="Yes",$X2="")</formula>
    </cfRule>
    <cfRule type="expression" dxfId="143" priority="6">
      <formula>$W2=""</formula>
    </cfRule>
  </conditionalFormatting>
  <conditionalFormatting sqref="AA2:AA55">
    <cfRule type="expression" dxfId="142" priority="8">
      <formula>AND(OR($AA2&lt;&gt;"",$AB2&lt;&gt;""),$AC2="")</formula>
    </cfRule>
  </conditionalFormatting>
  <dataValidations count="1">
    <dataValidation type="list" allowBlank="1" showInputMessage="1" showErrorMessage="1" sqref="AD2:AD55" xr:uid="{0D32808B-541B-48F4-8E57-51BE597E209D}">
      <formula1>"Yes, 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6">
        <x14:dataValidation type="list" allowBlank="1" showInputMessage="1" showErrorMessage="1" xr:uid="{0B9CEB8D-87E5-4F3D-9A23-6EF11B7433B3}">
          <x14:formula1>
            <xm:f>'Data Regularization'!$N$2:$N$1048576</xm:f>
          </x14:formula1>
          <xm:sqref>AA2:AA55</xm:sqref>
        </x14:dataValidation>
        <x14:dataValidation type="list" allowBlank="1" showInputMessage="1" showErrorMessage="1" xr:uid="{D402A179-539E-46F4-92BD-DE0D1878175A}">
          <x14:formula1>
            <xm:f>'Data Regularization'!$P$2:$P$1048576</xm:f>
          </x14:formula1>
          <xm:sqref>AC2:AC55</xm:sqref>
        </x14:dataValidation>
        <x14:dataValidation type="list" allowBlank="1" showInputMessage="1" showErrorMessage="1" xr:uid="{8ECFC381-17C6-49BD-B97A-ED13815ABFDA}">
          <x14:formula1>
            <xm:f>'Data Regularization'!$O$2:$O$1048576</xm:f>
          </x14:formula1>
          <xm:sqref>AB2:AB55</xm:sqref>
        </x14:dataValidation>
        <x14:dataValidation type="list" allowBlank="1" showInputMessage="1" showErrorMessage="1" xr:uid="{7ACA9E4A-7E7B-4072-825D-637D0C242874}">
          <x14:formula1>
            <xm:f>'Data Regularization'!$M$2:$M$1048576</xm:f>
          </x14:formula1>
          <xm:sqref>Y2:Y55</xm:sqref>
        </x14:dataValidation>
        <x14:dataValidation type="list" allowBlank="1" showInputMessage="1" showErrorMessage="1" xr:uid="{E27B3F50-8BB9-4ACF-B0DE-A8DA048F1AE5}">
          <x14:formula1>
            <xm:f>'Data Regularization'!$L$2:$L$1048576</xm:f>
          </x14:formula1>
          <xm:sqref>X2:X55</xm:sqref>
        </x14:dataValidation>
        <x14:dataValidation type="list" allowBlank="1" showInputMessage="1" showErrorMessage="1" xr:uid="{05B7F7E9-1D94-4ED9-AC1A-6B89F40E219A}">
          <x14:formula1>
            <xm:f>'Data Regularization'!$J$2:$J$1048576</xm:f>
          </x14:formula1>
          <xm:sqref>V2:V55</xm:sqref>
        </x14:dataValidation>
        <x14:dataValidation type="list" allowBlank="1" showInputMessage="1" showErrorMessage="1" xr:uid="{935201C6-B135-4930-883A-21C9F1FA5414}">
          <x14:formula1>
            <xm:f>'Data Regularization'!$K$2:$K$1048576</xm:f>
          </x14:formula1>
          <xm:sqref>W2:W55</xm:sqref>
        </x14:dataValidation>
        <x14:dataValidation type="list" allowBlank="1" showInputMessage="1" xr:uid="{6D0ADB7B-20A8-4173-B45E-6CAFE79308CE}">
          <x14:formula1>
            <xm:f>'Data Regularization'!$I$2:$I$1048576</xm:f>
          </x14:formula1>
          <xm:sqref>U2:U55</xm:sqref>
        </x14:dataValidation>
        <x14:dataValidation type="list" allowBlank="1" showInputMessage="1" showErrorMessage="1" xr:uid="{D1191DE6-2555-4E09-9117-25A149E335DC}">
          <x14:formula1>
            <xm:f>'Data Regularization'!$H$2:$H$1048576</xm:f>
          </x14:formula1>
          <xm:sqref>T2:T55</xm:sqref>
        </x14:dataValidation>
        <x14:dataValidation type="list" allowBlank="1" showInputMessage="1" showErrorMessage="1" xr:uid="{66204292-41A1-44A3-B62A-EE40214DB943}">
          <x14:formula1>
            <xm:f>'Data Regularization'!$G$2:$G$1048576</xm:f>
          </x14:formula1>
          <xm:sqref>O2:O55</xm:sqref>
        </x14:dataValidation>
        <x14:dataValidation type="list" allowBlank="1" showInputMessage="1" showErrorMessage="1" xr:uid="{233590D9-CC4A-476C-B649-36AE3F216FB2}">
          <x14:formula1>
            <xm:f>'Data Regularization'!$F$2:$F$1048576</xm:f>
          </x14:formula1>
          <xm:sqref>L2:L55</xm:sqref>
        </x14:dataValidation>
        <x14:dataValidation type="list" allowBlank="1" showInputMessage="1" showErrorMessage="1" xr:uid="{282671D0-9FF7-407C-8B7A-EF362929A78C}">
          <x14:formula1>
            <xm:f>'Data Regularization'!$E$2:$E$1048576</xm:f>
          </x14:formula1>
          <xm:sqref>K2:K55</xm:sqref>
        </x14:dataValidation>
        <x14:dataValidation type="list" allowBlank="1" showInputMessage="1" showErrorMessage="1" xr:uid="{AC48777F-77A8-40EA-A3A2-52835226825E}">
          <x14:formula1>
            <xm:f>'Data Regularization'!$D$2:$D$1048576</xm:f>
          </x14:formula1>
          <xm:sqref>G2:G55</xm:sqref>
        </x14:dataValidation>
        <x14:dataValidation type="list" allowBlank="1" showInputMessage="1" showErrorMessage="1" xr:uid="{CD1E70E3-06C8-4571-B9C8-635A41347673}">
          <x14:formula1>
            <xm:f>'Data Regularization'!$C$2:$C$1048576</xm:f>
          </x14:formula1>
          <xm:sqref>F2:F55</xm:sqref>
        </x14:dataValidation>
        <x14:dataValidation type="list" allowBlank="1" showInputMessage="1" showErrorMessage="1" xr:uid="{F7C5B7D9-8FF0-42A6-B645-45BAB88872A3}">
          <x14:formula1>
            <xm:f>'Data Regularization'!$B$2:$B$1048576</xm:f>
          </x14:formula1>
          <xm:sqref>E2:E55</xm:sqref>
        </x14:dataValidation>
        <x14:dataValidation type="list" allowBlank="1" showInputMessage="1" showErrorMessage="1" xr:uid="{4343EC9A-4926-44C7-BE6B-99DFAAFB824A}">
          <x14:formula1>
            <xm:f>'Data Regularization'!$A$2:$A$1048576</xm:f>
          </x14:formula1>
          <xm:sqref>D2:D55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0D964-E86A-4E01-ABE1-D76980A247B4}">
  <dimension ref="A1:AE86"/>
  <sheetViews>
    <sheetView workbookViewId="0">
      <pane xSplit="3" ySplit="1" topLeftCell="J67" activePane="bottomRight" state="frozen"/>
      <selection pane="topRight" activeCell="D1" sqref="D1"/>
      <selection pane="bottomLeft" activeCell="A2" sqref="A2"/>
      <selection pane="bottomRight" activeCell="A87" sqref="A87:XFD87"/>
    </sheetView>
  </sheetViews>
  <sheetFormatPr defaultRowHeight="14.5"/>
  <sheetData>
    <row r="1" spans="1:31" s="2" customFormat="1">
      <c r="A1" s="2" t="s">
        <v>0</v>
      </c>
      <c r="B1" s="2" t="s">
        <v>496</v>
      </c>
      <c r="C1" s="2" t="s">
        <v>497</v>
      </c>
      <c r="D1" s="2" t="s">
        <v>570</v>
      </c>
      <c r="E1" s="2" t="s">
        <v>571</v>
      </c>
      <c r="F1" s="2" t="s">
        <v>572</v>
      </c>
      <c r="G1" s="2" t="s">
        <v>3</v>
      </c>
      <c r="H1" s="2" t="s">
        <v>573</v>
      </c>
      <c r="I1" s="2" t="s">
        <v>574</v>
      </c>
      <c r="J1" s="2" t="s">
        <v>575</v>
      </c>
      <c r="K1" s="2" t="s">
        <v>576</v>
      </c>
      <c r="L1" s="2" t="s">
        <v>525</v>
      </c>
      <c r="M1" s="2" t="s">
        <v>577</v>
      </c>
      <c r="N1" s="6" t="s">
        <v>578</v>
      </c>
      <c r="O1" s="2" t="s">
        <v>526</v>
      </c>
      <c r="P1" s="2" t="s">
        <v>579</v>
      </c>
      <c r="Q1" s="2" t="s">
        <v>580</v>
      </c>
      <c r="R1" s="2" t="s">
        <v>826</v>
      </c>
      <c r="S1" s="2" t="s">
        <v>827</v>
      </c>
      <c r="T1" s="2" t="s">
        <v>527</v>
      </c>
      <c r="U1" s="2" t="s">
        <v>528</v>
      </c>
      <c r="V1" s="2" t="s">
        <v>529</v>
      </c>
      <c r="W1" s="2" t="s">
        <v>530</v>
      </c>
      <c r="X1" s="2" t="s">
        <v>531</v>
      </c>
      <c r="Y1" s="2" t="s">
        <v>532</v>
      </c>
      <c r="Z1" s="2" t="s">
        <v>582</v>
      </c>
      <c r="AA1" s="2" t="s">
        <v>581</v>
      </c>
      <c r="AB1" s="2" t="s">
        <v>533</v>
      </c>
      <c r="AC1" s="2" t="s">
        <v>534</v>
      </c>
      <c r="AD1" s="2" t="s">
        <v>791</v>
      </c>
    </row>
    <row r="2" spans="1:31" ht="58">
      <c r="A2" s="1" t="s">
        <v>62</v>
      </c>
      <c r="B2" s="1" t="s">
        <v>607</v>
      </c>
      <c r="C2" s="1" t="s">
        <v>608</v>
      </c>
      <c r="D2" s="1"/>
      <c r="E2" s="1"/>
      <c r="F2" s="1"/>
      <c r="G2" s="7" t="s">
        <v>504</v>
      </c>
      <c r="H2" s="7">
        <v>0</v>
      </c>
      <c r="I2" s="7">
        <v>1</v>
      </c>
      <c r="J2" s="7">
        <v>3</v>
      </c>
      <c r="K2" s="7" t="s">
        <v>541</v>
      </c>
      <c r="L2" s="7" t="s">
        <v>536</v>
      </c>
      <c r="M2" s="7" t="s">
        <v>594</v>
      </c>
      <c r="N2" s="8" t="s">
        <v>595</v>
      </c>
      <c r="O2" s="7"/>
      <c r="P2" s="7">
        <v>19277</v>
      </c>
      <c r="Q2" s="7">
        <v>1547.9804063277925</v>
      </c>
      <c r="R2" s="7"/>
      <c r="S2" s="7" t="s">
        <v>614</v>
      </c>
      <c r="T2" s="7" t="s">
        <v>614</v>
      </c>
      <c r="U2" s="7"/>
      <c r="V2" s="7"/>
      <c r="W2" s="7"/>
      <c r="X2" s="7"/>
      <c r="Y2" s="7" t="s">
        <v>499</v>
      </c>
      <c r="Z2" s="7"/>
      <c r="AA2" s="7"/>
      <c r="AB2" s="7"/>
      <c r="AC2" s="7"/>
      <c r="AD2" s="7"/>
      <c r="AE2" t="s">
        <v>506</v>
      </c>
    </row>
    <row r="3" spans="1:31" ht="72.5">
      <c r="A3" s="1" t="s">
        <v>63</v>
      </c>
      <c r="B3" s="1" t="s">
        <v>609</v>
      </c>
      <c r="C3" s="1" t="s">
        <v>610</v>
      </c>
      <c r="D3" s="1"/>
      <c r="E3" s="1"/>
      <c r="F3" s="1"/>
      <c r="G3" s="7" t="s">
        <v>504</v>
      </c>
      <c r="H3" s="7">
        <v>1</v>
      </c>
      <c r="I3" s="7">
        <v>3</v>
      </c>
      <c r="J3" s="7">
        <v>14</v>
      </c>
      <c r="K3" s="7"/>
      <c r="L3" s="7" t="s">
        <v>536</v>
      </c>
      <c r="M3" s="7" t="s">
        <v>594</v>
      </c>
      <c r="N3" s="8" t="s">
        <v>595</v>
      </c>
      <c r="O3" s="7"/>
      <c r="P3" s="7">
        <v>1</v>
      </c>
      <c r="Q3" s="7">
        <v>8.0301935276640174E-2</v>
      </c>
      <c r="R3" s="7"/>
      <c r="S3" s="7" t="s">
        <v>614</v>
      </c>
      <c r="T3" s="7" t="s">
        <v>614</v>
      </c>
      <c r="U3" s="7"/>
      <c r="V3" s="7"/>
      <c r="W3" s="7"/>
      <c r="X3" s="7"/>
      <c r="Y3" s="7" t="s">
        <v>499</v>
      </c>
      <c r="Z3" s="7"/>
      <c r="AA3" s="7"/>
      <c r="AB3" s="7"/>
      <c r="AC3" s="7"/>
      <c r="AD3" s="7"/>
      <c r="AE3" t="s">
        <v>506</v>
      </c>
    </row>
    <row r="4" spans="1:31" ht="319">
      <c r="A4" s="1" t="s">
        <v>65</v>
      </c>
      <c r="B4" s="1" t="s">
        <v>873</v>
      </c>
      <c r="C4" s="1" t="s">
        <v>874</v>
      </c>
      <c r="D4" s="1"/>
      <c r="E4" s="1"/>
      <c r="F4" s="1"/>
      <c r="G4" s="7" t="s">
        <v>504</v>
      </c>
      <c r="H4" s="7">
        <v>4</v>
      </c>
      <c r="I4" s="7">
        <v>13</v>
      </c>
      <c r="J4" s="7">
        <v>75</v>
      </c>
      <c r="K4" s="7"/>
      <c r="L4" s="7" t="s">
        <v>536</v>
      </c>
      <c r="M4" s="7" t="s">
        <v>594</v>
      </c>
      <c r="N4" s="8" t="s">
        <v>611</v>
      </c>
      <c r="O4" s="7" t="s">
        <v>537</v>
      </c>
      <c r="P4" s="7">
        <v>2</v>
      </c>
      <c r="Q4" s="7">
        <v>0.16060387055328035</v>
      </c>
      <c r="R4" s="7"/>
      <c r="S4" s="7" t="s">
        <v>614</v>
      </c>
      <c r="T4" s="7" t="s">
        <v>614</v>
      </c>
      <c r="U4" s="7"/>
      <c r="V4" s="7"/>
      <c r="W4" s="7"/>
      <c r="X4" s="7"/>
      <c r="Y4" s="7" t="s">
        <v>499</v>
      </c>
      <c r="Z4" s="7"/>
      <c r="AA4" s="7"/>
      <c r="AB4" s="7"/>
      <c r="AC4" s="7"/>
      <c r="AD4" s="7"/>
      <c r="AE4" t="s">
        <v>506</v>
      </c>
    </row>
    <row r="5" spans="1:31" ht="145">
      <c r="A5" s="1" t="s">
        <v>65</v>
      </c>
      <c r="B5" s="1" t="s">
        <v>875</v>
      </c>
      <c r="C5" s="1" t="s">
        <v>877</v>
      </c>
      <c r="D5" s="1"/>
      <c r="E5" s="1"/>
      <c r="F5" s="1"/>
      <c r="G5" s="7" t="s">
        <v>504</v>
      </c>
      <c r="H5" s="7">
        <v>0</v>
      </c>
      <c r="I5" s="7">
        <v>2</v>
      </c>
      <c r="J5" s="7">
        <v>18</v>
      </c>
      <c r="K5" s="7"/>
      <c r="L5" s="7" t="s">
        <v>536</v>
      </c>
      <c r="M5" s="7" t="s">
        <v>594</v>
      </c>
      <c r="N5" s="8" t="s">
        <v>612</v>
      </c>
      <c r="O5" s="7"/>
      <c r="P5" s="7">
        <v>49</v>
      </c>
      <c r="Q5" s="7">
        <v>3.9347948285553684</v>
      </c>
      <c r="R5" s="7"/>
      <c r="S5" s="7" t="s">
        <v>614</v>
      </c>
      <c r="T5" s="7" t="s">
        <v>614</v>
      </c>
      <c r="U5" s="7"/>
      <c r="V5" s="7"/>
      <c r="W5" s="7"/>
      <c r="X5" s="7"/>
      <c r="Y5" s="7" t="s">
        <v>499</v>
      </c>
      <c r="Z5" s="7"/>
      <c r="AA5" s="7"/>
      <c r="AB5" s="7"/>
      <c r="AC5" s="7"/>
      <c r="AD5" s="7"/>
      <c r="AE5" t="s">
        <v>506</v>
      </c>
    </row>
    <row r="6" spans="1:31" ht="145">
      <c r="A6" s="1" t="s">
        <v>65</v>
      </c>
      <c r="B6" s="1" t="s">
        <v>876</v>
      </c>
      <c r="C6" s="1" t="s">
        <v>877</v>
      </c>
      <c r="D6" s="1"/>
      <c r="E6" s="1"/>
      <c r="F6" s="1"/>
      <c r="G6" s="7" t="s">
        <v>504</v>
      </c>
      <c r="H6" s="7">
        <v>1</v>
      </c>
      <c r="I6" s="7">
        <v>4</v>
      </c>
      <c r="J6" s="7">
        <v>14</v>
      </c>
      <c r="K6" s="7"/>
      <c r="L6" s="7" t="s">
        <v>536</v>
      </c>
      <c r="M6" s="7" t="s">
        <v>594</v>
      </c>
      <c r="N6" s="8" t="s">
        <v>613</v>
      </c>
      <c r="O6" s="7"/>
      <c r="P6" s="7">
        <v>22</v>
      </c>
      <c r="Q6" s="7">
        <v>1.7666425760860838</v>
      </c>
      <c r="R6" s="7"/>
      <c r="S6" s="7" t="s">
        <v>614</v>
      </c>
      <c r="T6" s="7" t="s">
        <v>614</v>
      </c>
      <c r="U6" s="7"/>
      <c r="V6" s="7"/>
      <c r="W6" s="7"/>
      <c r="X6" s="7"/>
      <c r="Y6" s="7" t="s">
        <v>499</v>
      </c>
      <c r="Z6" s="7"/>
      <c r="AA6" s="7"/>
      <c r="AB6" s="7"/>
      <c r="AC6" s="7"/>
      <c r="AD6" s="7"/>
      <c r="AE6" t="s">
        <v>506</v>
      </c>
    </row>
    <row r="7" spans="1:31" ht="43.5">
      <c r="A7" s="1" t="s">
        <v>7</v>
      </c>
      <c r="B7" s="1" t="s">
        <v>6</v>
      </c>
      <c r="C7" s="1" t="s">
        <v>5</v>
      </c>
      <c r="D7" s="1"/>
      <c r="E7" s="1"/>
      <c r="F7" s="1"/>
      <c r="G7" s="7" t="s">
        <v>504</v>
      </c>
      <c r="H7" s="7">
        <v>0</v>
      </c>
      <c r="I7" s="7">
        <v>1</v>
      </c>
      <c r="J7" s="7">
        <v>3</v>
      </c>
      <c r="K7" s="7" t="s">
        <v>541</v>
      </c>
      <c r="L7" s="7" t="s">
        <v>542</v>
      </c>
      <c r="M7" s="7"/>
      <c r="N7" s="8"/>
      <c r="O7" s="7"/>
      <c r="P7" s="7">
        <v>19277</v>
      </c>
      <c r="Q7" s="7">
        <v>1547.9804063277925</v>
      </c>
      <c r="R7" s="7"/>
      <c r="S7" s="7" t="s">
        <v>614</v>
      </c>
      <c r="T7" s="7" t="s">
        <v>614</v>
      </c>
      <c r="U7" s="7"/>
      <c r="V7" s="7"/>
      <c r="W7" s="7"/>
      <c r="X7" s="7"/>
      <c r="Y7" s="7" t="s">
        <v>499</v>
      </c>
      <c r="Z7" s="7"/>
      <c r="AA7" s="7"/>
      <c r="AB7" s="7"/>
      <c r="AC7" s="7"/>
      <c r="AD7" s="7"/>
      <c r="AE7" t="s">
        <v>506</v>
      </c>
    </row>
    <row r="8" spans="1:31" ht="101.5">
      <c r="A8" s="1" t="s">
        <v>7</v>
      </c>
      <c r="B8" s="1" t="s">
        <v>370</v>
      </c>
      <c r="C8" s="1" t="s">
        <v>371</v>
      </c>
      <c r="D8" s="1"/>
      <c r="E8" s="1"/>
      <c r="F8" s="1"/>
      <c r="G8" s="7" t="s">
        <v>504</v>
      </c>
      <c r="H8" s="7">
        <v>0</v>
      </c>
      <c r="I8" s="7">
        <v>3</v>
      </c>
      <c r="J8" s="7">
        <v>19</v>
      </c>
      <c r="K8" s="7"/>
      <c r="L8" s="7" t="s">
        <v>542</v>
      </c>
      <c r="M8" s="7"/>
      <c r="N8" s="8"/>
      <c r="O8" s="7"/>
      <c r="P8" s="7">
        <v>7</v>
      </c>
      <c r="Q8" s="7">
        <v>0.56211354693648119</v>
      </c>
      <c r="R8" s="7"/>
      <c r="S8" s="7" t="s">
        <v>614</v>
      </c>
      <c r="T8" s="7" t="s">
        <v>614</v>
      </c>
      <c r="U8" s="7"/>
      <c r="V8" s="7"/>
      <c r="W8" s="7"/>
      <c r="X8" s="7"/>
      <c r="Y8" s="7" t="s">
        <v>499</v>
      </c>
      <c r="Z8" s="7"/>
      <c r="AA8" s="7"/>
      <c r="AB8" s="7"/>
      <c r="AC8" s="7"/>
      <c r="AD8" s="7"/>
      <c r="AE8" t="s">
        <v>506</v>
      </c>
    </row>
    <row r="9" spans="1:31" ht="174">
      <c r="A9" s="1" t="s">
        <v>74</v>
      </c>
      <c r="B9" s="1" t="s">
        <v>618</v>
      </c>
      <c r="C9" s="1" t="s">
        <v>617</v>
      </c>
      <c r="D9" s="1"/>
      <c r="E9" s="1"/>
      <c r="F9" s="1"/>
      <c r="G9" s="7" t="s">
        <v>504</v>
      </c>
      <c r="H9" s="7">
        <v>1</v>
      </c>
      <c r="I9" s="7">
        <v>6</v>
      </c>
      <c r="J9" s="7">
        <v>30</v>
      </c>
      <c r="K9" s="7"/>
      <c r="L9" s="7" t="s">
        <v>536</v>
      </c>
      <c r="M9" s="7" t="s">
        <v>642</v>
      </c>
      <c r="N9" s="8" t="s">
        <v>643</v>
      </c>
      <c r="O9" s="7"/>
      <c r="P9" s="7">
        <v>0</v>
      </c>
      <c r="Q9" s="7">
        <v>0</v>
      </c>
      <c r="R9" s="7"/>
      <c r="S9" s="7" t="s">
        <v>614</v>
      </c>
      <c r="T9" s="7" t="s">
        <v>614</v>
      </c>
      <c r="U9" s="7"/>
      <c r="V9" s="7"/>
      <c r="W9" s="7"/>
      <c r="X9" s="7"/>
      <c r="Y9" s="7" t="s">
        <v>499</v>
      </c>
      <c r="Z9" s="7"/>
      <c r="AA9" s="7"/>
      <c r="AB9" s="7"/>
      <c r="AC9" s="7"/>
      <c r="AD9" s="7"/>
      <c r="AE9" t="s">
        <v>506</v>
      </c>
    </row>
    <row r="10" spans="1:31" ht="29">
      <c r="A10" s="1" t="s">
        <v>80</v>
      </c>
      <c r="B10" s="1" t="s">
        <v>385</v>
      </c>
      <c r="C10" s="1" t="s">
        <v>386</v>
      </c>
      <c r="D10" s="1"/>
      <c r="E10" s="1"/>
      <c r="F10" s="1"/>
      <c r="G10" s="7" t="s">
        <v>504</v>
      </c>
      <c r="H10" s="7">
        <v>0</v>
      </c>
      <c r="I10" s="7">
        <v>1</v>
      </c>
      <c r="J10" s="7">
        <v>2</v>
      </c>
      <c r="K10" s="7" t="s">
        <v>541</v>
      </c>
      <c r="L10" s="7" t="s">
        <v>550</v>
      </c>
      <c r="M10" s="7"/>
      <c r="N10" s="8"/>
      <c r="O10" s="7"/>
      <c r="P10" s="7">
        <v>19277</v>
      </c>
      <c r="Q10" s="7">
        <v>1547.9804063277925</v>
      </c>
      <c r="R10" s="7"/>
      <c r="S10" s="7" t="s">
        <v>614</v>
      </c>
      <c r="T10" s="7" t="s">
        <v>614</v>
      </c>
      <c r="U10" s="7"/>
      <c r="V10" s="7"/>
      <c r="W10" s="7"/>
      <c r="X10" s="7"/>
      <c r="Y10" s="7" t="s">
        <v>499</v>
      </c>
      <c r="Z10" s="7"/>
      <c r="AA10" s="7"/>
      <c r="AB10" s="7"/>
      <c r="AC10" s="7"/>
      <c r="AD10" s="7"/>
      <c r="AE10" t="s">
        <v>506</v>
      </c>
    </row>
    <row r="11" spans="1:31" ht="43.5">
      <c r="A11" s="1" t="s">
        <v>84</v>
      </c>
      <c r="B11" s="1" t="s">
        <v>619</v>
      </c>
      <c r="C11" s="1" t="s">
        <v>620</v>
      </c>
      <c r="D11" s="1"/>
      <c r="E11" s="1"/>
      <c r="F11" s="1" t="s">
        <v>339</v>
      </c>
      <c r="G11" s="7" t="s">
        <v>500</v>
      </c>
      <c r="H11" s="7">
        <v>0</v>
      </c>
      <c r="I11" s="7">
        <v>1</v>
      </c>
      <c r="J11" s="7">
        <v>1</v>
      </c>
      <c r="K11" s="7" t="s">
        <v>541</v>
      </c>
      <c r="L11" s="7" t="s">
        <v>550</v>
      </c>
      <c r="M11" s="7"/>
      <c r="N11" s="8"/>
      <c r="O11" s="7"/>
      <c r="P11" s="7">
        <v>19277</v>
      </c>
      <c r="Q11" s="7">
        <v>1547.9804063277925</v>
      </c>
      <c r="R11" s="7"/>
      <c r="S11" s="7" t="s">
        <v>614</v>
      </c>
      <c r="T11" s="7" t="s">
        <v>614</v>
      </c>
      <c r="U11" s="7" t="s">
        <v>544</v>
      </c>
      <c r="V11" s="7"/>
      <c r="W11" s="7"/>
      <c r="X11" s="7"/>
      <c r="Y11" s="7" t="s">
        <v>499</v>
      </c>
      <c r="Z11" s="7"/>
      <c r="AA11" s="7"/>
      <c r="AB11" s="7"/>
      <c r="AC11" s="7"/>
      <c r="AD11" s="7"/>
      <c r="AE11" t="s">
        <v>506</v>
      </c>
    </row>
    <row r="12" spans="1:31" ht="29">
      <c r="A12" s="1" t="s">
        <v>119</v>
      </c>
      <c r="B12" s="1" t="s">
        <v>398</v>
      </c>
      <c r="C12" s="1" t="s">
        <v>399</v>
      </c>
      <c r="D12" s="1"/>
      <c r="E12" s="1"/>
      <c r="F12" s="1"/>
      <c r="G12" s="7" t="s">
        <v>504</v>
      </c>
      <c r="H12" s="7">
        <v>0</v>
      </c>
      <c r="I12" s="7">
        <v>1</v>
      </c>
      <c r="J12" s="7">
        <v>3</v>
      </c>
      <c r="K12" s="7" t="s">
        <v>541</v>
      </c>
      <c r="L12" s="7" t="s">
        <v>550</v>
      </c>
      <c r="M12" s="7"/>
      <c r="N12" s="8"/>
      <c r="O12" s="7"/>
      <c r="P12" s="7">
        <v>19277</v>
      </c>
      <c r="Q12" s="7">
        <v>1547.9804063277925</v>
      </c>
      <c r="R12" s="7"/>
      <c r="S12" s="7" t="s">
        <v>614</v>
      </c>
      <c r="T12" s="7" t="s">
        <v>614</v>
      </c>
      <c r="U12" s="7"/>
      <c r="V12" s="7"/>
      <c r="W12" s="7"/>
      <c r="X12" s="7"/>
      <c r="Y12" s="7" t="s">
        <v>499</v>
      </c>
      <c r="Z12" s="7"/>
      <c r="AA12" s="7"/>
      <c r="AB12" s="7"/>
      <c r="AC12" s="7"/>
      <c r="AD12" s="7"/>
      <c r="AE12" t="s">
        <v>506</v>
      </c>
    </row>
    <row r="13" spans="1:31" ht="130.5">
      <c r="A13" s="1" t="s">
        <v>130</v>
      </c>
      <c r="B13" s="1" t="s">
        <v>631</v>
      </c>
      <c r="C13" s="1" t="s">
        <v>632</v>
      </c>
      <c r="D13" s="1"/>
      <c r="E13" s="1"/>
      <c r="F13" s="1" t="s">
        <v>339</v>
      </c>
      <c r="G13" s="7" t="s">
        <v>500</v>
      </c>
      <c r="H13" s="7">
        <v>1</v>
      </c>
      <c r="I13" s="7">
        <v>3</v>
      </c>
      <c r="J13" s="7">
        <v>17</v>
      </c>
      <c r="K13" s="7"/>
      <c r="L13" s="7" t="s">
        <v>536</v>
      </c>
      <c r="M13" s="7" t="s">
        <v>594</v>
      </c>
      <c r="N13" s="8" t="s">
        <v>633</v>
      </c>
      <c r="O13" s="7" t="s">
        <v>537</v>
      </c>
      <c r="P13" s="7">
        <v>26</v>
      </c>
      <c r="Q13" s="7">
        <v>2.0878503171926446</v>
      </c>
      <c r="R13" s="7"/>
      <c r="S13" s="7" t="s">
        <v>614</v>
      </c>
      <c r="T13" s="7" t="s">
        <v>614</v>
      </c>
      <c r="U13" s="7"/>
      <c r="V13" s="7"/>
      <c r="W13" s="7"/>
      <c r="X13" s="7"/>
      <c r="Y13" s="7" t="s">
        <v>499</v>
      </c>
      <c r="Z13" s="7"/>
      <c r="AA13" s="7"/>
      <c r="AB13" s="7"/>
      <c r="AC13" s="7"/>
      <c r="AD13" s="7"/>
      <c r="AE13" t="s">
        <v>506</v>
      </c>
    </row>
    <row r="14" spans="1:31" ht="217.5">
      <c r="A14" s="1" t="s">
        <v>133</v>
      </c>
      <c r="B14" s="1" t="s">
        <v>406</v>
      </c>
      <c r="C14" s="1" t="s">
        <v>407</v>
      </c>
      <c r="D14" s="1"/>
      <c r="E14" s="1"/>
      <c r="F14" s="1"/>
      <c r="G14" s="7" t="s">
        <v>504</v>
      </c>
      <c r="H14" s="7">
        <v>3</v>
      </c>
      <c r="I14" s="7">
        <v>13</v>
      </c>
      <c r="J14" s="7">
        <v>60</v>
      </c>
      <c r="K14" s="7"/>
      <c r="L14" s="7" t="s">
        <v>536</v>
      </c>
      <c r="M14" s="7" t="s">
        <v>594</v>
      </c>
      <c r="N14" s="8" t="s">
        <v>634</v>
      </c>
      <c r="O14" s="7"/>
      <c r="P14" s="7">
        <v>13</v>
      </c>
      <c r="Q14" s="7">
        <v>1.0439251585963223</v>
      </c>
      <c r="R14" s="7"/>
      <c r="S14" s="7" t="s">
        <v>614</v>
      </c>
      <c r="T14" s="7" t="s">
        <v>614</v>
      </c>
      <c r="U14" s="7"/>
      <c r="V14" s="7"/>
      <c r="W14" s="7"/>
      <c r="X14" s="7"/>
      <c r="Y14" s="7" t="s">
        <v>499</v>
      </c>
      <c r="Z14" s="7"/>
      <c r="AA14" s="7"/>
      <c r="AB14" s="7"/>
      <c r="AC14" s="7"/>
      <c r="AD14" s="7"/>
      <c r="AE14" t="s">
        <v>506</v>
      </c>
    </row>
    <row r="15" spans="1:31" ht="43.5">
      <c r="A15" s="1" t="s">
        <v>155</v>
      </c>
      <c r="B15" s="1" t="s">
        <v>638</v>
      </c>
      <c r="C15" s="1" t="s">
        <v>639</v>
      </c>
      <c r="D15" s="1"/>
      <c r="E15" s="1"/>
      <c r="F15" s="1"/>
      <c r="G15" s="7" t="s">
        <v>504</v>
      </c>
      <c r="H15" s="7">
        <v>0</v>
      </c>
      <c r="I15" s="7">
        <v>1</v>
      </c>
      <c r="J15" s="7">
        <v>2</v>
      </c>
      <c r="K15" s="7" t="s">
        <v>541</v>
      </c>
      <c r="L15" s="7" t="s">
        <v>550</v>
      </c>
      <c r="M15" s="7"/>
      <c r="N15" s="8"/>
      <c r="O15" s="7"/>
      <c r="P15" s="7">
        <v>19277</v>
      </c>
      <c r="Q15" s="7">
        <v>1547.9804063277925</v>
      </c>
      <c r="R15" s="7"/>
      <c r="S15" s="7" t="s">
        <v>614</v>
      </c>
      <c r="T15" s="7" t="s">
        <v>614</v>
      </c>
      <c r="U15" s="7"/>
      <c r="V15" s="7"/>
      <c r="W15" s="7"/>
      <c r="X15" s="7"/>
      <c r="Y15" s="7" t="s">
        <v>499</v>
      </c>
      <c r="Z15" s="7"/>
      <c r="AA15" s="7"/>
      <c r="AB15" s="7"/>
      <c r="AC15" s="7"/>
      <c r="AD15" s="7"/>
      <c r="AE15" t="s">
        <v>506</v>
      </c>
    </row>
    <row r="16" spans="1:31" ht="29">
      <c r="A16" s="1" t="s">
        <v>176</v>
      </c>
      <c r="B16" s="1" t="s">
        <v>662</v>
      </c>
      <c r="C16" s="1" t="s">
        <v>663</v>
      </c>
      <c r="D16" s="1"/>
      <c r="E16" s="1"/>
      <c r="F16" s="1"/>
      <c r="G16" s="7" t="s">
        <v>500</v>
      </c>
      <c r="H16" s="7">
        <v>0</v>
      </c>
      <c r="I16" s="7">
        <v>1</v>
      </c>
      <c r="J16" s="7">
        <v>1</v>
      </c>
      <c r="K16" s="7" t="s">
        <v>541</v>
      </c>
      <c r="L16" s="7" t="s">
        <v>550</v>
      </c>
      <c r="M16" s="7"/>
      <c r="N16" s="8"/>
      <c r="O16" s="7"/>
      <c r="P16" s="7">
        <v>19277</v>
      </c>
      <c r="Q16" s="7">
        <v>1547.9804063277925</v>
      </c>
      <c r="R16" s="7"/>
      <c r="S16" s="7" t="s">
        <v>614</v>
      </c>
      <c r="T16" s="7" t="s">
        <v>614</v>
      </c>
      <c r="U16" s="7"/>
      <c r="V16" s="7"/>
      <c r="W16" s="7"/>
      <c r="X16" s="7"/>
      <c r="Y16" s="7" t="s">
        <v>499</v>
      </c>
      <c r="Z16" s="7"/>
      <c r="AA16" s="7"/>
      <c r="AB16" s="7"/>
      <c r="AC16" s="7"/>
      <c r="AD16" s="7"/>
      <c r="AE16" t="s">
        <v>506</v>
      </c>
    </row>
    <row r="17" spans="1:31" ht="319">
      <c r="A17" s="1" t="s">
        <v>196</v>
      </c>
      <c r="B17" s="1" t="s">
        <v>672</v>
      </c>
      <c r="C17" s="1" t="s">
        <v>886</v>
      </c>
      <c r="D17" s="1"/>
      <c r="E17" s="1"/>
      <c r="F17" s="1"/>
      <c r="G17" s="7" t="s">
        <v>500</v>
      </c>
      <c r="H17" s="7">
        <v>0</v>
      </c>
      <c r="I17" s="7">
        <v>6</v>
      </c>
      <c r="J17" s="7">
        <v>34</v>
      </c>
      <c r="K17" s="7"/>
      <c r="L17" s="7" t="s">
        <v>536</v>
      </c>
      <c r="M17" s="7" t="s">
        <v>594</v>
      </c>
      <c r="N17" s="8" t="s">
        <v>887</v>
      </c>
      <c r="O17" s="7" t="s">
        <v>543</v>
      </c>
      <c r="P17" s="7">
        <v>17</v>
      </c>
      <c r="Q17" s="7">
        <v>1.3651328997028829</v>
      </c>
      <c r="R17" s="7"/>
      <c r="S17" s="7" t="s">
        <v>614</v>
      </c>
      <c r="T17" s="7" t="s">
        <v>614</v>
      </c>
      <c r="U17" s="7"/>
      <c r="V17" s="7"/>
      <c r="W17" s="7"/>
      <c r="X17" s="7"/>
      <c r="Y17" s="7" t="s">
        <v>499</v>
      </c>
      <c r="Z17" s="7"/>
      <c r="AA17" s="7"/>
      <c r="AB17" s="7"/>
      <c r="AC17" s="7"/>
      <c r="AD17" s="7"/>
      <c r="AE17" t="s">
        <v>506</v>
      </c>
    </row>
    <row r="18" spans="1:31" ht="43.5">
      <c r="A18" s="1" t="s">
        <v>203</v>
      </c>
      <c r="B18" s="1" t="s">
        <v>677</v>
      </c>
      <c r="C18" s="1" t="s">
        <v>678</v>
      </c>
      <c r="D18" s="1"/>
      <c r="E18" s="1"/>
      <c r="F18" s="1"/>
      <c r="G18" s="7" t="s">
        <v>504</v>
      </c>
      <c r="H18" s="7">
        <v>0</v>
      </c>
      <c r="I18" s="7">
        <v>1</v>
      </c>
      <c r="J18" s="7">
        <v>4</v>
      </c>
      <c r="K18" s="7" t="s">
        <v>562</v>
      </c>
      <c r="L18" s="7" t="s">
        <v>542</v>
      </c>
      <c r="M18" s="7"/>
      <c r="N18" s="8"/>
      <c r="O18" s="7"/>
      <c r="P18" s="7">
        <v>79</v>
      </c>
      <c r="Q18" s="7">
        <v>6.3438528868545729</v>
      </c>
      <c r="R18" s="7"/>
      <c r="S18" s="7" t="s">
        <v>614</v>
      </c>
      <c r="T18" s="7" t="s">
        <v>614</v>
      </c>
      <c r="U18" s="7"/>
      <c r="V18" s="7"/>
      <c r="W18" s="7"/>
      <c r="X18" s="7"/>
      <c r="Y18" s="7" t="s">
        <v>499</v>
      </c>
      <c r="Z18" s="7"/>
      <c r="AA18" s="7"/>
      <c r="AB18" s="7"/>
      <c r="AC18" s="7"/>
      <c r="AD18" s="7"/>
      <c r="AE18" t="s">
        <v>506</v>
      </c>
    </row>
    <row r="19" spans="1:31" ht="43.5">
      <c r="A19" s="1" t="s">
        <v>211</v>
      </c>
      <c r="B19" s="1" t="s">
        <v>423</v>
      </c>
      <c r="C19" s="1" t="s">
        <v>424</v>
      </c>
      <c r="D19" s="1"/>
      <c r="E19" s="1"/>
      <c r="F19" s="1"/>
      <c r="G19" s="7" t="s">
        <v>500</v>
      </c>
      <c r="H19" s="7">
        <v>0</v>
      </c>
      <c r="I19" s="7">
        <v>1</v>
      </c>
      <c r="J19" s="7">
        <v>1</v>
      </c>
      <c r="K19" s="7" t="s">
        <v>541</v>
      </c>
      <c r="L19" s="7" t="s">
        <v>550</v>
      </c>
      <c r="M19" s="7"/>
      <c r="N19" s="8"/>
      <c r="O19" s="7"/>
      <c r="P19" s="7">
        <v>19277</v>
      </c>
      <c r="Q19" s="7">
        <v>1547.9804063277925</v>
      </c>
      <c r="R19" s="7"/>
      <c r="S19" s="7" t="s">
        <v>614</v>
      </c>
      <c r="T19" s="7" t="s">
        <v>614</v>
      </c>
      <c r="U19" s="7"/>
      <c r="V19" s="7"/>
      <c r="W19" s="7"/>
      <c r="X19" s="7"/>
      <c r="Y19" s="7" t="s">
        <v>499</v>
      </c>
      <c r="Z19" s="7"/>
      <c r="AA19" s="7"/>
      <c r="AB19" s="7"/>
      <c r="AC19" s="7"/>
      <c r="AD19" s="7"/>
      <c r="AE19" t="s">
        <v>506</v>
      </c>
    </row>
    <row r="20" spans="1:31" ht="101.5">
      <c r="A20" s="1" t="s">
        <v>215</v>
      </c>
      <c r="B20" s="1" t="s">
        <v>682</v>
      </c>
      <c r="C20" s="1" t="s">
        <v>683</v>
      </c>
      <c r="D20" s="1"/>
      <c r="E20" s="1"/>
      <c r="F20" s="1"/>
      <c r="G20" s="7" t="s">
        <v>504</v>
      </c>
      <c r="H20" s="7">
        <v>1</v>
      </c>
      <c r="I20" s="7">
        <v>4</v>
      </c>
      <c r="J20" s="7">
        <v>16</v>
      </c>
      <c r="K20" s="7"/>
      <c r="L20" s="7" t="s">
        <v>536</v>
      </c>
      <c r="M20" s="7" t="s">
        <v>594</v>
      </c>
      <c r="N20" s="8" t="s">
        <v>612</v>
      </c>
      <c r="O20" s="7"/>
      <c r="P20" s="7">
        <v>188</v>
      </c>
      <c r="Q20" s="7">
        <v>15.096763832008351</v>
      </c>
      <c r="R20" s="7"/>
      <c r="S20" s="7" t="s">
        <v>614</v>
      </c>
      <c r="T20" s="7" t="s">
        <v>614</v>
      </c>
      <c r="U20" s="7" t="s">
        <v>544</v>
      </c>
      <c r="V20" s="7"/>
      <c r="W20" s="7"/>
      <c r="X20" s="7"/>
      <c r="Y20" s="7" t="s">
        <v>499</v>
      </c>
      <c r="Z20" s="7"/>
      <c r="AA20" s="7"/>
      <c r="AB20" s="7"/>
      <c r="AC20" s="7"/>
      <c r="AD20" s="7"/>
      <c r="AE20" t="s">
        <v>506</v>
      </c>
    </row>
    <row r="21" spans="1:31" ht="29">
      <c r="A21" s="1" t="s">
        <v>218</v>
      </c>
      <c r="B21" s="1" t="s">
        <v>686</v>
      </c>
      <c r="C21" s="1" t="s">
        <v>685</v>
      </c>
      <c r="D21" s="1"/>
      <c r="E21" s="1"/>
      <c r="F21" s="1"/>
      <c r="G21" s="7" t="s">
        <v>504</v>
      </c>
      <c r="H21" s="7">
        <v>0</v>
      </c>
      <c r="I21" s="7">
        <v>1</v>
      </c>
      <c r="J21" s="7">
        <v>1</v>
      </c>
      <c r="K21" s="7" t="s">
        <v>541</v>
      </c>
      <c r="L21" s="7" t="s">
        <v>550</v>
      </c>
      <c r="M21" s="7"/>
      <c r="N21" s="8"/>
      <c r="O21" s="7"/>
      <c r="P21" s="7">
        <v>19277</v>
      </c>
      <c r="Q21" s="7">
        <v>1547.9804063277925</v>
      </c>
      <c r="R21" s="7"/>
      <c r="S21" s="7" t="s">
        <v>614</v>
      </c>
      <c r="T21" s="7" t="s">
        <v>614</v>
      </c>
      <c r="U21" s="7"/>
      <c r="V21" s="7"/>
      <c r="W21" s="7"/>
      <c r="X21" s="7"/>
      <c r="Y21" s="7" t="s">
        <v>499</v>
      </c>
      <c r="Z21" s="7"/>
      <c r="AA21" s="7"/>
      <c r="AB21" s="7"/>
      <c r="AC21" s="7"/>
      <c r="AD21" s="7"/>
      <c r="AE21" t="s">
        <v>506</v>
      </c>
    </row>
    <row r="22" spans="1:31" ht="87">
      <c r="A22" s="1" t="s">
        <v>223</v>
      </c>
      <c r="B22" s="1" t="s">
        <v>430</v>
      </c>
      <c r="C22" s="1" t="s">
        <v>431</v>
      </c>
      <c r="D22" s="1"/>
      <c r="E22" s="1"/>
      <c r="F22" s="1"/>
      <c r="G22" s="7" t="s">
        <v>504</v>
      </c>
      <c r="H22" s="7">
        <v>1</v>
      </c>
      <c r="I22" s="7">
        <v>4</v>
      </c>
      <c r="J22" s="7">
        <v>16</v>
      </c>
      <c r="K22" s="7"/>
      <c r="L22" s="7" t="s">
        <v>536</v>
      </c>
      <c r="M22" s="7" t="s">
        <v>642</v>
      </c>
      <c r="N22" s="8" t="s">
        <v>692</v>
      </c>
      <c r="O22" s="7"/>
      <c r="P22" s="7">
        <v>189</v>
      </c>
      <c r="Q22" s="7">
        <v>15.177065767284992</v>
      </c>
      <c r="R22" s="7"/>
      <c r="S22" s="7" t="s">
        <v>614</v>
      </c>
      <c r="T22" s="7" t="s">
        <v>614</v>
      </c>
      <c r="U22" s="7"/>
      <c r="V22" s="7"/>
      <c r="W22" s="7"/>
      <c r="X22" s="7"/>
      <c r="Y22" s="7" t="s">
        <v>499</v>
      </c>
      <c r="Z22" s="7"/>
      <c r="AA22" s="7"/>
      <c r="AB22" s="7"/>
      <c r="AC22" s="7"/>
      <c r="AD22" s="7"/>
      <c r="AE22" t="s">
        <v>506</v>
      </c>
    </row>
    <row r="23" spans="1:31" ht="43.5">
      <c r="A23" s="1" t="s">
        <v>223</v>
      </c>
      <c r="B23" s="1" t="s">
        <v>433</v>
      </c>
      <c r="C23" s="1" t="s">
        <v>434</v>
      </c>
      <c r="D23" s="1"/>
      <c r="E23" s="1"/>
      <c r="F23" s="1"/>
      <c r="G23" s="7" t="s">
        <v>500</v>
      </c>
      <c r="H23" s="7">
        <v>0</v>
      </c>
      <c r="I23" s="7">
        <v>1</v>
      </c>
      <c r="J23" s="7">
        <v>3</v>
      </c>
      <c r="K23" s="7" t="s">
        <v>541</v>
      </c>
      <c r="L23" s="7" t="s">
        <v>542</v>
      </c>
      <c r="M23" s="7"/>
      <c r="N23" s="8"/>
      <c r="O23" s="7"/>
      <c r="P23" s="7">
        <v>19277</v>
      </c>
      <c r="Q23" s="7">
        <v>1547.9804063277925</v>
      </c>
      <c r="R23" s="7"/>
      <c r="S23" s="7" t="s">
        <v>614</v>
      </c>
      <c r="T23" s="7" t="s">
        <v>614</v>
      </c>
      <c r="U23" s="7"/>
      <c r="V23" s="7"/>
      <c r="W23" s="7"/>
      <c r="X23" s="7"/>
      <c r="Y23" s="7" t="s">
        <v>499</v>
      </c>
      <c r="Z23" s="7"/>
      <c r="AA23" s="7"/>
      <c r="AB23" s="7"/>
      <c r="AC23" s="7"/>
      <c r="AD23" s="7"/>
      <c r="AE23" t="s">
        <v>506</v>
      </c>
    </row>
    <row r="24" spans="1:31" ht="409.5">
      <c r="A24" s="1" t="s">
        <v>438</v>
      </c>
      <c r="B24" s="1" t="s">
        <v>889</v>
      </c>
      <c r="C24" s="1" t="s">
        <v>439</v>
      </c>
      <c r="D24" s="1"/>
      <c r="E24" s="1"/>
      <c r="F24" s="1"/>
      <c r="G24" s="7" t="s">
        <v>504</v>
      </c>
      <c r="H24" s="7">
        <v>7</v>
      </c>
      <c r="I24" s="7">
        <v>22</v>
      </c>
      <c r="J24" s="7">
        <v>106</v>
      </c>
      <c r="K24" s="7"/>
      <c r="L24" s="7" t="s">
        <v>536</v>
      </c>
      <c r="M24" s="7" t="s">
        <v>594</v>
      </c>
      <c r="N24" s="8" t="s">
        <v>693</v>
      </c>
      <c r="O24" s="7"/>
      <c r="P24" s="7">
        <v>1</v>
      </c>
      <c r="Q24" s="7">
        <v>8.0301935276640174E-2</v>
      </c>
      <c r="R24" s="7"/>
      <c r="S24" s="7" t="s">
        <v>614</v>
      </c>
      <c r="T24" s="7" t="s">
        <v>614</v>
      </c>
      <c r="U24" s="7"/>
      <c r="V24" s="7"/>
      <c r="W24" s="7"/>
      <c r="X24" s="7"/>
      <c r="Y24" s="7" t="s">
        <v>499</v>
      </c>
      <c r="Z24" s="7"/>
      <c r="AA24" s="7"/>
      <c r="AB24" s="7"/>
      <c r="AC24" s="7"/>
      <c r="AD24" s="7"/>
      <c r="AE24" t="s">
        <v>506</v>
      </c>
    </row>
    <row r="25" spans="1:31" ht="72.5">
      <c r="A25" s="1" t="s">
        <v>231</v>
      </c>
      <c r="B25" s="1" t="s">
        <v>443</v>
      </c>
      <c r="C25" s="1" t="s">
        <v>444</v>
      </c>
      <c r="D25" s="1"/>
      <c r="E25" s="1"/>
      <c r="F25" s="1"/>
      <c r="G25" s="7" t="s">
        <v>504</v>
      </c>
      <c r="H25" s="7">
        <v>0</v>
      </c>
      <c r="I25" s="7">
        <v>1</v>
      </c>
      <c r="J25" s="7">
        <v>3</v>
      </c>
      <c r="K25" s="7" t="s">
        <v>541</v>
      </c>
      <c r="L25" s="7" t="s">
        <v>542</v>
      </c>
      <c r="M25" s="7"/>
      <c r="N25" s="8"/>
      <c r="O25" s="7"/>
      <c r="P25" s="7">
        <v>19277</v>
      </c>
      <c r="Q25" s="7">
        <v>1547.9804063277925</v>
      </c>
      <c r="R25" s="7"/>
      <c r="S25" s="7" t="s">
        <v>614</v>
      </c>
      <c r="T25" s="7" t="s">
        <v>614</v>
      </c>
      <c r="U25" s="7" t="s">
        <v>544</v>
      </c>
      <c r="V25" s="7"/>
      <c r="W25" s="7"/>
      <c r="X25" s="7"/>
      <c r="Y25" s="7" t="s">
        <v>499</v>
      </c>
      <c r="Z25" s="7"/>
      <c r="AA25" s="7"/>
      <c r="AB25" s="7"/>
      <c r="AC25" s="7"/>
      <c r="AD25" s="7"/>
      <c r="AE25" t="s">
        <v>506</v>
      </c>
    </row>
    <row r="26" spans="1:31" ht="72.5">
      <c r="A26" s="1" t="s">
        <v>231</v>
      </c>
      <c r="B26" s="1" t="s">
        <v>445</v>
      </c>
      <c r="C26" s="1" t="s">
        <v>446</v>
      </c>
      <c r="D26" s="1"/>
      <c r="E26" s="1"/>
      <c r="F26" s="1"/>
      <c r="G26" s="7" t="s">
        <v>504</v>
      </c>
      <c r="H26" s="7">
        <v>0</v>
      </c>
      <c r="I26" s="7">
        <v>1</v>
      </c>
      <c r="J26" s="7">
        <v>3</v>
      </c>
      <c r="K26" s="7" t="s">
        <v>541</v>
      </c>
      <c r="L26" s="7" t="s">
        <v>542</v>
      </c>
      <c r="M26" s="7"/>
      <c r="N26" s="8"/>
      <c r="O26" s="7"/>
      <c r="P26" s="7">
        <v>19277</v>
      </c>
      <c r="Q26" s="7">
        <v>1547.9804063277925</v>
      </c>
      <c r="R26" s="7"/>
      <c r="S26" s="7" t="s">
        <v>614</v>
      </c>
      <c r="T26" s="7" t="s">
        <v>614</v>
      </c>
      <c r="U26" s="7" t="s">
        <v>544</v>
      </c>
      <c r="V26" s="7"/>
      <c r="W26" s="7"/>
      <c r="X26" s="7"/>
      <c r="Y26" s="7" t="s">
        <v>499</v>
      </c>
      <c r="Z26" s="7"/>
      <c r="AA26" s="7"/>
      <c r="AB26" s="7"/>
      <c r="AC26" s="7"/>
      <c r="AD26" s="7"/>
      <c r="AE26" t="s">
        <v>506</v>
      </c>
    </row>
    <row r="27" spans="1:31" ht="116">
      <c r="A27" s="1" t="s">
        <v>234</v>
      </c>
      <c r="B27" s="1" t="s">
        <v>449</v>
      </c>
      <c r="C27" s="1" t="s">
        <v>450</v>
      </c>
      <c r="D27" s="1"/>
      <c r="E27" s="1"/>
      <c r="F27" s="1"/>
      <c r="G27" s="7" t="s">
        <v>504</v>
      </c>
      <c r="H27" s="7">
        <v>1</v>
      </c>
      <c r="I27" s="7">
        <v>4</v>
      </c>
      <c r="J27" s="7">
        <v>16</v>
      </c>
      <c r="K27" s="7"/>
      <c r="L27" s="7" t="s">
        <v>536</v>
      </c>
      <c r="M27" s="7" t="s">
        <v>594</v>
      </c>
      <c r="N27" s="8" t="s">
        <v>604</v>
      </c>
      <c r="O27" s="7"/>
      <c r="P27" s="7">
        <v>311</v>
      </c>
      <c r="Q27" s="7">
        <v>24.973901871035093</v>
      </c>
      <c r="R27" s="7"/>
      <c r="S27" s="7" t="s">
        <v>614</v>
      </c>
      <c r="T27" s="7" t="s">
        <v>614</v>
      </c>
      <c r="U27" s="7"/>
      <c r="V27" s="7"/>
      <c r="W27" s="7"/>
      <c r="X27" s="7"/>
      <c r="Y27" s="7" t="s">
        <v>499</v>
      </c>
      <c r="Z27" s="7"/>
      <c r="AA27" s="7"/>
      <c r="AB27" s="7"/>
      <c r="AC27" s="7"/>
      <c r="AD27" s="7"/>
      <c r="AE27" t="s">
        <v>506</v>
      </c>
    </row>
    <row r="28" spans="1:31" ht="58">
      <c r="A28" s="1" t="s">
        <v>242</v>
      </c>
      <c r="B28" s="1" t="s">
        <v>457</v>
      </c>
      <c r="C28" s="1" t="s">
        <v>705</v>
      </c>
      <c r="D28" s="1"/>
      <c r="E28" s="1"/>
      <c r="F28" s="1" t="s">
        <v>339</v>
      </c>
      <c r="G28" s="7" t="s">
        <v>500</v>
      </c>
      <c r="H28" s="7">
        <v>0</v>
      </c>
      <c r="I28" s="7">
        <v>1</v>
      </c>
      <c r="J28" s="7">
        <v>4</v>
      </c>
      <c r="K28" s="7" t="s">
        <v>562</v>
      </c>
      <c r="L28" s="7" t="s">
        <v>542</v>
      </c>
      <c r="M28" s="7"/>
      <c r="N28" s="8"/>
      <c r="O28" s="7"/>
      <c r="P28" s="7">
        <v>3713</v>
      </c>
      <c r="Q28" s="7">
        <v>298.16108568216498</v>
      </c>
      <c r="R28" s="7"/>
      <c r="S28" s="7" t="s">
        <v>614</v>
      </c>
      <c r="T28" s="7" t="s">
        <v>614</v>
      </c>
      <c r="U28" s="7"/>
      <c r="V28" s="7"/>
      <c r="W28" s="7"/>
      <c r="X28" s="7"/>
      <c r="Y28" s="7" t="s">
        <v>499</v>
      </c>
      <c r="Z28" s="7"/>
      <c r="AA28" s="7"/>
      <c r="AB28" s="7"/>
      <c r="AC28" s="7"/>
      <c r="AD28" s="7"/>
      <c r="AE28" t="s">
        <v>506</v>
      </c>
    </row>
    <row r="29" spans="1:31" ht="101.5">
      <c r="A29" s="1" t="s">
        <v>253</v>
      </c>
      <c r="B29" s="1" t="s">
        <v>460</v>
      </c>
      <c r="C29" s="1" t="s">
        <v>461</v>
      </c>
      <c r="D29" s="1"/>
      <c r="E29" s="1"/>
      <c r="F29" s="1"/>
      <c r="G29" s="7" t="s">
        <v>504</v>
      </c>
      <c r="H29" s="7">
        <v>0</v>
      </c>
      <c r="I29" s="7">
        <v>3</v>
      </c>
      <c r="J29" s="7">
        <v>14</v>
      </c>
      <c r="K29" s="7"/>
      <c r="L29" s="7" t="s">
        <v>536</v>
      </c>
      <c r="M29" s="7" t="s">
        <v>594</v>
      </c>
      <c r="N29" s="8" t="s">
        <v>714</v>
      </c>
      <c r="O29" s="7"/>
      <c r="P29" s="7">
        <v>367</v>
      </c>
      <c r="Q29" s="7">
        <v>29.470810246526941</v>
      </c>
      <c r="R29" s="7"/>
      <c r="S29" s="7" t="s">
        <v>614</v>
      </c>
      <c r="T29" s="7" t="s">
        <v>614</v>
      </c>
      <c r="U29" s="7"/>
      <c r="V29" s="7"/>
      <c r="W29" s="7"/>
      <c r="X29" s="7"/>
      <c r="Y29" s="7" t="s">
        <v>499</v>
      </c>
      <c r="Z29" s="7"/>
      <c r="AA29" s="7"/>
      <c r="AB29" s="7"/>
      <c r="AC29" s="7"/>
      <c r="AD29" s="7"/>
      <c r="AE29" t="s">
        <v>506</v>
      </c>
    </row>
    <row r="30" spans="1:31" ht="29">
      <c r="A30" s="1" t="s">
        <v>261</v>
      </c>
      <c r="B30" s="1" t="s">
        <v>471</v>
      </c>
      <c r="C30" s="1" t="s">
        <v>472</v>
      </c>
      <c r="D30" s="1"/>
      <c r="E30" s="1"/>
      <c r="F30" s="1"/>
      <c r="G30" s="7" t="s">
        <v>500</v>
      </c>
      <c r="H30" s="7">
        <v>0</v>
      </c>
      <c r="I30" s="7">
        <v>1</v>
      </c>
      <c r="J30" s="7">
        <v>2</v>
      </c>
      <c r="K30" s="7" t="s">
        <v>541</v>
      </c>
      <c r="L30" s="7" t="s">
        <v>550</v>
      </c>
      <c r="M30" s="7"/>
      <c r="N30" s="8"/>
      <c r="O30" s="7"/>
      <c r="P30" s="7">
        <v>19277</v>
      </c>
      <c r="Q30" s="7">
        <v>1547.9804063277925</v>
      </c>
      <c r="R30" s="7"/>
      <c r="S30" s="7" t="s">
        <v>614</v>
      </c>
      <c r="T30" s="7" t="s">
        <v>614</v>
      </c>
      <c r="U30" s="7"/>
      <c r="V30" s="7"/>
      <c r="W30" s="7"/>
      <c r="X30" s="7"/>
      <c r="Y30" s="7" t="s">
        <v>499</v>
      </c>
      <c r="Z30" s="7"/>
      <c r="AA30" s="7"/>
      <c r="AB30" s="7"/>
      <c r="AC30" s="7"/>
      <c r="AD30" s="7"/>
      <c r="AE30" t="s">
        <v>506</v>
      </c>
    </row>
    <row r="31" spans="1:31" ht="87">
      <c r="A31" s="1" t="s">
        <v>274</v>
      </c>
      <c r="B31" s="1" t="s">
        <v>729</v>
      </c>
      <c r="C31" s="1" t="s">
        <v>730</v>
      </c>
      <c r="D31" s="1" t="s">
        <v>501</v>
      </c>
      <c r="E31" s="1"/>
      <c r="F31" s="1"/>
      <c r="G31" s="7" t="s">
        <v>504</v>
      </c>
      <c r="H31" s="7">
        <v>0</v>
      </c>
      <c r="I31" s="7">
        <v>1</v>
      </c>
      <c r="J31" s="7">
        <v>3</v>
      </c>
      <c r="K31" s="7" t="s">
        <v>554</v>
      </c>
      <c r="L31" s="7" t="s">
        <v>542</v>
      </c>
      <c r="M31" s="7"/>
      <c r="N31" s="8"/>
      <c r="O31" s="7"/>
      <c r="P31" s="7">
        <v>11721</v>
      </c>
      <c r="Q31" s="7">
        <v>941.2189833774994</v>
      </c>
      <c r="R31" s="7"/>
      <c r="S31" s="7" t="s">
        <v>614</v>
      </c>
      <c r="T31" s="7" t="s">
        <v>614</v>
      </c>
      <c r="U31" s="7"/>
      <c r="V31" s="7"/>
      <c r="W31" s="7"/>
      <c r="X31" s="7"/>
      <c r="Y31" s="7" t="s">
        <v>499</v>
      </c>
      <c r="Z31" s="7"/>
      <c r="AA31" s="7"/>
      <c r="AB31" s="7"/>
      <c r="AC31" s="7"/>
      <c r="AD31" s="7"/>
      <c r="AE31" t="s">
        <v>506</v>
      </c>
    </row>
    <row r="32" spans="1:31" ht="72.5">
      <c r="A32" s="1" t="s">
        <v>313</v>
      </c>
      <c r="B32" s="1" t="s">
        <v>482</v>
      </c>
      <c r="C32" s="1" t="s">
        <v>483</v>
      </c>
      <c r="D32" s="1"/>
      <c r="E32" s="1"/>
      <c r="F32" s="1"/>
      <c r="G32" s="7" t="s">
        <v>504</v>
      </c>
      <c r="H32" s="7">
        <v>0</v>
      </c>
      <c r="I32" s="7">
        <v>1</v>
      </c>
      <c r="J32" s="7">
        <v>12</v>
      </c>
      <c r="K32" s="7" t="s">
        <v>560</v>
      </c>
      <c r="L32" s="7" t="s">
        <v>536</v>
      </c>
      <c r="M32" s="7" t="s">
        <v>746</v>
      </c>
      <c r="N32" s="8" t="s">
        <v>649</v>
      </c>
      <c r="O32" s="7"/>
      <c r="P32" s="7">
        <v>106</v>
      </c>
      <c r="Q32" s="7">
        <v>8.5120051393238576</v>
      </c>
      <c r="R32" s="7"/>
      <c r="S32" s="7" t="s">
        <v>614</v>
      </c>
      <c r="T32" s="7" t="s">
        <v>614</v>
      </c>
      <c r="U32" s="7"/>
      <c r="V32" s="7"/>
      <c r="W32" s="7"/>
      <c r="X32" s="7"/>
      <c r="Y32" s="7" t="s">
        <v>499</v>
      </c>
      <c r="Z32" s="7"/>
      <c r="AA32" s="7"/>
      <c r="AB32" s="7"/>
      <c r="AC32" s="7"/>
      <c r="AD32" s="7"/>
      <c r="AE32" t="s">
        <v>506</v>
      </c>
    </row>
    <row r="33" spans="1:31" ht="217.5">
      <c r="A33" s="1" t="s">
        <v>326</v>
      </c>
      <c r="B33" s="1" t="s">
        <v>752</v>
      </c>
      <c r="C33" s="1" t="s">
        <v>751</v>
      </c>
      <c r="D33" s="1"/>
      <c r="E33" s="1"/>
      <c r="F33" s="1"/>
      <c r="G33" s="7" t="s">
        <v>504</v>
      </c>
      <c r="H33" s="7">
        <v>3</v>
      </c>
      <c r="I33" s="7">
        <v>11</v>
      </c>
      <c r="J33" s="7">
        <v>53</v>
      </c>
      <c r="K33" s="7"/>
      <c r="L33" s="7" t="s">
        <v>536</v>
      </c>
      <c r="M33" s="7" t="s">
        <v>594</v>
      </c>
      <c r="N33" s="8" t="s">
        <v>612</v>
      </c>
      <c r="O33" s="7"/>
      <c r="P33" s="7">
        <v>48</v>
      </c>
      <c r="Q33" s="7">
        <v>3.8544928932787279</v>
      </c>
      <c r="R33" s="7"/>
      <c r="S33" s="7" t="s">
        <v>614</v>
      </c>
      <c r="T33" s="7" t="s">
        <v>614</v>
      </c>
      <c r="U33" s="7"/>
      <c r="V33" s="7"/>
      <c r="W33" s="7"/>
      <c r="X33" s="7"/>
      <c r="Y33" s="7" t="s">
        <v>499</v>
      </c>
      <c r="Z33" s="7"/>
      <c r="AA33" s="7"/>
      <c r="AB33" s="7"/>
      <c r="AC33" s="7"/>
      <c r="AD33" s="7"/>
      <c r="AE33" t="s">
        <v>506</v>
      </c>
    </row>
    <row r="34" spans="1:31" ht="87">
      <c r="A34" s="1" t="s">
        <v>330</v>
      </c>
      <c r="B34" s="1" t="s">
        <v>494</v>
      </c>
      <c r="C34" s="1" t="s">
        <v>495</v>
      </c>
      <c r="D34" s="1"/>
      <c r="E34" s="1"/>
      <c r="F34" s="1"/>
      <c r="G34" s="7" t="s">
        <v>504</v>
      </c>
      <c r="H34" s="7">
        <v>1</v>
      </c>
      <c r="I34" s="7">
        <v>3</v>
      </c>
      <c r="J34" s="7">
        <v>14</v>
      </c>
      <c r="K34" s="7"/>
      <c r="L34" s="7" t="s">
        <v>536</v>
      </c>
      <c r="M34" s="7" t="s">
        <v>642</v>
      </c>
      <c r="N34" s="8" t="s">
        <v>757</v>
      </c>
      <c r="O34" s="7"/>
      <c r="P34" s="7">
        <v>119</v>
      </c>
      <c r="Q34" s="7">
        <v>9.5559302979201792</v>
      </c>
      <c r="R34" s="7"/>
      <c r="S34" s="7" t="s">
        <v>614</v>
      </c>
      <c r="T34" s="7" t="s">
        <v>614</v>
      </c>
      <c r="U34" s="7" t="s">
        <v>544</v>
      </c>
      <c r="V34" s="7"/>
      <c r="W34" s="7"/>
      <c r="X34" s="7"/>
      <c r="Y34" s="7" t="s">
        <v>499</v>
      </c>
      <c r="Z34" s="7"/>
      <c r="AA34" s="7"/>
      <c r="AB34" s="7"/>
      <c r="AC34" s="7"/>
      <c r="AD34" s="7"/>
      <c r="AE34" t="s">
        <v>506</v>
      </c>
    </row>
    <row r="37" spans="1:31">
      <c r="E37" t="s">
        <v>795</v>
      </c>
      <c r="F37">
        <f>COUNTIF(G:G,"Addition")</f>
        <v>8</v>
      </c>
    </row>
    <row r="38" spans="1:31">
      <c r="B38" t="s">
        <v>797</v>
      </c>
      <c r="C38" t="s">
        <v>798</v>
      </c>
      <c r="E38" t="s">
        <v>796</v>
      </c>
      <c r="F38">
        <f>COUNTIF(G:G,"Omission")</f>
        <v>25</v>
      </c>
    </row>
    <row r="39" spans="1:31">
      <c r="B39" t="s">
        <v>541</v>
      </c>
      <c r="C39" t="s">
        <v>535</v>
      </c>
      <c r="E39" t="s">
        <v>794</v>
      </c>
      <c r="F39">
        <f>F37/(F37+F38)</f>
        <v>0.24242424242424243</v>
      </c>
    </row>
    <row r="40" spans="1:31">
      <c r="B40" t="s">
        <v>554</v>
      </c>
      <c r="C40" t="s">
        <v>549</v>
      </c>
    </row>
    <row r="41" spans="1:31">
      <c r="B41" t="s">
        <v>562</v>
      </c>
      <c r="C41" t="s">
        <v>560</v>
      </c>
    </row>
    <row r="42" spans="1:31">
      <c r="B42" t="s">
        <v>564</v>
      </c>
      <c r="C42" t="s">
        <v>566</v>
      </c>
      <c r="E42" t="s">
        <v>799</v>
      </c>
      <c r="F42">
        <f>COUNTIFS(G:G,"Addition", K:K,"Article")+COUNTIFS(G:G,"Addition", K:K,"Conjunction")+COUNTIFS(G:G,"Addition", K:K,"Pronoun")+COUNTIFS(G:G,"Addition", K:K,"Preposition")+COUNTIFS(G:G,"Addition", K:K,"Particle")+COUNTIFS(G:G,"Addition", K:K,"Vocative")</f>
        <v>6</v>
      </c>
    </row>
    <row r="43" spans="1:31">
      <c r="B43" t="s">
        <v>568</v>
      </c>
      <c r="C43" t="s">
        <v>593</v>
      </c>
      <c r="E43" t="s">
        <v>800</v>
      </c>
      <c r="F43">
        <f>COUNTIFS(G:G,"Omission", K:K,"Article")+COUNTIFS(G:G,"Omission", K:K,"Conjunction")+COUNTIFS(G:G,"Omission", K:K,"Pronoun")+COUNTIFS(G:G,"Omission", K:K,"Preposition")+COUNTIFS(G:G,"Omission", K:K,"Particle")+COUNTIFS(G:G,"Omission", K:K,"Vocative")</f>
        <v>10</v>
      </c>
    </row>
    <row r="44" spans="1:31">
      <c r="B44" t="s">
        <v>569</v>
      </c>
      <c r="E44" t="s">
        <v>801</v>
      </c>
      <c r="F44">
        <f>F42/(F42+F43)</f>
        <v>0.375</v>
      </c>
    </row>
    <row r="47" spans="1:31">
      <c r="E47" t="s">
        <v>806</v>
      </c>
      <c r="F47">
        <f>COUNTIFS(G:G,"Addition", K:K,"Adjective")+COUNTIFS(G:G,"Addition", K:K,"Adverb")+COUNTIFS(G:G,"Addition", K:K,"Noun")+COUNTIFS(G:G,"Addition", K:K,"Participle")+COUNTIFS(G:G,"Addition", K:K,"Verb")</f>
        <v>0</v>
      </c>
    </row>
    <row r="48" spans="1:31">
      <c r="E48" t="s">
        <v>807</v>
      </c>
      <c r="F48">
        <f>COUNTIFS(G:G,"Omission", K:K,"Adjective")+COUNTIFS(G:G,"Omission", K:K,"Adverb")+COUNTIFS(G:G,"Omission", K:K,"Noun")+COUNTIFS(G:G,"Omission", K:K,"Participle")+COUNTIFS(G:G,"Omission", K:K,"Verb")</f>
        <v>1</v>
      </c>
    </row>
    <row r="49" spans="3:20">
      <c r="E49" t="s">
        <v>808</v>
      </c>
      <c r="F49">
        <f>F47/(F47+F48)</f>
        <v>0</v>
      </c>
    </row>
    <row r="50" spans="3:20">
      <c r="E50" t="s">
        <v>816</v>
      </c>
      <c r="F50">
        <f>F49-F44</f>
        <v>-0.375</v>
      </c>
    </row>
    <row r="53" spans="3:20">
      <c r="D53" s="13" t="s">
        <v>809</v>
      </c>
      <c r="E53" s="13"/>
      <c r="F53" s="13"/>
    </row>
    <row r="54" spans="3:20">
      <c r="D54" t="s">
        <v>536</v>
      </c>
      <c r="E54" t="s">
        <v>810</v>
      </c>
      <c r="F54" t="s">
        <v>811</v>
      </c>
    </row>
    <row r="55" spans="3:20">
      <c r="C55" t="s">
        <v>803</v>
      </c>
      <c r="D55">
        <f>COUNTIFS(G:G,"Addition", L:L, "Present")</f>
        <v>2</v>
      </c>
      <c r="E55">
        <f>COUNTIFS(G:G,"Addition", L:L, "Absent")</f>
        <v>2</v>
      </c>
      <c r="F55">
        <f>D55/(D55+E55)</f>
        <v>0.5</v>
      </c>
    </row>
    <row r="56" spans="3:20">
      <c r="C56" t="s">
        <v>804</v>
      </c>
      <c r="D56">
        <f>COUNTIFS(G:G,"Omission", L:L, "Present")</f>
        <v>15</v>
      </c>
      <c r="E56">
        <f>COUNTIFS(G:G,"Omission", L:L, "Absent")</f>
        <v>6</v>
      </c>
      <c r="F56">
        <f>D56/(D56+E56)</f>
        <v>0.7142857142857143</v>
      </c>
    </row>
    <row r="57" spans="3:20">
      <c r="C57" t="s">
        <v>812</v>
      </c>
      <c r="D57">
        <f>SUM(D55+D56)</f>
        <v>17</v>
      </c>
      <c r="E57">
        <f>SUM(E55+E56)</f>
        <v>8</v>
      </c>
      <c r="F57">
        <f>D57/(D57+E57)</f>
        <v>0.68</v>
      </c>
    </row>
    <row r="60" spans="3:20">
      <c r="D60" t="s">
        <v>803</v>
      </c>
      <c r="E60" t="s">
        <v>804</v>
      </c>
      <c r="F60" t="s">
        <v>817</v>
      </c>
    </row>
    <row r="61" spans="3:20">
      <c r="C61" t="s">
        <v>818</v>
      </c>
      <c r="D61">
        <f>COUNTIFS(G:G,"Addition", L:L, "Absent")</f>
        <v>2</v>
      </c>
      <c r="E61">
        <f>COUNTIFS(G:G,"Omission", L:L, "Absent")</f>
        <v>6</v>
      </c>
      <c r="F61">
        <f>D61/(D61+E61)</f>
        <v>0.25</v>
      </c>
    </row>
    <row r="62" spans="3:20">
      <c r="C62" t="s">
        <v>819</v>
      </c>
      <c r="D62">
        <f>COUNTIFS(G:G,"Addition", L:L, "Present")</f>
        <v>2</v>
      </c>
      <c r="E62">
        <f>COUNTIFS(G:G,"Omission", L:L, "Present")</f>
        <v>15</v>
      </c>
      <c r="F62">
        <f>D62/(D62+E62)</f>
        <v>0.11764705882352941</v>
      </c>
    </row>
    <row r="63" spans="3:20">
      <c r="E63" t="s">
        <v>871</v>
      </c>
      <c r="F63">
        <f>F62-F61</f>
        <v>-0.13235294117647059</v>
      </c>
      <c r="S63" s="7"/>
      <c r="T63" s="7"/>
    </row>
    <row r="66" spans="3:20">
      <c r="D66" t="s">
        <v>803</v>
      </c>
      <c r="E66" t="s">
        <v>804</v>
      </c>
      <c r="F66" t="s">
        <v>817</v>
      </c>
    </row>
    <row r="67" spans="3:20">
      <c r="C67" t="s">
        <v>820</v>
      </c>
      <c r="D67">
        <f>COUNTIFS(G:G,"Addition", O:O, "")</f>
        <v>6</v>
      </c>
      <c r="E67">
        <f>COUNTIFS(G:G,"Omission", O:O, "")</f>
        <v>24</v>
      </c>
      <c r="F67">
        <f>D67/(D67+E67)</f>
        <v>0.2</v>
      </c>
    </row>
    <row r="68" spans="3:20">
      <c r="C68" t="s">
        <v>821</v>
      </c>
      <c r="D68">
        <f>COUNTIFS(G:G,"Addition", O:O, "Dittography")</f>
        <v>1</v>
      </c>
      <c r="E68">
        <f>COUNTIFS(G:G,"Omission", O:O, "Dittography")</f>
        <v>1</v>
      </c>
      <c r="F68">
        <f>D68/(D68+E68)</f>
        <v>0.5</v>
      </c>
    </row>
    <row r="69" spans="3:20">
      <c r="E69" t="s">
        <v>871</v>
      </c>
      <c r="F69">
        <f>F68-F67</f>
        <v>0.3</v>
      </c>
      <c r="S69" s="7"/>
      <c r="T69" s="7"/>
    </row>
    <row r="72" spans="3:20">
      <c r="C72" t="s">
        <v>802</v>
      </c>
      <c r="D72" t="s">
        <v>803</v>
      </c>
      <c r="E72" t="s">
        <v>804</v>
      </c>
      <c r="F72" t="s">
        <v>817</v>
      </c>
    </row>
    <row r="73" spans="3:20">
      <c r="C73" s="11">
        <v>1</v>
      </c>
      <c r="D73">
        <f>COUNTIFS(G:G,"Addition", I:I, 1)</f>
        <v>6</v>
      </c>
      <c r="E73">
        <f>COUNTIFS(G:G,"Omission", I:I, 1)</f>
        <v>11</v>
      </c>
      <c r="F73">
        <f>D73/(D73+E73)</f>
        <v>0.35294117647058826</v>
      </c>
    </row>
    <row r="74" spans="3:20">
      <c r="C74" s="11" t="s">
        <v>822</v>
      </c>
      <c r="D74">
        <f>COUNTIFS(G:G,"Addition", I:I, "&gt;=2", I:I, "&lt;=3")</f>
        <v>1</v>
      </c>
      <c r="E74">
        <f>COUNTIFS(G:G,"Omission", I:I, "&gt;=2", I:I, "&lt;=3")</f>
        <v>5</v>
      </c>
      <c r="F74">
        <f t="shared" ref="F74:F75" si="0">D74/(D74+E74)</f>
        <v>0.16666666666666666</v>
      </c>
    </row>
    <row r="75" spans="3:20">
      <c r="C75" s="11" t="s">
        <v>823</v>
      </c>
      <c r="D75">
        <f>COUNTIFS(G:G,"Addition", I:I, "&gt;=4")</f>
        <v>1</v>
      </c>
      <c r="E75">
        <f>COUNTIFS(G:G,"Omission", I:I, "&gt;=4")</f>
        <v>9</v>
      </c>
      <c r="F75">
        <f t="shared" si="0"/>
        <v>0.1</v>
      </c>
    </row>
    <row r="78" spans="3:20">
      <c r="C78" t="s">
        <v>802</v>
      </c>
      <c r="D78" t="s">
        <v>803</v>
      </c>
      <c r="E78" t="s">
        <v>804</v>
      </c>
      <c r="F78" t="s">
        <v>805</v>
      </c>
    </row>
    <row r="79" spans="3:20">
      <c r="C79">
        <v>1</v>
      </c>
      <c r="D79" s="11">
        <f>COUNTIFS(G:G,"Addition", I:I, C79)</f>
        <v>6</v>
      </c>
      <c r="E79">
        <f>COUNTIFS(G:G,"Omission", I:I, C79)</f>
        <v>11</v>
      </c>
      <c r="F79">
        <f>D79/(D79+E79)</f>
        <v>0.35294117647058826</v>
      </c>
    </row>
    <row r="80" spans="3:20">
      <c r="C80">
        <v>2</v>
      </c>
      <c r="D80" s="11">
        <f>COUNTIFS(G:G,"Addition", I:I, C80)</f>
        <v>0</v>
      </c>
      <c r="E80">
        <f>COUNTIFS(G:G,"Omission", I:I, C80)</f>
        <v>1</v>
      </c>
      <c r="F80">
        <f t="shared" ref="F80:F83" si="1">D80/(D80+E80)</f>
        <v>0</v>
      </c>
    </row>
    <row r="81" spans="3:6">
      <c r="C81">
        <v>3</v>
      </c>
      <c r="D81" s="11">
        <f>COUNTIFS(G:G,"Addition", I:I, C81)</f>
        <v>1</v>
      </c>
      <c r="E81">
        <f>COUNTIFS(G:G,"Omission", I:I, C81)</f>
        <v>4</v>
      </c>
      <c r="F81">
        <f t="shared" si="1"/>
        <v>0.2</v>
      </c>
    </row>
    <row r="82" spans="3:6">
      <c r="C82">
        <v>4</v>
      </c>
      <c r="D82" s="11">
        <f>COUNTIFS(G:G,"Addition", I:I, C82)</f>
        <v>0</v>
      </c>
      <c r="E82">
        <f>COUNTIFS(G:G,"Omission", I:I, C82)</f>
        <v>4</v>
      </c>
      <c r="F82">
        <f t="shared" si="1"/>
        <v>0</v>
      </c>
    </row>
    <row r="83" spans="3:6">
      <c r="C83" t="s">
        <v>824</v>
      </c>
      <c r="D83" s="11">
        <f>COUNTIFS(G:G,"Addition", I:I, C83)</f>
        <v>1</v>
      </c>
      <c r="E83">
        <f>COUNTIFS(G:G,"Omission", I:I, C83)</f>
        <v>5</v>
      </c>
      <c r="F83">
        <f t="shared" si="1"/>
        <v>0.16666666666666666</v>
      </c>
    </row>
    <row r="84" spans="3:6">
      <c r="D84" s="11"/>
    </row>
    <row r="86" spans="3:6">
      <c r="E86" t="s">
        <v>825</v>
      </c>
      <c r="F86">
        <v>124530</v>
      </c>
    </row>
  </sheetData>
  <mergeCells count="1">
    <mergeCell ref="D53:F53"/>
  </mergeCells>
  <conditionalFormatting sqref="G2:G34">
    <cfRule type="expression" dxfId="141" priority="24">
      <formula>$I2&lt;&gt;""</formula>
    </cfRule>
    <cfRule type="expression" dxfId="140" priority="25">
      <formula>$I2=""</formula>
    </cfRule>
  </conditionalFormatting>
  <conditionalFormatting sqref="H2:L34 O2:P34">
    <cfRule type="expression" dxfId="139" priority="22">
      <formula>AND(OR($I2="Addition",$I2="Omission"), H2="")</formula>
    </cfRule>
    <cfRule type="expression" dxfId="138" priority="23">
      <formula>AND($I2&lt;&gt;"Addition",$I2&lt;&gt;"Omission",$I2&lt;&gt;"Substitution - Word")</formula>
    </cfRule>
  </conditionalFormatting>
  <conditionalFormatting sqref="H2:P34">
    <cfRule type="expression" dxfId="137" priority="21">
      <formula>AND(OR($I2="Addition",$I2="Omission"), H2&lt;&gt;"")</formula>
    </cfRule>
  </conditionalFormatting>
  <conditionalFormatting sqref="K2:K34">
    <cfRule type="expression" dxfId="136" priority="16">
      <formula>AND($K2&lt;&gt;"",$K2&gt;1)</formula>
    </cfRule>
  </conditionalFormatting>
  <conditionalFormatting sqref="M2:N34">
    <cfRule type="expression" dxfId="135" priority="12">
      <formula>$N2="Absent"</formula>
    </cfRule>
    <cfRule type="expression" dxfId="134" priority="13">
      <formula>$N2="NA"</formula>
    </cfRule>
    <cfRule type="expression" dxfId="133" priority="14">
      <formula>AND(OR($I2="Addition",$I2="Omission"), M2="")</formula>
    </cfRule>
    <cfRule type="expression" dxfId="132" priority="15">
      <formula>AND($I2&lt;&gt;"Addition",$I2&lt;&gt;"Omission")</formula>
    </cfRule>
  </conditionalFormatting>
  <conditionalFormatting sqref="O2:O34">
    <cfRule type="expression" dxfId="131" priority="17">
      <formula>AND(OR($I2="Addition",$I2="Omission",$I2="Substitution - Word"),RIGHT($AE2,6)&lt;&gt;"strict",$AD2&lt;&gt;"Yes")</formula>
    </cfRule>
  </conditionalFormatting>
  <conditionalFormatting sqref="Q2:Q34">
    <cfRule type="expression" dxfId="130" priority="2">
      <formula>AND(OR($I2="Addition",$I2="Omission"), Q2&lt;&gt;"")</formula>
    </cfRule>
    <cfRule type="expression" dxfId="129" priority="3">
      <formula>AND(OR($I2="Addition",$I2="Omission"), Q2="")</formula>
    </cfRule>
    <cfRule type="expression" dxfId="128" priority="4">
      <formula>AND($I2&lt;&gt;"Addition",$I2&lt;&gt;"Omission",$I2&lt;&gt;"Substitution - Word")</formula>
    </cfRule>
  </conditionalFormatting>
  <conditionalFormatting sqref="R2:T34">
    <cfRule type="expression" dxfId="127" priority="18">
      <formula>AND(AND(LEFT($I2,3)="Sub", RIGHT($I2,4)&lt;&gt;"Form"),$T2&lt;&gt;"")</formula>
    </cfRule>
    <cfRule type="expression" dxfId="126" priority="19">
      <formula>AND(AND(LEFT($I2,3)="Sub", RIGHT($I2,4)&lt;&gt;"Form"),$T2="")</formula>
    </cfRule>
    <cfRule type="expression" dxfId="125" priority="20">
      <formula>"&lt;&gt;AND(LEFT($J2,3)=""Sub"", RIGHT($J2,4)&lt;&gt;""Form"")"</formula>
    </cfRule>
  </conditionalFormatting>
  <conditionalFormatting sqref="S63:T63">
    <cfRule type="expression" dxfId="124" priority="31">
      <formula>AND(AND(LEFT($I63,3)="Sub", RIGHT($I63,4)&lt;&gt;"Form"),$T63&lt;&gt;"")</formula>
    </cfRule>
    <cfRule type="expression" dxfId="123" priority="32">
      <formula>AND(AND(LEFT($I63,3)="Sub", RIGHT($I63,4)&lt;&gt;"Form"),$T63="")</formula>
    </cfRule>
    <cfRule type="expression" dxfId="122" priority="33">
      <formula>"&lt;&gt;AND(LEFT($J2,3)=""Sub"", RIGHT($J2,4)&lt;&gt;""Form"")"</formula>
    </cfRule>
  </conditionalFormatting>
  <conditionalFormatting sqref="S69:T69">
    <cfRule type="expression" dxfId="121" priority="28">
      <formula>AND(AND(LEFT($I69,3)="Sub", RIGHT($I69,4)&lt;&gt;"Form"),$T69&lt;&gt;"")</formula>
    </cfRule>
    <cfRule type="expression" dxfId="120" priority="29">
      <formula>AND(AND(LEFT($I69,3)="Sub", RIGHT($I69,4)&lt;&gt;"Form"),$T69="")</formula>
    </cfRule>
    <cfRule type="expression" dxfId="119" priority="30">
      <formula>"&lt;&gt;AND(LEFT($J2,3)=""Sub"", RIGHT($J2,4)&lt;&gt;""Form"")"</formula>
    </cfRule>
  </conditionalFormatting>
  <conditionalFormatting sqref="U2:U34">
    <cfRule type="expression" dxfId="118" priority="6">
      <formula>AND($W2&lt;&gt;"",OR($AD2="Yes",$AE2&lt;&gt;""))</formula>
    </cfRule>
    <cfRule type="expression" dxfId="117" priority="7">
      <formula>OR($AD2="Yes",$AE2&lt;&gt;"")</formula>
    </cfRule>
    <cfRule type="expression" dxfId="116" priority="10">
      <formula>AND($AD2&lt;&gt;"Yes",$AE2="")</formula>
    </cfRule>
  </conditionalFormatting>
  <conditionalFormatting sqref="U2:AD12">
    <cfRule type="expression" dxfId="115" priority="26">
      <formula>AND($I2&lt;&gt;"",$I2&lt;&gt;"Unclear due to correction")</formula>
    </cfRule>
  </conditionalFormatting>
  <conditionalFormatting sqref="U2:AD34">
    <cfRule type="expression" dxfId="114" priority="27">
      <formula>OR($I2="",$I2="Unclear due to correction")</formula>
    </cfRule>
  </conditionalFormatting>
  <conditionalFormatting sqref="U13:AD34">
    <cfRule type="expression" dxfId="113" priority="1">
      <formula>AND($I13&lt;&gt;"",$I13&lt;&gt;"Unclear due to correction")</formula>
    </cfRule>
  </conditionalFormatting>
  <conditionalFormatting sqref="V2:V34">
    <cfRule type="expression" dxfId="112" priority="5">
      <formula>AND($I2&lt;&gt;"",$I2&lt;&gt;"Unclear due to correction",$X2="")</formula>
    </cfRule>
  </conditionalFormatting>
  <conditionalFormatting sqref="W2:W34">
    <cfRule type="expression" dxfId="111" priority="8">
      <formula>AND($X2="Yes",$Y2="")</formula>
    </cfRule>
    <cfRule type="expression" dxfId="110" priority="9">
      <formula>$X2=""</formula>
    </cfRule>
  </conditionalFormatting>
  <conditionalFormatting sqref="AB2:AB34">
    <cfRule type="expression" dxfId="109" priority="11">
      <formula>AND(OR($AB2&lt;&gt;"",$AC2&lt;&gt;""),$AD2="")</formula>
    </cfRule>
  </conditionalFormatting>
  <dataValidations count="1">
    <dataValidation type="list" allowBlank="1" showInputMessage="1" showErrorMessage="1" sqref="AE2:AE34" xr:uid="{992FC93D-62F6-4B1C-8E10-E711AC380D3A}">
      <formula1>"Yes, 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3C15E9E-0D40-430C-8FEB-AEEBC7101C85}">
          <x14:formula1>
            <xm:f>'Data Regularization'!$A$2:$A$1048576</xm:f>
          </x14:formula1>
          <xm:sqref>D2:D34</xm:sqref>
        </x14:dataValidation>
        <x14:dataValidation type="list" allowBlank="1" showInputMessage="1" showErrorMessage="1" xr:uid="{BEC9A25F-5BD6-45E0-8C38-DA33B69CC4EC}">
          <x14:formula1>
            <xm:f>'Data Regularization'!$B$2:$B$1048576</xm:f>
          </x14:formula1>
          <xm:sqref>E2:E34</xm:sqref>
        </x14:dataValidation>
        <x14:dataValidation type="list" allowBlank="1" showInputMessage="1" showErrorMessage="1" xr:uid="{72C19008-969C-4BED-80E6-D576F8AB91D6}">
          <x14:formula1>
            <xm:f>'Data Regularization'!$C$2:$C$1048576</xm:f>
          </x14:formula1>
          <xm:sqref>F2:F34</xm:sqref>
        </x14:dataValidation>
        <x14:dataValidation type="list" allowBlank="1" showInputMessage="1" showErrorMessage="1" xr:uid="{F630D8E1-5AD4-4536-A0D0-3F7A1D30FBFF}">
          <x14:formula1>
            <xm:f>'Data Regularization'!$D$2:$D$1048576</xm:f>
          </x14:formula1>
          <xm:sqref>G2:G34</xm:sqref>
        </x14:dataValidation>
        <x14:dataValidation type="list" allowBlank="1" showInputMessage="1" showErrorMessage="1" xr:uid="{32528C8F-AA2D-40BC-8A33-B93400D51D2C}">
          <x14:formula1>
            <xm:f>'Data Regularization'!$E$2:$E$1048576</xm:f>
          </x14:formula1>
          <xm:sqref>K2:K34</xm:sqref>
        </x14:dataValidation>
        <x14:dataValidation type="list" allowBlank="1" showInputMessage="1" showErrorMessage="1" xr:uid="{30EBEB39-F717-4F93-9CF3-61B35F2E8437}">
          <x14:formula1>
            <xm:f>'Data Regularization'!$F$2:$F$1048576</xm:f>
          </x14:formula1>
          <xm:sqref>L2:L34</xm:sqref>
        </x14:dataValidation>
        <x14:dataValidation type="list" allowBlank="1" showInputMessage="1" showErrorMessage="1" xr:uid="{5E60302D-DC7A-4682-97D3-FF92C88E87E4}">
          <x14:formula1>
            <xm:f>'Data Regularization'!$G$2:$G$1048576</xm:f>
          </x14:formula1>
          <xm:sqref>O2:O34</xm:sqref>
        </x14:dataValidation>
        <x14:dataValidation type="list" allowBlank="1" showInputMessage="1" showErrorMessage="1" xr:uid="{113DA352-E66F-4DC9-9B4C-B8AB07B90472}">
          <x14:formula1>
            <xm:f>'Data Regularization'!$H$2:$H$1048576</xm:f>
          </x14:formula1>
          <xm:sqref>U2:U34</xm:sqref>
        </x14:dataValidation>
        <x14:dataValidation type="list" allowBlank="1" showInputMessage="1" xr:uid="{0AC131B5-911D-46D1-A86E-BD21A081475C}">
          <x14:formula1>
            <xm:f>'Data Regularization'!$I$2:$I$1048576</xm:f>
          </x14:formula1>
          <xm:sqref>V2:V34</xm:sqref>
        </x14:dataValidation>
        <x14:dataValidation type="list" allowBlank="1" showInputMessage="1" showErrorMessage="1" xr:uid="{BEE5C31C-1925-4A60-9FB5-B4F4133ACD79}">
          <x14:formula1>
            <xm:f>'Data Regularization'!$K$2:$K$1048576</xm:f>
          </x14:formula1>
          <xm:sqref>X2:X34</xm:sqref>
        </x14:dataValidation>
        <x14:dataValidation type="list" allowBlank="1" showInputMessage="1" showErrorMessage="1" xr:uid="{D4525FA6-6588-4127-8E18-CD062B233E71}">
          <x14:formula1>
            <xm:f>'Data Regularization'!$J$2:$J$1048576</xm:f>
          </x14:formula1>
          <xm:sqref>W2:W34</xm:sqref>
        </x14:dataValidation>
        <x14:dataValidation type="list" allowBlank="1" showInputMessage="1" showErrorMessage="1" xr:uid="{B9A4D74D-9149-4A8C-AB17-1B38F0220497}">
          <x14:formula1>
            <xm:f>'Data Regularization'!$L$2:$L$1048576</xm:f>
          </x14:formula1>
          <xm:sqref>Y2:Y34</xm:sqref>
        </x14:dataValidation>
        <x14:dataValidation type="list" allowBlank="1" showInputMessage="1" showErrorMessage="1" xr:uid="{2D4FE5D5-62D5-457D-AC6F-8B3399A26CE8}">
          <x14:formula1>
            <xm:f>'Data Regularization'!$M$2:$M$1048576</xm:f>
          </x14:formula1>
          <xm:sqref>Z2:Z34</xm:sqref>
        </x14:dataValidation>
        <x14:dataValidation type="list" allowBlank="1" showInputMessage="1" showErrorMessage="1" xr:uid="{D3B4D364-8C86-4BC8-9E35-33E100F0B4E3}">
          <x14:formula1>
            <xm:f>'Data Regularization'!$O$2:$O$1048576</xm:f>
          </x14:formula1>
          <xm:sqref>AC2:AC34</xm:sqref>
        </x14:dataValidation>
        <x14:dataValidation type="list" allowBlank="1" showInputMessage="1" showErrorMessage="1" xr:uid="{8ED2541C-745A-4208-8B70-A89930419E7D}">
          <x14:formula1>
            <xm:f>'Data Regularization'!$P$2:$P$1048576</xm:f>
          </x14:formula1>
          <xm:sqref>AD2:AD34</xm:sqref>
        </x14:dataValidation>
        <x14:dataValidation type="list" allowBlank="1" showInputMessage="1" showErrorMessage="1" xr:uid="{47E53398-EE57-4ABD-97F1-AFA08061472C}">
          <x14:formula1>
            <xm:f>'Data Regularization'!$N$2:$N$1048576</xm:f>
          </x14:formula1>
          <xm:sqref>AB2:AB34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Unfiltered Data</vt:lpstr>
      <vt:lpstr>Gen-filters</vt:lpstr>
      <vt:lpstr>AddOmits</vt:lpstr>
      <vt:lpstr>WF_AO_LM</vt:lpstr>
      <vt:lpstr>WF_AO_HM</vt:lpstr>
      <vt:lpstr>WF_SUB</vt:lpstr>
      <vt:lpstr>Harmonization</vt:lpstr>
      <vt:lpstr>Gen-filters_2</vt:lpstr>
      <vt:lpstr>AddOmits_2</vt:lpstr>
      <vt:lpstr>WF_AO_LM_2</vt:lpstr>
      <vt:lpstr>WF_AO_HM_2</vt:lpstr>
      <vt:lpstr>WF_SUB_2</vt:lpstr>
      <vt:lpstr>Harmonization_2</vt:lpstr>
      <vt:lpstr>Gen-Error-Rates</vt:lpstr>
      <vt:lpstr>Corrections</vt:lpstr>
      <vt:lpstr>Data Regularization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Wilken</dc:creator>
  <cp:lastModifiedBy>Jonathan Wilken</cp:lastModifiedBy>
  <dcterms:created xsi:type="dcterms:W3CDTF">2022-11-18T18:06:54Z</dcterms:created>
  <dcterms:modified xsi:type="dcterms:W3CDTF">2025-10-23T16:33:42Z</dcterms:modified>
</cp:coreProperties>
</file>