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4.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jmwai\Desktop\SOMETHING NEW\"/>
    </mc:Choice>
  </mc:AlternateContent>
  <bookViews>
    <workbookView xWindow="0" yWindow="0" windowWidth="20490" windowHeight="6855"/>
  </bookViews>
  <sheets>
    <sheet name="BANK PERFORMANCE " sheetId="130" r:id="rId1"/>
    <sheet name="BRANCH PERFORMANCE" sheetId="127" r:id="rId2"/>
    <sheet name="ANALYSIS" sheetId="128" state="hidden" r:id="rId3"/>
    <sheet name="EXECUTIVE DASHBOARD" sheetId="140" state="hidden" r:id="rId4"/>
    <sheet name="ANALYSIS TWO" sheetId="133" state="hidden" r:id="rId5"/>
    <sheet name="HELPER CELL" sheetId="135" state="hidden" r:id="rId6"/>
    <sheet name="PBT GRAPH" sheetId="137" state="hidden" r:id="rId7"/>
    <sheet name="executive pivot" sheetId="138" state="hidden" r:id="rId8"/>
    <sheet name="DATA" sheetId="126" state="hidden" r:id="rId9"/>
    <sheet name="Sheet1" sheetId="141" state="hidden" r:id="rId10"/>
    <sheet name="BRANCH LIST" sheetId="132" state="hidden" r:id="rId11"/>
  </sheets>
  <externalReferences>
    <externalReference r:id="rId12"/>
    <externalReference r:id="rId13"/>
    <externalReference r:id="rId14"/>
    <externalReference r:id="rId15"/>
    <externalReference r:id="rId16"/>
  </externalReferences>
  <definedNames>
    <definedName name="_xlnm._FilterDatabase" localSheetId="8" hidden="1">DATA!$A$1:$J$2269</definedName>
    <definedName name="Alt_Chks_Msg">[1]Checks_BO!$I$56</definedName>
    <definedName name="AS2DocOpenMode" hidden="1">"AS2DocumentEdit"</definedName>
    <definedName name="branches">'[2]Base DATA'!$F$4:$F$35</definedName>
    <definedName name="BSJECR">[3]JE!$G$4:$G$816</definedName>
    <definedName name="BSJEDR">[3]JE!$F$4:$F$816</definedName>
    <definedName name="d">'[4]Look-up Tables'!$D$105:$D$106</definedName>
    <definedName name="Err_Chks_Msg">[1]Checks_BO!$I$14</definedName>
    <definedName name="FSID">[5]TB!$A$1:$A$508</definedName>
    <definedName name="fwfwef">'[4]Look-up Tables'!$D$89:$D$92</definedName>
    <definedName name="Inclusion">'[2]Inclusion Table(Loans)'!$B$3:$B$5</definedName>
    <definedName name="ISJECR">[3]JE!$I$4:$I$816</definedName>
    <definedName name="ISJEDR">[3]JE!$H$4:$H$816</definedName>
    <definedName name="JECODE">[3]JE!$C$4:$C$816</definedName>
    <definedName name="sdqwdqdqwdqwdqwd">'[4]Look-up Tables'!$D$81:$D$84</definedName>
    <definedName name="Sens_Chks_Msg">[1]Checks_BO!$I$40</definedName>
    <definedName name="Slicer_BRANCH">#N/A</definedName>
    <definedName name="Slicer_KPI">#N/A</definedName>
    <definedName name="Slicer_MONTH1">#N/A</definedName>
    <definedName name="TBADJ">[5]TB!$I$1:$I$508</definedName>
    <definedName name="TOC_Hdg_1" hidden="1">[1]Keys_BO!$B$7</definedName>
    <definedName name="TOC_Hdg_10" hidden="1">[1]Fcast_TA!$B$41</definedName>
    <definedName name="TOC_Hdg_11" hidden="1">[1]Fcast_TA!$B$50</definedName>
    <definedName name="TOC_Hdg_12" hidden="1">[1]Fcast_TA!$B$98</definedName>
    <definedName name="TOC_Hdg_13" hidden="1">[1]Fcast_TA!$B$115</definedName>
    <definedName name="TOC_Hdg_14" hidden="1">[1]CFS_TO!$B$89</definedName>
    <definedName name="TOC_Hdg_15" hidden="1">[1]Fcast_TO!$B$89</definedName>
    <definedName name="TOC_Hdg_16" hidden="1">[1]Fcast_TO!$B$183</definedName>
    <definedName name="TOC_Hdg_17" hidden="1">[1]Fcast_TO!$B$62</definedName>
    <definedName name="TOC_Hdg_2" hidden="1">[1]Keys_BO!$B$54</definedName>
    <definedName name="TOC_Hdg_21" hidden="1">[1]Fcast_TO!$B$16</definedName>
    <definedName name="TOC_Hdg_24" hidden="1">[1]Fcast_TO!$B$25</definedName>
    <definedName name="TOC_Hdg_3" hidden="1">[1]Keys_BO!$B$102</definedName>
    <definedName name="TOC_Hdg_32" hidden="1">[1]Fcast_TO!$B$157</definedName>
    <definedName name="TOC_Hdg_35" hidden="1">[1]CFS_TO!$B$16</definedName>
    <definedName name="TOC_Hdg_36" hidden="1">[1]CFS_TO!$B$53</definedName>
    <definedName name="TOC_Hdg_5" hidden="1">[1]Fcast_TA!$B$16</definedName>
    <definedName name="TOC_Hdg_6" hidden="1">[1]Checks_BO!$B$7</definedName>
    <definedName name="TOC_Hdg_7" hidden="1">[1]Checks_BO!$B$33</definedName>
    <definedName name="TOC_Hdg_8" hidden="1">[1]Checks_BO!$B$49</definedName>
    <definedName name="TOC_Hdg_9" hidden="1">[1]Fcast_TA!$B$29</definedName>
  </definedNames>
  <calcPr calcId="152511"/>
  <pivotCaches>
    <pivotCache cacheId="36"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130" l="1"/>
  <c r="I26" i="130"/>
  <c r="D45" i="141" l="1"/>
  <c r="E45" i="141"/>
  <c r="F45" i="141"/>
  <c r="G45" i="141"/>
  <c r="C45" i="141"/>
  <c r="D22" i="141"/>
  <c r="E22" i="141"/>
  <c r="F22" i="141"/>
  <c r="C22" i="141"/>
  <c r="N1" i="127" l="1"/>
  <c r="P2" i="135"/>
  <c r="L1" i="127" l="1"/>
  <c r="G14" i="127"/>
  <c r="L14" i="127"/>
  <c r="N2" i="140" l="1"/>
  <c r="K1" i="140"/>
  <c r="K14" i="127"/>
  <c r="H13" i="127"/>
  <c r="K7" i="127"/>
  <c r="G8" i="127"/>
  <c r="K6" i="127"/>
  <c r="G10" i="127"/>
  <c r="H11" i="127"/>
  <c r="L11" i="127"/>
  <c r="H6" i="127"/>
  <c r="H10" i="127"/>
  <c r="K10" i="127"/>
  <c r="K13" i="127"/>
  <c r="L7" i="127"/>
  <c r="H12" i="127"/>
  <c r="G13" i="127"/>
  <c r="L6" i="127"/>
  <c r="L13" i="127"/>
  <c r="G6" i="127"/>
  <c r="H8" i="127"/>
  <c r="H14" i="127"/>
  <c r="K11" i="127"/>
  <c r="G9" i="127"/>
  <c r="H7" i="127"/>
  <c r="G11" i="127"/>
  <c r="L9" i="127"/>
  <c r="L8" i="127"/>
  <c r="H9" i="127"/>
  <c r="K8" i="127"/>
  <c r="K9" i="127"/>
  <c r="G12" i="127"/>
  <c r="G7" i="127"/>
  <c r="L10" i="127"/>
  <c r="K12" i="127"/>
  <c r="L12" i="127"/>
  <c r="I15" i="140"/>
  <c r="J19" i="140"/>
  <c r="F12" i="140"/>
  <c r="J10" i="140"/>
  <c r="J23" i="140"/>
  <c r="E17" i="140"/>
  <c r="I20" i="140"/>
  <c r="E27" i="140"/>
  <c r="I14" i="140"/>
  <c r="F28" i="140"/>
  <c r="E14" i="140"/>
  <c r="F22" i="140"/>
  <c r="I11" i="140"/>
  <c r="F23" i="140"/>
  <c r="E19" i="140"/>
  <c r="F27" i="140"/>
  <c r="F20" i="140"/>
  <c r="I22" i="140"/>
  <c r="J17" i="140"/>
  <c r="M12" i="127" l="1"/>
  <c r="M9" i="127"/>
  <c r="M8" i="127"/>
  <c r="M11" i="127"/>
  <c r="M13" i="127"/>
  <c r="M10" i="127"/>
  <c r="M6" i="127"/>
  <c r="M7" i="127"/>
  <c r="I7" i="127"/>
  <c r="I10" i="127"/>
  <c r="I9" i="127"/>
  <c r="I8" i="127"/>
  <c r="I12" i="127"/>
  <c r="I11" i="127"/>
  <c r="I6" i="127"/>
  <c r="M14" i="127"/>
  <c r="I13" i="127"/>
  <c r="I14" i="127"/>
  <c r="G27" i="140"/>
  <c r="I16" i="140"/>
  <c r="F15" i="140"/>
  <c r="F11" i="140"/>
  <c r="J24" i="140"/>
  <c r="I29" i="140"/>
  <c r="F25" i="140"/>
  <c r="J26" i="140"/>
  <c r="E23" i="140"/>
  <c r="F16" i="140"/>
  <c r="F19" i="140"/>
  <c r="F21" i="140"/>
  <c r="J14" i="140"/>
  <c r="E29" i="140"/>
  <c r="E7" i="140"/>
  <c r="E10" i="140"/>
  <c r="F18" i="140"/>
  <c r="J15" i="140"/>
  <c r="E30" i="140"/>
  <c r="I13" i="140"/>
  <c r="J18" i="140"/>
  <c r="E18" i="140"/>
  <c r="E20" i="140"/>
  <c r="F17" i="140"/>
  <c r="E22" i="140"/>
  <c r="I12" i="140"/>
  <c r="E16" i="140"/>
  <c r="F24" i="140"/>
  <c r="I25" i="140"/>
  <c r="J20" i="140"/>
  <c r="E25" i="140"/>
  <c r="E15" i="140"/>
  <c r="J30" i="140"/>
  <c r="F10" i="140"/>
  <c r="F30" i="140"/>
  <c r="F29" i="140"/>
  <c r="F13" i="140"/>
  <c r="J11" i="140"/>
  <c r="E28" i="140"/>
  <c r="I26" i="140"/>
  <c r="J21" i="140"/>
  <c r="E24" i="140"/>
  <c r="E11" i="140"/>
  <c r="J22" i="140"/>
  <c r="I23" i="140"/>
  <c r="I21" i="140"/>
  <c r="J28" i="140"/>
  <c r="J27" i="140"/>
  <c r="I30" i="140"/>
  <c r="E12" i="140"/>
  <c r="I27" i="140"/>
  <c r="E13" i="140"/>
  <c r="J13" i="140"/>
  <c r="I19" i="140"/>
  <c r="J12" i="140"/>
  <c r="F26" i="140"/>
  <c r="I18" i="140"/>
  <c r="I24" i="140"/>
  <c r="F14" i="140"/>
  <c r="J25" i="140"/>
  <c r="J16" i="140"/>
  <c r="J29" i="140"/>
  <c r="E26" i="140"/>
  <c r="E21" i="140"/>
  <c r="D7" i="140"/>
  <c r="I28" i="140"/>
  <c r="I10" i="140"/>
  <c r="I17" i="140"/>
  <c r="K24" i="140" l="1"/>
  <c r="K15" i="140"/>
  <c r="G21" i="140"/>
  <c r="G18" i="140"/>
  <c r="F7" i="140"/>
  <c r="K18" i="140"/>
  <c r="K22" i="140"/>
  <c r="K29" i="140"/>
  <c r="K23" i="140"/>
  <c r="K13" i="140"/>
  <c r="G22" i="140"/>
  <c r="K10" i="140"/>
  <c r="G30" i="140"/>
  <c r="G26" i="140"/>
  <c r="G20" i="140"/>
  <c r="K30" i="140"/>
  <c r="G24" i="140"/>
  <c r="K17" i="140"/>
  <c r="G19" i="140"/>
  <c r="K28" i="140"/>
  <c r="K21" i="140"/>
  <c r="K25" i="140"/>
  <c r="G29" i="140"/>
  <c r="K19" i="140"/>
  <c r="G28" i="140"/>
  <c r="K26" i="140"/>
  <c r="K16" i="140"/>
  <c r="K11" i="140"/>
  <c r="K14" i="140"/>
  <c r="G23" i="140"/>
  <c r="K27" i="140"/>
  <c r="G25" i="140"/>
  <c r="K20" i="140"/>
  <c r="J31" i="140"/>
  <c r="E31" i="140"/>
  <c r="K12" i="140"/>
  <c r="I31" i="140"/>
  <c r="F31" i="140"/>
  <c r="G15" i="140"/>
  <c r="G14" i="140"/>
  <c r="G13" i="140"/>
  <c r="G12" i="140"/>
  <c r="G11" i="140"/>
  <c r="G17" i="140"/>
  <c r="G16" i="140"/>
  <c r="G10" i="140"/>
  <c r="E34" i="140" l="1"/>
  <c r="E35" i="140" s="1"/>
  <c r="K31" i="140"/>
  <c r="G31" i="140"/>
  <c r="O1" i="130" l="1"/>
  <c r="G24" i="130"/>
  <c r="P1" i="130" l="1"/>
  <c r="K26" i="130"/>
  <c r="M10" i="130"/>
  <c r="K30" i="130"/>
  <c r="G30" i="130"/>
  <c r="H31" i="130"/>
  <c r="G32" i="130"/>
  <c r="H29" i="130"/>
  <c r="K25" i="130"/>
  <c r="L28" i="130"/>
  <c r="L29" i="130"/>
  <c r="L32" i="130"/>
  <c r="G29" i="130"/>
  <c r="L27" i="130"/>
  <c r="H27" i="130"/>
  <c r="H32" i="130"/>
  <c r="H24" i="130"/>
  <c r="L25" i="130"/>
  <c r="H30" i="130"/>
  <c r="L26" i="130"/>
  <c r="K31" i="130"/>
  <c r="G31" i="130"/>
  <c r="K28" i="130"/>
  <c r="L24" i="130"/>
  <c r="G27" i="130"/>
  <c r="K27" i="130"/>
  <c r="H28" i="130"/>
  <c r="G28" i="130"/>
  <c r="L30" i="130"/>
  <c r="L31" i="130"/>
  <c r="K24" i="130"/>
  <c r="K29" i="130"/>
  <c r="K32" i="130"/>
  <c r="N10" i="130"/>
  <c r="M25" i="130" l="1"/>
  <c r="I29" i="130"/>
  <c r="M27" i="130"/>
  <c r="M29" i="130"/>
  <c r="M32" i="130"/>
  <c r="I24" i="130"/>
  <c r="M28" i="130"/>
  <c r="I28" i="130"/>
  <c r="M31" i="130"/>
  <c r="M26" i="130"/>
  <c r="I30" i="130"/>
  <c r="I27" i="130"/>
  <c r="M24" i="130"/>
  <c r="M30" i="130"/>
  <c r="I32" i="130"/>
  <c r="I31" i="130"/>
  <c r="O10" i="130"/>
</calcChain>
</file>

<file path=xl/comments1.xml><?xml version="1.0" encoding="utf-8"?>
<comments xmlns="http://schemas.openxmlformats.org/spreadsheetml/2006/main">
  <authors>
    <author>June Wanjiku Mwai</author>
  </authors>
  <commentList>
    <comment ref="E32" authorId="0" shapeId="0">
      <text>
        <r>
          <rPr>
            <b/>
            <sz val="11"/>
            <color indexed="81"/>
            <rFont val="Tahoma"/>
            <family val="2"/>
          </rPr>
          <t>June Mwai:</t>
        </r>
        <r>
          <rPr>
            <sz val="9"/>
            <color indexed="81"/>
            <rFont val="Tahoma"/>
            <family val="2"/>
          </rPr>
          <t xml:space="preserve">
</t>
        </r>
        <r>
          <rPr>
            <sz val="12"/>
            <color indexed="81"/>
            <rFont val="Tahoma"/>
            <family val="2"/>
          </rPr>
          <t>INTERIM FIGURES FOR SEPTEMBER</t>
        </r>
      </text>
    </comment>
  </commentList>
</comments>
</file>

<file path=xl/comments2.xml><?xml version="1.0" encoding="utf-8"?>
<comments xmlns="http://schemas.openxmlformats.org/spreadsheetml/2006/main">
  <authors>
    <author>June Wanjiku Mwai</author>
  </authors>
  <commentList>
    <comment ref="F13" authorId="0" shapeId="0">
      <text>
        <r>
          <rPr>
            <b/>
            <sz val="9"/>
            <color indexed="81"/>
            <rFont val="Tahoma"/>
            <family val="2"/>
          </rPr>
          <t>June Wanjiku Mwai:</t>
        </r>
        <r>
          <rPr>
            <sz val="9"/>
            <color indexed="81"/>
            <rFont val="Tahoma"/>
            <family val="2"/>
          </rPr>
          <t xml:space="preserve">
interim figures for september</t>
        </r>
      </text>
    </comment>
    <comment ref="F14" authorId="0" shapeId="0">
      <text>
        <r>
          <rPr>
            <b/>
            <sz val="9"/>
            <color indexed="81"/>
            <rFont val="Tahoma"/>
            <family val="2"/>
          </rPr>
          <t>June Mwai:</t>
        </r>
        <r>
          <rPr>
            <sz val="9"/>
            <color indexed="81"/>
            <rFont val="Tahoma"/>
            <family val="2"/>
          </rPr>
          <t xml:space="preserve">
interim figures for september</t>
        </r>
      </text>
    </comment>
  </commentList>
</comments>
</file>

<file path=xl/sharedStrings.xml><?xml version="1.0" encoding="utf-8"?>
<sst xmlns="http://schemas.openxmlformats.org/spreadsheetml/2006/main" count="9720" uniqueCount="117">
  <si>
    <t>THIKA</t>
  </si>
  <si>
    <t>MTWAPA</t>
  </si>
  <si>
    <t>KITENGELA</t>
  </si>
  <si>
    <t>RONGAI</t>
  </si>
  <si>
    <t>BIASHARA STREET</t>
  </si>
  <si>
    <t>MBALE</t>
  </si>
  <si>
    <t>KAYOLE</t>
  </si>
  <si>
    <t>KISUMU</t>
  </si>
  <si>
    <t>TOM MBOYA</t>
  </si>
  <si>
    <t>RUIRU</t>
  </si>
  <si>
    <t>KENGELENI</t>
  </si>
  <si>
    <t>LIKONI</t>
  </si>
  <si>
    <t>LIMURU</t>
  </si>
  <si>
    <t>WESTLANDS</t>
  </si>
  <si>
    <t>MACHAKOS</t>
  </si>
  <si>
    <t>WOTE</t>
  </si>
  <si>
    <t>NAKURU</t>
  </si>
  <si>
    <t>ELDORET</t>
  </si>
  <si>
    <t>CENTRAL OFFICE</t>
  </si>
  <si>
    <t>BRANCHES</t>
  </si>
  <si>
    <t>BUDGET</t>
  </si>
  <si>
    <t>DISBURSEMENTS</t>
  </si>
  <si>
    <t>MOI AVENUE</t>
  </si>
  <si>
    <t>Grand Total</t>
  </si>
  <si>
    <t>DIASPORAH</t>
  </si>
  <si>
    <t>GRAND TOTAL</t>
  </si>
  <si>
    <t>CUMULATIVE DEPOSITS</t>
  </si>
  <si>
    <t>GROSS LOAN BOOK</t>
  </si>
  <si>
    <t>TRADE FINANCE</t>
  </si>
  <si>
    <t>FX INCOME</t>
  </si>
  <si>
    <t>NEW ACCOUNTS</t>
  </si>
  <si>
    <t>NFI</t>
  </si>
  <si>
    <t>PBT</t>
  </si>
  <si>
    <t>BRANCH</t>
  </si>
  <si>
    <t>KPI</t>
  </si>
  <si>
    <t>ACTUAL</t>
  </si>
  <si>
    <t>MONTH</t>
  </si>
  <si>
    <t>CODES</t>
  </si>
  <si>
    <t>000</t>
  </si>
  <si>
    <t>001</t>
  </si>
  <si>
    <t>002</t>
  </si>
  <si>
    <t>003</t>
  </si>
  <si>
    <t>004</t>
  </si>
  <si>
    <t>005</t>
  </si>
  <si>
    <t>006</t>
  </si>
  <si>
    <t>007</t>
  </si>
  <si>
    <t>008</t>
  </si>
  <si>
    <t>009</t>
  </si>
  <si>
    <t>010</t>
  </si>
  <si>
    <t>011</t>
  </si>
  <si>
    <t>012</t>
  </si>
  <si>
    <t>013</t>
  </si>
  <si>
    <t>014</t>
  </si>
  <si>
    <t>015</t>
  </si>
  <si>
    <t>016</t>
  </si>
  <si>
    <t>017</t>
  </si>
  <si>
    <t>018</t>
  </si>
  <si>
    <t>019</t>
  </si>
  <si>
    <t>020</t>
  </si>
  <si>
    <t>JUNE</t>
  </si>
  <si>
    <t>Row Labels</t>
  </si>
  <si>
    <t>Sum of % VARIANCE</t>
  </si>
  <si>
    <t>% VAR</t>
  </si>
  <si>
    <t>NEW DEPOSITS</t>
  </si>
  <si>
    <t>(blank)</t>
  </si>
  <si>
    <t>OVERALL PERFOMANCE</t>
  </si>
  <si>
    <t>BRANCH PER (IN JUNE)</t>
  </si>
  <si>
    <t>JULY</t>
  </si>
  <si>
    <t>MAY</t>
  </si>
  <si>
    <t>ACTUAL (MONTH)</t>
  </si>
  <si>
    <t>ACTUAL (YTD)</t>
  </si>
  <si>
    <t>BUDGET (MONTH)</t>
  </si>
  <si>
    <t>BUDGET (YTD)</t>
  </si>
  <si>
    <t>% VARIANCE (MONTH)</t>
  </si>
  <si>
    <t>% VARIANCE (YTD)</t>
  </si>
  <si>
    <t>FEB</t>
  </si>
  <si>
    <t>MAR</t>
  </si>
  <si>
    <t>APR</t>
  </si>
  <si>
    <t>JUN</t>
  </si>
  <si>
    <t>JUL</t>
  </si>
  <si>
    <t>AUG</t>
  </si>
  <si>
    <t>SEP</t>
  </si>
  <si>
    <t>OCT</t>
  </si>
  <si>
    <t>NOV</t>
  </si>
  <si>
    <t>DEC</t>
  </si>
  <si>
    <t>JAN</t>
  </si>
  <si>
    <t>AUGUST</t>
  </si>
  <si>
    <t>SEPTEMBER</t>
  </si>
  <si>
    <t>OCTOBER</t>
  </si>
  <si>
    <t>NOVEMBER</t>
  </si>
  <si>
    <t>DECEMBER</t>
  </si>
  <si>
    <t>TRADE FINANCE COMMS</t>
  </si>
  <si>
    <t>NEW ACCOUNTS 2024</t>
  </si>
  <si>
    <t>NON FUNDED INCOME</t>
  </si>
  <si>
    <t>CONFIRM IF MONTHLY OR YEARLT</t>
  </si>
  <si>
    <t>(Multiple Items)</t>
  </si>
  <si>
    <t>Sum of ACTUAL (MONTH)</t>
  </si>
  <si>
    <t>Column Labels</t>
  </si>
  <si>
    <t>Total Sum of ACTUAL (MONTH)</t>
  </si>
  <si>
    <t>Total Sum of ACTUAL (YTD)</t>
  </si>
  <si>
    <t>Sum of ACTUAL (YTD)</t>
  </si>
  <si>
    <t>Total Sum of BUDGET (MONTH)</t>
  </si>
  <si>
    <t>Sum of BUDGET (MONTH)</t>
  </si>
  <si>
    <t>Total Sum of BUDGET (YTD)</t>
  </si>
  <si>
    <t>Sum of BUDGET (YTD)</t>
  </si>
  <si>
    <t>OVERALL</t>
  </si>
  <si>
    <t>IN AUG</t>
  </si>
  <si>
    <t>PBT ACTUAL (MONTH)</t>
  </si>
  <si>
    <t>PBT BUDGET (MONTH)</t>
  </si>
  <si>
    <r>
      <t xml:space="preserve">ACTUAL </t>
    </r>
    <r>
      <rPr>
        <b/>
        <i/>
        <sz val="16"/>
        <rFont val="Calibri"/>
        <family val="2"/>
        <scheme val="minor"/>
      </rPr>
      <t>(YTD)</t>
    </r>
  </si>
  <si>
    <r>
      <t xml:space="preserve">BUDGET </t>
    </r>
    <r>
      <rPr>
        <b/>
        <i/>
        <sz val="16"/>
        <rFont val="Calibri"/>
        <family val="2"/>
        <scheme val="minor"/>
      </rPr>
      <t>(YTD)</t>
    </r>
  </si>
  <si>
    <t>ACTUAL (MTD)</t>
  </si>
  <si>
    <t>BUDGET (MTD)</t>
  </si>
  <si>
    <t>TOTAL ACTUAL</t>
  </si>
  <si>
    <t>TOTAL BUDGET</t>
  </si>
  <si>
    <t xml:space="preserve"> BUDGET (YTD)</t>
  </si>
  <si>
    <t xml:space="preserve"> BUDGET (MTD)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</si>
</sst>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_);_(* \(#,##0.00\);_(* &quot;-&quot;??_);_(@_)"/>
    <numFmt numFmtId="165" formatCode="_(* #,##0_);_(* \(#,##0\);_(* &quot;-&quot;??_);_(@_)"/>
    <numFmt numFmtId="166" formatCode="0.0%"/>
  </numFmts>
  <fonts count="36" x14ac:knownFonts="1">
    <font>
      <sz val="11"/>
      <color theme="1"/>
      <name val="Calibri"/>
      <family val="2"/>
      <scheme val="minor"/>
    </font>
    <font>
      <sz val="11"/>
      <color theme="1"/>
      <name val="Calibri"/>
      <family val="2"/>
      <scheme val="minor"/>
    </font>
    <font>
      <sz val="10"/>
      <color theme="1"/>
      <name val="Century Gothic"/>
      <family val="2"/>
    </font>
    <font>
      <sz val="10"/>
      <name val="Arial"/>
      <family val="2"/>
    </font>
    <font>
      <sz val="10"/>
      <color indexed="8"/>
      <name val="MS Sans Serif"/>
      <family val="2"/>
    </font>
    <font>
      <b/>
      <sz val="10"/>
      <color theme="1"/>
      <name val="Century Gothic"/>
      <family val="2"/>
    </font>
    <font>
      <b/>
      <sz val="12"/>
      <color theme="1"/>
      <name val="Calibri"/>
      <family val="2"/>
      <scheme val="minor"/>
    </font>
    <font>
      <b/>
      <sz val="14"/>
      <color theme="1"/>
      <name val="Calibri"/>
      <family val="2"/>
      <scheme val="minor"/>
    </font>
    <font>
      <sz val="14"/>
      <color theme="1"/>
      <name val="Calibri"/>
      <family val="2"/>
      <scheme val="minor"/>
    </font>
    <font>
      <b/>
      <u/>
      <sz val="11"/>
      <color theme="1"/>
      <name val="Calibri"/>
      <family val="2"/>
      <scheme val="minor"/>
    </font>
    <font>
      <b/>
      <sz val="18"/>
      <color theme="1"/>
      <name val="Calibri"/>
      <family val="2"/>
      <scheme val="minor"/>
    </font>
    <font>
      <b/>
      <sz val="11"/>
      <color rgb="FFFF0000"/>
      <name val="Calibri"/>
      <family val="2"/>
      <scheme val="minor"/>
    </font>
    <font>
      <b/>
      <sz val="11"/>
      <color theme="0"/>
      <name val="Calibri"/>
      <family val="2"/>
      <scheme val="minor"/>
    </font>
    <font>
      <sz val="11"/>
      <color theme="0"/>
      <name val="Calibri"/>
      <family val="2"/>
      <scheme val="minor"/>
    </font>
    <font>
      <i/>
      <sz val="14"/>
      <color theme="1"/>
      <name val="Calibri"/>
      <family val="2"/>
      <scheme val="minor"/>
    </font>
    <font>
      <i/>
      <sz val="12"/>
      <color theme="1"/>
      <name val="Calibri"/>
      <family val="2"/>
      <scheme val="minor"/>
    </font>
    <font>
      <b/>
      <i/>
      <sz val="16"/>
      <color theme="1"/>
      <name val="Calibri"/>
      <family val="2"/>
      <scheme val="minor"/>
    </font>
    <font>
      <b/>
      <sz val="16"/>
      <color theme="1"/>
      <name val="Calibri"/>
      <family val="2"/>
      <scheme val="minor"/>
    </font>
    <font>
      <sz val="16"/>
      <color theme="1"/>
      <name val="Calibri"/>
      <family val="2"/>
      <scheme val="minor"/>
    </font>
    <font>
      <i/>
      <sz val="16"/>
      <color theme="1"/>
      <name val="Calibri"/>
      <family val="2"/>
      <scheme val="minor"/>
    </font>
    <font>
      <sz val="11"/>
      <name val="Calibri"/>
      <family val="2"/>
      <scheme val="minor"/>
    </font>
    <font>
      <sz val="14"/>
      <color rgb="FF000000"/>
      <name val="Century Gothic"/>
      <family val="2"/>
    </font>
    <font>
      <b/>
      <sz val="16"/>
      <name val="Calibri"/>
      <family val="2"/>
      <scheme val="minor"/>
    </font>
    <font>
      <b/>
      <i/>
      <sz val="16"/>
      <name val="Calibri"/>
      <family val="2"/>
      <scheme val="minor"/>
    </font>
    <font>
      <b/>
      <i/>
      <u/>
      <sz val="16"/>
      <name val="Calibri"/>
      <family val="2"/>
      <scheme val="minor"/>
    </font>
    <font>
      <b/>
      <i/>
      <sz val="18"/>
      <color theme="0"/>
      <name val="Calibri"/>
      <family val="2"/>
      <scheme val="minor"/>
    </font>
    <font>
      <b/>
      <i/>
      <u/>
      <sz val="18"/>
      <color theme="0"/>
      <name val="Calibri"/>
      <family val="2"/>
      <scheme val="minor"/>
    </font>
    <font>
      <sz val="11"/>
      <color theme="0" tint="-0.249977111117893"/>
      <name val="Calibri"/>
      <family val="2"/>
      <scheme val="minor"/>
    </font>
    <font>
      <i/>
      <sz val="18"/>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2"/>
      <color indexed="81"/>
      <name val="Tahoma"/>
      <family val="2"/>
    </font>
    <font>
      <b/>
      <sz val="11"/>
      <color indexed="81"/>
      <name val="Tahoma"/>
      <family val="2"/>
    </font>
    <font>
      <sz val="16"/>
      <color rgb="FF000000"/>
      <name val="Century Gothic"/>
      <family val="2"/>
    </font>
    <font>
      <sz val="14"/>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235685"/>
        <bgColor indexed="64"/>
      </patternFill>
    </fill>
    <fill>
      <patternFill patternType="solid">
        <fgColor theme="1" tint="4.9989318521683403E-2"/>
        <bgColor indexed="64"/>
      </patternFill>
    </fill>
  </fills>
  <borders count="3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style="thin">
        <color indexed="64"/>
      </left>
      <right/>
      <top/>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12">
    <xf numFmtId="0" fontId="0" fillId="0" borderId="0"/>
    <xf numFmtId="164" fontId="1" fillId="0" borderId="0" applyFont="0" applyFill="0" applyBorder="0" applyAlignment="0" applyProtection="0"/>
    <xf numFmtId="9" fontId="1" fillId="0" borderId="0" applyFont="0" applyFill="0" applyBorder="0" applyAlignment="0" applyProtection="0"/>
    <xf numFmtId="164" fontId="3" fillId="0" borderId="0" applyFont="0" applyFill="0" applyBorder="0" applyAlignment="0" applyProtection="0"/>
    <xf numFmtId="0" fontId="2" fillId="0" borderId="0"/>
    <xf numFmtId="164" fontId="1"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4" fillId="0" borderId="0"/>
    <xf numFmtId="9" fontId="3" fillId="0" borderId="0" applyFont="0" applyFill="0" applyBorder="0" applyAlignment="0" applyProtection="0"/>
    <xf numFmtId="164" fontId="3" fillId="0" borderId="0" applyFont="0" applyFill="0" applyBorder="0" applyAlignment="0" applyProtection="0"/>
  </cellStyleXfs>
  <cellXfs count="143">
    <xf numFmtId="0" fontId="0" fillId="0" borderId="0" xfId="0"/>
    <xf numFmtId="0" fontId="2" fillId="0" borderId="0" xfId="0" applyFont="1"/>
    <xf numFmtId="164" fontId="0" fillId="0" borderId="0" xfId="1" applyFont="1"/>
    <xf numFmtId="0" fontId="5" fillId="0" borderId="0" xfId="0" applyFont="1"/>
    <xf numFmtId="164" fontId="2" fillId="0" borderId="0" xfId="1" applyFont="1"/>
    <xf numFmtId="165" fontId="2" fillId="0" borderId="0" xfId="1" applyNumberFormat="1" applyFont="1"/>
    <xf numFmtId="0" fontId="0" fillId="3" borderId="0" xfId="0" applyFill="1"/>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9" fontId="0" fillId="0" borderId="0" xfId="0" applyNumberFormat="1"/>
    <xf numFmtId="0" fontId="9" fillId="0" borderId="0" xfId="0" applyFont="1"/>
    <xf numFmtId="0" fontId="9" fillId="0" borderId="0" xfId="0" applyFont="1" applyAlignment="1">
      <alignment horizontal="left"/>
    </xf>
    <xf numFmtId="164" fontId="5" fillId="0" borderId="0" xfId="1" applyFont="1"/>
    <xf numFmtId="0" fontId="0" fillId="0" borderId="0" xfId="0" applyFill="1"/>
    <xf numFmtId="0" fontId="6" fillId="0" borderId="0" xfId="0" applyFont="1" applyAlignment="1">
      <alignment horizontal="center"/>
    </xf>
    <xf numFmtId="0" fontId="0" fillId="2" borderId="0" xfId="0" applyFill="1"/>
    <xf numFmtId="0" fontId="11" fillId="2" borderId="0" xfId="0" applyFont="1" applyFill="1"/>
    <xf numFmtId="9" fontId="2" fillId="0" borderId="0" xfId="1" applyNumberFormat="1" applyFont="1"/>
    <xf numFmtId="4" fontId="0" fillId="0" borderId="0" xfId="0" applyNumberFormat="1"/>
    <xf numFmtId="4" fontId="0" fillId="0" borderId="0" xfId="0" pivotButton="1" applyNumberFormat="1"/>
    <xf numFmtId="4" fontId="0" fillId="0" borderId="0" xfId="0" applyNumberFormat="1" applyAlignment="1">
      <alignment horizontal="left"/>
    </xf>
    <xf numFmtId="3" fontId="0" fillId="0" borderId="0" xfId="0" pivotButton="1" applyNumberFormat="1"/>
    <xf numFmtId="3" fontId="0" fillId="0" borderId="0" xfId="0" applyNumberFormat="1" applyAlignment="1">
      <alignment horizontal="left"/>
    </xf>
    <xf numFmtId="3" fontId="0" fillId="0" borderId="0" xfId="0" applyNumberFormat="1" applyAlignment="1">
      <alignment horizontal="left" indent="1"/>
    </xf>
    <xf numFmtId="0" fontId="0" fillId="0" borderId="0" xfId="0" applyAlignment="1">
      <alignment horizontal="center"/>
    </xf>
    <xf numFmtId="164" fontId="0" fillId="0" borderId="0" xfId="1" applyFont="1" applyAlignment="1">
      <alignment horizontal="center"/>
    </xf>
    <xf numFmtId="0" fontId="7" fillId="0" borderId="0" xfId="0" applyFont="1" applyAlignment="1">
      <alignment horizontal="center"/>
    </xf>
    <xf numFmtId="0" fontId="18" fillId="0" borderId="0" xfId="0" applyFont="1" applyFill="1"/>
    <xf numFmtId="3" fontId="14" fillId="0" borderId="22" xfId="1" applyNumberFormat="1" applyFont="1" applyFill="1" applyBorder="1" applyAlignment="1">
      <alignment horizontal="center"/>
    </xf>
    <xf numFmtId="3" fontId="16" fillId="0" borderId="7" xfId="0" applyNumberFormat="1" applyFont="1" applyFill="1" applyBorder="1" applyAlignment="1">
      <alignment horizontal="left"/>
    </xf>
    <xf numFmtId="0" fontId="8" fillId="0" borderId="0" xfId="0" applyFont="1"/>
    <xf numFmtId="3" fontId="8" fillId="0" borderId="0" xfId="2" applyNumberFormat="1" applyFont="1" applyFill="1" applyBorder="1" applyAlignment="1"/>
    <xf numFmtId="164" fontId="18" fillId="0" borderId="0" xfId="1" applyFont="1" applyFill="1" applyAlignment="1"/>
    <xf numFmtId="3" fontId="14" fillId="0" borderId="6" xfId="1" applyNumberFormat="1" applyFont="1" applyFill="1" applyBorder="1" applyAlignment="1">
      <alignment horizontal="center"/>
    </xf>
    <xf numFmtId="3" fontId="14" fillId="0" borderId="15" xfId="1" applyNumberFormat="1" applyFont="1" applyFill="1" applyBorder="1" applyAlignment="1">
      <alignment horizontal="center"/>
    </xf>
    <xf numFmtId="3" fontId="14" fillId="0" borderId="2" xfId="1" applyNumberFormat="1" applyFont="1" applyFill="1" applyBorder="1" applyAlignment="1">
      <alignment horizontal="center"/>
    </xf>
    <xf numFmtId="0" fontId="10" fillId="0" borderId="3" xfId="0" applyFont="1" applyFill="1" applyBorder="1" applyAlignment="1">
      <alignment horizontal="left" indent="7"/>
    </xf>
    <xf numFmtId="0" fontId="13" fillId="0" borderId="0" xfId="0" applyFont="1" applyBorder="1"/>
    <xf numFmtId="0" fontId="12" fillId="0" borderId="0" xfId="0" applyFont="1" applyFill="1" applyBorder="1"/>
    <xf numFmtId="0" fontId="17" fillId="0" borderId="0" xfId="0" applyFont="1" applyFill="1" applyAlignment="1">
      <alignment horizontal="center"/>
    </xf>
    <xf numFmtId="0" fontId="24" fillId="0" borderId="0" xfId="0" applyFont="1" applyFill="1" applyBorder="1" applyAlignment="1">
      <alignment horizontal="center"/>
    </xf>
    <xf numFmtId="9" fontId="0" fillId="0" borderId="0" xfId="0" applyNumberFormat="1" applyFill="1"/>
    <xf numFmtId="0" fontId="13" fillId="0" borderId="0" xfId="0" applyFont="1" applyFill="1"/>
    <xf numFmtId="9" fontId="13" fillId="0" borderId="0" xfId="2" applyFont="1" applyFill="1"/>
    <xf numFmtId="3" fontId="16" fillId="0" borderId="4" xfId="1" applyNumberFormat="1" applyFont="1" applyFill="1" applyBorder="1" applyAlignment="1">
      <alignment horizontal="center"/>
    </xf>
    <xf numFmtId="3" fontId="17" fillId="0" borderId="11" xfId="2" applyNumberFormat="1" applyFont="1" applyFill="1" applyBorder="1" applyAlignment="1">
      <alignment horizontal="center"/>
    </xf>
    <xf numFmtId="0" fontId="20" fillId="0" borderId="0" xfId="0" applyFont="1" applyFill="1"/>
    <xf numFmtId="9" fontId="20" fillId="0" borderId="0" xfId="0" applyNumberFormat="1" applyFont="1" applyFill="1"/>
    <xf numFmtId="0" fontId="7" fillId="0" borderId="0" xfId="0" applyFont="1" applyFill="1" applyAlignment="1">
      <alignment horizontal="center"/>
    </xf>
    <xf numFmtId="164" fontId="7" fillId="0" borderId="0" xfId="1" applyFont="1" applyFill="1" applyBorder="1" applyAlignment="1"/>
    <xf numFmtId="164" fontId="7" fillId="0" borderId="0" xfId="1" applyFont="1" applyFill="1" applyBorder="1" applyAlignment="1">
      <alignment horizontal="center"/>
    </xf>
    <xf numFmtId="3" fontId="8" fillId="0" borderId="0" xfId="2" applyNumberFormat="1" applyFont="1" applyFill="1" applyBorder="1" applyAlignment="1">
      <alignment horizontal="left" indent="4"/>
    </xf>
    <xf numFmtId="0" fontId="0" fillId="0" borderId="25" xfId="0" applyFill="1" applyBorder="1"/>
    <xf numFmtId="0" fontId="0" fillId="0" borderId="26" xfId="0" applyFill="1" applyBorder="1"/>
    <xf numFmtId="166" fontId="13" fillId="0" borderId="0" xfId="2" applyNumberFormat="1" applyFont="1" applyFill="1"/>
    <xf numFmtId="0" fontId="17" fillId="0" borderId="0" xfId="0" applyFont="1" applyFill="1"/>
    <xf numFmtId="9" fontId="0" fillId="0" borderId="0" xfId="0" applyNumberFormat="1" applyFill="1" applyBorder="1"/>
    <xf numFmtId="3" fontId="14" fillId="0" borderId="24" xfId="1" applyNumberFormat="1" applyFont="1" applyFill="1" applyBorder="1" applyAlignment="1">
      <alignment horizontal="center"/>
    </xf>
    <xf numFmtId="3" fontId="14" fillId="0" borderId="23" xfId="0" applyNumberFormat="1" applyFont="1" applyFill="1" applyBorder="1" applyAlignment="1">
      <alignment horizontal="left"/>
    </xf>
    <xf numFmtId="3" fontId="8" fillId="0" borderId="8" xfId="2" applyNumberFormat="1" applyFont="1" applyFill="1" applyBorder="1" applyAlignment="1">
      <alignment horizontal="center"/>
    </xf>
    <xf numFmtId="3" fontId="14" fillId="0" borderId="23" xfId="1" applyNumberFormat="1" applyFont="1" applyFill="1" applyBorder="1" applyAlignment="1">
      <alignment horizontal="center"/>
    </xf>
    <xf numFmtId="3" fontId="16" fillId="0" borderId="7" xfId="1" applyNumberFormat="1" applyFont="1" applyFill="1" applyBorder="1" applyAlignment="1">
      <alignment horizontal="center"/>
    </xf>
    <xf numFmtId="3" fontId="14" fillId="0" borderId="9" xfId="0" applyNumberFormat="1" applyFont="1" applyFill="1" applyBorder="1" applyAlignment="1">
      <alignment horizontal="left"/>
    </xf>
    <xf numFmtId="3" fontId="8" fillId="0" borderId="18" xfId="2" applyNumberFormat="1" applyFont="1" applyFill="1" applyBorder="1" applyAlignment="1">
      <alignment horizontal="center"/>
    </xf>
    <xf numFmtId="0" fontId="23" fillId="0" borderId="7" xfId="0" applyFont="1" applyFill="1" applyBorder="1" applyAlignment="1"/>
    <xf numFmtId="0" fontId="23" fillId="0" borderId="4" xfId="0" applyFont="1" applyFill="1" applyBorder="1" applyAlignment="1">
      <alignment horizontal="center"/>
    </xf>
    <xf numFmtId="0" fontId="23" fillId="0" borderId="11" xfId="0" applyFont="1" applyFill="1" applyBorder="1" applyAlignment="1">
      <alignment horizontal="center"/>
    </xf>
    <xf numFmtId="3" fontId="14" fillId="0" borderId="9" xfId="1" applyNumberFormat="1" applyFont="1" applyFill="1" applyBorder="1" applyAlignment="1">
      <alignment horizontal="center"/>
    </xf>
    <xf numFmtId="0" fontId="22" fillId="0" borderId="7" xfId="0" applyFont="1" applyFill="1" applyBorder="1" applyAlignment="1">
      <alignment horizontal="center"/>
    </xf>
    <xf numFmtId="0" fontId="22" fillId="0" borderId="4" xfId="0" applyFont="1" applyFill="1" applyBorder="1" applyAlignment="1">
      <alignment horizontal="center"/>
    </xf>
    <xf numFmtId="0" fontId="23" fillId="0" borderId="11" xfId="0" applyFont="1" applyFill="1" applyBorder="1" applyAlignment="1">
      <alignment horizontal="left" indent="4"/>
    </xf>
    <xf numFmtId="0" fontId="0" fillId="0" borderId="0" xfId="0" applyFill="1" applyBorder="1"/>
    <xf numFmtId="0" fontId="27" fillId="0" borderId="0" xfId="0" applyFont="1" applyFill="1"/>
    <xf numFmtId="3" fontId="28" fillId="4" borderId="28" xfId="2" applyNumberFormat="1" applyFont="1" applyFill="1" applyBorder="1" applyAlignment="1">
      <alignment horizontal="left" indent="5"/>
    </xf>
    <xf numFmtId="164" fontId="25" fillId="4" borderId="28" xfId="1" applyFont="1" applyFill="1" applyBorder="1" applyAlignment="1">
      <alignment horizontal="center"/>
    </xf>
    <xf numFmtId="164" fontId="25" fillId="4" borderId="29" xfId="1" applyFont="1" applyFill="1" applyBorder="1" applyAlignment="1">
      <alignment horizontal="center"/>
    </xf>
    <xf numFmtId="0" fontId="26" fillId="4" borderId="27" xfId="0" applyFont="1" applyFill="1" applyBorder="1" applyAlignment="1">
      <alignment horizontal="left" indent="2"/>
    </xf>
    <xf numFmtId="0" fontId="26" fillId="4" borderId="30" xfId="0" applyFont="1" applyFill="1" applyBorder="1" applyAlignment="1">
      <alignment horizontal="left" indent="2"/>
    </xf>
    <xf numFmtId="0" fontId="26" fillId="4" borderId="30" xfId="0" applyFont="1" applyFill="1" applyBorder="1" applyAlignment="1">
      <alignment horizontal="left" indent="4"/>
    </xf>
    <xf numFmtId="0" fontId="10" fillId="0" borderId="0" xfId="0" applyFont="1" applyFill="1" applyBorder="1" applyAlignment="1">
      <alignment horizontal="left" indent="4"/>
    </xf>
    <xf numFmtId="3" fontId="15" fillId="0" borderId="0" xfId="0" applyNumberFormat="1" applyFont="1" applyFill="1" applyBorder="1"/>
    <xf numFmtId="165" fontId="18" fillId="0" borderId="19" xfId="1" applyNumberFormat="1" applyFont="1" applyFill="1" applyBorder="1" applyAlignment="1"/>
    <xf numFmtId="165" fontId="19" fillId="0" borderId="21" xfId="1" applyNumberFormat="1" applyFont="1" applyFill="1" applyBorder="1" applyAlignment="1"/>
    <xf numFmtId="9" fontId="21" fillId="0" borderId="20" xfId="2" applyFont="1" applyFill="1" applyBorder="1" applyAlignment="1"/>
    <xf numFmtId="0" fontId="10" fillId="0" borderId="5" xfId="0" applyFont="1" applyFill="1" applyBorder="1" applyAlignment="1">
      <alignment horizontal="left" indent="1"/>
    </xf>
    <xf numFmtId="0" fontId="10" fillId="0" borderId="5" xfId="0" applyFont="1" applyFill="1" applyBorder="1" applyAlignment="1">
      <alignment horizontal="left" vertical="center" indent="1"/>
    </xf>
    <xf numFmtId="0" fontId="10" fillId="0" borderId="11" xfId="0" applyFont="1" applyFill="1" applyBorder="1" applyAlignment="1">
      <alignment horizontal="left" indent="2"/>
    </xf>
    <xf numFmtId="0" fontId="17" fillId="0" borderId="0" xfId="0" applyFont="1" applyBorder="1" applyAlignment="1">
      <alignment horizontal="center"/>
    </xf>
    <xf numFmtId="0" fontId="10" fillId="0" borderId="31" xfId="0" applyFont="1" applyFill="1" applyBorder="1" applyAlignment="1">
      <alignment horizontal="left" vertical="center" indent="1"/>
    </xf>
    <xf numFmtId="0" fontId="10" fillId="0" borderId="33" xfId="0" applyFont="1" applyFill="1" applyBorder="1" applyAlignment="1">
      <alignment horizontal="left" indent="2"/>
    </xf>
    <xf numFmtId="0" fontId="10" fillId="0" borderId="32" xfId="0" applyFont="1" applyFill="1" applyBorder="1" applyAlignment="1">
      <alignment horizontal="left" indent="1"/>
    </xf>
    <xf numFmtId="3" fontId="14" fillId="0" borderId="14" xfId="1" applyNumberFormat="1" applyFont="1" applyFill="1" applyBorder="1" applyAlignment="1">
      <alignment horizontal="center"/>
    </xf>
    <xf numFmtId="3" fontId="14" fillId="0" borderId="17" xfId="1" applyNumberFormat="1" applyFont="1" applyFill="1" applyBorder="1" applyAlignment="1">
      <alignment horizontal="center"/>
    </xf>
    <xf numFmtId="3" fontId="8" fillId="0" borderId="13" xfId="2" applyNumberFormat="1" applyFont="1" applyFill="1" applyBorder="1" applyAlignment="1">
      <alignment horizontal="center"/>
    </xf>
    <xf numFmtId="0" fontId="10" fillId="0" borderId="5" xfId="0" applyFont="1" applyFill="1" applyBorder="1" applyAlignment="1">
      <alignment horizontal="center" vertical="center"/>
    </xf>
    <xf numFmtId="0" fontId="10" fillId="0" borderId="11" xfId="0" applyFont="1" applyFill="1" applyBorder="1" applyAlignment="1">
      <alignment horizontal="center"/>
    </xf>
    <xf numFmtId="0" fontId="10" fillId="0" borderId="3" xfId="0" applyFont="1" applyFill="1" applyBorder="1" applyAlignment="1">
      <alignment horizontal="center"/>
    </xf>
    <xf numFmtId="0" fontId="29" fillId="0" borderId="0" xfId="0" applyFont="1"/>
    <xf numFmtId="0" fontId="29" fillId="0" borderId="0" xfId="0" applyFont="1" applyBorder="1"/>
    <xf numFmtId="164" fontId="0" fillId="0" borderId="0" xfId="0" pivotButton="1" applyNumberFormat="1"/>
    <xf numFmtId="164" fontId="0" fillId="0" borderId="0" xfId="0" applyNumberFormat="1"/>
    <xf numFmtId="164" fontId="0" fillId="0" borderId="0" xfId="0" applyNumberFormat="1" applyAlignment="1">
      <alignment horizontal="left"/>
    </xf>
    <xf numFmtId="0" fontId="12" fillId="0" borderId="0" xfId="0" applyFont="1" applyBorder="1"/>
    <xf numFmtId="3" fontId="14" fillId="0" borderId="10" xfId="0" applyNumberFormat="1" applyFont="1" applyFill="1" applyBorder="1"/>
    <xf numFmtId="3" fontId="14" fillId="0" borderId="14" xfId="0" applyNumberFormat="1" applyFont="1" applyFill="1" applyBorder="1"/>
    <xf numFmtId="0" fontId="10" fillId="0" borderId="32" xfId="0" applyFont="1" applyFill="1" applyBorder="1" applyAlignment="1">
      <alignment horizontal="left" indent="10"/>
    </xf>
    <xf numFmtId="0" fontId="10" fillId="0" borderId="31" xfId="0" applyFont="1" applyFill="1" applyBorder="1" applyAlignment="1">
      <alignment horizontal="left" indent="4"/>
    </xf>
    <xf numFmtId="0" fontId="10" fillId="0" borderId="31" xfId="0" applyFont="1" applyFill="1" applyBorder="1" applyAlignment="1">
      <alignment horizontal="center"/>
    </xf>
    <xf numFmtId="0" fontId="10" fillId="0" borderId="31" xfId="0" applyFont="1" applyFill="1" applyBorder="1" applyAlignment="1">
      <alignment horizontal="center" vertical="center"/>
    </xf>
    <xf numFmtId="0" fontId="10" fillId="0" borderId="33" xfId="0" applyFont="1" applyFill="1" applyBorder="1" applyAlignment="1">
      <alignment horizontal="center"/>
    </xf>
    <xf numFmtId="3" fontId="19" fillId="0" borderId="14" xfId="0" applyNumberFormat="1" applyFont="1" applyFill="1" applyBorder="1"/>
    <xf numFmtId="3" fontId="19" fillId="0" borderId="6" xfId="0" applyNumberFormat="1" applyFont="1" applyFill="1" applyBorder="1"/>
    <xf numFmtId="3" fontId="19" fillId="0" borderId="6" xfId="0" applyNumberFormat="1" applyFont="1" applyFill="1" applyBorder="1" applyAlignment="1">
      <alignment horizontal="center"/>
    </xf>
    <xf numFmtId="3" fontId="18" fillId="0" borderId="13" xfId="2" applyNumberFormat="1" applyFont="1" applyFill="1" applyBorder="1" applyAlignment="1">
      <alignment horizontal="center"/>
    </xf>
    <xf numFmtId="164" fontId="19" fillId="0" borderId="6" xfId="1" applyFont="1" applyFill="1" applyBorder="1" applyAlignment="1">
      <alignment horizontal="center"/>
    </xf>
    <xf numFmtId="3" fontId="19" fillId="0" borderId="34" xfId="0" applyNumberFormat="1" applyFont="1" applyFill="1" applyBorder="1"/>
    <xf numFmtId="3" fontId="19" fillId="0" borderId="1" xfId="0" applyNumberFormat="1" applyFont="1" applyFill="1" applyBorder="1"/>
    <xf numFmtId="3" fontId="19" fillId="0" borderId="38" xfId="0" applyNumberFormat="1" applyFont="1" applyFill="1" applyBorder="1"/>
    <xf numFmtId="3" fontId="19" fillId="0" borderId="37" xfId="0" applyNumberFormat="1" applyFont="1" applyFill="1" applyBorder="1"/>
    <xf numFmtId="3" fontId="19" fillId="0" borderId="37" xfId="0" applyNumberFormat="1" applyFont="1" applyFill="1" applyBorder="1" applyAlignment="1">
      <alignment horizontal="center"/>
    </xf>
    <xf numFmtId="3" fontId="19" fillId="0" borderId="10" xfId="0" applyNumberFormat="1" applyFont="1" applyFill="1" applyBorder="1"/>
    <xf numFmtId="3" fontId="19" fillId="0" borderId="2" xfId="0" applyNumberFormat="1" applyFont="1" applyFill="1" applyBorder="1"/>
    <xf numFmtId="3" fontId="19" fillId="0" borderId="35" xfId="0" applyNumberFormat="1" applyFont="1" applyFill="1" applyBorder="1"/>
    <xf numFmtId="3" fontId="19" fillId="0" borderId="36" xfId="0" applyNumberFormat="1" applyFont="1" applyFill="1" applyBorder="1"/>
    <xf numFmtId="3" fontId="19" fillId="0" borderId="36" xfId="0" applyNumberFormat="1" applyFont="1" applyFill="1" applyBorder="1" applyAlignment="1">
      <alignment horizontal="center"/>
    </xf>
    <xf numFmtId="3" fontId="19" fillId="0" borderId="15" xfId="0" applyNumberFormat="1" applyFont="1" applyFill="1" applyBorder="1" applyAlignment="1">
      <alignment horizontal="center"/>
    </xf>
    <xf numFmtId="3" fontId="19" fillId="0" borderId="10" xfId="1" applyNumberFormat="1" applyFont="1" applyFill="1" applyBorder="1" applyAlignment="1">
      <alignment horizontal="center"/>
    </xf>
    <xf numFmtId="3" fontId="19" fillId="0" borderId="2" xfId="1" applyNumberFormat="1" applyFont="1" applyFill="1" applyBorder="1" applyAlignment="1">
      <alignment horizontal="center"/>
    </xf>
    <xf numFmtId="3" fontId="18" fillId="0" borderId="12" xfId="2" applyNumberFormat="1" applyFont="1" applyFill="1" applyBorder="1" applyAlignment="1">
      <alignment horizontal="center"/>
    </xf>
    <xf numFmtId="3" fontId="19" fillId="0" borderId="14" xfId="1" applyNumberFormat="1" applyFont="1" applyFill="1" applyBorder="1" applyAlignment="1">
      <alignment horizontal="center"/>
    </xf>
    <xf numFmtId="3" fontId="19" fillId="0" borderId="6" xfId="1" applyNumberFormat="1" applyFont="1" applyFill="1" applyBorder="1" applyAlignment="1">
      <alignment horizontal="center"/>
    </xf>
    <xf numFmtId="3" fontId="19" fillId="0" borderId="17" xfId="1" applyNumberFormat="1" applyFont="1" applyFill="1" applyBorder="1" applyAlignment="1">
      <alignment horizontal="center"/>
    </xf>
    <xf numFmtId="3" fontId="19" fillId="0" borderId="15" xfId="1" applyNumberFormat="1" applyFont="1" applyFill="1" applyBorder="1" applyAlignment="1">
      <alignment horizontal="center"/>
    </xf>
    <xf numFmtId="9" fontId="34" fillId="0" borderId="16" xfId="2" applyFont="1" applyFill="1" applyBorder="1" applyAlignment="1">
      <alignment horizontal="center"/>
    </xf>
    <xf numFmtId="0" fontId="10" fillId="0" borderId="5" xfId="0" applyFont="1" applyFill="1" applyBorder="1" applyAlignment="1">
      <alignment horizontal="center"/>
    </xf>
    <xf numFmtId="3" fontId="14" fillId="0" borderId="17" xfId="0" applyNumberFormat="1" applyFont="1" applyFill="1" applyBorder="1"/>
    <xf numFmtId="164" fontId="18" fillId="0" borderId="13" xfId="1" applyFont="1" applyFill="1" applyBorder="1" applyAlignment="1">
      <alignment horizontal="center"/>
    </xf>
    <xf numFmtId="3" fontId="17" fillId="0" borderId="16" xfId="2" applyNumberFormat="1" applyFont="1" applyFill="1" applyBorder="1" applyAlignment="1">
      <alignment horizontal="center"/>
    </xf>
    <xf numFmtId="0" fontId="0" fillId="0" borderId="0" xfId="0" applyFont="1"/>
    <xf numFmtId="9" fontId="35" fillId="0" borderId="16" xfId="2" applyFont="1" applyFill="1" applyBorder="1" applyAlignment="1">
      <alignment horizontal="center"/>
    </xf>
    <xf numFmtId="164" fontId="8" fillId="0" borderId="13" xfId="1" applyFont="1" applyFill="1" applyBorder="1" applyAlignment="1">
      <alignment horizontal="center"/>
    </xf>
  </cellXfs>
  <cellStyles count="12">
    <cellStyle name="Comma" xfId="1" builtinId="3"/>
    <cellStyle name="Comma 2" xfId="3"/>
    <cellStyle name="Comma 2 4 2" xfId="5"/>
    <cellStyle name="Comma 3 2" xfId="8"/>
    <cellStyle name="Comma 3 2 2" xfId="11"/>
    <cellStyle name="Normal" xfId="0" builtinId="0"/>
    <cellStyle name="Normal 2" xfId="4"/>
    <cellStyle name="Normal 2 3" xfId="7"/>
    <cellStyle name="Normal 2 5" xfId="6"/>
    <cellStyle name="Normal 4" xfId="9"/>
    <cellStyle name="Percent" xfId="2" builtinId="5"/>
    <cellStyle name="Percent 2 2" xfId="10"/>
  </cellStyles>
  <dxfs count="123">
    <dxf>
      <numFmt numFmtId="3" formatCode="#,##0"/>
    </dxf>
    <dxf>
      <numFmt numFmtId="3" formatCode="#,##0"/>
    </dxf>
    <dxf>
      <numFmt numFmtId="3" formatCode="#,##0"/>
    </dxf>
    <dxf>
      <numFmt numFmtId="3" formatCode="#,##0"/>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font>
        <color rgb="FFFF0000"/>
      </font>
    </dxf>
    <dxf>
      <font>
        <b/>
        <i val="0"/>
        <color rgb="FF00B050"/>
      </font>
    </dxf>
    <dxf>
      <font>
        <b/>
        <i val="0"/>
        <color rgb="FFFF0000"/>
      </font>
    </dxf>
    <dxf>
      <font>
        <b/>
        <i val="0"/>
        <color rgb="FF00B050"/>
      </font>
    </dxf>
    <dxf>
      <font>
        <b/>
        <i val="0"/>
        <color rgb="FFFF0000"/>
      </font>
    </dxf>
    <dxf>
      <numFmt numFmtId="3" formatCode="#,##0"/>
    </dxf>
    <dxf>
      <numFmt numFmtId="167" formatCode="#,##0.0"/>
    </dxf>
    <dxf>
      <numFmt numFmtId="4" formatCode="#,##0.00"/>
    </dxf>
    <dxf>
      <numFmt numFmtId="13" formatCode="0%"/>
    </dxf>
    <dxf>
      <numFmt numFmtId="14" formatCode="0.00%"/>
    </dxf>
    <dxf>
      <numFmt numFmtId="3" formatCode="#,##0"/>
    </dxf>
    <dxf>
      <numFmt numFmtId="167" formatCode="#,##0.0"/>
    </dxf>
    <dxf>
      <numFmt numFmtId="4" formatCode="#,##0.00"/>
    </dxf>
    <dxf>
      <numFmt numFmtId="3" formatCode="#,##0"/>
    </dxf>
    <dxf>
      <numFmt numFmtId="167" formatCode="#,##0.0"/>
    </dxf>
    <dxf>
      <numFmt numFmtId="4" formatCode="#,##0.00"/>
    </dxf>
    <dxf>
      <numFmt numFmtId="13" formatCode="0%"/>
    </dxf>
    <dxf>
      <numFmt numFmtId="14" formatCode="0.00%"/>
    </dxf>
    <dxf>
      <numFmt numFmtId="3" formatCode="#,##0"/>
    </dxf>
    <dxf>
      <numFmt numFmtId="167" formatCode="#,##0.0"/>
    </dxf>
    <dxf>
      <numFmt numFmtId="4" formatCode="#,##0.00"/>
    </dxf>
    <dxf>
      <numFmt numFmtId="3" formatCode="#,##0"/>
    </dxf>
    <dxf>
      <numFmt numFmtId="167" formatCode="#,##0.0"/>
    </dxf>
    <dxf>
      <numFmt numFmtId="4" formatCode="#,##0.00"/>
    </dxf>
    <dxf>
      <numFmt numFmtId="13" formatCode="0%"/>
    </dxf>
    <dxf>
      <numFmt numFmtId="14" formatCode="0.00%"/>
    </dxf>
    <dxf>
      <numFmt numFmtId="3" formatCode="#,##0"/>
    </dxf>
    <dxf>
      <numFmt numFmtId="167" formatCode="#,##0.0"/>
    </dxf>
    <dxf>
      <numFmt numFmtId="4" formatCode="#,##0.00"/>
    </dxf>
    <dxf>
      <numFmt numFmtId="3" formatCode="#,##0"/>
    </dxf>
    <dxf>
      <numFmt numFmtId="167" formatCode="#,##0.0"/>
    </dxf>
    <dxf>
      <numFmt numFmtId="4" formatCode="#,##0.00"/>
    </dxf>
    <dxf>
      <font>
        <color rgb="FFFF0000"/>
      </font>
    </dxf>
    <dxf>
      <font>
        <color rgb="FFFF0000"/>
      </font>
    </dxf>
    <dxf>
      <font>
        <color rgb="FFFF0000"/>
      </font>
    </dxf>
    <dxf>
      <font>
        <color auto="1"/>
      </font>
    </dxf>
    <dxf>
      <font>
        <color rgb="FFFF0000"/>
      </font>
    </dxf>
    <dxf>
      <font>
        <color rgb="FFFF0000"/>
      </font>
    </dxf>
    <dxf>
      <font>
        <color rgb="FFFF0000"/>
      </font>
    </dxf>
    <dxf>
      <font>
        <color rgb="FFFF0000"/>
      </font>
    </dxf>
    <dxf>
      <font>
        <color rgb="FFFF0000"/>
      </font>
    </dxf>
    <dxf>
      <font>
        <b val="0"/>
        <i/>
        <color rgb="FF00B050"/>
      </font>
    </dxf>
    <dxf>
      <font>
        <b val="0"/>
        <i/>
        <color rgb="FFFF0000"/>
      </font>
    </dxf>
    <dxf>
      <font>
        <b/>
        <i/>
        <color rgb="FFFF0000"/>
      </font>
    </dxf>
    <dxf>
      <font>
        <b/>
        <i/>
        <color rgb="FF00B050"/>
      </font>
    </dxf>
    <dxf>
      <font>
        <b/>
        <i/>
        <color rgb="FFFF0000"/>
      </font>
    </dxf>
    <dxf>
      <font>
        <b/>
        <i/>
        <color rgb="FF00B050"/>
      </font>
    </dxf>
    <dxf>
      <font>
        <b/>
        <i val="0"/>
        <color rgb="FF00B050"/>
      </font>
    </dxf>
    <dxf>
      <font>
        <b/>
        <i val="0"/>
        <color rgb="FFFF0000"/>
      </font>
    </dxf>
    <dxf>
      <font>
        <b val="0"/>
        <i/>
        <color rgb="FF00B050"/>
      </font>
    </dxf>
    <dxf>
      <font>
        <b val="0"/>
        <i/>
        <color rgb="FFFF0000"/>
      </font>
    </dxf>
    <dxf>
      <font>
        <color rgb="FFFF0000"/>
      </font>
    </dxf>
    <dxf>
      <font>
        <color rgb="FFFF0000"/>
      </font>
    </dxf>
    <dxf>
      <font>
        <color rgb="FFFF0000"/>
      </font>
    </dxf>
    <dxf>
      <font>
        <color rgb="FF00B050"/>
      </font>
    </dxf>
    <dxf>
      <font>
        <color rgb="FFFF0000"/>
      </font>
    </dxf>
    <dxf>
      <font>
        <b val="0"/>
        <i/>
        <color rgb="FFFF0000"/>
      </font>
    </dxf>
    <dxf>
      <font>
        <b/>
        <i/>
        <color rgb="FFFF0000"/>
      </font>
    </dxf>
    <dxf>
      <font>
        <b/>
        <i/>
        <color rgb="FF00B050"/>
      </font>
    </dxf>
    <dxf>
      <font>
        <b val="0"/>
        <i/>
        <color rgb="FF00B050"/>
      </font>
    </dxf>
    <dxf>
      <font>
        <b val="0"/>
        <i/>
        <color rgb="FFFF0000"/>
      </font>
    </dxf>
    <dxf>
      <font>
        <b val="0"/>
        <i/>
        <color rgb="FF00B050"/>
      </font>
    </dxf>
    <dxf>
      <font>
        <b val="0"/>
        <i/>
        <color rgb="FFFF0000"/>
      </font>
    </dxf>
    <dxf>
      <font>
        <b/>
        <i/>
        <color rgb="FFFF0000"/>
      </font>
    </dxf>
    <dxf>
      <font>
        <b/>
        <i/>
        <color rgb="FF00B050"/>
      </font>
    </dxf>
    <dxf>
      <font>
        <b/>
        <i val="0"/>
        <sz val="18"/>
        <color theme="1"/>
        <name val="Calibri"/>
        <scheme val="none"/>
      </font>
      <border>
        <bottom style="thin">
          <color theme="4"/>
        </bottom>
        <vertical/>
        <horizontal/>
      </border>
    </dxf>
    <dxf>
      <font>
        <sz val="14"/>
        <color theme="1"/>
        <name val="Calibri"/>
        <scheme val="none"/>
      </font>
      <fill>
        <patternFill>
          <bgColor theme="0"/>
        </patternFill>
      </fill>
      <border diagonalUp="0" diagonalDown="0">
        <left/>
        <right/>
        <top/>
        <bottom/>
        <vertical/>
        <horizontal/>
      </border>
    </dxf>
  </dxfs>
  <tableStyles count="1" defaultTableStyle="TableStyleMedium2" defaultPivotStyle="PivotStyleLight16">
    <tableStyle name="JUNE" pivot="0" table="0" count="10">
      <tableStyleElement type="wholeTable" dxfId="122"/>
      <tableStyleElement type="headerRow" dxfId="121"/>
    </tableStyle>
  </tableStyles>
  <colors>
    <mruColors>
      <color rgb="FF29679F"/>
      <color rgb="FF235685"/>
      <color rgb="FF20517E"/>
      <color rgb="FF3399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rgb="FFFFFF00"/>
            <name val="Calibri"/>
            <scheme val="none"/>
          </font>
          <fill>
            <patternFill patternType="solid">
              <fgColor theme="4" tint="0.59999389629810485"/>
              <bgColor theme="4" tint="-0.2499465926084170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4"/>
            <color auto="1"/>
            <name val="Calibri"/>
            <scheme val="none"/>
          </font>
          <fill>
            <patternFill patternType="solid">
              <fgColor indexed="64"/>
              <bgColor theme="4"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JUN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DASHBOARD SEPTEMBER 2024.xlsx]PBT GRAPH!PivotTable4</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000"/>
              <a:t>Profit Before Tax(Monthly)</a:t>
            </a:r>
          </a:p>
        </c:rich>
      </c:tx>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0" sourceLinked="0"/>
          <c:spPr>
            <a:noFill/>
            <a:ln>
              <a:noFill/>
            </a:ln>
            <a:effectLst/>
          </c:spPr>
          <c:txPr>
            <a:bodyPr rot="0" spcFirstLastPara="1" vertOverflow="ellipsis" vert="horz" wrap="square" lIns="38100" tIns="7200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0" sourceLinked="0"/>
          <c:spPr>
            <a:noFill/>
            <a:ln>
              <a:noFill/>
            </a:ln>
            <a:effectLst/>
          </c:spPr>
          <c:txPr>
            <a:bodyPr rot="0" spcFirstLastPara="1" vertOverflow="ellipsis" vert="horz" wrap="square" lIns="36000" tIns="108000" rIns="72000" bIns="7200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ext>
          </c:extLst>
        </c:dLbl>
      </c:pivotFmt>
    </c:pivotFmts>
    <c:plotArea>
      <c:layout>
        <c:manualLayout>
          <c:layoutTarget val="inner"/>
          <c:xMode val="edge"/>
          <c:yMode val="edge"/>
          <c:x val="7.3660125385881167E-2"/>
          <c:y val="0.12450872106029465"/>
          <c:w val="0.86958232026945637"/>
          <c:h val="0.77850469002596612"/>
        </c:manualLayout>
      </c:layout>
      <c:barChart>
        <c:barDir val="col"/>
        <c:grouping val="clustered"/>
        <c:varyColors val="0"/>
        <c:ser>
          <c:idx val="0"/>
          <c:order val="0"/>
          <c:tx>
            <c:strRef>
              <c:f>'PBT GRAPH'!$B$3</c:f>
              <c:strCache>
                <c:ptCount val="1"/>
                <c:pt idx="0">
                  <c:v>PBT ACTUAL (MONTH)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7200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1"/>
                <c15:leaderLines>
                  <c:spPr>
                    <a:ln w="9525">
                      <a:solidFill>
                        <a:schemeClr val="lt1">
                          <a:lumMod val="95000"/>
                          <a:alpha val="54000"/>
                        </a:schemeClr>
                      </a:solidFill>
                    </a:ln>
                    <a:effectLst/>
                  </c:spPr>
                </c15:leaderLines>
              </c:ext>
            </c:extLst>
          </c:dLbls>
          <c:cat>
            <c:strRef>
              <c:f>'PBT GRAPH'!$A$4:$A$5</c:f>
              <c:strCache>
                <c:ptCount val="1"/>
                <c:pt idx="0">
                  <c:v>SEP</c:v>
                </c:pt>
              </c:strCache>
            </c:strRef>
          </c:cat>
          <c:val>
            <c:numRef>
              <c:f>'PBT GRAPH'!$B$4:$B$5</c:f>
              <c:numCache>
                <c:formatCode>#,##0.00</c:formatCode>
                <c:ptCount val="1"/>
                <c:pt idx="0">
                  <c:v>-21343.05037059218</c:v>
                </c:pt>
              </c:numCache>
            </c:numRef>
          </c:val>
          <c:extLst xmlns:c16r2="http://schemas.microsoft.com/office/drawing/2015/06/chart">
            <c:ext xmlns:c16="http://schemas.microsoft.com/office/drawing/2014/chart" uri="{C3380CC4-5D6E-409C-BE32-E72D297353CC}">
              <c16:uniqueId val="{00000000-978E-48F8-ACA4-D191CCE6BE93}"/>
            </c:ext>
          </c:extLst>
        </c:ser>
        <c:ser>
          <c:idx val="1"/>
          <c:order val="1"/>
          <c:tx>
            <c:strRef>
              <c:f>'PBT GRAPH'!$C$3</c:f>
              <c:strCache>
                <c:ptCount val="1"/>
                <c:pt idx="0">
                  <c:v>PBT BUDGET (MONTH)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6000" tIns="108000" rIns="72000" bIns="7200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1"/>
                <c15:leaderLines>
                  <c:spPr>
                    <a:ln w="9525">
                      <a:solidFill>
                        <a:schemeClr val="lt1">
                          <a:lumMod val="95000"/>
                          <a:alpha val="54000"/>
                        </a:schemeClr>
                      </a:solidFill>
                    </a:ln>
                    <a:effectLst/>
                  </c:spPr>
                </c15:leaderLines>
              </c:ext>
            </c:extLst>
          </c:dLbls>
          <c:cat>
            <c:strRef>
              <c:f>'PBT GRAPH'!$A$4:$A$5</c:f>
              <c:strCache>
                <c:ptCount val="1"/>
                <c:pt idx="0">
                  <c:v>SEP</c:v>
                </c:pt>
              </c:strCache>
            </c:strRef>
          </c:cat>
          <c:val>
            <c:numRef>
              <c:f>'PBT GRAPH'!$C$4:$C$5</c:f>
              <c:numCache>
                <c:formatCode>#,##0.00</c:formatCode>
                <c:ptCount val="1"/>
                <c:pt idx="0">
                  <c:v>14688.187737729022</c:v>
                </c:pt>
              </c:numCache>
            </c:numRef>
          </c:val>
          <c:extLst xmlns:c16r2="http://schemas.microsoft.com/office/drawing/2015/06/chart">
            <c:ext xmlns:c16="http://schemas.microsoft.com/office/drawing/2014/chart" uri="{C3380CC4-5D6E-409C-BE32-E72D297353CC}">
              <c16:uniqueId val="{00000001-978E-48F8-ACA4-D191CCE6BE93}"/>
            </c:ext>
          </c:extLst>
        </c:ser>
        <c:dLbls>
          <c:dLblPos val="inEnd"/>
          <c:showLegendKey val="0"/>
          <c:showVal val="1"/>
          <c:showCatName val="0"/>
          <c:showSerName val="0"/>
          <c:showPercent val="0"/>
          <c:showBubbleSize val="0"/>
        </c:dLbls>
        <c:gapWidth val="100"/>
        <c:overlap val="-24"/>
        <c:axId val="-817773936"/>
        <c:axId val="-817765776"/>
      </c:barChart>
      <c:catAx>
        <c:axId val="-81777393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17765776"/>
        <c:crosses val="autoZero"/>
        <c:auto val="1"/>
        <c:lblAlgn val="ctr"/>
        <c:lblOffset val="100"/>
        <c:noMultiLvlLbl val="0"/>
      </c:catAx>
      <c:valAx>
        <c:axId val="-817765776"/>
        <c:scaling>
          <c:orientation val="minMax"/>
          <c:max val="100000"/>
          <c:min val="-100000"/>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817773936"/>
        <c:crosses val="autoZero"/>
        <c:crossBetween val="between"/>
        <c:majorUnit val="20000"/>
        <c:minorUnit val="4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DASHBOARD SEPTEMBER 2024.xlsx]ANALYSIS!KPI PIVOT</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NEW DEPOSITS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layout>
            <c:manualLayout>
              <c:x val="-0.8111148293963254"/>
              <c:y val="-0.20370370370370375"/>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dLbls>
          <c:dLblPos val="inEnd"/>
          <c:showLegendKey val="0"/>
          <c:showVal val="1"/>
          <c:showCatName val="0"/>
          <c:showSerName val="0"/>
          <c:showPercent val="0"/>
          <c:showBubbleSize val="0"/>
        </c:dLbls>
        <c:gapWidth val="65"/>
        <c:axId val="-817765232"/>
        <c:axId val="-817771760"/>
      </c:barChart>
      <c:catAx>
        <c:axId val="-817765232"/>
        <c:scaling>
          <c:orientation val="minMax"/>
        </c:scaling>
        <c:delete val="1"/>
        <c:axPos val="l"/>
        <c:numFmt formatCode="General" sourceLinked="1"/>
        <c:majorTickMark val="none"/>
        <c:minorTickMark val="none"/>
        <c:tickLblPos val="nextTo"/>
        <c:crossAx val="-817771760"/>
        <c:crosses val="autoZero"/>
        <c:auto val="1"/>
        <c:lblAlgn val="ctr"/>
        <c:lblOffset val="100"/>
        <c:noMultiLvlLbl val="0"/>
      </c:catAx>
      <c:valAx>
        <c:axId val="-817771760"/>
        <c:scaling>
          <c:orientation val="minMax"/>
        </c:scaling>
        <c:delete val="1"/>
        <c:axPos val="b"/>
        <c:numFmt formatCode="#,##0" sourceLinked="1"/>
        <c:majorTickMark val="none"/>
        <c:minorTickMark val="none"/>
        <c:tickLblPos val="nextTo"/>
        <c:crossAx val="-817765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r>
              <a:rPr lang="en-GB" sz="1600" b="1"/>
              <a:t>% ACHIEVED</a:t>
            </a:r>
          </a:p>
        </c:rich>
      </c:tx>
      <c:layout>
        <c:manualLayout>
          <c:xMode val="edge"/>
          <c:yMode val="edge"/>
          <c:x val="0.32121715016931829"/>
          <c:y val="2.8093643512064292E-2"/>
        </c:manualLayout>
      </c:layout>
      <c:overlay val="0"/>
      <c:spPr>
        <a:noFill/>
        <a:ln>
          <a:noFill/>
        </a:ln>
        <a:effectLst/>
      </c:spPr>
      <c:txPr>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157943754150577E-2"/>
          <c:y val="0.16382231839659278"/>
          <c:w val="0.71692390673527595"/>
          <c:h val="0.79125390558176212"/>
        </c:manualLayout>
      </c:layout>
      <c:doughnutChart>
        <c:varyColors val="1"/>
        <c:ser>
          <c:idx val="0"/>
          <c:order val="0"/>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715F-4F34-8D91-AA2C361E9987}"/>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715F-4F34-8D91-AA2C361E998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'EXECUTIVE DASHBOARD'!$D$34:$D$35</c:f>
              <c:strCache>
                <c:ptCount val="2"/>
                <c:pt idx="0">
                  <c:v>ACTUAL</c:v>
                </c:pt>
                <c:pt idx="1">
                  <c:v>BUDGET</c:v>
                </c:pt>
              </c:strCache>
            </c:strRef>
          </c:cat>
          <c:val>
            <c:numRef>
              <c:f>'EXECUTIVE DASHBOARD'!$E$34:$E$35</c:f>
              <c:numCache>
                <c:formatCode>0.0%</c:formatCode>
                <c:ptCount val="2"/>
                <c:pt idx="0" formatCode="0%">
                  <c:v>0.95877731985944326</c:v>
                </c:pt>
                <c:pt idx="1">
                  <c:v>4.1222680140556744E-2</c:v>
                </c:pt>
              </c:numCache>
            </c:numRef>
          </c:val>
          <c:extLst xmlns:c16r2="http://schemas.microsoft.com/office/drawing/2015/06/chart">
            <c:ext xmlns:c16="http://schemas.microsoft.com/office/drawing/2014/chart" uri="{C3380CC4-5D6E-409C-BE32-E72D297353CC}">
              <c16:uniqueId val="{00000004-715F-4F34-8D91-AA2C361E998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0802510623874535"/>
          <c:y val="6.6121572968753414E-2"/>
          <c:w val="0.17641934117502434"/>
          <c:h val="0.2220807959462447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DASHBOARD SEPTEMBER 2024.xlsx]PBT GRAPH!PivotTable4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Profit After Tax (MOM)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'PBT GRAPH'!$B$3</c:f>
              <c:strCache>
                <c:ptCount val="1"/>
                <c:pt idx="0">
                  <c:v>PBT ACTUAL (MONTH)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'PBT GRAPH'!$A$4:$A$5</c:f>
              <c:strCache>
                <c:ptCount val="1"/>
                <c:pt idx="0">
                  <c:v>SEP</c:v>
                </c:pt>
              </c:strCache>
            </c:strRef>
          </c:cat>
          <c:val>
            <c:numRef>
              <c:f>'PBT GRAPH'!$B$4:$B$5</c:f>
              <c:numCache>
                <c:formatCode>#,##0.00</c:formatCode>
                <c:ptCount val="1"/>
                <c:pt idx="0">
                  <c:v>-21343.05037059218</c:v>
                </c:pt>
              </c:numCache>
            </c:numRef>
          </c:val>
          <c:extLst xmlns:c16r2="http://schemas.microsoft.com/office/drawing/2015/06/chart">
            <c:ext xmlns:c16="http://schemas.microsoft.com/office/drawing/2014/chart" uri="{C3380CC4-5D6E-409C-BE32-E72D297353CC}">
              <c16:uniqueId val="{00000000-06A1-4830-B59A-3C8B9D9DC99E}"/>
            </c:ext>
          </c:extLst>
        </c:ser>
        <c:ser>
          <c:idx val="1"/>
          <c:order val="1"/>
          <c:tx>
            <c:strRef>
              <c:f>'PBT GRAPH'!$C$3</c:f>
              <c:strCache>
                <c:ptCount val="1"/>
                <c:pt idx="0">
                  <c:v>PBT BUDGET (MONTH)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'PBT GRAPH'!$A$4:$A$5</c:f>
              <c:strCache>
                <c:ptCount val="1"/>
                <c:pt idx="0">
                  <c:v>SEP</c:v>
                </c:pt>
              </c:strCache>
            </c:strRef>
          </c:cat>
          <c:val>
            <c:numRef>
              <c:f>'PBT GRAPH'!$C$4:$C$5</c:f>
              <c:numCache>
                <c:formatCode>#,##0.00</c:formatCode>
                <c:ptCount val="1"/>
                <c:pt idx="0">
                  <c:v>14688.187737729022</c:v>
                </c:pt>
              </c:numCache>
            </c:numRef>
          </c:val>
          <c:extLst xmlns:c16r2="http://schemas.microsoft.com/office/drawing/2015/06/chart">
            <c:ext xmlns:c16="http://schemas.microsoft.com/office/drawing/2014/chart" uri="{C3380CC4-5D6E-409C-BE32-E72D297353CC}">
              <c16:uniqueId val="{00000001-06A1-4830-B59A-3C8B9D9DC99E}"/>
            </c:ext>
          </c:extLst>
        </c:ser>
        <c:dLbls>
          <c:dLblPos val="outEnd"/>
          <c:showLegendKey val="0"/>
          <c:showVal val="1"/>
          <c:showCatName val="0"/>
          <c:showSerName val="0"/>
          <c:showPercent val="0"/>
          <c:showBubbleSize val="0"/>
        </c:dLbls>
        <c:gapWidth val="100"/>
        <c:overlap val="-24"/>
        <c:axId val="-817759248"/>
        <c:axId val="-817773392"/>
      </c:barChart>
      <c:catAx>
        <c:axId val="-8177592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7773392"/>
        <c:crosses val="autoZero"/>
        <c:auto val="1"/>
        <c:lblAlgn val="ctr"/>
        <c:lblOffset val="100"/>
        <c:noMultiLvlLbl val="0"/>
      </c:catAx>
      <c:valAx>
        <c:axId val="-817773392"/>
        <c:scaling>
          <c:orientation val="minMax"/>
          <c:max val="50000"/>
          <c:min val="-50000"/>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759248"/>
        <c:crosses val="autoZero"/>
        <c:crossBetween val="between"/>
        <c:minorUnit val="4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849089</xdr:colOff>
      <xdr:row>2</xdr:row>
      <xdr:rowOff>105832</xdr:rowOff>
    </xdr:to>
    <xdr:pic>
      <xdr:nvPicPr>
        <xdr:cNvPr id="3" name="Picture 2">
          <a:extLst>
            <a:ext uri="{FF2B5EF4-FFF2-40B4-BE49-F238E27FC236}">
              <a16:creationId xmlns=""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0" y="0"/>
          <a:ext cx="1621672" cy="486832"/>
        </a:xfrm>
        <a:prstGeom prst="rect">
          <a:avLst/>
        </a:prstGeom>
      </xdr:spPr>
    </xdr:pic>
    <xdr:clientData/>
  </xdr:twoCellAnchor>
  <xdr:twoCellAnchor>
    <xdr:from>
      <xdr:col>2</xdr:col>
      <xdr:colOff>247650</xdr:colOff>
      <xdr:row>0</xdr:row>
      <xdr:rowOff>19051</xdr:rowOff>
    </xdr:from>
    <xdr:to>
      <xdr:col>13</xdr:col>
      <xdr:colOff>1279072</xdr:colOff>
      <xdr:row>2</xdr:row>
      <xdr:rowOff>127000</xdr:rowOff>
    </xdr:to>
    <xdr:sp macro="" textlink="">
      <xdr:nvSpPr>
        <xdr:cNvPr id="4" name="Rectangle 3"/>
        <xdr:cNvSpPr/>
      </xdr:nvSpPr>
      <xdr:spPr>
        <a:xfrm>
          <a:off x="1962150" y="19051"/>
          <a:ext cx="12856029" cy="488949"/>
        </a:xfrm>
        <a:prstGeom prst="rect">
          <a:avLst/>
        </a:prstGeom>
        <a:solidFill>
          <a:srgbClr val="29679F"/>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GB" sz="2800">
              <a:solidFill>
                <a:srgbClr val="FFFF00"/>
              </a:solidFill>
            </a:rPr>
            <a:t>SEPTEMBER 2024 KPI DASHBOARD</a:t>
          </a:r>
        </a:p>
      </xdr:txBody>
    </xdr:sp>
    <xdr:clientData/>
  </xdr:twoCellAnchor>
  <xdr:twoCellAnchor>
    <xdr:from>
      <xdr:col>11</xdr:col>
      <xdr:colOff>1496787</xdr:colOff>
      <xdr:row>3</xdr:row>
      <xdr:rowOff>150735</xdr:rowOff>
    </xdr:from>
    <xdr:to>
      <xdr:col>15</xdr:col>
      <xdr:colOff>53673</xdr:colOff>
      <xdr:row>6</xdr:row>
      <xdr:rowOff>1513</xdr:rowOff>
    </xdr:to>
    <xdr:sp macro="" textlink="">
      <xdr:nvSpPr>
        <xdr:cNvPr id="16" name="TextBox 15"/>
        <xdr:cNvSpPr txBox="1"/>
      </xdr:nvSpPr>
      <xdr:spPr>
        <a:xfrm>
          <a:off x="12482287" y="695021"/>
          <a:ext cx="4788957" cy="367849"/>
        </a:xfrm>
        <a:prstGeom prst="rect">
          <a:avLst/>
        </a:prstGeom>
        <a:solidFill>
          <a:srgbClr val="29679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GB" sz="1800" b="1">
              <a:solidFill>
                <a:srgbClr val="FFFF00"/>
              </a:solidFill>
            </a:rPr>
            <a:t>YTD PROFIT </a:t>
          </a:r>
        </a:p>
      </xdr:txBody>
    </xdr:sp>
    <xdr:clientData/>
  </xdr:twoCellAnchor>
  <xdr:twoCellAnchor editAs="oneCell">
    <xdr:from>
      <xdr:col>0</xdr:col>
      <xdr:colOff>0</xdr:colOff>
      <xdr:row>3</xdr:row>
      <xdr:rowOff>190501</xdr:rowOff>
    </xdr:from>
    <xdr:to>
      <xdr:col>1</xdr:col>
      <xdr:colOff>879929</xdr:colOff>
      <xdr:row>19</xdr:row>
      <xdr:rowOff>136071</xdr:rowOff>
    </xdr:to>
    <mc:AlternateContent xmlns:mc="http://schemas.openxmlformats.org/markup-compatibility/2006" xmlns:a14="http://schemas.microsoft.com/office/drawing/2010/main">
      <mc:Choice Requires="a14">
        <xdr:graphicFrame macro="">
          <xdr:nvGraphicFramePr>
            <xdr:cNvPr id="9"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0" y="857250"/>
              <a:ext cx="1655536" cy="32561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220889</xdr:colOff>
      <xdr:row>3</xdr:row>
      <xdr:rowOff>45357</xdr:rowOff>
    </xdr:from>
    <xdr:to>
      <xdr:col>11</xdr:col>
      <xdr:colOff>297089</xdr:colOff>
      <xdr:row>21</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500062</xdr:colOff>
      <xdr:row>0</xdr:row>
      <xdr:rowOff>23812</xdr:rowOff>
    </xdr:from>
    <xdr:to>
      <xdr:col>13</xdr:col>
      <xdr:colOff>71437</xdr:colOff>
      <xdr:row>2</xdr:row>
      <xdr:rowOff>61912</xdr:rowOff>
    </xdr:to>
    <xdr:sp macro="" textlink="">
      <xdr:nvSpPr>
        <xdr:cNvPr id="2" name="Rectangle 1"/>
        <xdr:cNvSpPr/>
      </xdr:nvSpPr>
      <xdr:spPr>
        <a:xfrm>
          <a:off x="2726531" y="23812"/>
          <a:ext cx="10489406" cy="419100"/>
        </a:xfrm>
        <a:prstGeom prst="rect">
          <a:avLst/>
        </a:prstGeom>
        <a:solidFill>
          <a:srgbClr val="29679F"/>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4" algn="l"/>
          <a:r>
            <a:rPr lang="en-US" sz="2400" b="0" i="1" u="none" cap="none" spc="0">
              <a:ln w="0"/>
              <a:solidFill>
                <a:srgbClr val="FFFF00"/>
              </a:solidFill>
              <a:effectLst>
                <a:outerShdw blurRad="38100" dist="19050" dir="2700000" algn="tl" rotWithShape="0">
                  <a:schemeClr val="dk1">
                    <a:alpha val="40000"/>
                  </a:schemeClr>
                </a:outerShdw>
              </a:effectLst>
            </a:rPr>
            <a:t>PERFORMANCE</a:t>
          </a:r>
          <a:r>
            <a:rPr lang="en-US" sz="2400" b="0" i="1" u="none" cap="none" spc="0" baseline="0">
              <a:ln w="0"/>
              <a:solidFill>
                <a:srgbClr val="FFFF00"/>
              </a:solidFill>
              <a:effectLst>
                <a:outerShdw blurRad="38100" dist="19050" dir="2700000" algn="tl" rotWithShape="0">
                  <a:schemeClr val="dk1">
                    <a:alpha val="40000"/>
                  </a:schemeClr>
                </a:outerShdw>
              </a:effectLst>
            </a:rPr>
            <a:t> DASHBOARD SEPTEMBER 2024</a:t>
          </a:r>
          <a:endParaRPr lang="en-US" sz="2400" b="0" i="1" u="none" cap="none" spc="0">
            <a:ln w="0"/>
            <a:solidFill>
              <a:srgbClr val="FFFF00"/>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0</xdr:colOff>
      <xdr:row>0</xdr:row>
      <xdr:rowOff>66675</xdr:rowOff>
    </xdr:from>
    <xdr:to>
      <xdr:col>2</xdr:col>
      <xdr:colOff>508000</xdr:colOff>
      <xdr:row>2</xdr:row>
      <xdr:rowOff>180975</xdr:rowOff>
    </xdr:to>
    <xdr:pic>
      <xdr:nvPicPr>
        <xdr:cNvPr id="3" name="Picture 2">
          <a:extLst>
            <a:ext uri="{FF2B5EF4-FFF2-40B4-BE49-F238E27FC236}">
              <a16:creationId xmlns=""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0" y="66675"/>
          <a:ext cx="1670050" cy="501650"/>
        </a:xfrm>
        <a:prstGeom prst="rect">
          <a:avLst/>
        </a:prstGeom>
      </xdr:spPr>
    </xdr:pic>
    <xdr:clientData/>
  </xdr:twoCellAnchor>
  <xdr:twoCellAnchor editAs="oneCell">
    <xdr:from>
      <xdr:col>0</xdr:col>
      <xdr:colOff>83344</xdr:colOff>
      <xdr:row>3</xdr:row>
      <xdr:rowOff>238125</xdr:rowOff>
    </xdr:from>
    <xdr:to>
      <xdr:col>2</xdr:col>
      <xdr:colOff>569119</xdr:colOff>
      <xdr:row>15</xdr:row>
      <xdr:rowOff>95250</xdr:rowOff>
    </xdr:to>
    <mc:AlternateContent xmlns:mc="http://schemas.openxmlformats.org/markup-compatibility/2006" xmlns:a14="http://schemas.microsoft.com/office/drawing/2010/main">
      <mc:Choice Requires="a14">
        <xdr:graphicFrame macro="">
          <xdr:nvGraphicFramePr>
            <xdr:cNvPr id="9" name="BRANCH 1"/>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83344" y="809625"/>
              <a:ext cx="1652588" cy="3428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8</xdr:row>
      <xdr:rowOff>22225</xdr:rowOff>
    </xdr:from>
    <xdr:to>
      <xdr:col>16</xdr:col>
      <xdr:colOff>0</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142875</xdr:rowOff>
    </xdr:from>
    <xdr:to>
      <xdr:col>1</xdr:col>
      <xdr:colOff>381000</xdr:colOff>
      <xdr:row>34</xdr:row>
      <xdr:rowOff>0</xdr:rowOff>
    </xdr:to>
    <mc:AlternateContent xmlns:mc="http://schemas.openxmlformats.org/markup-compatibility/2006" xmlns:a14="http://schemas.microsoft.com/office/drawing/2010/main">
      <mc:Choice Requires="a14">
        <xdr:graphicFrame macro="">
          <xdr:nvGraphicFramePr>
            <xdr:cNvPr id="5"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39528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13607</xdr:colOff>
      <xdr:row>0</xdr:row>
      <xdr:rowOff>81644</xdr:rowOff>
    </xdr:from>
    <xdr:to>
      <xdr:col>3</xdr:col>
      <xdr:colOff>47623</xdr:colOff>
      <xdr:row>3</xdr:row>
      <xdr:rowOff>255135</xdr:rowOff>
    </xdr:to>
    <xdr:pic>
      <xdr:nvPicPr>
        <xdr:cNvPr id="2" name="Picture 1">
          <a:extLst>
            <a:ext uri="{FF2B5EF4-FFF2-40B4-BE49-F238E27FC236}">
              <a16:creationId xmlns=""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3607" y="81644"/>
          <a:ext cx="1598837" cy="826634"/>
        </a:xfrm>
        <a:prstGeom prst="rect">
          <a:avLst/>
        </a:prstGeom>
      </xdr:spPr>
    </xdr:pic>
    <xdr:clientData/>
  </xdr:twoCellAnchor>
  <xdr:twoCellAnchor editAs="oneCell">
    <xdr:from>
      <xdr:col>3</xdr:col>
      <xdr:colOff>190500</xdr:colOff>
      <xdr:row>1</xdr:row>
      <xdr:rowOff>40821</xdr:rowOff>
    </xdr:from>
    <xdr:to>
      <xdr:col>18</xdr:col>
      <xdr:colOff>378072</xdr:colOff>
      <xdr:row>4</xdr:row>
      <xdr:rowOff>217714</xdr:rowOff>
    </xdr:to>
    <mc:AlternateContent xmlns:mc="http://schemas.openxmlformats.org/markup-compatibility/2006" xmlns:a14="http://schemas.microsoft.com/office/drawing/2010/main">
      <mc:Choice Requires="a14">
        <xdr:graphicFrame macro="">
          <xdr:nvGraphicFramePr>
            <xdr:cNvPr id="8" name="KPI 1"/>
            <xdr:cNvGraphicFramePr/>
          </xdr:nvGraphicFramePr>
          <xdr:xfrm>
            <a:off x="0" y="0"/>
            <a:ext cx="0" cy="0"/>
          </xdr:xfrm>
          <a:graphic>
            <a:graphicData uri="http://schemas.microsoft.com/office/drawing/2010/slicer">
              <sle:slicer xmlns:sle="http://schemas.microsoft.com/office/drawing/2010/slicer" name="KPI 1"/>
            </a:graphicData>
          </a:graphic>
        </xdr:graphicFrame>
      </mc:Choice>
      <mc:Fallback xmlns="">
        <xdr:sp macro="" textlink="">
          <xdr:nvSpPr>
            <xdr:cNvPr id="0" name=""/>
            <xdr:cNvSpPr>
              <a:spLocks noTextEdit="1"/>
            </xdr:cNvSpPr>
          </xdr:nvSpPr>
          <xdr:spPr>
            <a:xfrm>
              <a:off x="1755321" y="312964"/>
              <a:ext cx="17781608" cy="925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476250</xdr:colOff>
      <xdr:row>6</xdr:row>
      <xdr:rowOff>204108</xdr:rowOff>
    </xdr:from>
    <xdr:to>
      <xdr:col>16</xdr:col>
      <xdr:colOff>54429</xdr:colOff>
      <xdr:row>19</xdr:row>
      <xdr:rowOff>108858</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20</xdr:row>
      <xdr:rowOff>57150</xdr:rowOff>
    </xdr:from>
    <xdr:to>
      <xdr:col>1</xdr:col>
      <xdr:colOff>962025</xdr:colOff>
      <xdr:row>33</xdr:row>
      <xdr:rowOff>104775</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867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361950</xdr:colOff>
      <xdr:row>0</xdr:row>
      <xdr:rowOff>114300</xdr:rowOff>
    </xdr:from>
    <xdr:to>
      <xdr:col>13</xdr:col>
      <xdr:colOff>228600</xdr:colOff>
      <xdr:row>18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31</xdr:row>
      <xdr:rowOff>76200</xdr:rowOff>
    </xdr:from>
    <xdr:to>
      <xdr:col>11</xdr:col>
      <xdr:colOff>333375</xdr:colOff>
      <xdr:row>47</xdr:row>
      <xdr:rowOff>38099</xdr:rowOff>
    </xdr:to>
    <mc:AlternateContent xmlns:mc="http://schemas.openxmlformats.org/markup-compatibility/2006" xmlns:a14="http://schemas.microsoft.com/office/drawing/2010/main">
      <mc:Choice Requires="a14">
        <xdr:graphicFrame macro="">
          <xdr:nvGraphicFramePr>
            <xdr:cNvPr id="3" name="KPI"/>
            <xdr:cNvGraphicFramePr/>
          </xdr:nvGraphicFramePr>
          <xdr:xfrm>
            <a:off x="0" y="0"/>
            <a:ext cx="0" cy="0"/>
          </xdr:xfrm>
          <a:graphic>
            <a:graphicData uri="http://schemas.microsoft.com/office/drawing/2010/slicer">
              <sle:slicer xmlns:sle="http://schemas.microsoft.com/office/drawing/2010/slicer" name="KPI"/>
            </a:graphicData>
          </a:graphic>
        </xdr:graphicFrame>
      </mc:Choice>
      <mc:Fallback xmlns="">
        <xdr:sp macro="" textlink="">
          <xdr:nvSpPr>
            <xdr:cNvPr id="0" name=""/>
            <xdr:cNvSpPr>
              <a:spLocks noTextEdit="1"/>
            </xdr:cNvSpPr>
          </xdr:nvSpPr>
          <xdr:spPr>
            <a:xfrm>
              <a:off x="4924425" y="5981700"/>
              <a:ext cx="1828800" cy="3009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ckaniaru\AppData\Local\Microsoft\Windows\Temporary%20Internet%20Files\Content.Outlook\98GZJPA6\bpmToolbox%206%200-Forecast%20Business%20Planning%20Model%20Example%20(Bas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3.0.10\Rafiki%20DTM%20Finance\Users\rmaonga\Desktop\MANAGEMENT%20ACS\MISC\BUDGET\Budget%20-%20Management%20Accounts%20(Final%20Adjusted)%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EW6RDPD2J\aws\Documents%20and%20Settings\john.muchoki\Desktop\Coop%202008\AUDITORS-YEAR%202008\TRIAL%20BALANCE%20200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Users\eroimen\AppData\Local\Microsoft\Windows\Temporary%20Internet%20Files\Content.Outlook\M2X4AWRQ\Chase%20Bank%20Financial%20Model%20-%20v3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EW6RDPD2J\aws\Documents%20and%20Settings\samuel.macharia\My%20Documents\Coop%20schedules\COOP_T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Overview_SC"/>
      <sheetName val="Notes_SSC"/>
      <sheetName val="Notes_BO"/>
      <sheetName val="Keys_SSC"/>
      <sheetName val="Keys_BO"/>
      <sheetName val="Assumptions_SC"/>
      <sheetName val="TS_Ass_SSC"/>
      <sheetName val="TS_BA"/>
      <sheetName val="Fcast_Ass_SSC"/>
      <sheetName val="Fcast_TA"/>
      <sheetName val="Base_OP_SC"/>
      <sheetName val="Fcast_OP_SSC"/>
      <sheetName val="Fcast_TO"/>
      <sheetName val="FS_OP_SSC"/>
      <sheetName val="IS_TO"/>
      <sheetName val="BS_TO"/>
      <sheetName val="CFS_TO"/>
      <sheetName val="Dashboards_SSC"/>
      <sheetName val="BS_Sum_P_MS"/>
      <sheetName val="Appendices_SC"/>
      <sheetName val="Checks_SSC"/>
      <sheetName val="Checks_BO"/>
      <sheetName val="LU_SSC"/>
      <sheetName val="TS_LU"/>
      <sheetName val="Capital_LU"/>
      <sheetName val="Dashboards_LU"/>
      <sheetName val="Tables"/>
      <sheetName val="Drop downs"/>
      <sheetName val="Share capital by subscription"/>
      <sheetName val="Computers"/>
      <sheetName val="Motor Vehicle"/>
      <sheetName val="WIP"/>
      <sheetName val="Drop_downs"/>
      <sheetName val="Share_capital_by_subscription"/>
      <sheetName val="Motor_Vehicle"/>
      <sheetName val="D 1.2Amortisation workings"/>
      <sheetName val="Recomputation Write Up "/>
      <sheetName val="EI 1.2-Specific Provisions"/>
    </sheetNames>
    <sheetDataSet>
      <sheetData sheetId="0">
        <row r="7">
          <cell r="B7" t="str">
            <v>Formats &amp; Styles Key</v>
          </cell>
        </row>
      </sheetData>
      <sheetData sheetId="1">
        <row r="7">
          <cell r="B7" t="str">
            <v>Formats &amp; Styles Key</v>
          </cell>
        </row>
      </sheetData>
      <sheetData sheetId="2">
        <row r="16">
          <cell r="B16" t="str">
            <v>Operational - Outputs</v>
          </cell>
        </row>
      </sheetData>
      <sheetData sheetId="3">
        <row r="16">
          <cell r="B16" t="str">
            <v>Direct Cash Flow Statement</v>
          </cell>
        </row>
      </sheetData>
      <sheetData sheetId="4">
        <row r="7">
          <cell r="B7" t="str">
            <v>Error Checks</v>
          </cell>
        </row>
      </sheetData>
      <sheetData sheetId="5">
        <row r="7">
          <cell r="B7" t="str">
            <v>Formats &amp; Styles Key</v>
          </cell>
        </row>
      </sheetData>
      <sheetData sheetId="6">
        <row r="7">
          <cell r="B7" t="str">
            <v>Formats &amp; Styles Key</v>
          </cell>
        </row>
        <row r="54">
          <cell r="B54" t="str">
            <v>Sheet Naming Key</v>
          </cell>
        </row>
        <row r="102">
          <cell r="B102" t="str">
            <v>Range Naming Key</v>
          </cell>
        </row>
      </sheetData>
      <sheetData sheetId="7">
        <row r="7">
          <cell r="B7" t="str">
            <v>Formats &amp; Styles Key</v>
          </cell>
        </row>
      </sheetData>
      <sheetData sheetId="8">
        <row r="16">
          <cell r="B16" t="str">
            <v>Direct Cash Flow Statement</v>
          </cell>
        </row>
      </sheetData>
      <sheetData sheetId="9">
        <row r="7">
          <cell r="B7" t="str">
            <v>Error Checks</v>
          </cell>
        </row>
      </sheetData>
      <sheetData sheetId="10">
        <row r="16">
          <cell r="B16" t="str">
            <v>Operational - Outputs</v>
          </cell>
        </row>
      </sheetData>
      <sheetData sheetId="11">
        <row r="7">
          <cell r="B7" t="str">
            <v>Formats &amp; Styles Key</v>
          </cell>
        </row>
        <row r="16">
          <cell r="B16" t="str">
            <v>Operational - Assumptions</v>
          </cell>
        </row>
        <row r="29">
          <cell r="B29" t="str">
            <v>Working Capital - Assumptions</v>
          </cell>
        </row>
        <row r="41">
          <cell r="B41" t="str">
            <v>Assets - Assumptions</v>
          </cell>
        </row>
        <row r="50">
          <cell r="B50" t="str">
            <v>Capital - Assumptions</v>
          </cell>
        </row>
        <row r="98">
          <cell r="B98" t="str">
            <v>Taxation - Assumptions</v>
          </cell>
        </row>
        <row r="115">
          <cell r="B115" t="str">
            <v>Other Balance Sheet Items - Assumptions</v>
          </cell>
        </row>
      </sheetData>
      <sheetData sheetId="12"/>
      <sheetData sheetId="13">
        <row r="16">
          <cell r="B16" t="str">
            <v>Direct Cash Flow Statement</v>
          </cell>
        </row>
      </sheetData>
      <sheetData sheetId="14">
        <row r="16">
          <cell r="B16" t="str">
            <v>Operational - Outputs</v>
          </cell>
        </row>
        <row r="25">
          <cell r="B25" t="str">
            <v>Working Capital - Outputs</v>
          </cell>
        </row>
        <row r="62">
          <cell r="B62" t="str">
            <v>Assets - Outputs</v>
          </cell>
        </row>
        <row r="89">
          <cell r="B89" t="str">
            <v>Capital - Outputs</v>
          </cell>
        </row>
        <row r="157">
          <cell r="B157" t="str">
            <v>Taxation - Output Summary</v>
          </cell>
        </row>
        <row r="183">
          <cell r="B183" t="str">
            <v>Other Balance Sheet Items - Outputs</v>
          </cell>
        </row>
      </sheetData>
      <sheetData sheetId="15"/>
      <sheetData sheetId="16">
        <row r="16">
          <cell r="B16" t="str">
            <v>Direct Cash Flow Statement</v>
          </cell>
        </row>
      </sheetData>
      <sheetData sheetId="17"/>
      <sheetData sheetId="18">
        <row r="16">
          <cell r="B16" t="str">
            <v>Direct Cash Flow Statement</v>
          </cell>
        </row>
        <row r="53">
          <cell r="B53" t="str">
            <v>Indirect Cash Flow Statement</v>
          </cell>
        </row>
        <row r="89">
          <cell r="B89" t="str">
            <v>Capital Providers - Cash Flow Reconciliation</v>
          </cell>
        </row>
      </sheetData>
      <sheetData sheetId="19"/>
      <sheetData sheetId="20">
        <row r="7">
          <cell r="B7" t="str">
            <v>Error Checks</v>
          </cell>
        </row>
      </sheetData>
      <sheetData sheetId="21">
        <row r="7">
          <cell r="B7" t="str">
            <v>Error Checks</v>
          </cell>
        </row>
      </sheetData>
      <sheetData sheetId="22">
        <row r="7">
          <cell r="B7" t="str">
            <v>Error Checks</v>
          </cell>
        </row>
      </sheetData>
      <sheetData sheetId="23">
        <row r="7">
          <cell r="B7" t="str">
            <v>Error Checks</v>
          </cell>
        </row>
        <row r="14">
          <cell r="I14" t="str">
            <v/>
          </cell>
        </row>
        <row r="33">
          <cell r="B33" t="str">
            <v>Sensitivity Checks</v>
          </cell>
        </row>
        <row r="40">
          <cell r="I40" t="str">
            <v/>
          </cell>
        </row>
        <row r="49">
          <cell r="B49" t="str">
            <v>Alert Checks</v>
          </cell>
        </row>
        <row r="56">
          <cell r="I56" t="str">
            <v/>
          </cell>
        </row>
      </sheetData>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ase DATA"/>
      <sheetName val="Absorption Spread"/>
      <sheetName val="Data Source(A)"/>
      <sheetName val="Data Source(B)"/>
      <sheetName val="Data Source(C)"/>
      <sheetName val="Data Source(D)"/>
      <sheetName val="Sheet1"/>
      <sheetName val="Inclusion Table(Loans)"/>
      <sheetName val="Inclusion Table (Deposits)"/>
      <sheetName val="Balance Sheet-Branch"/>
      <sheetName val="Cash Balances"/>
      <sheetName val="Income Statement-Branch"/>
      <sheetName val="Loans &amp; Advances (Branch)"/>
      <sheetName val="INDIRECT Cash Flow (Rafiki DTM)"/>
      <sheetName val="Customer Deposits (Branch)"/>
      <sheetName val="Int Income &amp;Exp"/>
      <sheetName val="Commissions"/>
      <sheetName val="ADMIN EXP. (Branch)"/>
      <sheetName val="ADMIN EXP. (CON)"/>
      <sheetName val="Loans &amp; Advances (Con)"/>
      <sheetName val="Cash and Bank"/>
      <sheetName val="Fixed Assets &amp; DT (CON)"/>
      <sheetName val="Customer Deposits (CON)"/>
      <sheetName val="STAFF COSTS (CON)"/>
      <sheetName val="Fixed Assets &amp; DT (Branches)"/>
      <sheetName val="Other Assets "/>
      <sheetName val="Other Liab,"/>
      <sheetName val="Borrowings &amp; Equity"/>
      <sheetName val="STAFF COSTS (Branches)"/>
      <sheetName val="OTHER ADMIN EXPENSES"/>
      <sheetName val="MARKETING BUDGET"/>
      <sheetName val="Capital Budget 2013"/>
      <sheetName val="Tables"/>
      <sheetName val="DB 1-ADMINISTRATION EXP."/>
      <sheetName val="Look-up Tables"/>
      <sheetName val="Base_DATA"/>
      <sheetName val="Absorption_Spread"/>
      <sheetName val="Data_Source(A)"/>
      <sheetName val="Data_Source(B)"/>
      <sheetName val="Data_Source(C)"/>
      <sheetName val="Data_Source(D)"/>
      <sheetName val="Inclusion_Table(Loans)"/>
      <sheetName val="Inclusion_Table_(Deposits)"/>
      <sheetName val="Balance_Sheet-Branch"/>
      <sheetName val="Cash_Balances"/>
      <sheetName val="Income_Statement-Branch"/>
      <sheetName val="Loans_&amp;_Advances_(Branch)"/>
      <sheetName val="INDIRECT_Cash_Flow_(Rafiki_DTM)"/>
      <sheetName val="Customer_Deposits_(Branch)"/>
      <sheetName val="Int_Income_&amp;Exp"/>
      <sheetName val="ADMIN_EXP__(Branch)"/>
      <sheetName val="ADMIN_EXP__(CON)"/>
      <sheetName val="Loans_&amp;_Advances_(Con)"/>
      <sheetName val="Cash_and_Bank"/>
      <sheetName val="Fixed_Assets_&amp;_DT_(CON)"/>
      <sheetName val="Customer_Deposits_(CON)"/>
      <sheetName val="STAFF_COSTS_(CON)"/>
      <sheetName val="Fixed_Assets_&amp;_DT_(Branches)"/>
      <sheetName val="Other_Assets_"/>
      <sheetName val="Other_Liab,"/>
      <sheetName val="Borrowings_&amp;_Equity"/>
      <sheetName val="STAFF_COSTS_(Branches)"/>
      <sheetName val="OTHER_ADMIN_EXPENSES"/>
      <sheetName val="MARKETING_BUDGET"/>
      <sheetName val="Capital_Budget_2013"/>
      <sheetName val="DB_1-ADMINISTRATION_EXP_"/>
      <sheetName val="Look-up_Tables"/>
    </sheetNames>
    <sheetDataSet>
      <sheetData sheetId="0"/>
      <sheetData sheetId="1">
        <row r="4">
          <cell r="F4" t="str">
            <v>Consolidated</v>
          </cell>
        </row>
        <row r="5">
          <cell r="F5" t="str">
            <v>Head Office</v>
          </cell>
        </row>
        <row r="6">
          <cell r="F6" t="str">
            <v xml:space="preserve">Tom Mboya </v>
          </cell>
        </row>
        <row r="7">
          <cell r="F7" t="str">
            <v xml:space="preserve">Likoni </v>
          </cell>
        </row>
        <row r="8">
          <cell r="F8" t="str">
            <v>Mombasa</v>
          </cell>
        </row>
        <row r="9">
          <cell r="F9" t="str">
            <v xml:space="preserve">Kitengela </v>
          </cell>
        </row>
        <row r="10">
          <cell r="F10" t="str">
            <v xml:space="preserve">Eldoret </v>
          </cell>
        </row>
        <row r="11">
          <cell r="F11" t="str">
            <v xml:space="preserve">Thika </v>
          </cell>
        </row>
        <row r="12">
          <cell r="F12" t="str">
            <v xml:space="preserve">Kayole </v>
          </cell>
        </row>
        <row r="13">
          <cell r="F13" t="str">
            <v xml:space="preserve">Wote </v>
          </cell>
        </row>
        <row r="14">
          <cell r="F14" t="str">
            <v xml:space="preserve">Nakuru </v>
          </cell>
        </row>
        <row r="15">
          <cell r="F15" t="str">
            <v xml:space="preserve">Rongai </v>
          </cell>
        </row>
        <row r="16">
          <cell r="F16" t="str">
            <v>Westlands</v>
          </cell>
        </row>
        <row r="17">
          <cell r="F17" t="str">
            <v>Kisii</v>
          </cell>
        </row>
        <row r="18">
          <cell r="F18" t="str">
            <v>Nairobi CBD (2)</v>
          </cell>
        </row>
        <row r="19">
          <cell r="F19" t="str">
            <v xml:space="preserve">Meru </v>
          </cell>
        </row>
        <row r="20">
          <cell r="F20" t="str">
            <v xml:space="preserve">Limuru </v>
          </cell>
        </row>
        <row r="21">
          <cell r="F21" t="str">
            <v xml:space="preserve">Ruiru </v>
          </cell>
        </row>
        <row r="22">
          <cell r="F22" t="str">
            <v xml:space="preserve">Kariobangi </v>
          </cell>
        </row>
        <row r="23">
          <cell r="F23" t="str">
            <v xml:space="preserve">Vihiga </v>
          </cell>
        </row>
        <row r="24">
          <cell r="F24" t="str">
            <v xml:space="preserve">Kiambu </v>
          </cell>
        </row>
        <row r="25">
          <cell r="F25" t="str">
            <v>Kikuyu</v>
          </cell>
        </row>
        <row r="26">
          <cell r="F26" t="str">
            <v xml:space="preserve">Kawangware </v>
          </cell>
        </row>
        <row r="27">
          <cell r="F27" t="str">
            <v>Kisumu (kondele)</v>
          </cell>
        </row>
        <row r="28">
          <cell r="F28" t="str">
            <v xml:space="preserve">Githunguri </v>
          </cell>
        </row>
        <row r="29">
          <cell r="F29" t="str">
            <v xml:space="preserve">Ruaka </v>
          </cell>
        </row>
        <row r="30">
          <cell r="F30" t="str">
            <v xml:space="preserve">Karatina </v>
          </cell>
        </row>
        <row r="31">
          <cell r="F31">
            <v>0</v>
          </cell>
        </row>
        <row r="32">
          <cell r="F32">
            <v>0</v>
          </cell>
        </row>
        <row r="33">
          <cell r="F33">
            <v>0</v>
          </cell>
        </row>
        <row r="34">
          <cell r="F34">
            <v>0</v>
          </cell>
        </row>
        <row r="35">
          <cell r="F35">
            <v>0</v>
          </cell>
        </row>
      </sheetData>
      <sheetData sheetId="2"/>
      <sheetData sheetId="3"/>
      <sheetData sheetId="4"/>
      <sheetData sheetId="5"/>
      <sheetData sheetId="6"/>
      <sheetData sheetId="7"/>
      <sheetData sheetId="8">
        <row r="3">
          <cell r="B3" t="str">
            <v>Yes</v>
          </cell>
        </row>
        <row r="4">
          <cell r="B4" t="str">
            <v>No</v>
          </cell>
        </row>
        <row r="5">
          <cell r="B5">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ow r="4">
          <cell r="F4" t="str">
            <v>Consolidated</v>
          </cell>
        </row>
      </sheetData>
      <sheetData sheetId="37"/>
      <sheetData sheetId="38"/>
      <sheetData sheetId="39"/>
      <sheetData sheetId="40"/>
      <sheetData sheetId="41"/>
      <sheetData sheetId="42">
        <row r="3">
          <cell r="B3" t="str">
            <v>Yes</v>
          </cell>
        </row>
      </sheetData>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
      <sheetName val="TB"/>
      <sheetName val="JE"/>
      <sheetName val="DETTB"/>
      <sheetName val="Base DATA"/>
      <sheetName val="Inclusion Table(Loans)"/>
      <sheetName val="Base_DATA"/>
      <sheetName val="Inclusion_Table(Loans)"/>
    </sheetNames>
    <sheetDataSet>
      <sheetData sheetId="0">
        <row r="4">
          <cell r="C4">
            <v>5754</v>
          </cell>
        </row>
      </sheetData>
      <sheetData sheetId="1">
        <row r="4">
          <cell r="C4">
            <v>5754</v>
          </cell>
        </row>
      </sheetData>
      <sheetData sheetId="2">
        <row r="4">
          <cell r="C4">
            <v>5754</v>
          </cell>
          <cell r="I4">
            <v>6333336.5499999998</v>
          </cell>
        </row>
        <row r="7">
          <cell r="C7">
            <v>1400</v>
          </cell>
          <cell r="F7">
            <v>720000</v>
          </cell>
        </row>
        <row r="8">
          <cell r="C8">
            <v>5732</v>
          </cell>
          <cell r="I8">
            <v>720000</v>
          </cell>
        </row>
        <row r="11">
          <cell r="C11">
            <v>5774</v>
          </cell>
          <cell r="H11">
            <v>4500</v>
          </cell>
        </row>
        <row r="12">
          <cell r="C12">
            <v>5764</v>
          </cell>
          <cell r="H12">
            <v>3000</v>
          </cell>
        </row>
        <row r="13">
          <cell r="C13">
            <v>5302</v>
          </cell>
          <cell r="H13">
            <v>480000</v>
          </cell>
        </row>
        <row r="14">
          <cell r="C14">
            <v>1400</v>
          </cell>
          <cell r="F14">
            <v>10305</v>
          </cell>
        </row>
        <row r="15">
          <cell r="C15">
            <v>4412</v>
          </cell>
          <cell r="I15">
            <v>2000</v>
          </cell>
        </row>
        <row r="16">
          <cell r="C16">
            <v>4412</v>
          </cell>
          <cell r="I16">
            <v>2000</v>
          </cell>
        </row>
        <row r="17">
          <cell r="C17">
            <v>4412</v>
          </cell>
          <cell r="I17">
            <v>2000</v>
          </cell>
        </row>
        <row r="18">
          <cell r="C18">
            <v>4412</v>
          </cell>
          <cell r="I18">
            <v>2000</v>
          </cell>
        </row>
        <row r="19">
          <cell r="C19">
            <v>5764</v>
          </cell>
          <cell r="H19">
            <v>2000</v>
          </cell>
        </row>
        <row r="20">
          <cell r="C20">
            <v>5310</v>
          </cell>
          <cell r="H20">
            <v>29000</v>
          </cell>
        </row>
        <row r="21">
          <cell r="C21">
            <v>1450</v>
          </cell>
          <cell r="G21">
            <v>520805</v>
          </cell>
        </row>
        <row r="26">
          <cell r="C26">
            <v>2211</v>
          </cell>
          <cell r="G26">
            <v>90020209.25</v>
          </cell>
        </row>
        <row r="27">
          <cell r="C27">
            <v>4266</v>
          </cell>
          <cell r="I27">
            <v>89700</v>
          </cell>
        </row>
        <row r="28">
          <cell r="C28">
            <v>2710</v>
          </cell>
          <cell r="F28">
            <v>1453504</v>
          </cell>
        </row>
        <row r="29">
          <cell r="C29">
            <v>2211</v>
          </cell>
          <cell r="F29">
            <v>44742975.950000003</v>
          </cell>
        </row>
        <row r="30">
          <cell r="C30">
            <v>1450</v>
          </cell>
          <cell r="F30">
            <v>43913429.299999997</v>
          </cell>
        </row>
        <row r="33">
          <cell r="C33">
            <v>3220</v>
          </cell>
          <cell r="F33">
            <v>15652167.4</v>
          </cell>
        </row>
        <row r="35">
          <cell r="C35">
            <v>5290</v>
          </cell>
          <cell r="I35">
            <v>6570167.4000000004</v>
          </cell>
        </row>
        <row r="37">
          <cell r="C37">
            <v>5702</v>
          </cell>
          <cell r="I37">
            <v>9082000</v>
          </cell>
        </row>
        <row r="40">
          <cell r="C40">
            <v>3220</v>
          </cell>
          <cell r="G40">
            <v>3092560</v>
          </cell>
        </row>
        <row r="41">
          <cell r="C41">
            <v>3220</v>
          </cell>
          <cell r="G41">
            <v>219240</v>
          </cell>
        </row>
        <row r="42">
          <cell r="C42">
            <v>3220</v>
          </cell>
          <cell r="G42">
            <v>3092560</v>
          </cell>
        </row>
        <row r="43">
          <cell r="C43">
            <v>5700</v>
          </cell>
          <cell r="H43">
            <v>3092560</v>
          </cell>
        </row>
        <row r="44">
          <cell r="C44">
            <v>5700</v>
          </cell>
          <cell r="H44">
            <v>219240</v>
          </cell>
        </row>
        <row r="45">
          <cell r="C45">
            <v>5700</v>
          </cell>
          <cell r="H45">
            <v>3092560</v>
          </cell>
        </row>
        <row r="47">
          <cell r="C47">
            <v>3220</v>
          </cell>
          <cell r="F47">
            <v>3092560</v>
          </cell>
        </row>
        <row r="49">
          <cell r="C49">
            <v>5746</v>
          </cell>
          <cell r="I49">
            <v>3092560</v>
          </cell>
        </row>
        <row r="52">
          <cell r="C52">
            <v>4412</v>
          </cell>
          <cell r="I52">
            <v>1010698.2</v>
          </cell>
        </row>
        <row r="54">
          <cell r="C54">
            <v>2710</v>
          </cell>
          <cell r="F54">
            <v>1010698.2</v>
          </cell>
        </row>
        <row r="57">
          <cell r="C57">
            <v>3310</v>
          </cell>
          <cell r="F57">
            <v>183</v>
          </cell>
        </row>
        <row r="58">
          <cell r="C58">
            <v>4412</v>
          </cell>
          <cell r="I58">
            <v>183</v>
          </cell>
        </row>
        <row r="59">
          <cell r="C59">
            <v>3310</v>
          </cell>
          <cell r="G59">
            <v>512783.8</v>
          </cell>
        </row>
        <row r="60">
          <cell r="C60">
            <v>4408</v>
          </cell>
          <cell r="I60">
            <v>10432.200000000001</v>
          </cell>
        </row>
        <row r="61">
          <cell r="C61">
            <v>5766</v>
          </cell>
          <cell r="H61">
            <v>28216</v>
          </cell>
        </row>
        <row r="62">
          <cell r="C62">
            <v>5840</v>
          </cell>
          <cell r="H62">
            <v>495000</v>
          </cell>
        </row>
        <row r="63">
          <cell r="C63">
            <v>3310</v>
          </cell>
          <cell r="F63">
            <v>2500</v>
          </cell>
        </row>
        <row r="64">
          <cell r="C64">
            <v>4408</v>
          </cell>
          <cell r="I64">
            <v>2500</v>
          </cell>
        </row>
        <row r="65">
          <cell r="C65">
            <v>3310</v>
          </cell>
          <cell r="F65">
            <v>1000</v>
          </cell>
        </row>
        <row r="66">
          <cell r="C66">
            <v>4408</v>
          </cell>
          <cell r="I66">
            <v>1000</v>
          </cell>
        </row>
        <row r="67">
          <cell r="C67">
            <v>3310</v>
          </cell>
          <cell r="G67">
            <v>68733.2</v>
          </cell>
        </row>
        <row r="68">
          <cell r="C68">
            <v>5766</v>
          </cell>
          <cell r="H68">
            <v>68733.2</v>
          </cell>
        </row>
        <row r="71">
          <cell r="C71">
            <v>2710</v>
          </cell>
          <cell r="F71">
            <v>25560</v>
          </cell>
        </row>
        <row r="72">
          <cell r="C72">
            <v>5778</v>
          </cell>
          <cell r="I72">
            <v>25560</v>
          </cell>
        </row>
        <row r="74">
          <cell r="C74">
            <v>5766</v>
          </cell>
          <cell r="H74">
            <v>101000</v>
          </cell>
        </row>
        <row r="75">
          <cell r="C75">
            <v>1400</v>
          </cell>
          <cell r="G75">
            <v>101000</v>
          </cell>
        </row>
        <row r="77">
          <cell r="C77">
            <v>4101</v>
          </cell>
          <cell r="H77">
            <v>269313.7</v>
          </cell>
        </row>
        <row r="78">
          <cell r="C78">
            <v>2201</v>
          </cell>
          <cell r="G78">
            <v>269313.7</v>
          </cell>
        </row>
        <row r="81">
          <cell r="C81">
            <v>4292</v>
          </cell>
          <cell r="H81">
            <v>80470.95</v>
          </cell>
        </row>
        <row r="82">
          <cell r="C82">
            <v>4238</v>
          </cell>
          <cell r="H82">
            <v>2324.0500000000002</v>
          </cell>
        </row>
        <row r="83">
          <cell r="C83">
            <v>2211</v>
          </cell>
          <cell r="G83">
            <v>82795</v>
          </cell>
        </row>
        <row r="86">
          <cell r="C86">
            <v>4102</v>
          </cell>
          <cell r="I86">
            <v>4970.8</v>
          </cell>
        </row>
        <row r="87">
          <cell r="C87">
            <v>2201</v>
          </cell>
          <cell r="F87">
            <v>4970.8</v>
          </cell>
        </row>
        <row r="90">
          <cell r="C90">
            <v>4102</v>
          </cell>
          <cell r="I90">
            <v>6899</v>
          </cell>
        </row>
        <row r="91">
          <cell r="C91">
            <v>2201</v>
          </cell>
          <cell r="F91">
            <v>6899</v>
          </cell>
        </row>
        <row r="94">
          <cell r="C94">
            <v>5774</v>
          </cell>
          <cell r="H94">
            <v>14931</v>
          </cell>
        </row>
        <row r="95">
          <cell r="C95">
            <v>1400</v>
          </cell>
          <cell r="G95">
            <v>14931</v>
          </cell>
        </row>
        <row r="98">
          <cell r="C98">
            <v>5766</v>
          </cell>
          <cell r="H98">
            <v>10500</v>
          </cell>
        </row>
        <row r="99">
          <cell r="C99">
            <v>1400</v>
          </cell>
          <cell r="G99">
            <v>10500</v>
          </cell>
        </row>
        <row r="102">
          <cell r="C102">
            <v>4102</v>
          </cell>
          <cell r="I102">
            <v>4151.95</v>
          </cell>
        </row>
        <row r="103">
          <cell r="C103">
            <v>2201</v>
          </cell>
          <cell r="F103">
            <v>4151.95</v>
          </cell>
        </row>
        <row r="106">
          <cell r="C106">
            <v>1400</v>
          </cell>
          <cell r="F106">
            <v>337120</v>
          </cell>
        </row>
        <row r="107">
          <cell r="C107">
            <v>5302</v>
          </cell>
          <cell r="I107">
            <v>337120</v>
          </cell>
        </row>
        <row r="110">
          <cell r="C110">
            <v>5752</v>
          </cell>
          <cell r="H110">
            <v>30939</v>
          </cell>
        </row>
        <row r="111">
          <cell r="C111">
            <v>5772</v>
          </cell>
          <cell r="H111">
            <v>12140</v>
          </cell>
        </row>
        <row r="112">
          <cell r="C112">
            <v>2710</v>
          </cell>
          <cell r="G112">
            <v>43079</v>
          </cell>
        </row>
        <row r="115">
          <cell r="C115">
            <v>1400</v>
          </cell>
          <cell r="F115">
            <v>9000</v>
          </cell>
        </row>
        <row r="116">
          <cell r="C116">
            <v>2710</v>
          </cell>
          <cell r="F116">
            <v>18900</v>
          </cell>
        </row>
        <row r="120">
          <cell r="C120">
            <v>4408</v>
          </cell>
          <cell r="I120">
            <v>9000</v>
          </cell>
        </row>
        <row r="121">
          <cell r="C121">
            <v>5766</v>
          </cell>
          <cell r="I121">
            <v>18900</v>
          </cell>
        </row>
        <row r="124">
          <cell r="C124">
            <v>1450</v>
          </cell>
          <cell r="F124">
            <v>1000</v>
          </cell>
        </row>
        <row r="125">
          <cell r="C125">
            <v>4102</v>
          </cell>
          <cell r="I125">
            <v>1000</v>
          </cell>
        </row>
        <row r="128">
          <cell r="C128">
            <v>2820</v>
          </cell>
          <cell r="F128">
            <v>19073723</v>
          </cell>
        </row>
        <row r="129">
          <cell r="C129">
            <v>5120</v>
          </cell>
          <cell r="I129">
            <v>19073723</v>
          </cell>
        </row>
        <row r="133">
          <cell r="C133">
            <v>2430</v>
          </cell>
          <cell r="F133">
            <v>267566.55</v>
          </cell>
        </row>
        <row r="134">
          <cell r="C134">
            <v>5120</v>
          </cell>
          <cell r="I134">
            <v>267566.5501220703</v>
          </cell>
        </row>
        <row r="137">
          <cell r="C137">
            <v>1400</v>
          </cell>
          <cell r="F137">
            <v>12000000</v>
          </cell>
        </row>
        <row r="138">
          <cell r="C138">
            <v>4249</v>
          </cell>
          <cell r="I138">
            <v>12000000</v>
          </cell>
        </row>
        <row r="141">
          <cell r="C141">
            <v>2820</v>
          </cell>
          <cell r="F141">
            <v>120000000</v>
          </cell>
        </row>
        <row r="142">
          <cell r="C142">
            <v>5200</v>
          </cell>
          <cell r="I142">
            <v>120000000</v>
          </cell>
        </row>
        <row r="144">
          <cell r="C144">
            <v>2820</v>
          </cell>
          <cell r="F144">
            <v>14022854.6</v>
          </cell>
        </row>
        <row r="145">
          <cell r="C145">
            <v>5774</v>
          </cell>
          <cell r="I145">
            <v>14022854.6</v>
          </cell>
        </row>
        <row r="147">
          <cell r="C147">
            <v>2852</v>
          </cell>
          <cell r="F147">
            <v>100000000</v>
          </cell>
        </row>
        <row r="148">
          <cell r="C148">
            <v>5800</v>
          </cell>
          <cell r="I148">
            <v>100000000</v>
          </cell>
        </row>
      </sheetData>
      <sheetData sheetId="3"/>
      <sheetData sheetId="4" refreshError="1"/>
      <sheetData sheetId="5" refreshError="1"/>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able of Contents"/>
      <sheetName val="Overview_SC"/>
      <sheetName val="Notes_SSC"/>
      <sheetName val="Notes_BO"/>
      <sheetName val="Keys_SSC"/>
      <sheetName val="Keys_BO"/>
      <sheetName val="Look-up Tables"/>
      <sheetName val="Assumptions_SC"/>
      <sheetName val="TS_Assumptions_SSC"/>
      <sheetName val="TS_Assumptions_BO"/>
      <sheetName val="CBKL_Assumptions_SSC"/>
      <sheetName val="Genghis Capital Estimates"/>
      <sheetName val="CBKL Assumptions (Liabilties)"/>
      <sheetName val="CBKL Assumptions (Ops)"/>
      <sheetName val="CBKL Assumption (Loans)"/>
      <sheetName val="CBKL Assumption (Fixed Assets)"/>
      <sheetName val="CBKL Assumption (Investments)"/>
      <sheetName val="CBKL Assumption (Risk Weighted)"/>
      <sheetName val="CBKL Assumption (IS Item)"/>
      <sheetName val="Rafiki_Assumptions_SSC"/>
      <sheetName val="Rafiki Assmpts (BS)"/>
      <sheetName val="Rafiki Assmpts (IS)"/>
      <sheetName val="Rafiki Assumption (F.Assets)"/>
      <sheetName val="Rafiki Assumption (Investments)"/>
      <sheetName val="Rafiki Assumption (Other Assets"/>
      <sheetName val="Rafiki Assumption (Othr Liab)"/>
      <sheetName val="Rafiki Assumption (Othr BS Item"/>
      <sheetName val="Rafiki Assumption (Othr IS Item"/>
      <sheetName val="C.Assurance_Assumptions_SSC"/>
      <sheetName val="C.Assurance Assumptions (BS)"/>
      <sheetName val="C.Assurance Assumptions (W.C)"/>
      <sheetName val="C.Assurance Assumption (IS)"/>
      <sheetName val="C.Assurance Assumption(Capital)"/>
      <sheetName val="C.Assurance Assumption (Tax)"/>
      <sheetName val="C.Assur Assumption(Othr BS Itm"/>
      <sheetName val="Macro Economic_Assumptions_SSC"/>
      <sheetName val="Outputs_SC"/>
      <sheetName val="CBKL Outputs_SSC"/>
      <sheetName val="C.Assurance Assmption (Capital)"/>
      <sheetName val="CBKL Assumption (Capital Raise)"/>
      <sheetName val="CBKL_Outputs_Balance Sheet"/>
      <sheetName val="CBKL_Outputs_Income Statement"/>
      <sheetName val="Outputs (Assets)"/>
      <sheetName val="Outputs (Capital)"/>
      <sheetName val="Output Summary (Taxation)"/>
      <sheetName val="Outputs (Other BS Items)"/>
      <sheetName val="Rafiki Assumption (Capital)"/>
      <sheetName val="Rafiki Outputs Balance Sheet"/>
      <sheetName val="Rafiki Outputs Income Statement"/>
      <sheetName val="Financial Statements_SSC"/>
      <sheetName val="Consolidated Income Statement"/>
      <sheetName val="Income.S (C.Assurance)"/>
      <sheetName val="Consolidated Balance Sheet"/>
      <sheetName val="Balance Sheet (C.Assurance)"/>
      <sheetName val="Consolidated Indirect Cash Flow"/>
      <sheetName val="INDIRECT Cash Flow (Rafiki DTM)"/>
      <sheetName val="INDIRECT CashFlow (C.Assurance)"/>
      <sheetName val="Capital Providers(CF Recon)"/>
      <sheetName val="Dashboard Outputs_SSC"/>
      <sheetName val="Income.S (Chase Bank)"/>
      <sheetName val="Balance Sheet (Chase Bank)"/>
      <sheetName val="INDIRECT Cash Flow (Chase Bank)"/>
      <sheetName val="Income.S (Rafiki DTM)"/>
      <sheetName val="Balance Sheet (Rafiki DTM)"/>
      <sheetName val="CBKL_Dashboard"/>
      <sheetName val="Rafiki_DTM"/>
      <sheetName val="C.Assurance_Dashboard"/>
      <sheetName val="Business Planning Summary"/>
      <sheetName val="Appendices"/>
      <sheetName val="Checks_SSC"/>
      <sheetName val="Error Checks"/>
      <sheetName val="Sensitivity Checks"/>
      <sheetName val="Alert Checks"/>
      <sheetName val="Lookup Tables"/>
      <sheetName val="Time Series (Lookup Tables)"/>
      <sheetName val="Capital (Lookup Tables)"/>
      <sheetName val="Dashboard (Lookup Tables)"/>
      <sheetName val="DD Questions"/>
      <sheetName val="JE"/>
      <sheetName val="Cover_Sheet"/>
      <sheetName val="Table_of_Contents"/>
      <sheetName val="Look-up_Tables"/>
      <sheetName val="Genghis_Capital_Estimates"/>
      <sheetName val="CBKL_Assumptions_(Liabilties)"/>
      <sheetName val="CBKL_Assumptions_(Ops)"/>
      <sheetName val="CBKL_Assumption_(Loans)"/>
      <sheetName val="CBKL_Assumption_(Fixed_Assets)"/>
      <sheetName val="CBKL_Assumption_(Investments)"/>
      <sheetName val="CBKL_Assumption_(Risk_Weighted)"/>
      <sheetName val="CBKL_Assumption_(IS_Item)"/>
      <sheetName val="Rafiki_Assmpts_(BS)"/>
      <sheetName val="Rafiki_Assmpts_(IS)"/>
      <sheetName val="Rafiki_Assumption_(F_Assets)"/>
      <sheetName val="Rafiki_Assumption_(Investments)"/>
      <sheetName val="Rafiki_Assumption_(Other_Assets"/>
      <sheetName val="Rafiki_Assumption_(Othr_Liab)"/>
      <sheetName val="Rafiki_Assumption_(Othr_BS_Item"/>
      <sheetName val="Rafiki_Assumption_(Othr_IS_Item"/>
      <sheetName val="C_Assurance_Assumptions_SSC"/>
      <sheetName val="C_Assurance_Assumptions_(BS)"/>
      <sheetName val="C_Assurance_Assumptions_(W_C)"/>
      <sheetName val="C_Assurance_Assumption_(IS)"/>
      <sheetName val="C_Assurance_Assumption(Capital)"/>
      <sheetName val="C_Assurance_Assumption_(Tax)"/>
      <sheetName val="C_Assur_Assumption(Othr_BS_Itm"/>
      <sheetName val="Macro_Economic_Assumptions_SSC"/>
      <sheetName val="CBKL_Outputs_SSC"/>
      <sheetName val="C_Assurance_Assmption_(Capital)"/>
      <sheetName val="CBKL_Assumption_(Capital_Raise)"/>
      <sheetName val="CBKL_Outputs_Balance_Sheet"/>
      <sheetName val="CBKL_Outputs_Income_Statement"/>
      <sheetName val="Outputs_(Assets)"/>
      <sheetName val="Outputs_(Capital)"/>
      <sheetName val="Output_Summary_(Taxation)"/>
      <sheetName val="Outputs_(Other_BS_Items)"/>
      <sheetName val="Rafiki_Assumption_(Capital)"/>
      <sheetName val="Rafiki_Outputs_Balance_Sheet"/>
      <sheetName val="Rafiki_Outputs_Income_Statement"/>
      <sheetName val="Financial_Statements_SSC"/>
      <sheetName val="Consolidated_Income_Statement"/>
      <sheetName val="Income_S_(C_Assurance)"/>
      <sheetName val="Consolidated_Balance_Sheet"/>
      <sheetName val="Balance_Sheet_(C_Assurance)"/>
      <sheetName val="Consolidated_Indirect_Cash_Flow"/>
      <sheetName val="INDIRECT_Cash_Flow_(Rafiki_DTM)"/>
      <sheetName val="INDIRECT_CashFlow_(C_Assurance)"/>
      <sheetName val="Capital_Providers(CF_Recon)"/>
      <sheetName val="Dashboard_Outputs_SSC"/>
      <sheetName val="Income_S_(Chase_Bank)"/>
      <sheetName val="Balance_Sheet_(Chase_Bank)"/>
      <sheetName val="INDIRECT_Cash_Flow_(Chase_Bank)"/>
      <sheetName val="Income_S_(Rafiki_DTM)"/>
      <sheetName val="Balance_Sheet_(Rafiki_DTM)"/>
      <sheetName val="C_Assurance_Dashboard"/>
      <sheetName val="Business_Planning_Summary"/>
      <sheetName val="Error_Checks"/>
      <sheetName val="Sensitivity_Checks"/>
      <sheetName val="Alert_Checks"/>
      <sheetName val="Lookup_Tables"/>
      <sheetName val="Time_Series_(Lookup_Tables)"/>
      <sheetName val="Capital_(Lookup_Tables)"/>
      <sheetName val="Dashboard_(Lookup_Tables)"/>
      <sheetName val="DD_Questions"/>
    </sheetNames>
    <sheetDataSet>
      <sheetData sheetId="0">
        <row r="81">
          <cell r="D81" t="str">
            <v>Year</v>
          </cell>
        </row>
      </sheetData>
      <sheetData sheetId="1">
        <row r="81">
          <cell r="D81" t="str">
            <v>Year</v>
          </cell>
        </row>
      </sheetData>
      <sheetData sheetId="2"/>
      <sheetData sheetId="3"/>
      <sheetData sheetId="4">
        <row r="81">
          <cell r="D81" t="str">
            <v>Year</v>
          </cell>
        </row>
      </sheetData>
      <sheetData sheetId="5">
        <row r="81">
          <cell r="D81" t="str">
            <v>Year</v>
          </cell>
        </row>
      </sheetData>
      <sheetData sheetId="6">
        <row r="81">
          <cell r="D81" t="str">
            <v>Year</v>
          </cell>
        </row>
      </sheetData>
      <sheetData sheetId="7">
        <row r="81">
          <cell r="D81" t="str">
            <v>Year</v>
          </cell>
        </row>
        <row r="82">
          <cell r="D82" t="str">
            <v>Half Year</v>
          </cell>
        </row>
        <row r="83">
          <cell r="D83" t="str">
            <v>Quarter</v>
          </cell>
        </row>
        <row r="84">
          <cell r="D84" t="str">
            <v>Month</v>
          </cell>
        </row>
        <row r="89">
          <cell r="D89">
            <v>1</v>
          </cell>
        </row>
        <row r="90">
          <cell r="D90">
            <v>2</v>
          </cell>
        </row>
        <row r="91">
          <cell r="D91">
            <v>4</v>
          </cell>
        </row>
        <row r="92">
          <cell r="D92">
            <v>12</v>
          </cell>
        </row>
        <row r="105">
          <cell r="D105" t="str">
            <v>Yes</v>
          </cell>
        </row>
        <row r="106">
          <cell r="D106" t="str">
            <v>No</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30">
          <cell r="H30">
            <v>10116828</v>
          </cell>
        </row>
      </sheetData>
      <sheetData sheetId="62">
        <row r="13">
          <cell r="H13">
            <v>318137</v>
          </cell>
        </row>
      </sheetData>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ow r="81">
          <cell r="D81" t="str">
            <v>Year</v>
          </cell>
        </row>
      </sheetData>
      <sheetData sheetId="81"/>
      <sheetData sheetId="82">
        <row r="81">
          <cell r="D81" t="str">
            <v>Year</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ow r="30">
          <cell r="H30">
            <v>10116828</v>
          </cell>
        </row>
      </sheetData>
      <sheetData sheetId="131">
        <row r="13">
          <cell r="H13">
            <v>318137</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
      <sheetName val="TB"/>
      <sheetName val="JE"/>
      <sheetName val="Look-up Tables"/>
      <sheetName val="Look-up_Tables"/>
    </sheetNames>
    <sheetDataSet>
      <sheetData sheetId="0">
        <row r="1">
          <cell r="A1" t="str">
            <v>FSID</v>
          </cell>
        </row>
      </sheetData>
      <sheetData sheetId="1">
        <row r="1">
          <cell r="A1" t="str">
            <v>FSID</v>
          </cell>
          <cell r="I1" t="str">
            <v>Draft TB</v>
          </cell>
        </row>
        <row r="2">
          <cell r="A2" t="str">
            <v>FSID</v>
          </cell>
          <cell r="I2">
            <v>-2168309993.132</v>
          </cell>
        </row>
        <row r="3">
          <cell r="A3">
            <v>102</v>
          </cell>
          <cell r="I3">
            <v>-2168309993.132</v>
          </cell>
        </row>
        <row r="4">
          <cell r="A4">
            <v>102</v>
          </cell>
          <cell r="I4">
            <v>-236618834.96470019</v>
          </cell>
        </row>
        <row r="5">
          <cell r="A5">
            <v>104</v>
          </cell>
          <cell r="I5">
            <v>-131252751.59263599</v>
          </cell>
        </row>
        <row r="6">
          <cell r="A6">
            <v>104</v>
          </cell>
          <cell r="I6">
            <v>-3488084160</v>
          </cell>
        </row>
        <row r="7">
          <cell r="A7">
            <v>106</v>
          </cell>
          <cell r="I7">
            <v>-1483800000</v>
          </cell>
        </row>
        <row r="8">
          <cell r="A8">
            <v>106</v>
          </cell>
          <cell r="I8">
            <v>-5909802602.25</v>
          </cell>
        </row>
        <row r="9">
          <cell r="A9">
            <v>106</v>
          </cell>
          <cell r="I9">
            <v>-28489159.349999998</v>
          </cell>
        </row>
        <row r="10">
          <cell r="A10">
            <v>106</v>
          </cell>
          <cell r="I10">
            <v>-2353412595.3000002</v>
          </cell>
        </row>
        <row r="11">
          <cell r="A11">
            <v>108</v>
          </cell>
          <cell r="I11">
            <v>-31371289.34999999</v>
          </cell>
        </row>
        <row r="12">
          <cell r="A12">
            <v>108</v>
          </cell>
          <cell r="I12">
            <v>4697.9873099999995</v>
          </cell>
        </row>
        <row r="13">
          <cell r="A13">
            <v>109</v>
          </cell>
          <cell r="I13">
            <v>-1249542119.902617</v>
          </cell>
        </row>
        <row r="14">
          <cell r="A14">
            <v>110</v>
          </cell>
          <cell r="I14">
            <v>-3071296917.8499999</v>
          </cell>
        </row>
        <row r="15">
          <cell r="A15">
            <v>110</v>
          </cell>
          <cell r="I15">
            <v>-138058459.94999999</v>
          </cell>
        </row>
        <row r="16">
          <cell r="A16">
            <v>112</v>
          </cell>
          <cell r="I16">
            <v>-1341237340.598366</v>
          </cell>
        </row>
        <row r="17">
          <cell r="A17">
            <v>112</v>
          </cell>
          <cell r="I17">
            <v>-767189475.36214817</v>
          </cell>
        </row>
        <row r="18">
          <cell r="A18">
            <v>112</v>
          </cell>
          <cell r="I18">
            <v>-4386019.45</v>
          </cell>
        </row>
        <row r="19">
          <cell r="A19">
            <v>112</v>
          </cell>
          <cell r="I19">
            <v>-749921759.65101624</v>
          </cell>
        </row>
        <row r="20">
          <cell r="A20">
            <v>112</v>
          </cell>
          <cell r="I20">
            <v>-1327616.5395269962</v>
          </cell>
        </row>
        <row r="21">
          <cell r="A21">
            <v>112</v>
          </cell>
          <cell r="I21">
            <v>1094585.6158044338</v>
          </cell>
        </row>
        <row r="22">
          <cell r="A22">
            <v>112</v>
          </cell>
          <cell r="I22">
            <v>-878981.83720546961</v>
          </cell>
        </row>
        <row r="23">
          <cell r="A23">
            <v>116</v>
          </cell>
          <cell r="I23">
            <v>-1774659165.4642315</v>
          </cell>
        </row>
        <row r="24">
          <cell r="A24">
            <v>116</v>
          </cell>
          <cell r="I24">
            <v>-37885102326.909645</v>
          </cell>
        </row>
        <row r="25">
          <cell r="A25">
            <v>116</v>
          </cell>
          <cell r="I25">
            <v>-374289658.5999999</v>
          </cell>
        </row>
        <row r="26">
          <cell r="A26">
            <v>116</v>
          </cell>
          <cell r="I26">
            <v>-1072535319.5599999</v>
          </cell>
        </row>
        <row r="27">
          <cell r="A27">
            <v>116</v>
          </cell>
          <cell r="I27">
            <v>-976283391.32999957</v>
          </cell>
        </row>
        <row r="28">
          <cell r="A28">
            <v>116</v>
          </cell>
          <cell r="I28">
            <v>-2575367181.2454925</v>
          </cell>
        </row>
        <row r="29">
          <cell r="A29">
            <v>116</v>
          </cell>
          <cell r="I29">
            <v>-433329574.60000002</v>
          </cell>
        </row>
        <row r="30">
          <cell r="A30">
            <v>116</v>
          </cell>
          <cell r="I30">
            <v>-32079874.576500006</v>
          </cell>
        </row>
        <row r="31">
          <cell r="A31">
            <v>116</v>
          </cell>
          <cell r="I31">
            <v>2795015164.3214598</v>
          </cell>
        </row>
        <row r="32">
          <cell r="A32">
            <v>116</v>
          </cell>
          <cell r="I32">
            <v>4165345254.6800013</v>
          </cell>
        </row>
        <row r="33">
          <cell r="A33">
            <v>116</v>
          </cell>
          <cell r="I33">
            <v>384701489.05000001</v>
          </cell>
        </row>
        <row r="34">
          <cell r="A34">
            <v>124</v>
          </cell>
          <cell r="I34">
            <v>-99999900</v>
          </cell>
        </row>
        <row r="35">
          <cell r="A35">
            <v>126</v>
          </cell>
          <cell r="I35">
            <v>-38099200</v>
          </cell>
        </row>
        <row r="36">
          <cell r="A36">
            <v>128</v>
          </cell>
          <cell r="I36">
            <v>-55567530</v>
          </cell>
        </row>
        <row r="37">
          <cell r="A37">
            <v>128</v>
          </cell>
          <cell r="I37">
            <v>13634891.049999999</v>
          </cell>
        </row>
        <row r="38">
          <cell r="A38">
            <v>130</v>
          </cell>
          <cell r="I38">
            <v>-574837679.10000002</v>
          </cell>
        </row>
        <row r="39">
          <cell r="A39">
            <v>130</v>
          </cell>
          <cell r="I39">
            <v>-125836244</v>
          </cell>
        </row>
        <row r="40">
          <cell r="A40">
            <v>130</v>
          </cell>
          <cell r="I40">
            <v>-1586930402.95</v>
          </cell>
        </row>
        <row r="41">
          <cell r="A41">
            <v>130</v>
          </cell>
          <cell r="I41">
            <v>-113622926.34999999</v>
          </cell>
        </row>
        <row r="42">
          <cell r="A42">
            <v>130</v>
          </cell>
          <cell r="I42">
            <v>-1759087408.8499999</v>
          </cell>
        </row>
        <row r="43">
          <cell r="A43">
            <v>130</v>
          </cell>
          <cell r="I43">
            <v>-338595343.19999999</v>
          </cell>
        </row>
        <row r="44">
          <cell r="A44">
            <v>130</v>
          </cell>
          <cell r="I44">
            <v>-1163891862.8500001</v>
          </cell>
        </row>
        <row r="45">
          <cell r="A45">
            <v>130</v>
          </cell>
          <cell r="I45">
            <v>404855424.35000002</v>
          </cell>
        </row>
        <row r="46">
          <cell r="A46">
            <v>130</v>
          </cell>
          <cell r="I46">
            <v>96582543.800000012</v>
          </cell>
        </row>
        <row r="47">
          <cell r="A47">
            <v>130</v>
          </cell>
          <cell r="I47">
            <v>1137505063.8499999</v>
          </cell>
        </row>
        <row r="48">
          <cell r="A48">
            <v>130</v>
          </cell>
          <cell r="I48">
            <v>527404223.05000001</v>
          </cell>
        </row>
        <row r="49">
          <cell r="A49">
            <v>130</v>
          </cell>
          <cell r="I49">
            <v>86284726.650000006</v>
          </cell>
        </row>
        <row r="50">
          <cell r="A50">
            <v>130</v>
          </cell>
          <cell r="I50">
            <v>286530303.64999998</v>
          </cell>
        </row>
        <row r="51">
          <cell r="A51">
            <v>132</v>
          </cell>
          <cell r="I51">
            <v>-714112970.04999995</v>
          </cell>
        </row>
        <row r="52">
          <cell r="A52">
            <v>132</v>
          </cell>
          <cell r="I52">
            <v>550255450.89999998</v>
          </cell>
        </row>
        <row r="53">
          <cell r="A53">
            <v>134</v>
          </cell>
          <cell r="I53">
            <v>-152839069.84999999</v>
          </cell>
        </row>
        <row r="54">
          <cell r="A54">
            <v>138</v>
          </cell>
          <cell r="I54">
            <v>-3017174569.2090354</v>
          </cell>
        </row>
        <row r="55">
          <cell r="A55">
            <v>138</v>
          </cell>
          <cell r="I55">
            <v>3015889372.5690355</v>
          </cell>
        </row>
        <row r="56">
          <cell r="A56">
            <v>204</v>
          </cell>
          <cell r="I56">
            <v>17336293296.928574</v>
          </cell>
        </row>
        <row r="57">
          <cell r="A57">
            <v>204</v>
          </cell>
          <cell r="I57">
            <v>259932219.39999998</v>
          </cell>
        </row>
        <row r="58">
          <cell r="A58">
            <v>204</v>
          </cell>
          <cell r="I58">
            <v>13939378939.682987</v>
          </cell>
        </row>
        <row r="59">
          <cell r="A59">
            <v>204</v>
          </cell>
          <cell r="I59">
            <v>134845026.24999997</v>
          </cell>
        </row>
        <row r="60">
          <cell r="A60">
            <v>204</v>
          </cell>
          <cell r="I60">
            <v>1137090884.6134994</v>
          </cell>
        </row>
        <row r="61">
          <cell r="A61">
            <v>204</v>
          </cell>
          <cell r="I61">
            <v>19797424</v>
          </cell>
        </row>
        <row r="62">
          <cell r="A62">
            <v>204</v>
          </cell>
          <cell r="I62">
            <v>286592207.70000011</v>
          </cell>
        </row>
        <row r="63">
          <cell r="A63">
            <v>204</v>
          </cell>
          <cell r="I63">
            <v>726276279.93000007</v>
          </cell>
        </row>
        <row r="64">
          <cell r="A64">
            <v>204</v>
          </cell>
          <cell r="I64">
            <v>4338815684.9799986</v>
          </cell>
        </row>
        <row r="65">
          <cell r="A65">
            <v>204</v>
          </cell>
          <cell r="I65">
            <v>72338.100000000006</v>
          </cell>
        </row>
        <row r="66">
          <cell r="A66">
            <v>204</v>
          </cell>
          <cell r="I66">
            <v>9448914676.3667927</v>
          </cell>
        </row>
        <row r="67">
          <cell r="A67">
            <v>204</v>
          </cell>
          <cell r="I67">
            <v>2850061757.9913664</v>
          </cell>
        </row>
        <row r="68">
          <cell r="A68">
            <v>204</v>
          </cell>
          <cell r="I68">
            <v>8925939.5499999989</v>
          </cell>
        </row>
        <row r="69">
          <cell r="A69">
            <v>204</v>
          </cell>
          <cell r="I69">
            <v>3019931807.9798603</v>
          </cell>
        </row>
        <row r="70">
          <cell r="A70">
            <v>204</v>
          </cell>
          <cell r="I70">
            <v>214763465.90000001</v>
          </cell>
        </row>
        <row r="71">
          <cell r="A71">
            <v>204</v>
          </cell>
          <cell r="I71">
            <v>650718882</v>
          </cell>
        </row>
        <row r="72">
          <cell r="A72">
            <v>204</v>
          </cell>
          <cell r="I72">
            <v>201981644.25399977</v>
          </cell>
        </row>
        <row r="73">
          <cell r="A73">
            <v>206</v>
          </cell>
          <cell r="I73">
            <v>929408117.56775975</v>
          </cell>
        </row>
        <row r="74">
          <cell r="A74">
            <v>212</v>
          </cell>
          <cell r="I74">
            <v>29999997</v>
          </cell>
        </row>
        <row r="75">
          <cell r="A75">
            <v>212</v>
          </cell>
          <cell r="I75">
            <v>45657699</v>
          </cell>
        </row>
        <row r="76">
          <cell r="A76">
            <v>216</v>
          </cell>
          <cell r="I76">
            <v>201695729.59632203</v>
          </cell>
        </row>
        <row r="77">
          <cell r="A77">
            <v>216</v>
          </cell>
          <cell r="I77">
            <v>-3487727.2000000011</v>
          </cell>
        </row>
        <row r="78">
          <cell r="A78">
            <v>216</v>
          </cell>
          <cell r="I78">
            <v>-82412368.900000006</v>
          </cell>
        </row>
        <row r="79">
          <cell r="A79">
            <v>216</v>
          </cell>
          <cell r="I79">
            <v>1646579527.4649162</v>
          </cell>
        </row>
        <row r="80">
          <cell r="A80">
            <v>216</v>
          </cell>
          <cell r="I80">
            <v>535444094.55000001</v>
          </cell>
        </row>
        <row r="81">
          <cell r="A81">
            <v>216</v>
          </cell>
          <cell r="I81">
            <v>-181600</v>
          </cell>
        </row>
        <row r="82">
          <cell r="A82">
            <v>218</v>
          </cell>
          <cell r="I82">
            <v>275399722.30000001</v>
          </cell>
        </row>
        <row r="83">
          <cell r="A83">
            <v>301</v>
          </cell>
          <cell r="I83">
            <v>2844761000</v>
          </cell>
        </row>
        <row r="84">
          <cell r="A84">
            <v>301</v>
          </cell>
          <cell r="I84">
            <v>70323.25</v>
          </cell>
        </row>
        <row r="85">
          <cell r="A85">
            <v>305</v>
          </cell>
          <cell r="I85">
            <v>309763371.64999998</v>
          </cell>
        </row>
        <row r="86">
          <cell r="A86">
            <v>307</v>
          </cell>
          <cell r="I86">
            <v>2020139123.3999999</v>
          </cell>
        </row>
        <row r="87">
          <cell r="A87">
            <v>307</v>
          </cell>
          <cell r="I87">
            <v>6043141.1999999993</v>
          </cell>
        </row>
        <row r="88">
          <cell r="A88">
            <v>307</v>
          </cell>
          <cell r="I88">
            <v>431815</v>
          </cell>
        </row>
        <row r="89">
          <cell r="A89">
            <v>307</v>
          </cell>
          <cell r="I89">
            <v>-1002966588.7785002</v>
          </cell>
        </row>
        <row r="90">
          <cell r="A90">
            <v>307</v>
          </cell>
          <cell r="I90">
            <v>3190681.15</v>
          </cell>
        </row>
        <row r="91">
          <cell r="A91">
            <v>311</v>
          </cell>
          <cell r="I91">
            <v>676952578.30000007</v>
          </cell>
        </row>
        <row r="92">
          <cell r="A92">
            <v>402</v>
          </cell>
          <cell r="I92">
            <v>3389509512.0080009</v>
          </cell>
        </row>
        <row r="93">
          <cell r="A93">
            <v>402</v>
          </cell>
          <cell r="I93">
            <v>430369774.98792404</v>
          </cell>
        </row>
        <row r="94">
          <cell r="A94">
            <v>402</v>
          </cell>
          <cell r="I94">
            <v>9270364.0999999996</v>
          </cell>
        </row>
        <row r="95">
          <cell r="A95">
            <v>402</v>
          </cell>
          <cell r="I95">
            <v>122584.15</v>
          </cell>
        </row>
        <row r="96">
          <cell r="A96">
            <v>402</v>
          </cell>
          <cell r="I96">
            <v>256446321.25000006</v>
          </cell>
        </row>
        <row r="97">
          <cell r="A97">
            <v>404</v>
          </cell>
          <cell r="I97">
            <v>478629085.20000005</v>
          </cell>
        </row>
        <row r="98">
          <cell r="A98">
            <v>404</v>
          </cell>
          <cell r="I98">
            <v>806271160.14999998</v>
          </cell>
        </row>
        <row r="99">
          <cell r="A99">
            <v>406</v>
          </cell>
          <cell r="I99">
            <v>37373273.357459001</v>
          </cell>
        </row>
        <row r="100">
          <cell r="A100">
            <v>408</v>
          </cell>
          <cell r="I100">
            <v>104886858.17999999</v>
          </cell>
        </row>
        <row r="101">
          <cell r="A101">
            <v>408</v>
          </cell>
          <cell r="I101">
            <v>494813.97303199995</v>
          </cell>
        </row>
        <row r="102">
          <cell r="A102">
            <v>420</v>
          </cell>
          <cell r="I102">
            <v>-104588927.44250005</v>
          </cell>
        </row>
        <row r="103">
          <cell r="A103">
            <v>420</v>
          </cell>
          <cell r="I103">
            <v>-158377212.54951602</v>
          </cell>
        </row>
        <row r="104">
          <cell r="A104">
            <v>420</v>
          </cell>
          <cell r="I104">
            <v>-494657063.71373409</v>
          </cell>
        </row>
        <row r="105">
          <cell r="A105">
            <v>420</v>
          </cell>
          <cell r="I105">
            <v>-132284891.92270702</v>
          </cell>
        </row>
        <row r="106">
          <cell r="A106">
            <v>422</v>
          </cell>
          <cell r="I106">
            <v>-55997955.761163995</v>
          </cell>
        </row>
        <row r="107">
          <cell r="A107">
            <v>422</v>
          </cell>
          <cell r="I107">
            <v>-5766024.3784999996</v>
          </cell>
        </row>
        <row r="108">
          <cell r="A108">
            <v>424</v>
          </cell>
          <cell r="I108">
            <v>-35149298</v>
          </cell>
        </row>
        <row r="109">
          <cell r="A109">
            <v>436</v>
          </cell>
          <cell r="I109">
            <v>203391618.125</v>
          </cell>
        </row>
        <row r="110">
          <cell r="A110">
            <v>436</v>
          </cell>
          <cell r="I110">
            <v>9467793.6500000004</v>
          </cell>
        </row>
        <row r="111">
          <cell r="A111">
            <v>436</v>
          </cell>
          <cell r="I111">
            <v>1569451.6</v>
          </cell>
        </row>
        <row r="112">
          <cell r="A112">
            <v>436</v>
          </cell>
          <cell r="I112">
            <v>100</v>
          </cell>
        </row>
        <row r="113">
          <cell r="A113">
            <v>436</v>
          </cell>
          <cell r="I113">
            <v>1837329.8</v>
          </cell>
        </row>
        <row r="114">
          <cell r="A114">
            <v>436</v>
          </cell>
          <cell r="I114">
            <v>232328083.52499998</v>
          </cell>
        </row>
        <row r="115">
          <cell r="A115">
            <v>436</v>
          </cell>
          <cell r="I115">
            <v>500</v>
          </cell>
        </row>
        <row r="116">
          <cell r="A116">
            <v>436</v>
          </cell>
          <cell r="I116">
            <v>3860329.1</v>
          </cell>
        </row>
        <row r="117">
          <cell r="A117">
            <v>436</v>
          </cell>
          <cell r="I117">
            <v>49489993.099999994</v>
          </cell>
        </row>
        <row r="118">
          <cell r="A118">
            <v>436</v>
          </cell>
          <cell r="I118">
            <v>7558451.5999999996</v>
          </cell>
        </row>
        <row r="119">
          <cell r="A119">
            <v>436</v>
          </cell>
          <cell r="I119">
            <v>24500</v>
          </cell>
        </row>
        <row r="120">
          <cell r="A120">
            <v>436</v>
          </cell>
          <cell r="I120">
            <v>302874.2</v>
          </cell>
        </row>
        <row r="121">
          <cell r="A121">
            <v>438</v>
          </cell>
          <cell r="I121">
            <v>46891263.149999999</v>
          </cell>
        </row>
        <row r="122">
          <cell r="A122">
            <v>438</v>
          </cell>
          <cell r="I122">
            <v>15617880.703689</v>
          </cell>
        </row>
        <row r="123">
          <cell r="A123">
            <v>438</v>
          </cell>
          <cell r="I123">
            <v>1314166.45</v>
          </cell>
        </row>
        <row r="124">
          <cell r="A124">
            <v>438</v>
          </cell>
          <cell r="I124">
            <v>9737496.5999999996</v>
          </cell>
        </row>
        <row r="125">
          <cell r="A125">
            <v>438</v>
          </cell>
          <cell r="I125">
            <v>4634574.8789999997</v>
          </cell>
        </row>
        <row r="126">
          <cell r="A126">
            <v>438</v>
          </cell>
          <cell r="I126">
            <v>6583427.5</v>
          </cell>
        </row>
        <row r="127">
          <cell r="A127">
            <v>438</v>
          </cell>
          <cell r="I127">
            <v>327000</v>
          </cell>
        </row>
        <row r="128">
          <cell r="A128">
            <v>438</v>
          </cell>
          <cell r="I128">
            <v>22594809.199999999</v>
          </cell>
        </row>
        <row r="129">
          <cell r="A129">
            <v>438</v>
          </cell>
          <cell r="I129">
            <v>234156990.72357985</v>
          </cell>
        </row>
        <row r="130">
          <cell r="A130">
            <v>438</v>
          </cell>
          <cell r="I130">
            <v>5800854.6999999983</v>
          </cell>
        </row>
        <row r="131">
          <cell r="A131">
            <v>438</v>
          </cell>
          <cell r="I131">
            <v>79040931.5</v>
          </cell>
        </row>
        <row r="132">
          <cell r="A132">
            <v>438</v>
          </cell>
          <cell r="I132">
            <v>1489500</v>
          </cell>
        </row>
        <row r="133">
          <cell r="A133">
            <v>438</v>
          </cell>
          <cell r="I133">
            <v>11902277.4</v>
          </cell>
        </row>
        <row r="134">
          <cell r="A134">
            <v>438</v>
          </cell>
          <cell r="I134">
            <v>16350872.5</v>
          </cell>
        </row>
        <row r="135">
          <cell r="A135">
            <v>438</v>
          </cell>
          <cell r="I135">
            <v>-403222.7</v>
          </cell>
        </row>
        <row r="136">
          <cell r="A136">
            <v>438</v>
          </cell>
          <cell r="I136">
            <v>348644</v>
          </cell>
        </row>
        <row r="137">
          <cell r="A137">
            <v>438</v>
          </cell>
          <cell r="I137">
            <v>-9504958.0999999996</v>
          </cell>
        </row>
        <row r="138">
          <cell r="A138">
            <v>438</v>
          </cell>
          <cell r="I138">
            <v>39244395.369999997</v>
          </cell>
        </row>
        <row r="139">
          <cell r="A139">
            <v>438</v>
          </cell>
          <cell r="I139">
            <v>1500</v>
          </cell>
        </row>
        <row r="140">
          <cell r="A140">
            <v>438</v>
          </cell>
          <cell r="I140">
            <v>36628474.359999999</v>
          </cell>
        </row>
        <row r="141">
          <cell r="A141">
            <v>438</v>
          </cell>
          <cell r="I141">
            <v>257291644.25</v>
          </cell>
        </row>
        <row r="142">
          <cell r="A142">
            <v>438</v>
          </cell>
          <cell r="I142">
            <v>162903920.29200003</v>
          </cell>
        </row>
        <row r="143">
          <cell r="A143">
            <v>438</v>
          </cell>
          <cell r="I143">
            <v>877188</v>
          </cell>
        </row>
        <row r="144">
          <cell r="A144">
            <v>438</v>
          </cell>
          <cell r="I144">
            <v>686873.5</v>
          </cell>
        </row>
        <row r="145">
          <cell r="A145">
            <v>438</v>
          </cell>
          <cell r="I145">
            <v>43589051.213561006</v>
          </cell>
        </row>
        <row r="146">
          <cell r="A146">
            <v>438</v>
          </cell>
          <cell r="I146">
            <v>15572016.5</v>
          </cell>
        </row>
        <row r="147">
          <cell r="A147">
            <v>438</v>
          </cell>
          <cell r="I147">
            <v>11436054.0185</v>
          </cell>
        </row>
        <row r="148">
          <cell r="A148">
            <v>438</v>
          </cell>
          <cell r="I148">
            <v>42172671.150000006</v>
          </cell>
        </row>
        <row r="149">
          <cell r="A149">
            <v>438</v>
          </cell>
          <cell r="I149">
            <v>3750</v>
          </cell>
        </row>
        <row r="150">
          <cell r="A150">
            <v>438</v>
          </cell>
          <cell r="I150">
            <v>7998150</v>
          </cell>
        </row>
        <row r="151">
          <cell r="A151">
            <v>438</v>
          </cell>
          <cell r="I151">
            <v>2088208.75</v>
          </cell>
        </row>
        <row r="152">
          <cell r="A152">
            <v>438</v>
          </cell>
          <cell r="I152">
            <v>58695071.299999997</v>
          </cell>
        </row>
        <row r="153">
          <cell r="A153">
            <v>438</v>
          </cell>
          <cell r="I153">
            <v>33457.145535999996</v>
          </cell>
        </row>
        <row r="154">
          <cell r="A154">
            <v>438</v>
          </cell>
          <cell r="I154">
            <v>41753885.199999996</v>
          </cell>
        </row>
        <row r="155">
          <cell r="A155">
            <v>438</v>
          </cell>
          <cell r="I155">
            <v>66650241.950000003</v>
          </cell>
        </row>
        <row r="156">
          <cell r="A156">
            <v>438</v>
          </cell>
          <cell r="I156">
            <v>126989311.25</v>
          </cell>
        </row>
        <row r="157">
          <cell r="A157">
            <v>438</v>
          </cell>
          <cell r="I157">
            <v>588.65</v>
          </cell>
        </row>
        <row r="158">
          <cell r="A158">
            <v>438</v>
          </cell>
          <cell r="I158">
            <v>144478212.75</v>
          </cell>
        </row>
        <row r="159">
          <cell r="A159">
            <v>438</v>
          </cell>
          <cell r="I159">
            <v>10594025</v>
          </cell>
        </row>
        <row r="160">
          <cell r="A160">
            <v>438</v>
          </cell>
          <cell r="I160">
            <v>7100</v>
          </cell>
        </row>
        <row r="161">
          <cell r="A161">
            <v>438</v>
          </cell>
          <cell r="I161">
            <v>10227346.85</v>
          </cell>
        </row>
        <row r="162">
          <cell r="A162">
            <v>438</v>
          </cell>
          <cell r="I162">
            <v>-30</v>
          </cell>
        </row>
        <row r="163">
          <cell r="A163">
            <v>438</v>
          </cell>
          <cell r="I163">
            <v>113237375.5</v>
          </cell>
        </row>
        <row r="164">
          <cell r="A164">
            <v>438</v>
          </cell>
          <cell r="I164">
            <v>4758556.3499999996</v>
          </cell>
        </row>
        <row r="165">
          <cell r="A165">
            <v>438</v>
          </cell>
          <cell r="I165">
            <v>111633.15</v>
          </cell>
        </row>
        <row r="166">
          <cell r="A166">
            <v>438</v>
          </cell>
          <cell r="I166">
            <v>3470819.65</v>
          </cell>
        </row>
        <row r="167">
          <cell r="A167">
            <v>438</v>
          </cell>
          <cell r="I167">
            <v>1087023.7</v>
          </cell>
        </row>
        <row r="168">
          <cell r="A168">
            <v>438</v>
          </cell>
          <cell r="I168">
            <v>2425689</v>
          </cell>
        </row>
        <row r="169">
          <cell r="A169">
            <v>438</v>
          </cell>
          <cell r="I169">
            <v>260</v>
          </cell>
        </row>
        <row r="170">
          <cell r="A170">
            <v>438</v>
          </cell>
          <cell r="I170">
            <v>1077692.05</v>
          </cell>
        </row>
        <row r="171">
          <cell r="A171">
            <v>438</v>
          </cell>
          <cell r="I171">
            <v>289498521.39999998</v>
          </cell>
        </row>
        <row r="172">
          <cell r="A172">
            <v>438</v>
          </cell>
          <cell r="I172">
            <v>110001852.34999999</v>
          </cell>
        </row>
        <row r="173">
          <cell r="A173">
            <v>438</v>
          </cell>
          <cell r="I173">
            <v>155118.6</v>
          </cell>
        </row>
        <row r="174">
          <cell r="A174">
            <v>438</v>
          </cell>
          <cell r="I174">
            <v>5126588.8704999993</v>
          </cell>
        </row>
        <row r="175">
          <cell r="A175">
            <v>438</v>
          </cell>
          <cell r="I175">
            <v>117911525.29482797</v>
          </cell>
        </row>
        <row r="176">
          <cell r="A176">
            <v>438</v>
          </cell>
          <cell r="I176">
            <v>1446173.7</v>
          </cell>
        </row>
        <row r="177">
          <cell r="A177">
            <v>438</v>
          </cell>
          <cell r="I177">
            <v>31796476</v>
          </cell>
        </row>
        <row r="178">
          <cell r="A178">
            <v>438</v>
          </cell>
          <cell r="I178">
            <v>1204640</v>
          </cell>
        </row>
        <row r="179">
          <cell r="A179">
            <v>438</v>
          </cell>
          <cell r="I179">
            <v>270</v>
          </cell>
        </row>
        <row r="180">
          <cell r="A180">
            <v>438</v>
          </cell>
          <cell r="I180">
            <v>22742837.006679002</v>
          </cell>
        </row>
        <row r="181">
          <cell r="A181">
            <v>438</v>
          </cell>
          <cell r="I181">
            <v>2098843</v>
          </cell>
        </row>
        <row r="182">
          <cell r="A182">
            <v>438</v>
          </cell>
          <cell r="I182">
            <v>72683427.400000006</v>
          </cell>
        </row>
        <row r="183">
          <cell r="A183">
            <v>438</v>
          </cell>
          <cell r="I183">
            <v>91150</v>
          </cell>
        </row>
        <row r="184">
          <cell r="A184">
            <v>438</v>
          </cell>
          <cell r="I184">
            <v>14677747.75</v>
          </cell>
        </row>
        <row r="185">
          <cell r="A185">
            <v>438</v>
          </cell>
          <cell r="I185">
            <v>787555.15</v>
          </cell>
        </row>
        <row r="186">
          <cell r="A186">
            <v>438</v>
          </cell>
          <cell r="I186">
            <v>231150</v>
          </cell>
        </row>
        <row r="187">
          <cell r="A187">
            <v>438</v>
          </cell>
          <cell r="I187">
            <v>147731.70000000001</v>
          </cell>
        </row>
        <row r="188">
          <cell r="A188">
            <v>438</v>
          </cell>
          <cell r="I188">
            <v>2789</v>
          </cell>
        </row>
        <row r="189">
          <cell r="A189">
            <v>438</v>
          </cell>
          <cell r="I189">
            <v>100636.55</v>
          </cell>
        </row>
        <row r="190">
          <cell r="A190">
            <v>440</v>
          </cell>
          <cell r="I190">
            <v>430649793.89999998</v>
          </cell>
        </row>
        <row r="191">
          <cell r="A191">
            <v>441</v>
          </cell>
          <cell r="I191">
            <v>45695420.799999997</v>
          </cell>
        </row>
        <row r="192">
          <cell r="A192">
            <v>443</v>
          </cell>
          <cell r="I192">
            <v>20447466.600000001</v>
          </cell>
        </row>
        <row r="193">
          <cell r="A193">
            <v>444</v>
          </cell>
          <cell r="I193">
            <v>563918.94999999995</v>
          </cell>
        </row>
        <row r="194">
          <cell r="A194">
            <v>444</v>
          </cell>
          <cell r="I194">
            <v>30807813.800000001</v>
          </cell>
        </row>
        <row r="195">
          <cell r="A195">
            <v>450</v>
          </cell>
          <cell r="I195">
            <v>909.65</v>
          </cell>
        </row>
        <row r="196">
          <cell r="A196">
            <v>450</v>
          </cell>
          <cell r="I196">
            <v>-4463.8</v>
          </cell>
        </row>
        <row r="197">
          <cell r="A197">
            <v>450</v>
          </cell>
          <cell r="I197">
            <v>330274559.75000012</v>
          </cell>
        </row>
        <row r="198">
          <cell r="A198">
            <v>450</v>
          </cell>
          <cell r="I198">
            <v>467298.15</v>
          </cell>
        </row>
        <row r="199">
          <cell r="A199">
            <v>450</v>
          </cell>
          <cell r="I199">
            <v>-406672.45</v>
          </cell>
        </row>
        <row r="200">
          <cell r="A200">
            <v>450</v>
          </cell>
          <cell r="I200">
            <v>14283333.23</v>
          </cell>
        </row>
        <row r="201">
          <cell r="A201">
            <v>450</v>
          </cell>
          <cell r="I201">
            <v>14995361.350000001</v>
          </cell>
        </row>
        <row r="202">
          <cell r="A202">
            <v>456</v>
          </cell>
          <cell r="I202">
            <v>-700000000.20000005</v>
          </cell>
        </row>
        <row r="203">
          <cell r="A203">
            <v>458</v>
          </cell>
          <cell r="I203">
            <v>-1697195328.8000004</v>
          </cell>
        </row>
        <row r="204">
          <cell r="A204">
            <v>458</v>
          </cell>
          <cell r="I204">
            <v>-135854272.30000001</v>
          </cell>
        </row>
        <row r="205">
          <cell r="A205">
            <v>458</v>
          </cell>
          <cell r="I205">
            <v>-50985663.350000009</v>
          </cell>
        </row>
        <row r="206">
          <cell r="A206">
            <v>458</v>
          </cell>
          <cell r="I206">
            <v>-88301216.199999988</v>
          </cell>
        </row>
        <row r="207">
          <cell r="A207">
            <v>458</v>
          </cell>
          <cell r="I207">
            <v>-195087357.44999996</v>
          </cell>
        </row>
        <row r="208">
          <cell r="A208">
            <v>458</v>
          </cell>
          <cell r="I208">
            <v>-3780340</v>
          </cell>
        </row>
        <row r="209">
          <cell r="A209">
            <v>458</v>
          </cell>
          <cell r="I209">
            <v>-8306295.4000000022</v>
          </cell>
        </row>
        <row r="210">
          <cell r="A210">
            <v>458</v>
          </cell>
          <cell r="I210">
            <v>-3536201.2</v>
          </cell>
        </row>
        <row r="211">
          <cell r="A211">
            <v>458</v>
          </cell>
          <cell r="I211">
            <v>-6556585.9500000002</v>
          </cell>
        </row>
        <row r="212">
          <cell r="A212">
            <v>458</v>
          </cell>
          <cell r="I212">
            <v>-13370241.600000001</v>
          </cell>
        </row>
        <row r="213">
          <cell r="A213">
            <v>458</v>
          </cell>
          <cell r="I213">
            <v>-874530</v>
          </cell>
        </row>
        <row r="214">
          <cell r="A214">
            <v>458</v>
          </cell>
          <cell r="I214">
            <v>-20000004</v>
          </cell>
        </row>
        <row r="215">
          <cell r="A215">
            <v>458</v>
          </cell>
          <cell r="I215">
            <v>-19109239.299999997</v>
          </cell>
        </row>
        <row r="216">
          <cell r="A216">
            <v>458</v>
          </cell>
          <cell r="I216">
            <v>-5305907.25</v>
          </cell>
        </row>
        <row r="217">
          <cell r="A217">
            <v>458</v>
          </cell>
          <cell r="I217">
            <v>-39685506</v>
          </cell>
        </row>
        <row r="218">
          <cell r="A218">
            <v>458</v>
          </cell>
          <cell r="I218">
            <v>-281925</v>
          </cell>
        </row>
        <row r="219">
          <cell r="A219">
            <v>458</v>
          </cell>
          <cell r="I219">
            <v>-11492855.499999998</v>
          </cell>
        </row>
        <row r="220">
          <cell r="A220">
            <v>458</v>
          </cell>
          <cell r="I220">
            <v>-17910419.450000003</v>
          </cell>
        </row>
        <row r="221">
          <cell r="A221">
            <v>458</v>
          </cell>
          <cell r="I221">
            <v>-6929330.4499999974</v>
          </cell>
        </row>
        <row r="222">
          <cell r="A222">
            <v>458</v>
          </cell>
          <cell r="I222">
            <v>-8495006.3500000015</v>
          </cell>
        </row>
        <row r="223">
          <cell r="A223">
            <v>458</v>
          </cell>
          <cell r="I223">
            <v>-6574905.0999999996</v>
          </cell>
        </row>
        <row r="224">
          <cell r="A224">
            <v>458</v>
          </cell>
          <cell r="I224">
            <v>-73132335.399999991</v>
          </cell>
        </row>
        <row r="225">
          <cell r="A225">
            <v>458</v>
          </cell>
          <cell r="I225">
            <v>-3783211.9</v>
          </cell>
        </row>
        <row r="226">
          <cell r="A226">
            <v>458</v>
          </cell>
          <cell r="I226">
            <v>-7458</v>
          </cell>
        </row>
        <row r="227">
          <cell r="A227">
            <v>460</v>
          </cell>
          <cell r="I227">
            <v>-48073947.350000001</v>
          </cell>
        </row>
        <row r="228">
          <cell r="A228">
            <v>462</v>
          </cell>
          <cell r="I228">
            <v>-218288.5</v>
          </cell>
        </row>
        <row r="229">
          <cell r="A229">
            <v>462</v>
          </cell>
          <cell r="I229">
            <v>-150836367.34999999</v>
          </cell>
        </row>
        <row r="230">
          <cell r="A230">
            <v>462</v>
          </cell>
          <cell r="I230">
            <v>-2228570.9</v>
          </cell>
        </row>
        <row r="231">
          <cell r="A231">
            <v>462</v>
          </cell>
          <cell r="I231">
            <v>-6586334.0500000017</v>
          </cell>
        </row>
        <row r="232">
          <cell r="A232">
            <v>462</v>
          </cell>
          <cell r="I232">
            <v>-16020868.349999998</v>
          </cell>
        </row>
        <row r="233">
          <cell r="A233">
            <v>462</v>
          </cell>
          <cell r="I233">
            <v>-34150</v>
          </cell>
        </row>
        <row r="234">
          <cell r="A234">
            <v>462</v>
          </cell>
          <cell r="I234">
            <v>-400</v>
          </cell>
        </row>
        <row r="235">
          <cell r="A235">
            <v>462</v>
          </cell>
          <cell r="I235">
            <v>-18199297</v>
          </cell>
        </row>
        <row r="236">
          <cell r="A236">
            <v>463</v>
          </cell>
          <cell r="I236">
            <v>-13529171.500000004</v>
          </cell>
        </row>
        <row r="237">
          <cell r="A237">
            <v>463</v>
          </cell>
          <cell r="I237">
            <v>-10360284.749999998</v>
          </cell>
        </row>
        <row r="238">
          <cell r="A238">
            <v>463</v>
          </cell>
          <cell r="I238">
            <v>-77026.05</v>
          </cell>
        </row>
        <row r="239">
          <cell r="A239">
            <v>463</v>
          </cell>
          <cell r="I239">
            <v>-1340290.05</v>
          </cell>
        </row>
        <row r="240">
          <cell r="A240">
            <v>463</v>
          </cell>
          <cell r="I240">
            <v>-124814458.74999999</v>
          </cell>
        </row>
        <row r="241">
          <cell r="A241">
            <v>463</v>
          </cell>
          <cell r="I241">
            <v>-96107403.979999825</v>
          </cell>
        </row>
        <row r="242">
          <cell r="A242">
            <v>463</v>
          </cell>
          <cell r="I242">
            <v>-18552556.200000003</v>
          </cell>
        </row>
        <row r="243">
          <cell r="A243">
            <v>463</v>
          </cell>
          <cell r="I243">
            <v>-14896</v>
          </cell>
        </row>
        <row r="244">
          <cell r="A244">
            <v>463</v>
          </cell>
          <cell r="I244">
            <v>-3153822.1</v>
          </cell>
        </row>
        <row r="245">
          <cell r="A245">
            <v>464</v>
          </cell>
          <cell r="I245">
            <v>-42591520.79999999</v>
          </cell>
        </row>
        <row r="246">
          <cell r="A246">
            <v>464</v>
          </cell>
          <cell r="I246">
            <v>-75032236.099999964</v>
          </cell>
        </row>
        <row r="247">
          <cell r="A247">
            <v>464</v>
          </cell>
          <cell r="I247">
            <v>-9663854.4000000004</v>
          </cell>
        </row>
        <row r="248">
          <cell r="A248">
            <v>464</v>
          </cell>
          <cell r="I248">
            <v>-7178954.5499999989</v>
          </cell>
        </row>
        <row r="249">
          <cell r="A249">
            <v>464</v>
          </cell>
          <cell r="I249">
            <v>-38106224.349999994</v>
          </cell>
        </row>
        <row r="250">
          <cell r="A250">
            <v>464</v>
          </cell>
          <cell r="I250">
            <v>-138395175.05000001</v>
          </cell>
        </row>
        <row r="251">
          <cell r="A251">
            <v>465</v>
          </cell>
          <cell r="I251">
            <v>-48150985.899999999</v>
          </cell>
        </row>
        <row r="252">
          <cell r="A252">
            <v>466</v>
          </cell>
          <cell r="I252">
            <v>-663372.65</v>
          </cell>
        </row>
        <row r="253">
          <cell r="A253">
            <v>468</v>
          </cell>
          <cell r="I253">
            <v>-7495000.2000000002</v>
          </cell>
        </row>
        <row r="254">
          <cell r="A254">
            <v>468</v>
          </cell>
          <cell r="I254">
            <v>-44549780.100000001</v>
          </cell>
        </row>
        <row r="255">
          <cell r="A255">
            <v>468</v>
          </cell>
          <cell r="I255">
            <v>-17298537.410649996</v>
          </cell>
        </row>
        <row r="256">
          <cell r="A256">
            <v>468</v>
          </cell>
          <cell r="I256">
            <v>-1915280</v>
          </cell>
        </row>
        <row r="257">
          <cell r="A257">
            <v>468</v>
          </cell>
          <cell r="I257">
            <v>-23313.4</v>
          </cell>
        </row>
        <row r="258">
          <cell r="A258">
            <v>468</v>
          </cell>
          <cell r="I258">
            <v>-18096994</v>
          </cell>
        </row>
        <row r="259">
          <cell r="A259">
            <v>468</v>
          </cell>
          <cell r="I259">
            <v>-70420639.550000012</v>
          </cell>
        </row>
        <row r="260">
          <cell r="A260">
            <v>468</v>
          </cell>
          <cell r="I260">
            <v>-274465628.94999999</v>
          </cell>
        </row>
        <row r="261">
          <cell r="A261">
            <v>468</v>
          </cell>
          <cell r="I261">
            <v>-1467756.9</v>
          </cell>
        </row>
        <row r="262">
          <cell r="A262">
            <v>468</v>
          </cell>
          <cell r="I262">
            <v>-34061939.299999997</v>
          </cell>
        </row>
        <row r="263">
          <cell r="A263">
            <v>468</v>
          </cell>
          <cell r="I263">
            <v>-1928177.3</v>
          </cell>
        </row>
        <row r="264">
          <cell r="A264">
            <v>468</v>
          </cell>
          <cell r="I264">
            <v>-45853699.499999985</v>
          </cell>
        </row>
        <row r="265">
          <cell r="A265">
            <v>468</v>
          </cell>
          <cell r="I265">
            <v>-371241.9</v>
          </cell>
        </row>
        <row r="266">
          <cell r="A266">
            <v>468</v>
          </cell>
          <cell r="I266">
            <v>-772957.5</v>
          </cell>
        </row>
        <row r="267">
          <cell r="A267">
            <v>468</v>
          </cell>
          <cell r="I267">
            <v>-74739540.000000015</v>
          </cell>
        </row>
        <row r="268">
          <cell r="A268">
            <v>468</v>
          </cell>
          <cell r="I268">
            <v>-10672173.349999998</v>
          </cell>
        </row>
        <row r="269">
          <cell r="A269">
            <v>468</v>
          </cell>
          <cell r="I269">
            <v>-8932276.6500000004</v>
          </cell>
        </row>
        <row r="270">
          <cell r="A270">
            <v>468</v>
          </cell>
          <cell r="I270">
            <v>-301277</v>
          </cell>
        </row>
        <row r="271">
          <cell r="A271">
            <v>468</v>
          </cell>
          <cell r="I271">
            <v>-169796.05</v>
          </cell>
        </row>
        <row r="272">
          <cell r="A272">
            <v>468</v>
          </cell>
          <cell r="I272">
            <v>-806183</v>
          </cell>
        </row>
        <row r="273">
          <cell r="A273">
            <v>468</v>
          </cell>
          <cell r="I273">
            <v>-547152</v>
          </cell>
        </row>
        <row r="274">
          <cell r="A274">
            <v>468</v>
          </cell>
          <cell r="I274">
            <v>-1489089.85</v>
          </cell>
        </row>
        <row r="275">
          <cell r="A275">
            <v>468</v>
          </cell>
          <cell r="I275">
            <v>2367355.5</v>
          </cell>
        </row>
        <row r="276">
          <cell r="A276">
            <v>468</v>
          </cell>
          <cell r="I276">
            <v>-5157301.0999999996</v>
          </cell>
        </row>
        <row r="277">
          <cell r="A277">
            <v>468</v>
          </cell>
          <cell r="I277">
            <v>-2326.65</v>
          </cell>
        </row>
        <row r="278">
          <cell r="A278">
            <v>468</v>
          </cell>
          <cell r="I278">
            <v>-60370905.374700002</v>
          </cell>
        </row>
        <row r="279">
          <cell r="A279">
            <v>468</v>
          </cell>
          <cell r="I279">
            <v>-15798664.800000001</v>
          </cell>
        </row>
        <row r="280">
          <cell r="A280">
            <v>468</v>
          </cell>
          <cell r="I280">
            <v>-39870939.696809985</v>
          </cell>
        </row>
        <row r="281">
          <cell r="A281">
            <v>468</v>
          </cell>
          <cell r="I281">
            <v>-149877525.55000004</v>
          </cell>
        </row>
        <row r="282">
          <cell r="A282">
            <v>468</v>
          </cell>
          <cell r="I282">
            <v>-114523459.05000001</v>
          </cell>
        </row>
        <row r="283">
          <cell r="A283">
            <v>468</v>
          </cell>
          <cell r="I283">
            <v>-6287109.3000000007</v>
          </cell>
        </row>
        <row r="284">
          <cell r="A284">
            <v>468</v>
          </cell>
          <cell r="I284">
            <v>-2591967.5</v>
          </cell>
        </row>
        <row r="285">
          <cell r="A285">
            <v>468</v>
          </cell>
          <cell r="I285">
            <v>-90704968.930000469</v>
          </cell>
        </row>
        <row r="286">
          <cell r="A286">
            <v>468</v>
          </cell>
          <cell r="I286">
            <v>-106044575.39999995</v>
          </cell>
        </row>
        <row r="287">
          <cell r="A287">
            <v>468</v>
          </cell>
          <cell r="I287">
            <v>287859.55000000005</v>
          </cell>
        </row>
        <row r="288">
          <cell r="A288">
            <v>468</v>
          </cell>
          <cell r="I288">
            <v>-644683.75</v>
          </cell>
        </row>
        <row r="289">
          <cell r="A289">
            <v>468</v>
          </cell>
          <cell r="I289">
            <v>-5994481.1499999957</v>
          </cell>
        </row>
        <row r="290">
          <cell r="A290">
            <v>468</v>
          </cell>
          <cell r="I290">
            <v>-7951659.6500000013</v>
          </cell>
        </row>
        <row r="291">
          <cell r="A291">
            <v>468</v>
          </cell>
          <cell r="I291">
            <v>-205407055.92999998</v>
          </cell>
        </row>
        <row r="292">
          <cell r="A292">
            <v>468</v>
          </cell>
          <cell r="I292">
            <v>-6340692.1500000004</v>
          </cell>
        </row>
        <row r="293">
          <cell r="A293">
            <v>468</v>
          </cell>
          <cell r="I293">
            <v>-14238295.75</v>
          </cell>
        </row>
        <row r="294">
          <cell r="A294">
            <v>468</v>
          </cell>
          <cell r="I294">
            <v>-204109410</v>
          </cell>
        </row>
        <row r="295">
          <cell r="A295">
            <v>468</v>
          </cell>
          <cell r="I295">
            <v>-7672216.1499999994</v>
          </cell>
        </row>
        <row r="296">
          <cell r="A296">
            <v>468</v>
          </cell>
          <cell r="I296">
            <v>-93429</v>
          </cell>
        </row>
        <row r="297">
          <cell r="A297">
            <v>468</v>
          </cell>
          <cell r="I297">
            <v>-11000355.600000001</v>
          </cell>
        </row>
        <row r="298">
          <cell r="A298">
            <v>468</v>
          </cell>
          <cell r="I298">
            <v>-4474868.75</v>
          </cell>
        </row>
        <row r="299">
          <cell r="A299">
            <v>468</v>
          </cell>
          <cell r="I299">
            <v>-207930.95</v>
          </cell>
        </row>
        <row r="300">
          <cell r="A300">
            <v>468</v>
          </cell>
          <cell r="I300">
            <v>-249485</v>
          </cell>
        </row>
        <row r="301">
          <cell r="A301">
            <v>468</v>
          </cell>
          <cell r="I301">
            <v>-112800</v>
          </cell>
        </row>
        <row r="302">
          <cell r="A302">
            <v>468</v>
          </cell>
          <cell r="I302">
            <v>-5211438.25</v>
          </cell>
        </row>
        <row r="303">
          <cell r="A303">
            <v>470</v>
          </cell>
          <cell r="I303">
            <v>-33263466.999999996</v>
          </cell>
        </row>
        <row r="304">
          <cell r="A304">
            <v>470</v>
          </cell>
          <cell r="I304">
            <v>-19362091.449999999</v>
          </cell>
        </row>
        <row r="305">
          <cell r="A305">
            <v>470</v>
          </cell>
          <cell r="I305">
            <v>-284463463.39999998</v>
          </cell>
        </row>
        <row r="306">
          <cell r="A306">
            <v>478</v>
          </cell>
          <cell r="I306">
            <v>-666406628</v>
          </cell>
        </row>
        <row r="307">
          <cell r="I307">
            <v>0</v>
          </cell>
        </row>
        <row r="308">
          <cell r="I308">
            <v>0</v>
          </cell>
        </row>
        <row r="309">
          <cell r="I309">
            <v>0</v>
          </cell>
        </row>
        <row r="310">
          <cell r="I310">
            <v>0</v>
          </cell>
        </row>
        <row r="311">
          <cell r="I311">
            <v>0</v>
          </cell>
        </row>
        <row r="312">
          <cell r="I312">
            <v>0</v>
          </cell>
        </row>
        <row r="313">
          <cell r="I313">
            <v>0</v>
          </cell>
        </row>
        <row r="314">
          <cell r="I314">
            <v>0</v>
          </cell>
        </row>
        <row r="315">
          <cell r="A315">
            <v>444</v>
          </cell>
          <cell r="I315">
            <v>0</v>
          </cell>
        </row>
        <row r="316">
          <cell r="A316">
            <v>444</v>
          </cell>
          <cell r="I316">
            <v>23357056.199999999</v>
          </cell>
        </row>
        <row r="317">
          <cell r="A317">
            <v>442</v>
          </cell>
          <cell r="I317">
            <v>12599401.9</v>
          </cell>
        </row>
        <row r="320">
          <cell r="I320">
            <v>71912916.450091586</v>
          </cell>
        </row>
        <row r="326">
          <cell r="I326">
            <v>35956458.225045793</v>
          </cell>
        </row>
      </sheetData>
      <sheetData sheetId="2"/>
      <sheetData sheetId="3" refreshError="1"/>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ne Wanjiku Mwai" refreshedDate="45566.5159375" createdVersion="6" refreshedVersion="5" minRefreshableVersion="3" recordCount="2269">
  <cacheSource type="worksheet">
    <worksheetSource ref="A1:J1048576" sheet="DATA"/>
  </cacheSource>
  <cacheFields count="11">
    <cacheField name="CODES" numFmtId="0">
      <sharedItems containsBlank="1"/>
    </cacheField>
    <cacheField name="BRANCH" numFmtId="0">
      <sharedItems containsBlank="1" count="22">
        <s v="CENTRAL OFFICE"/>
        <s v="TOM MBOYA"/>
        <s v="LIKONI"/>
        <s v="WOTE"/>
        <s v="LIMURU"/>
        <s v="MOI AVENUE"/>
        <s v="THIKA"/>
        <s v="RUIRU"/>
        <s v="KITENGELA"/>
        <s v="KAYOLE"/>
        <s v="ELDORET"/>
        <s v="MBALE"/>
        <s v="BIASHARA STREET"/>
        <s v="RONGAI"/>
        <s v="WESTLANDS"/>
        <s v="MACHAKOS"/>
        <s v="NAKURU"/>
        <s v="KENGELENI"/>
        <s v="KISUMU"/>
        <s v="DIASPORAH"/>
        <s v="MTWAPA"/>
        <m/>
      </sharedItems>
    </cacheField>
    <cacheField name="KPI" numFmtId="0">
      <sharedItems containsBlank="1" count="11">
        <s v="NEW DEPOSITS"/>
        <s v="CUMULATIVE DEPOSITS"/>
        <s v="GROSS LOAN BOOK"/>
        <s v="DISBURSEMENTS"/>
        <s v="TRADE FINANCE"/>
        <s v="FX INCOME"/>
        <s v="NEW ACCOUNTS"/>
        <s v="NFI"/>
        <s v="PBT"/>
        <m/>
        <s v="MTD DEPOSITS" u="1"/>
      </sharedItems>
    </cacheField>
    <cacheField name="ACTUAL (MONTH)" numFmtId="164">
      <sharedItems containsString="0" containsBlank="1" containsNumber="1" minValue="-84510.37156" maxValue="7481487.8899999969"/>
    </cacheField>
    <cacheField name="ACTUAL (YTD)" numFmtId="164">
      <sharedItems containsString="0" containsBlank="1" containsNumber="1" minValue="-263648.79542000004" maxValue="34165905.509999998"/>
    </cacheField>
    <cacheField name="BUDGET (MONTH)" numFmtId="164">
      <sharedItems containsString="0" containsBlank="1" containsNumber="1" minValue="-39049.69107999999" maxValue="5552000"/>
    </cacheField>
    <cacheField name="BUDGET (YTD)" numFmtId="164">
      <sharedItems containsString="0" containsBlank="1" containsNumber="1" minValue="-225738.16942088713" maxValue="33532393.033155397"/>
    </cacheField>
    <cacheField name="% VARIANCE (MONTH)" numFmtId="0">
      <sharedItems containsString="0" containsBlank="1" containsNumber="1" minValue="-1535.3707307404377" maxValue="8020.6320390596939"/>
    </cacheField>
    <cacheField name="% VARIANCE (YTD)" numFmtId="0">
      <sharedItems containsNonDate="0" containsString="0" containsBlank="1"/>
    </cacheField>
    <cacheField name="MONTH" numFmtId="0">
      <sharedItems containsBlank="1" count="15">
        <s v="JAN"/>
        <s v="FEB"/>
        <s v="MAR"/>
        <s v="APR"/>
        <s v="MAY"/>
        <s v="JUN"/>
        <s v="JUL"/>
        <s v="AUG"/>
        <s v="SEP"/>
        <s v="OCT"/>
        <s v="NOV"/>
        <s v="DEC"/>
        <m/>
        <s v="JUNE" u="1"/>
        <s v="JULY" u="1"/>
      </sharedItems>
    </cacheField>
    <cacheField name="% VARIANCE" numFmtId="0" formula="IFERROR(IF((#NAME?-#NAME?)&lt;0,-ABS((#NAME?-#NAME?)/#NAME?),ABS((#NAME?-#NAME?)/#NAME?)),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69">
  <r>
    <s v="000"/>
    <x v="0"/>
    <x v="0"/>
    <n v="0"/>
    <n v="0"/>
    <n v="0"/>
    <n v="0"/>
    <n v="0"/>
    <m/>
    <x v="0"/>
  </r>
  <r>
    <s v="000"/>
    <x v="0"/>
    <x v="1"/>
    <m/>
    <n v="0"/>
    <m/>
    <n v="0"/>
    <n v="0"/>
    <m/>
    <x v="0"/>
  </r>
  <r>
    <s v="000"/>
    <x v="0"/>
    <x v="2"/>
    <n v="0"/>
    <n v="413.95921999999996"/>
    <m/>
    <n v="0"/>
    <n v="0"/>
    <m/>
    <x v="0"/>
  </r>
  <r>
    <s v="000"/>
    <x v="0"/>
    <x v="3"/>
    <n v="0"/>
    <n v="0"/>
    <n v="0"/>
    <n v="0"/>
    <n v="0"/>
    <m/>
    <x v="0"/>
  </r>
  <r>
    <s v="000"/>
    <x v="0"/>
    <x v="4"/>
    <n v="0"/>
    <n v="0"/>
    <n v="0"/>
    <n v="0"/>
    <n v="0"/>
    <m/>
    <x v="0"/>
  </r>
  <r>
    <s v="000"/>
    <x v="0"/>
    <x v="5"/>
    <n v="-130"/>
    <n v="-130"/>
    <n v="33000"/>
    <n v="33000"/>
    <n v="-1.0039393939393939"/>
    <m/>
    <x v="0"/>
  </r>
  <r>
    <s v="000"/>
    <x v="0"/>
    <x v="6"/>
    <n v="0"/>
    <n v="0"/>
    <n v="0"/>
    <n v="0"/>
    <n v="0"/>
    <m/>
    <x v="0"/>
  </r>
  <r>
    <s v="000"/>
    <x v="0"/>
    <x v="7"/>
    <n v="164.02884"/>
    <n v="164.02884"/>
    <n v="4.0554612757863137E-2"/>
    <n v="4.0554612757863137E-2"/>
    <n v="4043.6407657584264"/>
    <m/>
    <x v="0"/>
  </r>
  <r>
    <s v="000"/>
    <x v="0"/>
    <x v="8"/>
    <n v="-40839.922004076237"/>
    <n v="-40839.922004076237"/>
    <n v="-39049.69107999999"/>
    <n v="-39049.69107999999"/>
    <n v="-4.5844944596582157E-2"/>
    <m/>
    <x v="0"/>
  </r>
  <r>
    <s v="001"/>
    <x v="1"/>
    <x v="0"/>
    <n v="4885.4866000000038"/>
    <n v="4885.4866000000038"/>
    <n v="19355.146666666667"/>
    <n v="19355.146666666667"/>
    <n v="-0.74758720850130456"/>
    <m/>
    <x v="0"/>
  </r>
  <r>
    <s v="001"/>
    <x v="1"/>
    <x v="1"/>
    <m/>
    <n v="483509.05972999998"/>
    <m/>
    <n v="467743.04148000001"/>
    <n v="0"/>
    <m/>
    <x v="0"/>
  </r>
  <r>
    <s v="001"/>
    <x v="1"/>
    <x v="2"/>
    <n v="0"/>
    <n v="644497.85700894264"/>
    <m/>
    <n v="542886.05343817628"/>
    <n v="0"/>
    <m/>
    <x v="0"/>
  </r>
  <r>
    <s v="001"/>
    <x v="1"/>
    <x v="3"/>
    <n v="10574.58935"/>
    <n v="10574.58935"/>
    <n v="19193.933333333334"/>
    <n v="19193.933333333334"/>
    <n v="-0.44906605819894485"/>
    <m/>
    <x v="0"/>
  </r>
  <r>
    <s v="001"/>
    <x v="1"/>
    <x v="4"/>
    <n v="759694"/>
    <n v="759694"/>
    <n v="1350000"/>
    <n v="1350000"/>
    <n v="-0.43726370370370371"/>
    <m/>
    <x v="0"/>
  </r>
  <r>
    <s v="001"/>
    <x v="1"/>
    <x v="5"/>
    <n v="5925"/>
    <n v="5925"/>
    <n v="2000"/>
    <n v="2000"/>
    <n v="1.9624999999999999"/>
    <m/>
    <x v="0"/>
  </r>
  <r>
    <s v="001"/>
    <x v="1"/>
    <x v="6"/>
    <n v="58"/>
    <n v="58"/>
    <n v="85"/>
    <n v="85"/>
    <n v="-0.31764705882352939"/>
    <m/>
    <x v="0"/>
  </r>
  <r>
    <s v="001"/>
    <x v="1"/>
    <x v="7"/>
    <n v="980.42336999999998"/>
    <n v="980.42336999999998"/>
    <n v="2088.5505078890315"/>
    <n v="2088.5505078890315"/>
    <n v="-0.53057234369163186"/>
    <m/>
    <x v="0"/>
  </r>
  <r>
    <s v="001"/>
    <x v="1"/>
    <x v="8"/>
    <n v="-1768.7421537844546"/>
    <n v="-1768.7421537844546"/>
    <n v="-1168.9071800000006"/>
    <n v="-1168.9071800000006"/>
    <n v="-0.51315877261054521"/>
    <m/>
    <x v="0"/>
  </r>
  <r>
    <s v="002"/>
    <x v="2"/>
    <x v="0"/>
    <n v="-21783.78669999999"/>
    <n v="-21783.78669999999"/>
    <n v="19755.146666666667"/>
    <n v="19755.146666666667"/>
    <n v="-2.1026891912048566"/>
    <m/>
    <x v="0"/>
  </r>
  <r>
    <s v="002"/>
    <x v="2"/>
    <x v="1"/>
    <m/>
    <n v="51349.256410000009"/>
    <m/>
    <n v="57553.62846"/>
    <n v="0"/>
    <m/>
    <x v="0"/>
  </r>
  <r>
    <s v="002"/>
    <x v="2"/>
    <x v="2"/>
    <n v="0"/>
    <n v="89902.698834262104"/>
    <m/>
    <n v="96547.798849686515"/>
    <n v="0"/>
    <m/>
    <x v="0"/>
  </r>
  <r>
    <s v="002"/>
    <x v="2"/>
    <x v="3"/>
    <n v="1143.4000000000001"/>
    <n v="1143.4000000000001"/>
    <n v="19693.933333333331"/>
    <n v="19693.933333333331"/>
    <n v="-0.94194151159917261"/>
    <m/>
    <x v="0"/>
  </r>
  <r>
    <s v="002"/>
    <x v="2"/>
    <x v="4"/>
    <n v="8000"/>
    <n v="8000"/>
    <n v="30000"/>
    <n v="30000"/>
    <n v="-0.73333333333333328"/>
    <m/>
    <x v="0"/>
  </r>
  <r>
    <s v="002"/>
    <x v="2"/>
    <x v="5"/>
    <n v="0"/>
    <n v="0"/>
    <n v="73000"/>
    <n v="73000"/>
    <n v="-1"/>
    <m/>
    <x v="0"/>
  </r>
  <r>
    <s v="002"/>
    <x v="2"/>
    <x v="6"/>
    <n v="65"/>
    <n v="65"/>
    <n v="73"/>
    <n v="73"/>
    <n v="-0.1095890410958904"/>
    <m/>
    <x v="0"/>
  </r>
  <r>
    <s v="002"/>
    <x v="2"/>
    <x v="7"/>
    <n v="123.81169"/>
    <n v="123.81169"/>
    <n v="755.38358138752938"/>
    <n v="755.38358138752938"/>
    <n v="-0.83609427971339279"/>
    <m/>
    <x v="0"/>
  </r>
  <r>
    <s v="002"/>
    <x v="2"/>
    <x v="8"/>
    <n v="-1155.4741292549816"/>
    <n v="-1155.4741292549816"/>
    <n v="-1051.9398699999999"/>
    <n v="-1051.9398699999999"/>
    <n v="-9.8422221847130523E-2"/>
    <m/>
    <x v="0"/>
  </r>
  <r>
    <s v="003"/>
    <x v="3"/>
    <x v="0"/>
    <n v="2506.5778199999986"/>
    <n v="2506.5778199999986"/>
    <n v="17110.293333333335"/>
    <n v="17110.293333333335"/>
    <n v="-0.85350468450959749"/>
    <m/>
    <x v="0"/>
  </r>
  <r>
    <s v="003"/>
    <x v="3"/>
    <x v="1"/>
    <m/>
    <n v="42791.446039999995"/>
    <m/>
    <n v="35630.448240000005"/>
    <n v="0"/>
    <m/>
    <x v="0"/>
  </r>
  <r>
    <s v="003"/>
    <x v="3"/>
    <x v="2"/>
    <n v="0"/>
    <n v="103640.83844563688"/>
    <m/>
    <n v="110430.06559228252"/>
    <n v="0"/>
    <m/>
    <x v="0"/>
  </r>
  <r>
    <s v="003"/>
    <x v="3"/>
    <x v="3"/>
    <n v="2684.0598500000001"/>
    <n v="2684.0598500000001"/>
    <n v="16387.866666666669"/>
    <n v="16387.866666666669"/>
    <n v="-0.83621664097014869"/>
    <m/>
    <x v="0"/>
  </r>
  <r>
    <s v="003"/>
    <x v="3"/>
    <x v="4"/>
    <n v="6000"/>
    <n v="6000"/>
    <n v="12000"/>
    <n v="12000"/>
    <n v="-0.5"/>
    <m/>
    <x v="0"/>
  </r>
  <r>
    <s v="003"/>
    <x v="3"/>
    <x v="5"/>
    <n v="0"/>
    <n v="0"/>
    <n v="1000"/>
    <n v="1000"/>
    <n v="-1"/>
    <m/>
    <x v="0"/>
  </r>
  <r>
    <s v="003"/>
    <x v="3"/>
    <x v="6"/>
    <n v="36"/>
    <n v="36"/>
    <n v="66"/>
    <n v="66"/>
    <n v="-0.45454545454545453"/>
    <m/>
    <x v="0"/>
  </r>
  <r>
    <s v="003"/>
    <x v="3"/>
    <x v="7"/>
    <n v="83.316579999999988"/>
    <n v="83.316579999999988"/>
    <n v="670.38861051403649"/>
    <n v="670.38861051403649"/>
    <n v="-0.8757189804640102"/>
    <m/>
    <x v="0"/>
  </r>
  <r>
    <s v="003"/>
    <x v="3"/>
    <x v="8"/>
    <n v="-756.11033084484177"/>
    <n v="-756.11033084484177"/>
    <n v="-318.23343999999992"/>
    <n v="-318.23343999999992"/>
    <n v="-1.375961278126026"/>
    <m/>
    <x v="0"/>
  </r>
  <r>
    <s v="004"/>
    <x v="4"/>
    <x v="0"/>
    <n v="583.61341999999422"/>
    <n v="583.61341999999422"/>
    <n v="24332.106666666674"/>
    <n v="24332.106666666674"/>
    <n v="-0.97601467772621986"/>
    <m/>
    <x v="0"/>
  </r>
  <r>
    <s v="004"/>
    <x v="4"/>
    <x v="1"/>
    <m/>
    <n v="23463.33273999998"/>
    <m/>
    <n v="42503.889860000003"/>
    <n v="0"/>
    <m/>
    <x v="0"/>
  </r>
  <r>
    <s v="004"/>
    <x v="4"/>
    <x v="2"/>
    <n v="0"/>
    <n v="111669.85290562976"/>
    <m/>
    <n v="134054.05469164002"/>
    <n v="0"/>
    <m/>
    <x v="0"/>
  </r>
  <r>
    <s v="004"/>
    <x v="4"/>
    <x v="3"/>
    <n v="1064.0999999999999"/>
    <n v="1064.0999999999999"/>
    <n v="25415.133333333331"/>
    <n v="25415.133333333331"/>
    <n v="-0.95813124463902088"/>
    <m/>
    <x v="0"/>
  </r>
  <r>
    <s v="004"/>
    <x v="4"/>
    <x v="4"/>
    <n v="12000"/>
    <n v="12000"/>
    <n v="87000"/>
    <n v="87000"/>
    <n v="-0.86206896551724133"/>
    <m/>
    <x v="0"/>
  </r>
  <r>
    <s v="004"/>
    <x v="4"/>
    <x v="5"/>
    <n v="0"/>
    <n v="0"/>
    <n v="1000"/>
    <n v="1000"/>
    <n v="-1"/>
    <m/>
    <x v="0"/>
  </r>
  <r>
    <s v="004"/>
    <x v="4"/>
    <x v="6"/>
    <n v="21"/>
    <n v="21"/>
    <n v="101"/>
    <n v="101"/>
    <n v="-0.79207920792079212"/>
    <m/>
    <x v="0"/>
  </r>
  <r>
    <s v="004"/>
    <x v="4"/>
    <x v="7"/>
    <n v="86.958339999999993"/>
    <n v="86.958339999999993"/>
    <n v="894.34547594462038"/>
    <n v="894.34547594462038"/>
    <n v="-0.90276873720621953"/>
    <m/>
    <x v="0"/>
  </r>
  <r>
    <s v="004"/>
    <x v="4"/>
    <x v="8"/>
    <n v="2129.2428870707008"/>
    <n v="2129.2428870707008"/>
    <n v="2574.5155200000008"/>
    <n v="2574.5155200000008"/>
    <n v="-0.17295395171255362"/>
    <m/>
    <x v="0"/>
  </r>
  <r>
    <s v="005"/>
    <x v="5"/>
    <x v="0"/>
    <n v="3837.6802299999399"/>
    <n v="3837.6802299999399"/>
    <n v="33221.813333333324"/>
    <n v="33221.813333333324"/>
    <n v="-0.88448311982569061"/>
    <m/>
    <x v="0"/>
  </r>
  <r>
    <s v="005"/>
    <x v="5"/>
    <x v="1"/>
    <m/>
    <n v="146151.27210999999"/>
    <m/>
    <n v="184537.62156"/>
    <n v="0"/>
    <m/>
    <x v="0"/>
  </r>
  <r>
    <s v="005"/>
    <x v="5"/>
    <x v="2"/>
    <n v="0"/>
    <n v="345696.77072172851"/>
    <m/>
    <n v="335158.16558544431"/>
    <n v="0"/>
    <m/>
    <x v="0"/>
  </r>
  <r>
    <s v="005"/>
    <x v="5"/>
    <x v="3"/>
    <n v="5421.8130000000001"/>
    <n v="5421.8130000000001"/>
    <n v="36527.266666666663"/>
    <n v="36527.266666666663"/>
    <n v="-0.85156806148466258"/>
    <m/>
    <x v="0"/>
  </r>
  <r>
    <s v="005"/>
    <x v="5"/>
    <x v="4"/>
    <n v="532127.84"/>
    <n v="532127.84"/>
    <n v="1521000"/>
    <n v="1521000"/>
    <n v="-0.65014606180144641"/>
    <m/>
    <x v="0"/>
  </r>
  <r>
    <s v="005"/>
    <x v="5"/>
    <x v="5"/>
    <n v="13740"/>
    <n v="13740"/>
    <n v="87000"/>
    <n v="87000"/>
    <n v="-0.84206896551724142"/>
    <m/>
    <x v="0"/>
  </r>
  <r>
    <s v="005"/>
    <x v="5"/>
    <x v="6"/>
    <n v="57"/>
    <n v="57"/>
    <n v="68"/>
    <n v="68"/>
    <n v="-0.16176470588235295"/>
    <m/>
    <x v="0"/>
  </r>
  <r>
    <s v="005"/>
    <x v="5"/>
    <x v="7"/>
    <n v="881.13719000000003"/>
    <n v="881.13719000000003"/>
    <n v="2829.740103808891"/>
    <n v="2829.740103808891"/>
    <n v="-0.68861550613288824"/>
    <m/>
    <x v="0"/>
  </r>
  <r>
    <s v="005"/>
    <x v="5"/>
    <x v="8"/>
    <n v="372.0962614635107"/>
    <n v="372.0962614635107"/>
    <n v="922.75391999999931"/>
    <n v="922.75391999999931"/>
    <n v="-0.59675461312208677"/>
    <m/>
    <x v="0"/>
  </r>
  <r>
    <s v="006"/>
    <x v="6"/>
    <x v="0"/>
    <n v="-4182.9422099999938"/>
    <n v="-4182.9422099999938"/>
    <n v="22421.813333333339"/>
    <n v="22421.813333333339"/>
    <n v="-1.1865568207091186"/>
    <m/>
    <x v="0"/>
  </r>
  <r>
    <s v="006"/>
    <x v="6"/>
    <x v="1"/>
    <m/>
    <n v="73762.181700000016"/>
    <m/>
    <n v="85603.324790000013"/>
    <n v="0"/>
    <m/>
    <x v="0"/>
  </r>
  <r>
    <s v="006"/>
    <x v="6"/>
    <x v="2"/>
    <n v="0"/>
    <n v="197379.22185530255"/>
    <m/>
    <n v="168444.84615138889"/>
    <n v="0"/>
    <m/>
    <x v="0"/>
  </r>
  <r>
    <s v="006"/>
    <x v="6"/>
    <x v="3"/>
    <n v="3141.8"/>
    <n v="3141.8"/>
    <n v="23027.266666666666"/>
    <n v="23027.266666666666"/>
    <n v="-0.86356174853579382"/>
    <m/>
    <x v="0"/>
  </r>
  <r>
    <s v="006"/>
    <x v="6"/>
    <x v="4"/>
    <n v="123490.31"/>
    <n v="123490.31"/>
    <n v="157000"/>
    <n v="157000"/>
    <n v="-0.21343751592356688"/>
    <m/>
    <x v="0"/>
  </r>
  <r>
    <s v="006"/>
    <x v="6"/>
    <x v="5"/>
    <n v="24968"/>
    <n v="24968"/>
    <n v="34000"/>
    <n v="34000"/>
    <n v="-0.2656470588235294"/>
    <m/>
    <x v="0"/>
  </r>
  <r>
    <s v="006"/>
    <x v="6"/>
    <x v="6"/>
    <n v="52"/>
    <n v="52"/>
    <n v="66"/>
    <n v="66"/>
    <n v="-0.21212121212121213"/>
    <m/>
    <x v="0"/>
  </r>
  <r>
    <s v="006"/>
    <x v="6"/>
    <x v="7"/>
    <n v="405.17784"/>
    <n v="405.17784"/>
    <n v="1078.1702256487727"/>
    <n v="1078.1702256487727"/>
    <n v="-0.62419863731982539"/>
    <m/>
    <x v="0"/>
  </r>
  <r>
    <s v="006"/>
    <x v="6"/>
    <x v="8"/>
    <n v="-433.54805431222752"/>
    <n v="-433.54805431222752"/>
    <n v="394.17996000000034"/>
    <n v="394.17996000000034"/>
    <n v="-2.0998734037930977"/>
    <m/>
    <x v="0"/>
  </r>
  <r>
    <s v="007"/>
    <x v="7"/>
    <x v="0"/>
    <n v="2604.6060300000536"/>
    <n v="2604.6060300000536"/>
    <n v="26176.959999999992"/>
    <n v="26176.959999999992"/>
    <n v="-0.90050005692028201"/>
    <m/>
    <x v="0"/>
  </r>
  <r>
    <s v="007"/>
    <x v="7"/>
    <x v="1"/>
    <m/>
    <n v="197694.01487000001"/>
    <m/>
    <n v="218841.90774"/>
    <n v="0"/>
    <m/>
    <x v="0"/>
  </r>
  <r>
    <s v="007"/>
    <x v="7"/>
    <x v="2"/>
    <n v="0"/>
    <n v="136389.11843543174"/>
    <m/>
    <n v="149466.17332132536"/>
    <n v="0"/>
    <m/>
    <x v="0"/>
  </r>
  <r>
    <s v="007"/>
    <x v="7"/>
    <x v="3"/>
    <n v="3827.5529999999999"/>
    <n v="3827.5529999999999"/>
    <n v="27721.200000000001"/>
    <n v="27721.200000000001"/>
    <n v="-0.86192686463789447"/>
    <m/>
    <x v="0"/>
  </r>
  <r>
    <s v="007"/>
    <x v="7"/>
    <x v="4"/>
    <n v="42000"/>
    <n v="42000"/>
    <n v="260000"/>
    <n v="260000"/>
    <n v="-0.83846153846153848"/>
    <m/>
    <x v="0"/>
  </r>
  <r>
    <s v="007"/>
    <x v="7"/>
    <x v="5"/>
    <n v="1480"/>
    <n v="1480"/>
    <n v="18000"/>
    <n v="18000"/>
    <n v="-0.9177777777777778"/>
    <m/>
    <x v="0"/>
  </r>
  <r>
    <s v="007"/>
    <x v="7"/>
    <x v="6"/>
    <n v="41"/>
    <n v="41"/>
    <n v="76"/>
    <n v="76"/>
    <n v="-0.46052631578947367"/>
    <m/>
    <x v="0"/>
  </r>
  <r>
    <s v="007"/>
    <x v="7"/>
    <x v="7"/>
    <n v="214.35636000000002"/>
    <n v="214.35636000000002"/>
    <n v="1226.6369038334653"/>
    <n v="1226.6369038334653"/>
    <n v="-0.82524872736985411"/>
    <m/>
    <x v="0"/>
  </r>
  <r>
    <s v="007"/>
    <x v="7"/>
    <x v="8"/>
    <n v="-189.63166702754441"/>
    <n v="-189.63166702754441"/>
    <n v="-883.47973000000059"/>
    <n v="-883.47973000000059"/>
    <n v="0.78535821412954854"/>
    <m/>
    <x v="0"/>
  </r>
  <r>
    <s v="008"/>
    <x v="8"/>
    <x v="0"/>
    <n v="11207.945479999995"/>
    <n v="11207.945479999995"/>
    <n v="25398.773333333374"/>
    <n v="25398.773333333374"/>
    <n v="-0.55872099282485121"/>
    <m/>
    <x v="0"/>
  </r>
  <r>
    <s v="008"/>
    <x v="8"/>
    <x v="1"/>
    <m/>
    <n v="345803.53441000002"/>
    <m/>
    <n v="357991.26302999997"/>
    <n v="0"/>
    <m/>
    <x v="0"/>
  </r>
  <r>
    <s v="008"/>
    <x v="8"/>
    <x v="2"/>
    <n v="0"/>
    <n v="324382.68472531455"/>
    <m/>
    <n v="298550.06552021106"/>
    <n v="0"/>
    <m/>
    <x v="0"/>
  </r>
  <r>
    <s v="008"/>
    <x v="8"/>
    <x v="3"/>
    <n v="5265.54"/>
    <n v="5265.54"/>
    <n v="26748.466666666664"/>
    <n v="26748.466666666664"/>
    <n v="-0.8031460993402737"/>
    <m/>
    <x v="0"/>
  </r>
  <r>
    <s v="008"/>
    <x v="8"/>
    <x v="4"/>
    <n v="116500"/>
    <n v="116500"/>
    <n v="186000"/>
    <n v="186000"/>
    <n v="-0.37365591397849462"/>
    <m/>
    <x v="0"/>
  </r>
  <r>
    <s v="008"/>
    <x v="8"/>
    <x v="5"/>
    <n v="85153"/>
    <n v="85153"/>
    <n v="78000"/>
    <n v="78000"/>
    <n v="9.1705128205128203E-2"/>
    <m/>
    <x v="0"/>
  </r>
  <r>
    <s v="008"/>
    <x v="8"/>
    <x v="6"/>
    <n v="72"/>
    <n v="72"/>
    <n v="98"/>
    <n v="98"/>
    <n v="-0.26530612244897961"/>
    <m/>
    <x v="0"/>
  </r>
  <r>
    <s v="008"/>
    <x v="8"/>
    <x v="7"/>
    <n v="397.38398000000001"/>
    <n v="397.38398000000001"/>
    <n v="1153.659762120338"/>
    <n v="1153.659762120338"/>
    <n v="-0.65554490756474093"/>
    <m/>
    <x v="0"/>
  </r>
  <r>
    <s v="008"/>
    <x v="8"/>
    <x v="8"/>
    <n v="-1562.8370227475723"/>
    <n v="-1562.8370227475723"/>
    <n v="-2500.7825000000003"/>
    <n v="-2500.7825000000003"/>
    <n v="0.37506079687155036"/>
    <m/>
    <x v="0"/>
  </r>
  <r>
    <s v="009"/>
    <x v="9"/>
    <x v="0"/>
    <n v="-722.50532000000385"/>
    <n v="-722.50532000000385"/>
    <n v="22176.960000000006"/>
    <n v="22176.960000000006"/>
    <n v="-1.0325790965037591"/>
    <m/>
    <x v="0"/>
  </r>
  <r>
    <s v="009"/>
    <x v="9"/>
    <x v="1"/>
    <m/>
    <n v="38350.502150000008"/>
    <m/>
    <n v="67389.32862"/>
    <n v="0"/>
    <m/>
    <x v="0"/>
  </r>
  <r>
    <s v="009"/>
    <x v="9"/>
    <x v="2"/>
    <n v="0"/>
    <n v="214413.34483963207"/>
    <m/>
    <n v="209228.26978376327"/>
    <n v="0"/>
    <m/>
    <x v="0"/>
  </r>
  <r>
    <s v="009"/>
    <x v="9"/>
    <x v="3"/>
    <n v="3953.5129500000003"/>
    <n v="3953.5129500000003"/>
    <n v="22721.200000000001"/>
    <n v="22721.200000000001"/>
    <n v="-0.82599893711599737"/>
    <m/>
    <x v="0"/>
  </r>
  <r>
    <s v="009"/>
    <x v="9"/>
    <x v="4"/>
    <n v="10000"/>
    <n v="10000"/>
    <n v="34000"/>
    <n v="34000"/>
    <n v="-0.70588235294117652"/>
    <m/>
    <x v="0"/>
  </r>
  <r>
    <s v="009"/>
    <x v="9"/>
    <x v="5"/>
    <n v="7781"/>
    <n v="7781"/>
    <n v="2000"/>
    <n v="2000"/>
    <n v="2.8904999999999998"/>
    <m/>
    <x v="0"/>
  </r>
  <r>
    <s v="009"/>
    <x v="9"/>
    <x v="6"/>
    <n v="46"/>
    <n v="46"/>
    <n v="73"/>
    <n v="73"/>
    <n v="-0.36986301369863012"/>
    <m/>
    <x v="0"/>
  </r>
  <r>
    <s v="009"/>
    <x v="9"/>
    <x v="7"/>
    <n v="224.55673999999999"/>
    <n v="224.55673999999999"/>
    <n v="851.17614338879798"/>
    <n v="851.17614338879798"/>
    <n v="-0.73618064633958191"/>
    <m/>
    <x v="0"/>
  </r>
  <r>
    <s v="009"/>
    <x v="9"/>
    <x v="8"/>
    <n v="-374.85238965757003"/>
    <n v="-374.85238965757003"/>
    <n v="976.64244999999914"/>
    <n v="976.64244999999914"/>
    <n v="-1.3838174243374024"/>
    <m/>
    <x v="0"/>
  </r>
  <r>
    <s v="010"/>
    <x v="10"/>
    <x v="0"/>
    <n v="-8343.9838099998888"/>
    <n v="-8343.9838099998888"/>
    <n v="27376.959999999992"/>
    <n v="27376.959999999992"/>
    <n v="-1.3047812397724179"/>
    <m/>
    <x v="0"/>
  </r>
  <r>
    <s v="010"/>
    <x v="10"/>
    <x v="1"/>
    <m/>
    <n v="214661.26768000008"/>
    <m/>
    <n v="202120.04613999999"/>
    <n v="0"/>
    <m/>
    <x v="0"/>
  </r>
  <r>
    <s v="010"/>
    <x v="10"/>
    <x v="2"/>
    <n v="0"/>
    <n v="145871.81686496348"/>
    <m/>
    <n v="140382.50955728308"/>
    <n v="0"/>
    <m/>
    <x v="0"/>
  </r>
  <r>
    <s v="010"/>
    <x v="10"/>
    <x v="3"/>
    <n v="6729.8098499999996"/>
    <n v="6729.8098499999996"/>
    <n v="29221.199999999997"/>
    <n v="29221.199999999997"/>
    <n v="-0.76969426820253795"/>
    <m/>
    <x v="0"/>
  </r>
  <r>
    <s v="010"/>
    <x v="10"/>
    <x v="4"/>
    <n v="314045"/>
    <n v="314045"/>
    <n v="828000"/>
    <n v="828000"/>
    <n v="-0.62071859903381643"/>
    <m/>
    <x v="0"/>
  </r>
  <r>
    <s v="010"/>
    <x v="10"/>
    <x v="5"/>
    <n v="1090"/>
    <n v="1090"/>
    <n v="59000"/>
    <n v="59000"/>
    <n v="-0.98152542372881357"/>
    <m/>
    <x v="0"/>
  </r>
  <r>
    <s v="010"/>
    <x v="10"/>
    <x v="6"/>
    <n v="80"/>
    <n v="80"/>
    <n v="91"/>
    <n v="91"/>
    <n v="-0.12087912087912088"/>
    <m/>
    <x v="0"/>
  </r>
  <r>
    <s v="010"/>
    <x v="10"/>
    <x v="7"/>
    <n v="686.25697000000002"/>
    <n v="686.25697000000002"/>
    <n v="1908.2258986534614"/>
    <n v="1908.2258986534614"/>
    <n v="-0.64036911432537569"/>
    <m/>
    <x v="0"/>
  </r>
  <r>
    <s v="010"/>
    <x v="10"/>
    <x v="8"/>
    <n v="264.77301163407157"/>
    <n v="264.77301163407157"/>
    <n v="-927.03050000000007"/>
    <n v="-927.03050000000007"/>
    <n v="1.2856141320421188"/>
    <m/>
    <x v="0"/>
  </r>
  <r>
    <s v="011"/>
    <x v="11"/>
    <x v="0"/>
    <n v="-10594.467290000001"/>
    <n v="-10594.467290000001"/>
    <n v="14955.146666666675"/>
    <n v="14955.146666666675"/>
    <n v="-1.7084161410207943"/>
    <m/>
    <x v="0"/>
  </r>
  <r>
    <s v="011"/>
    <x v="11"/>
    <x v="1"/>
    <m/>
    <n v="27313.198839999997"/>
    <m/>
    <n v="35846.09966"/>
    <n v="0"/>
    <m/>
    <x v="0"/>
  </r>
  <r>
    <s v="011"/>
    <x v="11"/>
    <x v="2"/>
    <n v="0"/>
    <n v="69687.855956319807"/>
    <m/>
    <n v="70244.35853616269"/>
    <n v="0"/>
    <m/>
    <x v="0"/>
  </r>
  <r>
    <s v="011"/>
    <x v="11"/>
    <x v="3"/>
    <n v="2817.8429999999994"/>
    <n v="2817.8429999999994"/>
    <n v="13693.933333333334"/>
    <n v="13693.933333333334"/>
    <n v="-0.79422690826594755"/>
    <m/>
    <x v="0"/>
  </r>
  <r>
    <s v="011"/>
    <x v="11"/>
    <x v="4"/>
    <n v="10789.14"/>
    <n v="10789.14"/>
    <n v="118000"/>
    <n v="118000"/>
    <n v="-0.90856661016949158"/>
    <m/>
    <x v="0"/>
  </r>
  <r>
    <s v="011"/>
    <x v="11"/>
    <x v="5"/>
    <n v="790"/>
    <n v="790"/>
    <n v="26000"/>
    <n v="26000"/>
    <n v="-0.96961538461538466"/>
    <m/>
    <x v="0"/>
  </r>
  <r>
    <s v="011"/>
    <x v="11"/>
    <x v="6"/>
    <n v="35"/>
    <n v="35"/>
    <n v="58"/>
    <n v="58"/>
    <n v="-0.39655172413793105"/>
    <m/>
    <x v="0"/>
  </r>
  <r>
    <s v="011"/>
    <x v="11"/>
    <x v="7"/>
    <n v="173.11736999999999"/>
    <n v="173.11736999999999"/>
    <n v="637.99756556286491"/>
    <n v="637.99756556286491"/>
    <n v="-0.72865512449523306"/>
    <m/>
    <x v="0"/>
  </r>
  <r>
    <s v="011"/>
    <x v="11"/>
    <x v="8"/>
    <n v="-743.48617407127938"/>
    <n v="-743.48617407127938"/>
    <n v="-504.74143000000015"/>
    <n v="-504.74143000000015"/>
    <n v="-0.473004056891623"/>
    <m/>
    <x v="0"/>
  </r>
  <r>
    <s v="012"/>
    <x v="12"/>
    <x v="0"/>
    <n v="5634.4123200000031"/>
    <n v="5634.4123200000031"/>
    <n v="26710.293333333335"/>
    <n v="26710.293333333335"/>
    <n v="-0.78905464460143193"/>
    <m/>
    <x v="0"/>
  </r>
  <r>
    <s v="012"/>
    <x v="12"/>
    <x v="1"/>
    <m/>
    <n v="710794.65633999999"/>
    <m/>
    <n v="739221.22167"/>
    <n v="0"/>
    <m/>
    <x v="0"/>
  </r>
  <r>
    <s v="012"/>
    <x v="12"/>
    <x v="2"/>
    <n v="0"/>
    <n v="400517.22675102536"/>
    <m/>
    <n v="365710.5738505451"/>
    <n v="0"/>
    <m/>
    <x v="0"/>
  </r>
  <r>
    <s v="012"/>
    <x v="12"/>
    <x v="3"/>
    <n v="2608.9564999999998"/>
    <n v="2608.9564999999998"/>
    <n v="28387.866666666669"/>
    <n v="28387.866666666669"/>
    <n v="-0.9080960703868789"/>
    <m/>
    <x v="0"/>
  </r>
  <r>
    <s v="012"/>
    <x v="12"/>
    <x v="4"/>
    <n v="2186520.2599999998"/>
    <n v="2186520.2599999998"/>
    <n v="5552000"/>
    <n v="5552000"/>
    <n v="-0.6061743047550433"/>
    <m/>
    <x v="0"/>
  </r>
  <r>
    <s v="012"/>
    <x v="12"/>
    <x v="5"/>
    <n v="719837"/>
    <n v="719837"/>
    <n v="153000"/>
    <n v="153000"/>
    <n v="3.7048169934640525"/>
    <m/>
    <x v="0"/>
  </r>
  <r>
    <s v="012"/>
    <x v="12"/>
    <x v="6"/>
    <n v="37"/>
    <n v="37"/>
    <n v="98"/>
    <n v="98"/>
    <n v="-0.62244897959183676"/>
    <m/>
    <x v="0"/>
  </r>
  <r>
    <s v="012"/>
    <x v="12"/>
    <x v="7"/>
    <n v="2454.4599299999995"/>
    <n v="2454.4599299999995"/>
    <n v="6540.8784086610576"/>
    <n v="6540.8784086610576"/>
    <n v="-0.62475071746480659"/>
    <m/>
    <x v="0"/>
  </r>
  <r>
    <s v="012"/>
    <x v="12"/>
    <x v="8"/>
    <n v="2784.5738529743758"/>
    <n v="2784.5738529743758"/>
    <n v="-1337.3983599999997"/>
    <n v="-1337.3983599999997"/>
    <n v="3.0820825987661418"/>
    <m/>
    <x v="0"/>
  </r>
  <r>
    <s v="013"/>
    <x v="13"/>
    <x v="0"/>
    <n v="6180.0453800000105"/>
    <n v="6180.0453800000105"/>
    <n v="19691.306666666656"/>
    <n v="19691.306666666656"/>
    <n v="-0.68615361668905595"/>
    <m/>
    <x v="0"/>
  </r>
  <r>
    <s v="013"/>
    <x v="13"/>
    <x v="1"/>
    <m/>
    <n v="84635.054329999999"/>
    <m/>
    <n v="65583.966440000004"/>
    <n v="0"/>
    <m/>
    <x v="0"/>
  </r>
  <r>
    <s v="013"/>
    <x v="13"/>
    <x v="2"/>
    <n v="0"/>
    <n v="163749.3233536247"/>
    <m/>
    <n v="154764.26098300717"/>
    <n v="0"/>
    <m/>
    <x v="0"/>
  </r>
  <r>
    <s v="013"/>
    <x v="13"/>
    <x v="3"/>
    <n v="6316.6350000000002"/>
    <n v="6316.6350000000002"/>
    <n v="19614.133333333335"/>
    <n v="19614.133333333335"/>
    <n v="-0.67795492705939941"/>
    <m/>
    <x v="0"/>
  </r>
  <r>
    <s v="013"/>
    <x v="13"/>
    <x v="4"/>
    <n v="58000"/>
    <n v="58000"/>
    <n v="91000"/>
    <n v="91000"/>
    <n v="-0.36263736263736263"/>
    <m/>
    <x v="0"/>
  </r>
  <r>
    <s v="013"/>
    <x v="13"/>
    <x v="5"/>
    <n v="932"/>
    <n v="932"/>
    <n v="25000"/>
    <n v="25000"/>
    <n v="-0.96272000000000002"/>
    <m/>
    <x v="0"/>
  </r>
  <r>
    <s v="013"/>
    <x v="13"/>
    <x v="6"/>
    <n v="52"/>
    <n v="52"/>
    <n v="68"/>
    <n v="68"/>
    <n v="-0.23529411764705882"/>
    <m/>
    <x v="0"/>
  </r>
  <r>
    <s v="013"/>
    <x v="13"/>
    <x v="7"/>
    <n v="273.31362000000001"/>
    <n v="273.31362000000001"/>
    <n v="855.46487177835718"/>
    <n v="855.46487177835718"/>
    <n v="-0.68050865790452586"/>
    <m/>
    <x v="0"/>
  </r>
  <r>
    <s v="013"/>
    <x v="13"/>
    <x v="8"/>
    <n v="-1769.563500792101"/>
    <n v="-1769.563500792101"/>
    <n v="-1290.2947799999906"/>
    <n v="-1290.2947799999906"/>
    <n v="-0.3714412615015879"/>
    <m/>
    <x v="0"/>
  </r>
  <r>
    <s v="014"/>
    <x v="14"/>
    <x v="0"/>
    <n v="439.51380999994581"/>
    <n v="439.51380999994581"/>
    <n v="23066.666666666715"/>
    <n v="23066.666666666715"/>
    <n v="-0.9809459330924879"/>
    <m/>
    <x v="0"/>
  </r>
  <r>
    <s v="014"/>
    <x v="14"/>
    <x v="1"/>
    <m/>
    <n v="251577.28116999997"/>
    <m/>
    <n v="248499.8217"/>
    <n v="0"/>
    <m/>
    <x v="0"/>
  </r>
  <r>
    <s v="014"/>
    <x v="14"/>
    <x v="2"/>
    <n v="0"/>
    <n v="230645.69868999993"/>
    <m/>
    <n v="230035.77278360014"/>
    <n v="0"/>
    <m/>
    <x v="0"/>
  </r>
  <r>
    <s v="014"/>
    <x v="14"/>
    <x v="3"/>
    <n v="6975.1950999999999"/>
    <n v="6975.1950999999999"/>
    <n v="23833.333333333332"/>
    <n v="23833.333333333332"/>
    <n v="-0.70733447132867133"/>
    <m/>
    <x v="0"/>
  </r>
  <r>
    <s v="014"/>
    <x v="14"/>
    <x v="4"/>
    <n v="2531175.1"/>
    <n v="2531175.1"/>
    <n v="1211000"/>
    <n v="1211000"/>
    <n v="1.0901528488852188"/>
    <m/>
    <x v="0"/>
  </r>
  <r>
    <s v="014"/>
    <x v="14"/>
    <x v="5"/>
    <n v="870"/>
    <n v="870"/>
    <n v="12000"/>
    <n v="12000"/>
    <n v="-0.92749999999999999"/>
    <m/>
    <x v="0"/>
  </r>
  <r>
    <s v="014"/>
    <x v="14"/>
    <x v="6"/>
    <n v="38"/>
    <n v="38"/>
    <n v="65"/>
    <n v="65"/>
    <n v="-0.41538461538461541"/>
    <m/>
    <x v="0"/>
  </r>
  <r>
    <s v="014"/>
    <x v="14"/>
    <x v="7"/>
    <n v="2803.4392600000001"/>
    <n v="2803.4392600000001"/>
    <n v="1999.3572470695422"/>
    <n v="1999.3572470695422"/>
    <n v="0.40217025452004684"/>
    <m/>
    <x v="0"/>
  </r>
  <r>
    <s v="014"/>
    <x v="14"/>
    <x v="8"/>
    <n v="1752.503081974952"/>
    <n v="1752.503081974952"/>
    <n v="1018.1798199999996"/>
    <n v="1018.1798199999996"/>
    <n v="0.72121176196062564"/>
    <m/>
    <x v="0"/>
  </r>
  <r>
    <s v="015"/>
    <x v="15"/>
    <x v="0"/>
    <n v="1852.3552800000034"/>
    <n v="1852.3552800000034"/>
    <n v="19776.960000000003"/>
    <n v="19776.960000000003"/>
    <n v="-0.90633771418863152"/>
    <m/>
    <x v="0"/>
  </r>
  <r>
    <s v="015"/>
    <x v="15"/>
    <x v="1"/>
    <m/>
    <n v="30146.890130000003"/>
    <m/>
    <n v="22579.575420000001"/>
    <n v="0"/>
    <m/>
    <x v="0"/>
  </r>
  <r>
    <s v="015"/>
    <x v="15"/>
    <x v="2"/>
    <n v="0"/>
    <n v="152198.62760602529"/>
    <m/>
    <n v="155022.67387261995"/>
    <n v="0"/>
    <m/>
    <x v="0"/>
  </r>
  <r>
    <s v="015"/>
    <x v="15"/>
    <x v="3"/>
    <n v="735.3"/>
    <n v="735.3"/>
    <n v="19721.2"/>
    <n v="19721.2"/>
    <n v="-0.96271525059327023"/>
    <m/>
    <x v="0"/>
  </r>
  <r>
    <s v="015"/>
    <x v="15"/>
    <x v="4"/>
    <n v="22240"/>
    <n v="22240"/>
    <n v="58000"/>
    <n v="58000"/>
    <n v="-0.61655172413793102"/>
    <m/>
    <x v="0"/>
  </r>
  <r>
    <s v="015"/>
    <x v="15"/>
    <x v="5"/>
    <n v="946"/>
    <n v="946"/>
    <n v="2000"/>
    <n v="2000"/>
    <n v="-0.52700000000000002"/>
    <m/>
    <x v="0"/>
  </r>
  <r>
    <s v="015"/>
    <x v="15"/>
    <x v="6"/>
    <n v="41"/>
    <n v="41"/>
    <n v="61"/>
    <n v="61"/>
    <n v="-0.32786885245901637"/>
    <m/>
    <x v="0"/>
  </r>
  <r>
    <s v="015"/>
    <x v="15"/>
    <x v="7"/>
    <n v="109.05014999999999"/>
    <n v="109.05014999999999"/>
    <n v="740.62234817851174"/>
    <n v="740.62234817851174"/>
    <n v="-0.85275876393927597"/>
    <m/>
    <x v="0"/>
  </r>
  <r>
    <s v="015"/>
    <x v="15"/>
    <x v="8"/>
    <n v="-900.97544570143896"/>
    <n v="-900.97544570143896"/>
    <n v="-106.99290000000015"/>
    <n v="-106.99290000000015"/>
    <n v="-7.4208900375766769"/>
    <m/>
    <x v="0"/>
  </r>
  <r>
    <s v="016"/>
    <x v="16"/>
    <x v="0"/>
    <n v="6083.1677900000068"/>
    <n v="6083.1677900000068"/>
    <n v="22421.813333333354"/>
    <n v="22421.813333333354"/>
    <n v="-0.72869420953761688"/>
    <m/>
    <x v="0"/>
  </r>
  <r>
    <s v="016"/>
    <x v="16"/>
    <x v="1"/>
    <m/>
    <n v="162974.89773000003"/>
    <m/>
    <n v="182618.99343"/>
    <n v="0"/>
    <m/>
    <x v="0"/>
  </r>
  <r>
    <s v="016"/>
    <x v="16"/>
    <x v="2"/>
    <n v="0"/>
    <n v="176396.8101767989"/>
    <m/>
    <n v="166335.97401262689"/>
    <n v="0"/>
    <m/>
    <x v="0"/>
  </r>
  <r>
    <s v="016"/>
    <x v="16"/>
    <x v="3"/>
    <n v="7389.51595"/>
    <n v="7389.51595"/>
    <n v="23027.266666666666"/>
    <n v="23027.266666666666"/>
    <n v="-0.67909713050325837"/>
    <m/>
    <x v="0"/>
  </r>
  <r>
    <s v="016"/>
    <x v="16"/>
    <x v="4"/>
    <n v="285739"/>
    <n v="285739"/>
    <n v="498000"/>
    <n v="498000"/>
    <n v="-0.42622690763052207"/>
    <m/>
    <x v="0"/>
  </r>
  <r>
    <s v="016"/>
    <x v="16"/>
    <x v="5"/>
    <n v="159543"/>
    <n v="159543"/>
    <n v="289000"/>
    <n v="289000"/>
    <n v="-0.44794809688581316"/>
    <m/>
    <x v="0"/>
  </r>
  <r>
    <s v="016"/>
    <x v="16"/>
    <x v="6"/>
    <n v="66"/>
    <n v="66"/>
    <n v="56"/>
    <n v="56"/>
    <n v="0.17857142857142858"/>
    <m/>
    <x v="0"/>
  </r>
  <r>
    <s v="016"/>
    <x v="16"/>
    <x v="7"/>
    <n v="617.26316000000008"/>
    <n v="617.26316000000008"/>
    <n v="1357.4869582611263"/>
    <n v="1357.4869582611263"/>
    <n v="-0.5452898046323158"/>
    <m/>
    <x v="0"/>
  </r>
  <r>
    <s v="016"/>
    <x v="16"/>
    <x v="8"/>
    <n v="2227.0819654534203"/>
    <n v="2227.0819654534203"/>
    <n v="2021.0416999999993"/>
    <n v="2021.0416999999993"/>
    <n v="0.10194755776361319"/>
    <m/>
    <x v="0"/>
  </r>
  <r>
    <s v="017"/>
    <x v="17"/>
    <x v="0"/>
    <n v="-23362.693710000021"/>
    <n v="-23362.693710000021"/>
    <n v="18288.479999999996"/>
    <n v="18288.479999999996"/>
    <n v="-2.277454097333405"/>
    <m/>
    <x v="0"/>
  </r>
  <r>
    <s v="017"/>
    <x v="17"/>
    <x v="1"/>
    <m/>
    <n v="58486.927979999993"/>
    <m/>
    <n v="73546.064790000004"/>
    <n v="0"/>
    <m/>
    <x v="0"/>
  </r>
  <r>
    <s v="017"/>
    <x v="17"/>
    <x v="2"/>
    <n v="0"/>
    <n v="147134.06666051093"/>
    <m/>
    <n v="150156.8378008107"/>
    <n v="0"/>
    <m/>
    <x v="0"/>
  </r>
  <r>
    <s v="017"/>
    <x v="17"/>
    <x v="3"/>
    <n v="2320.2820000000002"/>
    <n v="2320.2820000000002"/>
    <n v="17860.599999999999"/>
    <n v="17860.599999999999"/>
    <n v="-0.87008935870015569"/>
    <m/>
    <x v="0"/>
  </r>
  <r>
    <s v="017"/>
    <x v="17"/>
    <x v="4"/>
    <n v="143948.09"/>
    <n v="143948.09"/>
    <n v="164000"/>
    <n v="164000"/>
    <n v="-0.12226774390243905"/>
    <m/>
    <x v="0"/>
  </r>
  <r>
    <s v="017"/>
    <x v="17"/>
    <x v="5"/>
    <n v="0"/>
    <n v="0"/>
    <n v="2000"/>
    <n v="2000"/>
    <n v="-1"/>
    <m/>
    <x v="0"/>
  </r>
  <r>
    <s v="017"/>
    <x v="17"/>
    <x v="6"/>
    <n v="21"/>
    <n v="21"/>
    <n v="48"/>
    <n v="48"/>
    <n v="-0.5625"/>
    <m/>
    <x v="0"/>
  </r>
  <r>
    <s v="017"/>
    <x v="17"/>
    <x v="7"/>
    <n v="323.08956000000001"/>
    <n v="323.08956000000001"/>
    <n v="813.66921690726338"/>
    <n v="813.66921690726338"/>
    <n v="-0.60292271934772779"/>
    <m/>
    <x v="0"/>
  </r>
  <r>
    <s v="017"/>
    <x v="17"/>
    <x v="8"/>
    <n v="-1105.8222286991011"/>
    <n v="-1105.8222286991011"/>
    <n v="-713.9844599999999"/>
    <n v="-713.9844599999999"/>
    <n v="-0.54880433770099313"/>
    <m/>
    <x v="0"/>
  </r>
  <r>
    <s v="018"/>
    <x v="18"/>
    <x v="0"/>
    <n v="-1406.4743900000212"/>
    <n v="-1406.4743900000212"/>
    <n v="23643.626666666671"/>
    <n v="23643.626666666671"/>
    <n v="-1.0594864066257188"/>
    <m/>
    <x v="0"/>
  </r>
  <r>
    <s v="018"/>
    <x v="18"/>
    <x v="1"/>
    <m/>
    <n v="31098.905369999986"/>
    <m/>
    <n v="37323.354439999996"/>
    <n v="0"/>
    <m/>
    <x v="0"/>
  </r>
  <r>
    <s v="018"/>
    <x v="18"/>
    <x v="2"/>
    <n v="0"/>
    <n v="168679.2687305047"/>
    <m/>
    <n v="159128.7833796879"/>
    <n v="0"/>
    <m/>
    <x v="0"/>
  </r>
  <r>
    <s v="018"/>
    <x v="18"/>
    <x v="3"/>
    <n v="4088.80485"/>
    <n v="4088.80485"/>
    <n v="24554.533333333333"/>
    <n v="24554.533333333333"/>
    <n v="-0.83348065326701382"/>
    <m/>
    <x v="0"/>
  </r>
  <r>
    <s v="018"/>
    <x v="18"/>
    <x v="4"/>
    <n v="117391"/>
    <n v="117391"/>
    <n v="280000"/>
    <n v="280000"/>
    <n v="-0.58074642857142855"/>
    <m/>
    <x v="0"/>
  </r>
  <r>
    <s v="018"/>
    <x v="18"/>
    <x v="5"/>
    <n v="24470"/>
    <n v="24470"/>
    <n v="7000"/>
    <n v="7000"/>
    <n v="2.4957142857142856"/>
    <m/>
    <x v="0"/>
  </r>
  <r>
    <s v="018"/>
    <x v="18"/>
    <x v="6"/>
    <n v="76"/>
    <n v="76"/>
    <n v="108"/>
    <n v="108"/>
    <n v="-0.29629629629629628"/>
    <m/>
    <x v="0"/>
  </r>
  <r>
    <s v="018"/>
    <x v="18"/>
    <x v="7"/>
    <n v="360.12235999999996"/>
    <n v="360.12235999999996"/>
    <n v="1148.2593477386058"/>
    <n v="1148.2593477386058"/>
    <n v="-0.68637541622523801"/>
    <m/>
    <x v="0"/>
  </r>
  <r>
    <s v="018"/>
    <x v="18"/>
    <x v="8"/>
    <n v="-547.0943432423544"/>
    <n v="-547.0943432423544"/>
    <n v="314.43135999999856"/>
    <n v="314.43135999999856"/>
    <n v="-2.7399484047722114"/>
    <m/>
    <x v="0"/>
  </r>
  <r>
    <s v="019"/>
    <x v="19"/>
    <x v="0"/>
    <n v="0.98265000000003511"/>
    <n v="0.98265000000003511"/>
    <n v="0"/>
    <n v="0"/>
    <n v="0"/>
    <m/>
    <x v="0"/>
  </r>
  <r>
    <s v="019"/>
    <x v="19"/>
    <x v="1"/>
    <m/>
    <n v="616.16770999999994"/>
    <m/>
    <n v="674.43843000000004"/>
    <n v="0"/>
    <m/>
    <x v="0"/>
  </r>
  <r>
    <s v="019"/>
    <x v="19"/>
    <x v="2"/>
    <n v="0"/>
    <n v="0"/>
    <m/>
    <n v="0"/>
    <n v="0"/>
    <m/>
    <x v="0"/>
  </r>
  <r>
    <s v="019"/>
    <x v="19"/>
    <x v="3"/>
    <n v="0"/>
    <n v="0"/>
    <n v="0"/>
    <n v="0"/>
    <n v="0"/>
    <m/>
    <x v="0"/>
  </r>
  <r>
    <s v="019"/>
    <x v="19"/>
    <x v="4"/>
    <n v="0"/>
    <n v="0"/>
    <n v="0"/>
    <n v="0"/>
    <n v="0"/>
    <m/>
    <x v="0"/>
  </r>
  <r>
    <s v="019"/>
    <x v="19"/>
    <x v="5"/>
    <n v="0"/>
    <n v="0"/>
    <n v="0"/>
    <n v="0"/>
    <n v="0"/>
    <m/>
    <x v="0"/>
  </r>
  <r>
    <s v="019"/>
    <x v="19"/>
    <x v="6"/>
    <n v="0"/>
    <n v="0"/>
    <n v="0"/>
    <n v="0"/>
    <n v="0"/>
    <m/>
    <x v="0"/>
  </r>
  <r>
    <s v="019"/>
    <x v="19"/>
    <x v="7"/>
    <n v="0"/>
    <n v="0"/>
    <n v="0.74350123389415745"/>
    <n v="0.74350123389415745"/>
    <n v="-1"/>
    <m/>
    <x v="0"/>
  </r>
  <r>
    <s v="019"/>
    <x v="19"/>
    <x v="8"/>
    <n v="5.9262104992789713"/>
    <n v="5.9262104992789713"/>
    <n v="-1.54996"/>
    <n v="-1.54996"/>
    <n v="4.8234602823808173"/>
    <m/>
    <x v="0"/>
  </r>
  <r>
    <s v="020"/>
    <x v="20"/>
    <x v="0"/>
    <n v="11885.614090000017"/>
    <n v="11885.614090000017"/>
    <n v="30401.600000000006"/>
    <n v="30401.600000000006"/>
    <n v="-0.60904642880637816"/>
    <m/>
    <x v="0"/>
  </r>
  <r>
    <s v="020"/>
    <x v="20"/>
    <x v="1"/>
    <m/>
    <n v="230343.87351999999"/>
    <m/>
    <n v="217537.34218000001"/>
    <n v="0"/>
    <m/>
    <x v="0"/>
  </r>
  <r>
    <s v="020"/>
    <x v="20"/>
    <x v="2"/>
    <n v="0"/>
    <n v="157134.99824054743"/>
    <m/>
    <n v="136665.90709260423"/>
    <n v="0"/>
    <m/>
    <x v="0"/>
  </r>
  <r>
    <s v="020"/>
    <x v="20"/>
    <x v="3"/>
    <n v="613.53899999999999"/>
    <n v="613.53899999999999"/>
    <n v="33002"/>
    <n v="33002"/>
    <n v="-0.98140903581601113"/>
    <m/>
    <x v="0"/>
  </r>
  <r>
    <s v="020"/>
    <x v="20"/>
    <x v="4"/>
    <n v="0"/>
    <n v="0"/>
    <n v="63000"/>
    <n v="63000"/>
    <n v="-1"/>
    <m/>
    <x v="0"/>
  </r>
  <r>
    <s v="020"/>
    <x v="20"/>
    <x v="5"/>
    <n v="34966"/>
    <n v="34966"/>
    <n v="99000"/>
    <n v="99000"/>
    <n v="-0.64680808080808083"/>
    <m/>
    <x v="0"/>
  </r>
  <r>
    <s v="020"/>
    <x v="20"/>
    <x v="6"/>
    <n v="172"/>
    <n v="172"/>
    <n v="178"/>
    <n v="178"/>
    <n v="-3.3707865168539325E-2"/>
    <m/>
    <x v="0"/>
  </r>
  <r>
    <s v="020"/>
    <x v="20"/>
    <x v="7"/>
    <n v="183.08942999999999"/>
    <n v="183.08942999999999"/>
    <n v="1181.1460721540391"/>
    <n v="1181.1460721540391"/>
    <n v="-0.84499001917171646"/>
    <m/>
    <x v="0"/>
  </r>
  <r>
    <s v="020"/>
    <x v="20"/>
    <x v="8"/>
    <n v="-1126.7679568586032"/>
    <n v="-1126.7679568586032"/>
    <n v="-2104.7757699999997"/>
    <n v="-2104.7757699999997"/>
    <n v="0.46466128462767164"/>
    <m/>
    <x v="0"/>
  </r>
  <r>
    <s v="000"/>
    <x v="0"/>
    <x v="0"/>
    <n v="0"/>
    <n v="0"/>
    <n v="0"/>
    <n v="0"/>
    <n v="0"/>
    <m/>
    <x v="1"/>
  </r>
  <r>
    <s v="000"/>
    <x v="0"/>
    <x v="1"/>
    <m/>
    <n v="0"/>
    <m/>
    <n v="0"/>
    <n v="0"/>
    <m/>
    <x v="1"/>
  </r>
  <r>
    <s v="000"/>
    <x v="0"/>
    <x v="2"/>
    <n v="0"/>
    <n v="518.89382999999998"/>
    <m/>
    <n v="0"/>
    <n v="0"/>
    <m/>
    <x v="1"/>
  </r>
  <r>
    <s v="000"/>
    <x v="0"/>
    <x v="3"/>
    <n v="0"/>
    <n v="0"/>
    <n v="0"/>
    <n v="0"/>
    <n v="0"/>
    <m/>
    <x v="1"/>
  </r>
  <r>
    <s v="000"/>
    <x v="0"/>
    <x v="4"/>
    <n v="0"/>
    <n v="0"/>
    <n v="0"/>
    <n v="0"/>
    <n v="0"/>
    <m/>
    <x v="1"/>
  </r>
  <r>
    <s v="000"/>
    <x v="0"/>
    <x v="5"/>
    <n v="210000"/>
    <n v="209870"/>
    <n v="33000"/>
    <n v="66000"/>
    <n v="5.3636363636363633"/>
    <m/>
    <x v="1"/>
  </r>
  <r>
    <s v="000"/>
    <x v="0"/>
    <x v="6"/>
    <n v="0"/>
    <n v="0"/>
    <n v="0"/>
    <n v="0"/>
    <n v="0"/>
    <m/>
    <x v="1"/>
  </r>
  <r>
    <s v="000"/>
    <x v="0"/>
    <x v="7"/>
    <n v="-6.0000000001991793E-4"/>
    <n v="164.02823999999998"/>
    <n v="3.8699856995911719E-2"/>
    <n v="7.9254469753774856E-2"/>
    <n v="-1.0155039332595803"/>
    <m/>
    <x v="1"/>
  </r>
  <r>
    <s v="000"/>
    <x v="0"/>
    <x v="8"/>
    <n v="-22536.01196592375"/>
    <n v="-63375.933969999984"/>
    <n v="-22536.011370000007"/>
    <n v="-61585.702449999997"/>
    <n v="-2.6443177214580968E-8"/>
    <m/>
    <x v="1"/>
  </r>
  <r>
    <s v="001"/>
    <x v="1"/>
    <x v="0"/>
    <n v="2668.850380000018"/>
    <n v="7554.3369800000219"/>
    <n v="19355.146666666667"/>
    <n v="38710.293333333335"/>
    <n v="-0.86211159099112911"/>
    <m/>
    <x v="1"/>
  </r>
  <r>
    <s v="001"/>
    <x v="1"/>
    <x v="1"/>
    <m/>
    <n v="486177.91011"/>
    <m/>
    <n v="477097.90230960003"/>
    <n v="0"/>
    <m/>
    <x v="1"/>
  </r>
  <r>
    <s v="001"/>
    <x v="1"/>
    <x v="2"/>
    <n v="0"/>
    <n v="642078.65501894278"/>
    <m/>
    <n v="543731.57185892807"/>
    <n v="0"/>
    <m/>
    <x v="1"/>
  </r>
  <r>
    <s v="001"/>
    <x v="1"/>
    <x v="3"/>
    <n v="9980.6172499999993"/>
    <n v="20555.206599999998"/>
    <n v="19193.933333333334"/>
    <n v="38387.866666666669"/>
    <n v="-0.48001188309500575"/>
    <m/>
    <x v="1"/>
  </r>
  <r>
    <s v="001"/>
    <x v="1"/>
    <x v="4"/>
    <n v="1690919"/>
    <n v="2450613"/>
    <n v="1350000"/>
    <n v="2700000"/>
    <n v="0.25253259259259259"/>
    <m/>
    <x v="1"/>
  </r>
  <r>
    <s v="001"/>
    <x v="1"/>
    <x v="5"/>
    <n v="98175"/>
    <n v="104100"/>
    <n v="2000"/>
    <n v="4000"/>
    <n v="48.087499999999999"/>
    <m/>
    <x v="1"/>
  </r>
  <r>
    <s v="001"/>
    <x v="1"/>
    <x v="6"/>
    <n v="76"/>
    <n v="134"/>
    <n v="85"/>
    <n v="170"/>
    <n v="-0.10588235294117647"/>
    <m/>
    <x v="1"/>
  </r>
  <r>
    <s v="001"/>
    <x v="1"/>
    <x v="7"/>
    <n v="2004.0526500000001"/>
    <n v="2984.4760200000001"/>
    <n v="2095.7823413791825"/>
    <n v="4184.332849268214"/>
    <n v="-4.3768710885700751E-2"/>
    <m/>
    <x v="1"/>
  </r>
  <r>
    <s v="001"/>
    <x v="1"/>
    <x v="8"/>
    <n v="-855.57071621554644"/>
    <n v="-2624.3128700000011"/>
    <n v="-855.76558000000227"/>
    <n v="-2024.6727600000029"/>
    <n v="2.2770696673244664E-4"/>
    <m/>
    <x v="1"/>
  </r>
  <r>
    <s v="002"/>
    <x v="2"/>
    <x v="0"/>
    <n v="-2236.9676099999997"/>
    <n v="-24020.754309999989"/>
    <n v="19755.146666666667"/>
    <n v="39510.293333333335"/>
    <n v="-1.11323467487966"/>
    <m/>
    <x v="1"/>
  </r>
  <r>
    <s v="002"/>
    <x v="2"/>
    <x v="1"/>
    <m/>
    <n v="49112.288800000009"/>
    <m/>
    <n v="58704.701029200005"/>
    <n v="0"/>
    <m/>
    <x v="1"/>
  </r>
  <r>
    <s v="002"/>
    <x v="2"/>
    <x v="2"/>
    <n v="0"/>
    <n v="89561.20201426209"/>
    <m/>
    <n v="112445.29316520113"/>
    <n v="0"/>
    <m/>
    <x v="1"/>
  </r>
  <r>
    <s v="002"/>
    <x v="2"/>
    <x v="3"/>
    <n v="2489.1458499999999"/>
    <n v="3632.54585"/>
    <n v="19693.933333333331"/>
    <n v="39387.866666666661"/>
    <n v="-0.87360849618664282"/>
    <m/>
    <x v="1"/>
  </r>
  <r>
    <s v="002"/>
    <x v="2"/>
    <x v="4"/>
    <n v="11000"/>
    <n v="19000"/>
    <n v="30000"/>
    <n v="60000"/>
    <n v="-0.6333333333333333"/>
    <m/>
    <x v="1"/>
  </r>
  <r>
    <s v="002"/>
    <x v="2"/>
    <x v="5"/>
    <n v="33903"/>
    <n v="33903"/>
    <n v="73000"/>
    <n v="146000"/>
    <n v="-0.53557534246575345"/>
    <m/>
    <x v="1"/>
  </r>
  <r>
    <s v="002"/>
    <x v="2"/>
    <x v="6"/>
    <n v="75"/>
    <n v="140"/>
    <n v="73"/>
    <n v="146"/>
    <n v="2.7397260273972601E-2"/>
    <m/>
    <x v="1"/>
  </r>
  <r>
    <s v="002"/>
    <x v="2"/>
    <x v="7"/>
    <n v="172.04722000000004"/>
    <n v="295.85891000000004"/>
    <n v="757.80392234730425"/>
    <n v="1513.1875037348336"/>
    <n v="-0.77296604711799022"/>
    <m/>
    <x v="1"/>
  </r>
  <r>
    <s v="002"/>
    <x v="2"/>
    <x v="8"/>
    <n v="-1081.3127807450189"/>
    <n v="-2236.7869100000007"/>
    <n v="-1081.3127899999997"/>
    <n v="-2133.2526599999997"/>
    <n v="8.5590227744911327E-9"/>
    <m/>
    <x v="1"/>
  </r>
  <r>
    <s v="003"/>
    <x v="3"/>
    <x v="0"/>
    <n v="3782.6144499999864"/>
    <n v="6289.192269999985"/>
    <n v="17110.293333333335"/>
    <n v="34220.58666666667"/>
    <n v="-0.77892755101802347"/>
    <m/>
    <x v="1"/>
  </r>
  <r>
    <s v="003"/>
    <x v="3"/>
    <x v="1"/>
    <m/>
    <n v="46574.060489999982"/>
    <m/>
    <n v="36343.057204800003"/>
    <n v="0"/>
    <m/>
    <x v="1"/>
  </r>
  <r>
    <s v="003"/>
    <x v="3"/>
    <x v="2"/>
    <n v="0"/>
    <n v="103868.98904563687"/>
    <m/>
    <n v="123446.31739584974"/>
    <n v="0"/>
    <m/>
    <x v="1"/>
  </r>
  <r>
    <s v="003"/>
    <x v="3"/>
    <x v="3"/>
    <n v="1232.3"/>
    <n v="3916.3598499999998"/>
    <n v="16387.866666666669"/>
    <n v="32775.733333333337"/>
    <n v="-0.92480412337583096"/>
    <m/>
    <x v="1"/>
  </r>
  <r>
    <s v="003"/>
    <x v="3"/>
    <x v="4"/>
    <n v="9000"/>
    <n v="15000"/>
    <n v="12000"/>
    <n v="24000"/>
    <n v="-0.25"/>
    <m/>
    <x v="1"/>
  </r>
  <r>
    <s v="003"/>
    <x v="3"/>
    <x v="5"/>
    <n v="0"/>
    <n v="0"/>
    <n v="1000"/>
    <n v="2000"/>
    <n v="-1"/>
    <m/>
    <x v="1"/>
  </r>
  <r>
    <s v="003"/>
    <x v="3"/>
    <x v="6"/>
    <n v="19"/>
    <n v="55"/>
    <n v="66"/>
    <n v="132"/>
    <n v="-0.71212121212121215"/>
    <m/>
    <x v="1"/>
  </r>
  <r>
    <s v="003"/>
    <x v="3"/>
    <x v="7"/>
    <n v="100.35928000000004"/>
    <n v="183.67586000000003"/>
    <n v="672.08317823124855"/>
    <n v="1342.471788745285"/>
    <n v="-0.85067431643785518"/>
    <m/>
    <x v="1"/>
  </r>
  <r>
    <s v="003"/>
    <x v="3"/>
    <x v="8"/>
    <n v="-804.51439915515823"/>
    <n v="-1560.62473"/>
    <n v="-793.85172999999963"/>
    <n v="-1112.0851699999996"/>
    <n v="-1.3431562535183492E-2"/>
    <m/>
    <x v="1"/>
  </r>
  <r>
    <s v="004"/>
    <x v="4"/>
    <x v="0"/>
    <n v="840.78349000000526"/>
    <n v="1424.3969099999995"/>
    <n v="24332.106666666674"/>
    <n v="48664.213333333348"/>
    <n v="-0.96544551191073724"/>
    <m/>
    <x v="1"/>
  </r>
  <r>
    <s v="004"/>
    <x v="4"/>
    <x v="1"/>
    <m/>
    <n v="24304.116229999985"/>
    <m/>
    <n v="43353.967657200003"/>
    <n v="0"/>
    <m/>
    <x v="1"/>
  </r>
  <r>
    <s v="004"/>
    <x v="4"/>
    <x v="2"/>
    <n v="0"/>
    <n v="109936.47245562976"/>
    <m/>
    <n v="154755.37313356393"/>
    <n v="0"/>
    <m/>
    <x v="1"/>
  </r>
  <r>
    <s v="004"/>
    <x v="4"/>
    <x v="3"/>
    <n v="2604.5659999999998"/>
    <n v="3668.6659999999997"/>
    <n v="25415.133333333331"/>
    <n v="50830.266666666663"/>
    <n v="-0.89751908967622973"/>
    <m/>
    <x v="1"/>
  </r>
  <r>
    <s v="004"/>
    <x v="4"/>
    <x v="4"/>
    <n v="7000"/>
    <n v="19000"/>
    <n v="87000"/>
    <n v="174000"/>
    <n v="-0.91954022988505746"/>
    <m/>
    <x v="1"/>
  </r>
  <r>
    <s v="004"/>
    <x v="4"/>
    <x v="5"/>
    <n v="0"/>
    <n v="0"/>
    <n v="1000"/>
    <n v="2000"/>
    <n v="-1"/>
    <m/>
    <x v="1"/>
  </r>
  <r>
    <s v="004"/>
    <x v="4"/>
    <x v="6"/>
    <n v="17"/>
    <n v="38"/>
    <n v="101"/>
    <n v="202"/>
    <n v="-0.83168316831683164"/>
    <m/>
    <x v="1"/>
  </r>
  <r>
    <s v="004"/>
    <x v="4"/>
    <x v="7"/>
    <n v="138.43635"/>
    <n v="225.39469"/>
    <n v="896.66783857972723"/>
    <n v="1791.0133145243476"/>
    <n v="-0.84561022036959022"/>
    <m/>
    <x v="1"/>
  </r>
  <r>
    <s v="004"/>
    <x v="4"/>
    <x v="8"/>
    <n v="-270.24259707070098"/>
    <n v="1859.0002899999999"/>
    <n v="-282.26350000000275"/>
    <n v="2292.2520199999981"/>
    <n v="4.2587521692679542E-2"/>
    <m/>
    <x v="1"/>
  </r>
  <r>
    <s v="005"/>
    <x v="5"/>
    <x v="0"/>
    <n v="9348.1161700000521"/>
    <n v="13185.796399999992"/>
    <n v="33221.813333333324"/>
    <n v="66443.626666666649"/>
    <n v="-0.71861511362413932"/>
    <m/>
    <x v="1"/>
  </r>
  <r>
    <s v="005"/>
    <x v="5"/>
    <x v="1"/>
    <m/>
    <n v="155499.38828000004"/>
    <m/>
    <n v="188228.3739912"/>
    <n v="0"/>
    <m/>
    <x v="1"/>
  </r>
  <r>
    <s v="005"/>
    <x v="5"/>
    <x v="2"/>
    <n v="0"/>
    <n v="339401.44931172847"/>
    <m/>
    <n v="357161.59309433051"/>
    <n v="0"/>
    <m/>
    <x v="1"/>
  </r>
  <r>
    <s v="005"/>
    <x v="5"/>
    <x v="3"/>
    <n v="4744.7929999999997"/>
    <n v="10166.606"/>
    <n v="36527.266666666663"/>
    <n v="73054.533333333326"/>
    <n v="-0.87010270866147488"/>
    <m/>
    <x v="1"/>
  </r>
  <r>
    <s v="005"/>
    <x v="5"/>
    <x v="4"/>
    <n v="1154416.1299999999"/>
    <n v="1686543.9699999997"/>
    <n v="1521000"/>
    <n v="3042000"/>
    <n v="-0.24101503616042086"/>
    <m/>
    <x v="1"/>
  </r>
  <r>
    <s v="005"/>
    <x v="5"/>
    <x v="5"/>
    <n v="32573"/>
    <n v="46313"/>
    <n v="87000"/>
    <n v="174000"/>
    <n v="-0.62559770114942526"/>
    <m/>
    <x v="1"/>
  </r>
  <r>
    <s v="005"/>
    <x v="5"/>
    <x v="6"/>
    <n v="61"/>
    <n v="118"/>
    <n v="68"/>
    <n v="136"/>
    <n v="-0.10294117647058823"/>
    <m/>
    <x v="1"/>
  </r>
  <r>
    <s v="005"/>
    <x v="5"/>
    <x v="7"/>
    <n v="1390.6197299999999"/>
    <n v="2271.7569199999998"/>
    <n v="2827.8742497912308"/>
    <n v="5657.6143536001218"/>
    <n v="-0.50824555579065689"/>
    <m/>
    <x v="1"/>
  </r>
  <r>
    <s v="005"/>
    <x v="5"/>
    <x v="8"/>
    <n v="89.391008536491071"/>
    <n v="461.48727000000179"/>
    <n v="102.79348000000061"/>
    <n v="1025.5473999999999"/>
    <n v="-0.13038250542261495"/>
    <m/>
    <x v="1"/>
  </r>
  <r>
    <s v="006"/>
    <x v="6"/>
    <x v="0"/>
    <n v="-3856.5029000000359"/>
    <n v="-8039.4451100000297"/>
    <n v="22421.813333333339"/>
    <n v="44843.626666666678"/>
    <n v="-1.1719978149254671"/>
    <m/>
    <x v="1"/>
  </r>
  <r>
    <s v="006"/>
    <x v="6"/>
    <x v="1"/>
    <m/>
    <n v="69905.67879999998"/>
    <m/>
    <n v="87315.391285800011"/>
    <n v="0"/>
    <m/>
    <x v="1"/>
  </r>
  <r>
    <s v="006"/>
    <x v="6"/>
    <x v="2"/>
    <n v="0"/>
    <n v="181574.04602530249"/>
    <m/>
    <n v="184330.83692808211"/>
    <n v="0"/>
    <m/>
    <x v="1"/>
  </r>
  <r>
    <s v="006"/>
    <x v="6"/>
    <x v="3"/>
    <n v="1177.848"/>
    <n v="4319.6480000000001"/>
    <n v="23027.266666666666"/>
    <n v="46054.533333333333"/>
    <n v="-0.9488498562573644"/>
    <m/>
    <x v="1"/>
  </r>
  <r>
    <s v="006"/>
    <x v="6"/>
    <x v="4"/>
    <n v="29000"/>
    <n v="152490.31"/>
    <n v="157000"/>
    <n v="314000"/>
    <n v="-0.8152866242038217"/>
    <m/>
    <x v="1"/>
  </r>
  <r>
    <s v="006"/>
    <x v="6"/>
    <x v="5"/>
    <n v="273316"/>
    <n v="298284"/>
    <n v="34000"/>
    <n v="68000"/>
    <n v="7.0387058823529411"/>
    <m/>
    <x v="1"/>
  </r>
  <r>
    <s v="006"/>
    <x v="6"/>
    <x v="6"/>
    <n v="46"/>
    <n v="98"/>
    <n v="66"/>
    <n v="132"/>
    <n v="-0.30303030303030304"/>
    <m/>
    <x v="1"/>
  </r>
  <r>
    <s v="006"/>
    <x v="6"/>
    <x v="7"/>
    <n v="197.97441999999984"/>
    <n v="603.15225999999984"/>
    <n v="1074.0703643177537"/>
    <n v="2152.2405899665264"/>
    <n v="-0.81567835164528302"/>
    <m/>
    <x v="1"/>
  </r>
  <r>
    <s v="006"/>
    <x v="6"/>
    <x v="8"/>
    <n v="3193.7683143122317"/>
    <n v="2760.2202600000046"/>
    <n v="3193.4715400000009"/>
    <n v="3587.6515000000013"/>
    <n v="9.2931566326346287E-5"/>
    <m/>
    <x v="1"/>
  </r>
  <r>
    <s v="007"/>
    <x v="7"/>
    <x v="0"/>
    <n v="5083.6870499999495"/>
    <n v="7688.2930800000031"/>
    <n v="26176.959999999992"/>
    <n v="52353.919999999984"/>
    <n v="-0.80579536164627397"/>
    <m/>
    <x v="1"/>
  </r>
  <r>
    <s v="007"/>
    <x v="7"/>
    <x v="1"/>
    <m/>
    <n v="202777.70191999996"/>
    <m/>
    <n v="223218.7458948"/>
    <n v="0"/>
    <m/>
    <x v="1"/>
  </r>
  <r>
    <s v="007"/>
    <x v="7"/>
    <x v="2"/>
    <n v="0"/>
    <n v="133862.47542543174"/>
    <m/>
    <n v="171926.70171176875"/>
    <n v="0"/>
    <m/>
    <x v="1"/>
  </r>
  <r>
    <s v="007"/>
    <x v="7"/>
    <x v="3"/>
    <n v="880.02099999999996"/>
    <n v="4707.5739999999996"/>
    <n v="27721.200000000001"/>
    <n v="55442.400000000001"/>
    <n v="-0.96825458493860295"/>
    <m/>
    <x v="1"/>
  </r>
  <r>
    <s v="007"/>
    <x v="7"/>
    <x v="4"/>
    <n v="49000"/>
    <n v="91000"/>
    <n v="260000"/>
    <n v="520000"/>
    <n v="-0.81153846153846154"/>
    <m/>
    <x v="1"/>
  </r>
  <r>
    <s v="007"/>
    <x v="7"/>
    <x v="5"/>
    <n v="0"/>
    <n v="1480"/>
    <n v="18000"/>
    <n v="36000"/>
    <n v="-1"/>
    <m/>
    <x v="1"/>
  </r>
  <r>
    <s v="007"/>
    <x v="7"/>
    <x v="6"/>
    <n v="26"/>
    <n v="67"/>
    <n v="76"/>
    <n v="152"/>
    <n v="-0.65789473684210531"/>
    <m/>
    <x v="1"/>
  </r>
  <r>
    <s v="007"/>
    <x v="7"/>
    <x v="7"/>
    <n v="151.08113999999998"/>
    <n v="365.4375"/>
    <n v="1227.0709349967299"/>
    <n v="2453.7078388301952"/>
    <n v="-0.87687660452946625"/>
    <m/>
    <x v="1"/>
  </r>
  <r>
    <s v="007"/>
    <x v="7"/>
    <x v="8"/>
    <n v="-891.88631297245672"/>
    <n v="-1081.5179800000012"/>
    <n v="-906.55329000000063"/>
    <n v="-1790.0330200000012"/>
    <n v="1.6178836025782774E-2"/>
    <m/>
    <x v="1"/>
  </r>
  <r>
    <s v="008"/>
    <x v="8"/>
    <x v="0"/>
    <n v="-11143.852230000077"/>
    <n v="64.093249999918044"/>
    <n v="25398.773333333374"/>
    <n v="50797.546666666749"/>
    <n v="-1.4387555290071774"/>
    <m/>
    <x v="1"/>
  </r>
  <r>
    <s v="008"/>
    <x v="8"/>
    <x v="1"/>
    <m/>
    <n v="334659.68217999995"/>
    <m/>
    <n v="365151.08829059999"/>
    <n v="0"/>
    <m/>
    <x v="1"/>
  </r>
  <r>
    <s v="008"/>
    <x v="8"/>
    <x v="2"/>
    <n v="0"/>
    <n v="327661.09304531454"/>
    <m/>
    <n v="269034.57918238471"/>
    <n v="0"/>
    <m/>
    <x v="1"/>
  </r>
  <r>
    <s v="008"/>
    <x v="8"/>
    <x v="3"/>
    <n v="3042.2775499999998"/>
    <n v="8307.8175499999998"/>
    <n v="26748.466666666664"/>
    <n v="53496.933333333327"/>
    <n v="-0.88626347865422817"/>
    <m/>
    <x v="1"/>
  </r>
  <r>
    <s v="008"/>
    <x v="8"/>
    <x v="4"/>
    <n v="129132"/>
    <n v="245632"/>
    <n v="186000"/>
    <n v="372000"/>
    <n v="-0.30574193548387096"/>
    <m/>
    <x v="1"/>
  </r>
  <r>
    <s v="008"/>
    <x v="8"/>
    <x v="5"/>
    <n v="77835"/>
    <n v="162988"/>
    <n v="78000"/>
    <n v="156000"/>
    <n v="-2.1153846153846153E-3"/>
    <m/>
    <x v="1"/>
  </r>
  <r>
    <s v="008"/>
    <x v="8"/>
    <x v="6"/>
    <n v="99"/>
    <n v="171"/>
    <n v="98"/>
    <n v="196"/>
    <n v="1.020408163265306E-2"/>
    <m/>
    <x v="1"/>
  </r>
  <r>
    <s v="008"/>
    <x v="8"/>
    <x v="7"/>
    <n v="305.94188000000003"/>
    <n v="703.32586000000003"/>
    <n v="1155.3748382293277"/>
    <n v="2309.0346003496657"/>
    <n v="-0.73520119196219302"/>
    <m/>
    <x v="1"/>
  </r>
  <r>
    <s v="008"/>
    <x v="8"/>
    <x v="8"/>
    <n v="-2513.5719272524284"/>
    <n v="-4076.4089500000009"/>
    <n v="-2516.2448900000009"/>
    <n v="-5017.0273900000011"/>
    <n v="1.0622824345099633E-3"/>
    <m/>
    <x v="1"/>
  </r>
  <r>
    <s v="009"/>
    <x v="9"/>
    <x v="0"/>
    <n v="7452.917369999981"/>
    <n v="6730.4120499999772"/>
    <n v="22176.960000000006"/>
    <n v="44353.920000000013"/>
    <n v="-0.66393421956841792"/>
    <m/>
    <x v="1"/>
  </r>
  <r>
    <s v="009"/>
    <x v="9"/>
    <x v="1"/>
    <m/>
    <n v="45803.419519999989"/>
    <m/>
    <n v="68737.115192400015"/>
    <n v="0"/>
    <m/>
    <x v="1"/>
  </r>
  <r>
    <s v="009"/>
    <x v="9"/>
    <x v="2"/>
    <n v="0"/>
    <n v="211411.16981963208"/>
    <m/>
    <n v="223684.10732619578"/>
    <n v="0"/>
    <m/>
    <x v="1"/>
  </r>
  <r>
    <s v="009"/>
    <x v="9"/>
    <x v="3"/>
    <n v="8599.8324499999999"/>
    <n v="12553.3454"/>
    <n v="22721.200000000001"/>
    <n v="45442.400000000001"/>
    <n v="-0.62150623866697186"/>
    <m/>
    <x v="1"/>
  </r>
  <r>
    <s v="009"/>
    <x v="9"/>
    <x v="4"/>
    <n v="4000"/>
    <n v="14000"/>
    <n v="34000"/>
    <n v="68000"/>
    <n v="-0.88235294117647056"/>
    <m/>
    <x v="1"/>
  </r>
  <r>
    <s v="009"/>
    <x v="9"/>
    <x v="5"/>
    <n v="0"/>
    <n v="7781"/>
    <n v="2000"/>
    <n v="4000"/>
    <n v="-1"/>
    <m/>
    <x v="1"/>
  </r>
  <r>
    <s v="009"/>
    <x v="9"/>
    <x v="6"/>
    <n v="38"/>
    <n v="84"/>
    <n v="73"/>
    <n v="146"/>
    <n v="-0.47945205479452052"/>
    <m/>
    <x v="1"/>
  </r>
  <r>
    <s v="009"/>
    <x v="9"/>
    <x v="7"/>
    <n v="434.9936899999999"/>
    <n v="659.55042999999989"/>
    <n v="854.06157166062394"/>
    <n v="1705.2377150494219"/>
    <n v="-0.49067642845210213"/>
    <m/>
    <x v="1"/>
  </r>
  <r>
    <s v="009"/>
    <x v="9"/>
    <x v="8"/>
    <n v="2276.3329996575667"/>
    <n v="1901.4806099999969"/>
    <n v="2282.4774099999995"/>
    <n v="3259.1198599999984"/>
    <n v="-2.6919917434945488E-3"/>
    <m/>
    <x v="1"/>
  </r>
  <r>
    <s v="010"/>
    <x v="10"/>
    <x v="0"/>
    <n v="6991.5691899999219"/>
    <n v="-1352.4146199999668"/>
    <n v="27376.959999999992"/>
    <n v="54753.919999999984"/>
    <n v="-0.7446184970866041"/>
    <m/>
    <x v="1"/>
  </r>
  <r>
    <s v="010"/>
    <x v="10"/>
    <x v="1"/>
    <m/>
    <n v="221652.83687"/>
    <m/>
    <n v="206162.4470628"/>
    <n v="0"/>
    <m/>
    <x v="1"/>
  </r>
  <r>
    <s v="010"/>
    <x v="10"/>
    <x v="2"/>
    <n v="0"/>
    <n v="141540.69142496347"/>
    <m/>
    <n v="163661.95622112497"/>
    <n v="0"/>
    <m/>
    <x v="1"/>
  </r>
  <r>
    <s v="010"/>
    <x v="10"/>
    <x v="3"/>
    <n v="2091.502"/>
    <n v="8821.31185"/>
    <n v="29221.199999999997"/>
    <n v="58442.399999999994"/>
    <n v="-0.92842518445512157"/>
    <m/>
    <x v="1"/>
  </r>
  <r>
    <s v="010"/>
    <x v="10"/>
    <x v="4"/>
    <n v="837351"/>
    <n v="1151396"/>
    <n v="828000"/>
    <n v="1656000"/>
    <n v="1.1293478260869565E-2"/>
    <m/>
    <x v="1"/>
  </r>
  <r>
    <s v="010"/>
    <x v="10"/>
    <x v="5"/>
    <n v="1289"/>
    <n v="2379"/>
    <n v="59000"/>
    <n v="118000"/>
    <n v="-0.97815254237288141"/>
    <m/>
    <x v="1"/>
  </r>
  <r>
    <s v="010"/>
    <x v="10"/>
    <x v="6"/>
    <n v="83"/>
    <n v="163"/>
    <n v="91"/>
    <n v="182"/>
    <n v="-8.7912087912087919E-2"/>
    <m/>
    <x v="1"/>
  </r>
  <r>
    <s v="010"/>
    <x v="10"/>
    <x v="7"/>
    <n v="1125.4133400000001"/>
    <n v="1811.67031"/>
    <n v="1904.7568050649763"/>
    <n v="3812.9827037184377"/>
    <n v="-0.40915641461031071"/>
    <m/>
    <x v="1"/>
  </r>
  <r>
    <s v="010"/>
    <x v="10"/>
    <x v="8"/>
    <n v="-421.8905616340698"/>
    <n v="-157.11754999999818"/>
    <n v="-416.16525000000024"/>
    <n v="-1343.1957500000003"/>
    <n v="-1.3757303460751593E-2"/>
    <m/>
    <x v="1"/>
  </r>
  <r>
    <s v="011"/>
    <x v="11"/>
    <x v="0"/>
    <n v="2359.161839999997"/>
    <n v="-8235.3054500000035"/>
    <n v="14955.146666666675"/>
    <n v="29910.293333333349"/>
    <n v="-0.84225083895310093"/>
    <m/>
    <x v="1"/>
  </r>
  <r>
    <s v="011"/>
    <x v="11"/>
    <x v="1"/>
    <m/>
    <n v="29672.360679999994"/>
    <m/>
    <n v="36563.021653199998"/>
    <n v="0"/>
    <m/>
    <x v="1"/>
  </r>
  <r>
    <s v="011"/>
    <x v="11"/>
    <x v="2"/>
    <n v="0"/>
    <n v="68534.196536319811"/>
    <m/>
    <n v="81073.391366215859"/>
    <n v="0"/>
    <m/>
    <x v="1"/>
  </r>
  <r>
    <s v="011"/>
    <x v="11"/>
    <x v="3"/>
    <n v="2744.8327999999997"/>
    <n v="5562.6757999999991"/>
    <n v="13693.933333333334"/>
    <n v="27387.866666666669"/>
    <n v="-0.79955848088447923"/>
    <m/>
    <x v="1"/>
  </r>
  <r>
    <s v="011"/>
    <x v="11"/>
    <x v="4"/>
    <n v="158000"/>
    <n v="168789.14"/>
    <n v="118000"/>
    <n v="236000"/>
    <n v="0.33898305084745761"/>
    <m/>
    <x v="1"/>
  </r>
  <r>
    <s v="011"/>
    <x v="11"/>
    <x v="5"/>
    <n v="0"/>
    <n v="790"/>
    <n v="26000"/>
    <n v="52000"/>
    <n v="-1"/>
    <m/>
    <x v="1"/>
  </r>
  <r>
    <s v="011"/>
    <x v="11"/>
    <x v="6"/>
    <n v="39"/>
    <n v="74"/>
    <n v="58"/>
    <n v="116"/>
    <n v="-0.32758620689655171"/>
    <m/>
    <x v="1"/>
  </r>
  <r>
    <s v="011"/>
    <x v="11"/>
    <x v="7"/>
    <n v="342.08076"/>
    <n v="515.19812999999999"/>
    <n v="641.43378196609785"/>
    <n v="1279.4313475289628"/>
    <n v="-0.46669357053277211"/>
    <m/>
    <x v="1"/>
  </r>
  <r>
    <s v="011"/>
    <x v="11"/>
    <x v="8"/>
    <n v="282.76491407127907"/>
    <n v="-460.72126000000031"/>
    <n v="277.9846299999997"/>
    <n v="-226.75680000000045"/>
    <n v="1.7196217183947808E-2"/>
    <m/>
    <x v="1"/>
  </r>
  <r>
    <s v="012"/>
    <x v="12"/>
    <x v="0"/>
    <n v="-26322.644469999825"/>
    <n v="-20688.232149999822"/>
    <n v="26710.293333333335"/>
    <n v="53420.58666666667"/>
    <n v="-1.9854869110385343"/>
    <m/>
    <x v="1"/>
  </r>
  <r>
    <s v="012"/>
    <x v="12"/>
    <x v="1"/>
    <m/>
    <n v="684472.01187000016"/>
    <m/>
    <n v="754005.64610340004"/>
    <n v="0"/>
    <m/>
    <x v="1"/>
  </r>
  <r>
    <s v="012"/>
    <x v="12"/>
    <x v="2"/>
    <n v="0"/>
    <n v="401393.34420102549"/>
    <m/>
    <n v="372812.85656688345"/>
    <n v="0"/>
    <m/>
    <x v="1"/>
  </r>
  <r>
    <s v="012"/>
    <x v="12"/>
    <x v="3"/>
    <n v="3243.1"/>
    <n v="5852.0564999999997"/>
    <n v="28387.866666666669"/>
    <n v="56775.733333333337"/>
    <n v="-0.88575753021243819"/>
    <m/>
    <x v="1"/>
  </r>
  <r>
    <s v="012"/>
    <x v="12"/>
    <x v="4"/>
    <n v="2210495.7399999998"/>
    <n v="4397016"/>
    <n v="5552000"/>
    <n v="11104000"/>
    <n v="-0.60185595461095109"/>
    <m/>
    <x v="1"/>
  </r>
  <r>
    <s v="012"/>
    <x v="12"/>
    <x v="5"/>
    <n v="77918"/>
    <n v="797755"/>
    <n v="153000"/>
    <n v="306000"/>
    <n v="-0.49073202614379086"/>
    <m/>
    <x v="1"/>
  </r>
  <r>
    <s v="012"/>
    <x v="12"/>
    <x v="6"/>
    <n v="45"/>
    <n v="82"/>
    <n v="98"/>
    <n v="196"/>
    <n v="-0.54081632653061229"/>
    <m/>
    <x v="1"/>
  </r>
  <r>
    <s v="012"/>
    <x v="12"/>
    <x v="7"/>
    <n v="2449.1826399999995"/>
    <n v="4903.6425699999991"/>
    <n v="6542.0029829988871"/>
    <n v="13082.881391659945"/>
    <n v="-0.62562190106533977"/>
    <m/>
    <x v="1"/>
  </r>
  <r>
    <s v="012"/>
    <x v="12"/>
    <x v="8"/>
    <n v="4822.5422370256247"/>
    <n v="7607.1160900000004"/>
    <n v="4840.7881800000005"/>
    <n v="3503.3898200000008"/>
    <n v="-3.7692091237869021E-3"/>
    <m/>
    <x v="1"/>
  </r>
  <r>
    <s v="013"/>
    <x v="13"/>
    <x v="0"/>
    <n v="481.54388999998628"/>
    <n v="6661.5892699999968"/>
    <n v="19691.306666666656"/>
    <n v="39382.613333333313"/>
    <n v="-0.97554535622487959"/>
    <m/>
    <x v="1"/>
  </r>
  <r>
    <s v="013"/>
    <x v="13"/>
    <x v="1"/>
    <m/>
    <n v="85116.598219999985"/>
    <m/>
    <n v="66895.645768799994"/>
    <n v="0"/>
    <m/>
    <x v="1"/>
  </r>
  <r>
    <s v="013"/>
    <x v="13"/>
    <x v="2"/>
    <n v="0"/>
    <n v="165258.47632362475"/>
    <m/>
    <n v="170420.61868446314"/>
    <n v="0"/>
    <m/>
    <x v="1"/>
  </r>
  <r>
    <s v="013"/>
    <x v="13"/>
    <x v="3"/>
    <n v="5511.6255999999994"/>
    <n v="11828.2606"/>
    <n v="19614.133333333335"/>
    <n v="39228.26666666667"/>
    <n v="-0.71899724008538068"/>
    <m/>
    <x v="1"/>
  </r>
  <r>
    <s v="013"/>
    <x v="13"/>
    <x v="4"/>
    <n v="56980"/>
    <n v="114980"/>
    <n v="91000"/>
    <n v="182000"/>
    <n v="-0.37384615384615383"/>
    <m/>
    <x v="1"/>
  </r>
  <r>
    <s v="013"/>
    <x v="13"/>
    <x v="5"/>
    <n v="6281"/>
    <n v="7213"/>
    <n v="25000"/>
    <n v="50000"/>
    <n v="-0.74875999999999998"/>
    <m/>
    <x v="1"/>
  </r>
  <r>
    <s v="013"/>
    <x v="13"/>
    <x v="6"/>
    <n v="57"/>
    <n v="109"/>
    <n v="68"/>
    <n v="136"/>
    <n v="-0.16176470588235295"/>
    <m/>
    <x v="1"/>
  </r>
  <r>
    <s v="013"/>
    <x v="13"/>
    <x v="7"/>
    <n v="262.83137000000011"/>
    <n v="536.14499000000012"/>
    <n v="853.49529397350182"/>
    <n v="1708.960165751859"/>
    <n v="-0.69205293590270212"/>
    <m/>
    <x v="1"/>
  </r>
  <r>
    <s v="013"/>
    <x v="13"/>
    <x v="8"/>
    <n v="2026.1295476773478"/>
    <n v="256.56604688524658"/>
    <n v="2023.3310468852374"/>
    <n v="733.03626688524662"/>
    <n v="1.3831156282697753E-3"/>
    <m/>
    <x v="1"/>
  </r>
  <r>
    <s v="014"/>
    <x v="14"/>
    <x v="0"/>
    <n v="1650.7025300000096"/>
    <n v="2090.2163399999554"/>
    <n v="23066.666666666715"/>
    <n v="46133.33333333343"/>
    <n v="-0.92843775158959507"/>
    <m/>
    <x v="1"/>
  </r>
  <r>
    <s v="014"/>
    <x v="14"/>
    <x v="1"/>
    <m/>
    <n v="253227.98369999998"/>
    <m/>
    <n v="253469.818134"/>
    <n v="0"/>
    <m/>
    <x v="1"/>
  </r>
  <r>
    <s v="014"/>
    <x v="14"/>
    <x v="2"/>
    <n v="0"/>
    <n v="223154.90373999992"/>
    <m/>
    <n v="248625.03201409199"/>
    <n v="0"/>
    <m/>
    <x v="1"/>
  </r>
  <r>
    <s v="014"/>
    <x v="14"/>
    <x v="3"/>
    <n v="2663.9528999999998"/>
    <n v="9639.1479999999992"/>
    <n v="23833.333333333332"/>
    <n v="47666.666666666664"/>
    <n v="-0.88822575244755242"/>
    <m/>
    <x v="1"/>
  </r>
  <r>
    <s v="014"/>
    <x v="14"/>
    <x v="4"/>
    <n v="738718.02"/>
    <n v="3269893.12"/>
    <n v="1211000"/>
    <n v="2422000"/>
    <n v="-0.38999337737407103"/>
    <m/>
    <x v="1"/>
  </r>
  <r>
    <s v="014"/>
    <x v="14"/>
    <x v="5"/>
    <n v="6832"/>
    <n v="7702"/>
    <n v="12000"/>
    <n v="24000"/>
    <n v="-0.43066666666666664"/>
    <m/>
    <x v="1"/>
  </r>
  <r>
    <s v="014"/>
    <x v="14"/>
    <x v="6"/>
    <n v="29"/>
    <n v="67"/>
    <n v="65"/>
    <n v="130"/>
    <n v="-0.55384615384615388"/>
    <m/>
    <x v="1"/>
  </r>
  <r>
    <s v="014"/>
    <x v="14"/>
    <x v="7"/>
    <n v="900.66904999999997"/>
    <n v="3704.1083100000001"/>
    <n v="2001.3719121083273"/>
    <n v="4000.7291591778694"/>
    <n v="-0.54997417294060136"/>
    <m/>
    <x v="1"/>
  </r>
  <r>
    <s v="014"/>
    <x v="14"/>
    <x v="8"/>
    <n v="-647.5465419749529"/>
    <n v="1104.956539999999"/>
    <n v="-659.04588000000035"/>
    <n v="359.13393999999926"/>
    <n v="1.7448463565309661E-2"/>
    <m/>
    <x v="1"/>
  </r>
  <r>
    <s v="015"/>
    <x v="15"/>
    <x v="0"/>
    <n v="7158.3134599999939"/>
    <n v="9010.6687399999973"/>
    <n v="19776.960000000003"/>
    <n v="39553.920000000006"/>
    <n v="-0.63804783647233987"/>
    <m/>
    <x v="1"/>
  </r>
  <r>
    <s v="015"/>
    <x v="15"/>
    <x v="1"/>
    <m/>
    <n v="37305.203589999997"/>
    <m/>
    <n v="23031.166928400002"/>
    <n v="0"/>
    <m/>
    <x v="1"/>
  </r>
  <r>
    <s v="015"/>
    <x v="15"/>
    <x v="2"/>
    <n v="0"/>
    <n v="154975.63131602525"/>
    <m/>
    <n v="168438.30043881913"/>
    <n v="0"/>
    <m/>
    <x v="1"/>
  </r>
  <r>
    <s v="015"/>
    <x v="15"/>
    <x v="3"/>
    <n v="4781.0940000000001"/>
    <n v="5516.3940000000002"/>
    <n v="19721.2"/>
    <n v="39442.400000000001"/>
    <n v="-0.7575657667890392"/>
    <m/>
    <x v="1"/>
  </r>
  <r>
    <s v="015"/>
    <x v="15"/>
    <x v="4"/>
    <n v="63880"/>
    <n v="86120"/>
    <n v="58000"/>
    <n v="116000"/>
    <n v="0.10137931034482758"/>
    <m/>
    <x v="1"/>
  </r>
  <r>
    <s v="015"/>
    <x v="15"/>
    <x v="5"/>
    <n v="3290"/>
    <n v="4236"/>
    <n v="2000"/>
    <n v="4000"/>
    <n v="0.64500000000000002"/>
    <m/>
    <x v="1"/>
  </r>
  <r>
    <s v="015"/>
    <x v="15"/>
    <x v="6"/>
    <n v="49"/>
    <n v="90"/>
    <n v="61"/>
    <n v="122"/>
    <n v="-0.19672131147540983"/>
    <m/>
    <x v="1"/>
  </r>
  <r>
    <s v="015"/>
    <x v="15"/>
    <x v="7"/>
    <n v="287.50962000000004"/>
    <n v="396.55977000000001"/>
    <n v="741.93462465090317"/>
    <n v="1482.5569728294149"/>
    <n v="-0.6124865851418112"/>
    <m/>
    <x v="1"/>
  </r>
  <r>
    <s v="015"/>
    <x v="15"/>
    <x v="8"/>
    <n v="52.913855701438152"/>
    <n v="-848.06159000000082"/>
    <n v="36.313549999999125"/>
    <n v="-70.679350000001023"/>
    <n v="0.45713805732128715"/>
    <m/>
    <x v="1"/>
  </r>
  <r>
    <s v="016"/>
    <x v="16"/>
    <x v="0"/>
    <n v="-18174.085100000055"/>
    <n v="-12090.917310000048"/>
    <n v="22421.813333333354"/>
    <n v="44843.626666666707"/>
    <n v="-1.8105537598505281"/>
    <m/>
    <x v="1"/>
  </r>
  <r>
    <s v="016"/>
    <x v="16"/>
    <x v="1"/>
    <m/>
    <n v="144800.81262999997"/>
    <m/>
    <n v="186271.37329860003"/>
    <n v="0"/>
    <m/>
    <x v="1"/>
  </r>
  <r>
    <s v="016"/>
    <x v="16"/>
    <x v="2"/>
    <n v="0"/>
    <n v="177331.40934679887"/>
    <m/>
    <n v="182396.9376853166"/>
    <n v="0"/>
    <m/>
    <x v="1"/>
  </r>
  <r>
    <s v="016"/>
    <x v="16"/>
    <x v="3"/>
    <n v="5774.5968000000003"/>
    <n v="13164.11275"/>
    <n v="23027.266666666666"/>
    <n v="46054.533333333333"/>
    <n v="-0.74922786609497727"/>
    <m/>
    <x v="1"/>
  </r>
  <r>
    <s v="016"/>
    <x v="16"/>
    <x v="4"/>
    <n v="253781"/>
    <n v="539520"/>
    <n v="498000"/>
    <n v="996000"/>
    <n v="-0.49039959839357428"/>
    <m/>
    <x v="1"/>
  </r>
  <r>
    <s v="016"/>
    <x v="16"/>
    <x v="5"/>
    <n v="42019"/>
    <n v="201562"/>
    <n v="289000"/>
    <n v="578000"/>
    <n v="-0.85460553633217995"/>
    <m/>
    <x v="1"/>
  </r>
  <r>
    <s v="016"/>
    <x v="16"/>
    <x v="6"/>
    <n v="33"/>
    <n v="99"/>
    <n v="56"/>
    <n v="112"/>
    <n v="-0.4107142857142857"/>
    <m/>
    <x v="1"/>
  </r>
  <r>
    <s v="016"/>
    <x v="16"/>
    <x v="7"/>
    <n v="535.65473000000009"/>
    <n v="1152.9178900000002"/>
    <n v="1357.9760246545547"/>
    <n v="2715.4629829156811"/>
    <n v="-0.60554919948880448"/>
    <m/>
    <x v="1"/>
  </r>
  <r>
    <s v="016"/>
    <x v="16"/>
    <x v="8"/>
    <n v="621.10635454658325"/>
    <n v="2848.1883200000034"/>
    <n v="622.61337000000231"/>
    <n v="2643.6550700000016"/>
    <n v="-2.4204675421908338E-3"/>
    <m/>
    <x v="1"/>
  </r>
  <r>
    <s v="017"/>
    <x v="17"/>
    <x v="0"/>
    <n v="9840.489980000013"/>
    <n v="-13522.203730000008"/>
    <n v="18288.479999999996"/>
    <n v="36576.959999999992"/>
    <n v="-0.46192958736865963"/>
    <m/>
    <x v="1"/>
  </r>
  <r>
    <s v="017"/>
    <x v="17"/>
    <x v="1"/>
    <m/>
    <n v="68327.417960000006"/>
    <m/>
    <n v="75016.986085800003"/>
    <n v="0"/>
    <m/>
    <x v="1"/>
  </r>
  <r>
    <s v="017"/>
    <x v="17"/>
    <x v="2"/>
    <n v="0"/>
    <n v="151043.3903405109"/>
    <m/>
    <n v="163811.85953632696"/>
    <n v="0"/>
    <m/>
    <x v="1"/>
  </r>
  <r>
    <s v="017"/>
    <x v="17"/>
    <x v="3"/>
    <n v="3303.7797999999998"/>
    <n v="5624.0617999999995"/>
    <n v="17860.599999999999"/>
    <n v="35721.199999999997"/>
    <n v="-0.81502414252600697"/>
    <m/>
    <x v="1"/>
  </r>
  <r>
    <s v="017"/>
    <x v="17"/>
    <x v="4"/>
    <n v="132911"/>
    <n v="276859.08999999997"/>
    <n v="164000"/>
    <n v="328000"/>
    <n v="-0.18956707317073171"/>
    <m/>
    <x v="1"/>
  </r>
  <r>
    <s v="017"/>
    <x v="17"/>
    <x v="5"/>
    <n v="1000"/>
    <n v="1000"/>
    <n v="2000"/>
    <n v="4000"/>
    <n v="-0.5"/>
    <m/>
    <x v="1"/>
  </r>
  <r>
    <s v="017"/>
    <x v="17"/>
    <x v="6"/>
    <n v="34"/>
    <n v="55"/>
    <n v="48"/>
    <n v="96"/>
    <n v="-0.29166666666666669"/>
    <m/>
    <x v="1"/>
  </r>
  <r>
    <s v="017"/>
    <x v="17"/>
    <x v="7"/>
    <n v="383.09165000000007"/>
    <n v="706.18121000000008"/>
    <n v="813.60221901287321"/>
    <n v="1627.2714359201366"/>
    <n v="-0.52914134075888186"/>
    <m/>
    <x v="1"/>
  </r>
  <r>
    <s v="017"/>
    <x v="17"/>
    <x v="8"/>
    <n v="-556.76936130089803"/>
    <n v="-1662.5915899999991"/>
    <n v="-563.53572000000077"/>
    <n v="-1277.5201800000007"/>
    <n v="1.2006973930778922E-2"/>
    <m/>
    <x v="1"/>
  </r>
  <r>
    <s v="018"/>
    <x v="18"/>
    <x v="0"/>
    <n v="1110.9736500000145"/>
    <n v="-295.50074000000677"/>
    <n v="23643.626666666671"/>
    <n v="47287.253333333341"/>
    <n v="-0.95301170731280871"/>
    <m/>
    <x v="1"/>
  </r>
  <r>
    <s v="018"/>
    <x v="18"/>
    <x v="1"/>
    <m/>
    <n v="32209.87902"/>
    <m/>
    <n v="38069.821528799999"/>
    <n v="0"/>
    <m/>
    <x v="1"/>
  </r>
  <r>
    <s v="018"/>
    <x v="18"/>
    <x v="2"/>
    <n v="0"/>
    <n v="170586.61546050469"/>
    <m/>
    <n v="178213.41026210159"/>
    <n v="0"/>
    <m/>
    <x v="1"/>
  </r>
  <r>
    <s v="018"/>
    <x v="18"/>
    <x v="3"/>
    <n v="5067.8177000000005"/>
    <n v="9156.62255"/>
    <n v="24554.533333333333"/>
    <n v="49109.066666666666"/>
    <n v="-0.79360969189667629"/>
    <m/>
    <x v="1"/>
  </r>
  <r>
    <s v="018"/>
    <x v="18"/>
    <x v="4"/>
    <n v="110366"/>
    <n v="227757"/>
    <n v="280000"/>
    <n v="560000"/>
    <n v="-0.60583571428571426"/>
    <m/>
    <x v="1"/>
  </r>
  <r>
    <s v="018"/>
    <x v="18"/>
    <x v="5"/>
    <n v="392"/>
    <n v="24862"/>
    <n v="7000"/>
    <n v="14000"/>
    <n v="-0.94399999999999995"/>
    <m/>
    <x v="1"/>
  </r>
  <r>
    <s v="018"/>
    <x v="18"/>
    <x v="6"/>
    <n v="178"/>
    <n v="254"/>
    <n v="108"/>
    <n v="216"/>
    <n v="0.64814814814814814"/>
    <m/>
    <x v="1"/>
  </r>
  <r>
    <s v="018"/>
    <x v="18"/>
    <x v="7"/>
    <n v="417.8765800000001"/>
    <n v="777.99894000000006"/>
    <n v="1150.3412102808793"/>
    <n v="2298.6005580194851"/>
    <n v="-0.63673684271646058"/>
    <m/>
    <x v="1"/>
  </r>
  <r>
    <s v="018"/>
    <x v="18"/>
    <x v="8"/>
    <n v="703.44527324235514"/>
    <n v="156.35093000000074"/>
    <n v="720.0456100000016"/>
    <n v="1034.4769700000002"/>
    <n v="-2.3054562831993967E-2"/>
    <m/>
    <x v="1"/>
  </r>
  <r>
    <s v="019"/>
    <x v="19"/>
    <x v="0"/>
    <n v="4.3369999999999891"/>
    <n v="5.3196500000000242"/>
    <n v="0"/>
    <n v="0"/>
    <n v="0"/>
    <m/>
    <x v="1"/>
  </r>
  <r>
    <s v="019"/>
    <x v="19"/>
    <x v="1"/>
    <m/>
    <n v="620.50470999999993"/>
    <m/>
    <n v="687.92719860000011"/>
    <n v="0"/>
    <m/>
    <x v="1"/>
  </r>
  <r>
    <s v="019"/>
    <x v="19"/>
    <x v="2"/>
    <n v="0"/>
    <n v="0"/>
    <m/>
    <n v="0"/>
    <n v="0"/>
    <m/>
    <x v="1"/>
  </r>
  <r>
    <s v="019"/>
    <x v="19"/>
    <x v="3"/>
    <n v="0"/>
    <n v="0"/>
    <n v="0"/>
    <n v="0"/>
    <n v="0"/>
    <m/>
    <x v="1"/>
  </r>
  <r>
    <s v="019"/>
    <x v="19"/>
    <x v="4"/>
    <n v="0"/>
    <n v="0"/>
    <n v="0"/>
    <n v="0"/>
    <n v="0"/>
    <m/>
    <x v="1"/>
  </r>
  <r>
    <s v="019"/>
    <x v="19"/>
    <x v="5"/>
    <n v="0"/>
    <n v="0"/>
    <n v="0"/>
    <n v="0"/>
    <n v="0"/>
    <m/>
    <x v="1"/>
  </r>
  <r>
    <s v="019"/>
    <x v="19"/>
    <x v="6"/>
    <n v="0"/>
    <n v="0"/>
    <n v="0"/>
    <n v="0"/>
    <n v="0"/>
    <m/>
    <x v="1"/>
  </r>
  <r>
    <s v="019"/>
    <x v="19"/>
    <x v="7"/>
    <n v="0"/>
    <n v="0"/>
    <n v="0.70949737825838144"/>
    <n v="1.4529986121525389"/>
    <n v="-1"/>
    <m/>
    <x v="1"/>
  </r>
  <r>
    <s v="019"/>
    <x v="19"/>
    <x v="8"/>
    <n v="-4.6636904992789718"/>
    <n v="1.2625199999999994"/>
    <n v="-5.6636900000000008"/>
    <n v="-7.2136500000000003"/>
    <n v="0.17656324776268278"/>
    <m/>
    <x v="1"/>
  </r>
  <r>
    <s v="020"/>
    <x v="20"/>
    <x v="0"/>
    <n v="-1156.8919499999902"/>
    <n v="10728.722140000027"/>
    <n v="30401.600000000006"/>
    <n v="60803.200000000012"/>
    <n v="-1.0380536534261351"/>
    <m/>
    <x v="1"/>
  </r>
  <r>
    <s v="020"/>
    <x v="20"/>
    <x v="1"/>
    <m/>
    <n v="229186.98157"/>
    <m/>
    <n v="221888.08902360001"/>
    <n v="0"/>
    <m/>
    <x v="1"/>
  </r>
  <r>
    <s v="020"/>
    <x v="20"/>
    <x v="2"/>
    <n v="0"/>
    <n v="156329.0647005474"/>
    <m/>
    <n v="166950.67792088425"/>
    <n v="0"/>
    <m/>
    <x v="1"/>
  </r>
  <r>
    <s v="020"/>
    <x v="20"/>
    <x v="3"/>
    <n v="5006.6149999999998"/>
    <n v="5620.1539999999995"/>
    <n v="33002"/>
    <n v="66004"/>
    <n v="-0.84829358826737777"/>
    <m/>
    <x v="1"/>
  </r>
  <r>
    <s v="020"/>
    <x v="20"/>
    <x v="4"/>
    <n v="18400"/>
    <n v="18400"/>
    <n v="63000"/>
    <n v="126000"/>
    <n v="-0.70793650793650797"/>
    <m/>
    <x v="1"/>
  </r>
  <r>
    <s v="020"/>
    <x v="20"/>
    <x v="5"/>
    <n v="175972"/>
    <n v="210938"/>
    <n v="99000"/>
    <n v="198000"/>
    <n v="0.77749494949494946"/>
    <m/>
    <x v="1"/>
  </r>
  <r>
    <s v="020"/>
    <x v="20"/>
    <x v="6"/>
    <n v="134"/>
    <n v="306"/>
    <n v="178"/>
    <n v="356"/>
    <n v="-0.24719101123595505"/>
    <m/>
    <x v="1"/>
  </r>
  <r>
    <s v="020"/>
    <x v="20"/>
    <x v="7"/>
    <n v="472.4274200000001"/>
    <n v="655.51685000000009"/>
    <n v="1180.1487556893783"/>
    <n v="2361.2948278434174"/>
    <n v="-0.59968824461960824"/>
    <m/>
    <x v="1"/>
  </r>
  <r>
    <s v="020"/>
    <x v="20"/>
    <x v="8"/>
    <n v="-1656.9533431413959"/>
    <n v="-2783.7212999999988"/>
    <n v="-1656.9534900000003"/>
    <n v="-3761.7292600000001"/>
    <n v="8.8631699895580855E-8"/>
    <m/>
    <x v="1"/>
  </r>
  <r>
    <s v="000"/>
    <x v="0"/>
    <x v="0"/>
    <n v="0"/>
    <n v="0"/>
    <n v="0"/>
    <n v="0"/>
    <n v="0"/>
    <m/>
    <x v="2"/>
  </r>
  <r>
    <s v="000"/>
    <x v="0"/>
    <x v="1"/>
    <m/>
    <n v="0"/>
    <m/>
    <n v="0"/>
    <n v="0"/>
    <m/>
    <x v="2"/>
  </r>
  <r>
    <s v="000"/>
    <x v="0"/>
    <x v="2"/>
    <n v="0"/>
    <n v="0"/>
    <m/>
    <n v="0"/>
    <n v="0"/>
    <m/>
    <x v="2"/>
  </r>
  <r>
    <s v="000"/>
    <x v="0"/>
    <x v="3"/>
    <n v="0"/>
    <n v="0"/>
    <n v="0"/>
    <n v="0"/>
    <n v="0"/>
    <m/>
    <x v="2"/>
  </r>
  <r>
    <s v="000"/>
    <x v="0"/>
    <x v="4"/>
    <n v="0"/>
    <n v="0"/>
    <n v="0"/>
    <n v="0"/>
    <n v="0"/>
    <m/>
    <x v="2"/>
  </r>
  <r>
    <s v="000"/>
    <x v="0"/>
    <x v="5"/>
    <n v="0"/>
    <n v="209870"/>
    <n v="33000"/>
    <n v="99000"/>
    <n v="-1"/>
    <m/>
    <x v="2"/>
  </r>
  <r>
    <s v="000"/>
    <x v="0"/>
    <x v="6"/>
    <n v="0"/>
    <n v="0"/>
    <n v="0"/>
    <n v="0"/>
    <n v="0"/>
    <m/>
    <x v="2"/>
  </r>
  <r>
    <s v="000"/>
    <x v="0"/>
    <x v="7"/>
    <n v="-64.93474999999998"/>
    <n v="99.093490000000003"/>
    <n v="4.2320117751897271E-2"/>
    <n v="0.12157458750567213"/>
    <n v="-1535.3707307404377"/>
    <m/>
    <x v="2"/>
  </r>
  <r>
    <s v="000"/>
    <x v="0"/>
    <x v="8"/>
    <n v="-28583.163938150017"/>
    <n v="-91959.097908149997"/>
    <n v="-28564.808278149983"/>
    <n v="-90150.51072814998"/>
    <n v="-6.4259699632132931E-4"/>
    <m/>
    <x v="2"/>
  </r>
  <r>
    <s v="001"/>
    <x v="1"/>
    <x v="0"/>
    <n v="2405.4233600000734"/>
    <n v="9959.7603400000953"/>
    <n v="19355.146666666667"/>
    <n v="58065.440000000002"/>
    <n v="-0.87572177047138156"/>
    <m/>
    <x v="2"/>
  </r>
  <r>
    <s v="001"/>
    <x v="1"/>
    <x v="1"/>
    <m/>
    <n v="488583.33347000007"/>
    <m/>
    <n v="477097.90230960003"/>
    <n v="0"/>
    <m/>
    <x v="2"/>
  </r>
  <r>
    <s v="001"/>
    <x v="1"/>
    <x v="2"/>
    <n v="0"/>
    <n v="652524.70130894263"/>
    <m/>
    <n v="544661.10964351892"/>
    <n v="0"/>
    <m/>
    <x v="2"/>
  </r>
  <r>
    <s v="001"/>
    <x v="1"/>
    <x v="3"/>
    <n v="15772.87125"/>
    <n v="36328.077850000001"/>
    <n v="19193.933333333334"/>
    <n v="57581.8"/>
    <n v="-0.17823663466581458"/>
    <m/>
    <x v="2"/>
  </r>
  <r>
    <s v="001"/>
    <x v="1"/>
    <x v="4"/>
    <n v="1757933"/>
    <n v="4208546"/>
    <n v="1350000"/>
    <n v="4050000"/>
    <n v="0.3021725925925926"/>
    <m/>
    <x v="2"/>
  </r>
  <r>
    <s v="001"/>
    <x v="1"/>
    <x v="5"/>
    <n v="128656"/>
    <n v="232756"/>
    <n v="2000"/>
    <n v="6000"/>
    <n v="63.328000000000003"/>
    <m/>
    <x v="2"/>
  </r>
  <r>
    <s v="001"/>
    <x v="1"/>
    <x v="6"/>
    <n v="30"/>
    <n v="164"/>
    <n v="85"/>
    <n v="255"/>
    <n v="-0.6470588235294118"/>
    <m/>
    <x v="2"/>
  </r>
  <r>
    <s v="001"/>
    <x v="1"/>
    <x v="7"/>
    <n v="2337.0491099999999"/>
    <n v="5321.52513"/>
    <n v="2105.8044671115349"/>
    <n v="6290.1373163797489"/>
    <n v="0.1098129700549339"/>
    <m/>
    <x v="2"/>
  </r>
  <r>
    <s v="001"/>
    <x v="1"/>
    <x v="8"/>
    <n v="-2458.9389764119583"/>
    <n v="-5083.2518464119594"/>
    <n v="-2458.9422764119518"/>
    <n v="-4483.6150364119549"/>
    <n v="1.3420404476930611E-6"/>
    <m/>
    <x v="2"/>
  </r>
  <r>
    <s v="002"/>
    <x v="2"/>
    <x v="0"/>
    <n v="915.82266000001982"/>
    <n v="-23104.93164999997"/>
    <n v="19755.146666666667"/>
    <n v="59265.440000000002"/>
    <n v="-0.95364131304854804"/>
    <m/>
    <x v="2"/>
  </r>
  <r>
    <s v="002"/>
    <x v="2"/>
    <x v="1"/>
    <m/>
    <n v="50028.111460000029"/>
    <m/>
    <n v="58704.701029200005"/>
    <n v="0"/>
    <m/>
    <x v="2"/>
  </r>
  <r>
    <s v="002"/>
    <x v="2"/>
    <x v="2"/>
    <n v="0"/>
    <n v="91434.311924262089"/>
    <m/>
    <n v="128331.71402511603"/>
    <n v="0"/>
    <m/>
    <x v="2"/>
  </r>
  <r>
    <s v="002"/>
    <x v="2"/>
    <x v="3"/>
    <n v="2719.0390000000002"/>
    <n v="6351.5848500000002"/>
    <n v="19693.933333333331"/>
    <n v="59081.799999999988"/>
    <n v="-0.86193519831826382"/>
    <m/>
    <x v="2"/>
  </r>
  <r>
    <s v="002"/>
    <x v="2"/>
    <x v="4"/>
    <n v="20000"/>
    <n v="39000"/>
    <n v="30000"/>
    <n v="90000"/>
    <n v="-0.33333333333333331"/>
    <m/>
    <x v="2"/>
  </r>
  <r>
    <s v="002"/>
    <x v="2"/>
    <x v="5"/>
    <n v="84411"/>
    <n v="118314"/>
    <n v="73000"/>
    <n v="219000"/>
    <n v="0.15631506849315069"/>
    <m/>
    <x v="2"/>
  </r>
  <r>
    <s v="002"/>
    <x v="2"/>
    <x v="6"/>
    <n v="41"/>
    <n v="181"/>
    <n v="73"/>
    <n v="219"/>
    <n v="-0.43835616438356162"/>
    <m/>
    <x v="2"/>
  </r>
  <r>
    <s v="002"/>
    <x v="2"/>
    <x v="7"/>
    <n v="231.73335999999995"/>
    <n v="527.59226999999998"/>
    <n v="764.97394359961936"/>
    <n v="2278.161447334453"/>
    <n v="-0.69707025717821425"/>
    <m/>
    <x v="2"/>
  </r>
  <r>
    <s v="002"/>
    <x v="2"/>
    <x v="8"/>
    <n v="-740.8713149858587"/>
    <n v="-2977.6582249858593"/>
    <n v="-740.87131498586086"/>
    <n v="-2874.1239749858605"/>
    <n v="2.9155534477022205E-15"/>
    <m/>
    <x v="2"/>
  </r>
  <r>
    <s v="003"/>
    <x v="3"/>
    <x v="0"/>
    <n v="-1498.4920300000013"/>
    <n v="4790.7002399999838"/>
    <n v="17110.293333333335"/>
    <n v="51330.880000000005"/>
    <n v="-1.0875783951103117"/>
    <m/>
    <x v="2"/>
  </r>
  <r>
    <s v="003"/>
    <x v="3"/>
    <x v="1"/>
    <m/>
    <n v="45075.56845999998"/>
    <m/>
    <n v="36343.057204800003"/>
    <n v="0"/>
    <m/>
    <x v="2"/>
  </r>
  <r>
    <s v="003"/>
    <x v="3"/>
    <x v="2"/>
    <n v="0"/>
    <n v="101932.50290563689"/>
    <m/>
    <n v="136368.04567565728"/>
    <n v="0"/>
    <m/>
    <x v="2"/>
  </r>
  <r>
    <s v="003"/>
    <x v="3"/>
    <x v="3"/>
    <n v="644.46199999999999"/>
    <n v="4560.8218500000003"/>
    <n v="16387.866666666669"/>
    <n v="49163.600000000006"/>
    <n v="-0.96067444206689501"/>
    <m/>
    <x v="2"/>
  </r>
  <r>
    <s v="003"/>
    <x v="3"/>
    <x v="4"/>
    <n v="10000"/>
    <n v="25000"/>
    <n v="12000"/>
    <n v="36000"/>
    <n v="-0.16666666666666666"/>
    <m/>
    <x v="2"/>
  </r>
  <r>
    <s v="003"/>
    <x v="3"/>
    <x v="5"/>
    <n v="0"/>
    <n v="0"/>
    <n v="1000"/>
    <n v="3000"/>
    <n v="-1"/>
    <m/>
    <x v="2"/>
  </r>
  <r>
    <s v="003"/>
    <x v="3"/>
    <x v="6"/>
    <n v="22"/>
    <n v="77"/>
    <n v="66"/>
    <n v="198"/>
    <n v="-0.66666666666666663"/>
    <m/>
    <x v="2"/>
  </r>
  <r>
    <s v="003"/>
    <x v="3"/>
    <x v="7"/>
    <n v="90.30636999999993"/>
    <n v="273.98222999999996"/>
    <n v="678.94785429861258"/>
    <n v="2021.4196430438976"/>
    <n v="-0.86699071301537445"/>
    <m/>
    <x v="2"/>
  </r>
  <r>
    <s v="003"/>
    <x v="3"/>
    <x v="8"/>
    <n v="-1115.2602318159011"/>
    <n v="-2675.8849618159011"/>
    <n v="-1116.9427418159014"/>
    <n v="-2229.027911815901"/>
    <n v="1.5063529552687114E-3"/>
    <m/>
    <x v="2"/>
  </r>
  <r>
    <s v="004"/>
    <x v="4"/>
    <x v="0"/>
    <n v="-243.40330999999787"/>
    <n v="1180.9936000000016"/>
    <n v="24332.106666666674"/>
    <n v="72996.320000000022"/>
    <n v="-1.0100033800334043"/>
    <m/>
    <x v="2"/>
  </r>
  <r>
    <s v="004"/>
    <x v="4"/>
    <x v="1"/>
    <m/>
    <n v="24060.712919999987"/>
    <m/>
    <n v="43353.967657200003"/>
    <n v="0"/>
    <m/>
    <x v="2"/>
  </r>
  <r>
    <s v="004"/>
    <x v="4"/>
    <x v="2"/>
    <n v="0"/>
    <n v="113824.25192497759"/>
    <m/>
    <n v="175332.10129107995"/>
    <n v="0"/>
    <m/>
    <x v="2"/>
  </r>
  <r>
    <s v="004"/>
    <x v="4"/>
    <x v="3"/>
    <n v="4966.2850200000003"/>
    <n v="8634.9510200000004"/>
    <n v="25415.133333333331"/>
    <n v="76245.399999999994"/>
    <n v="-0.80459339107670758"/>
    <m/>
    <x v="2"/>
  </r>
  <r>
    <s v="004"/>
    <x v="4"/>
    <x v="4"/>
    <n v="7000"/>
    <n v="26000"/>
    <n v="87000"/>
    <n v="261000"/>
    <n v="-0.91954022988505746"/>
    <m/>
    <x v="2"/>
  </r>
  <r>
    <s v="004"/>
    <x v="4"/>
    <x v="5"/>
    <n v="27984"/>
    <n v="27984"/>
    <n v="1000"/>
    <n v="3000"/>
    <n v="26.984000000000002"/>
    <m/>
    <x v="2"/>
  </r>
  <r>
    <s v="004"/>
    <x v="4"/>
    <x v="6"/>
    <n v="13"/>
    <n v="51"/>
    <n v="101"/>
    <n v="303"/>
    <n v="-0.87128712871287128"/>
    <m/>
    <x v="2"/>
  </r>
  <r>
    <s v="004"/>
    <x v="4"/>
    <x v="7"/>
    <n v="217.32746"/>
    <n v="442.72215"/>
    <n v="898.7987388777683"/>
    <n v="2689.8120534021159"/>
    <n v="-0.75820230870444594"/>
    <m/>
    <x v="2"/>
  </r>
  <r>
    <s v="004"/>
    <x v="4"/>
    <x v="8"/>
    <n v="-1667.2377957847384"/>
    <n v="191.76249421526154"/>
    <n v="-1679.2589257847353"/>
    <n v="612.99309421526289"/>
    <n v="7.1585922905720457E-3"/>
    <m/>
    <x v="2"/>
  </r>
  <r>
    <s v="005"/>
    <x v="5"/>
    <x v="0"/>
    <n v="-15003.207850000064"/>
    <n v="-1817.4114500000724"/>
    <n v="33221.813333333324"/>
    <n v="99665.439999999973"/>
    <n v="-1.4516071323218982"/>
    <m/>
    <x v="2"/>
  </r>
  <r>
    <s v="005"/>
    <x v="5"/>
    <x v="1"/>
    <m/>
    <n v="140496.18042999998"/>
    <m/>
    <n v="188228.3739912"/>
    <n v="0"/>
    <m/>
    <x v="2"/>
  </r>
  <r>
    <s v="005"/>
    <x v="5"/>
    <x v="2"/>
    <n v="0"/>
    <n v="344933.01701172855"/>
    <m/>
    <n v="382055.99482462846"/>
    <n v="0"/>
    <m/>
    <x v="2"/>
  </r>
  <r>
    <s v="005"/>
    <x v="5"/>
    <x v="3"/>
    <n v="6662.3750999999993"/>
    <n v="16828.981099999997"/>
    <n v="36527.266666666663"/>
    <n v="109581.79999999999"/>
    <n v="-0.81760542991628182"/>
    <m/>
    <x v="2"/>
  </r>
  <r>
    <s v="005"/>
    <x v="5"/>
    <x v="4"/>
    <n v="694006.42"/>
    <n v="2380550.3899999997"/>
    <n v="1521000"/>
    <n v="4563000"/>
    <n v="-0.54371701512163051"/>
    <m/>
    <x v="2"/>
  </r>
  <r>
    <s v="005"/>
    <x v="5"/>
    <x v="5"/>
    <n v="135969"/>
    <n v="182282"/>
    <n v="87000"/>
    <n v="261000"/>
    <n v="0.56286206896551727"/>
    <m/>
    <x v="2"/>
  </r>
  <r>
    <s v="005"/>
    <x v="5"/>
    <x v="6"/>
    <n v="42"/>
    <n v="160"/>
    <n v="68"/>
    <n v="204"/>
    <n v="-0.38235294117647056"/>
    <m/>
    <x v="2"/>
  </r>
  <r>
    <s v="005"/>
    <x v="5"/>
    <x v="7"/>
    <n v="938.68507"/>
    <n v="3210.4419899999998"/>
    <n v="2842.7184974379761"/>
    <n v="8500.3328510380979"/>
    <n v="-0.66979316775614683"/>
    <m/>
    <x v="2"/>
  </r>
  <r>
    <s v="005"/>
    <x v="5"/>
    <x v="8"/>
    <n v="4909.3633179365252"/>
    <n v="5370.8505879365266"/>
    <n v="4925.8435679365339"/>
    <n v="5951.3909679365343"/>
    <n v="-3.3456705988965029E-3"/>
    <m/>
    <x v="2"/>
  </r>
  <r>
    <s v="006"/>
    <x v="6"/>
    <x v="0"/>
    <n v="22362.78479000002"/>
    <n v="14323.33967999999"/>
    <n v="22421.813333333339"/>
    <n v="67265.440000000017"/>
    <n v="-2.6326391383146783E-3"/>
    <m/>
    <x v="2"/>
  </r>
  <r>
    <s v="006"/>
    <x v="6"/>
    <x v="1"/>
    <m/>
    <n v="92268.463589999999"/>
    <m/>
    <n v="87315.391285800011"/>
    <n v="0"/>
    <m/>
    <x v="2"/>
  </r>
  <r>
    <s v="006"/>
    <x v="6"/>
    <x v="2"/>
    <n v="0"/>
    <n v="182297.14449530252"/>
    <m/>
    <n v="208100.43496900969"/>
    <n v="0"/>
    <m/>
    <x v="2"/>
  </r>
  <r>
    <s v="006"/>
    <x v="6"/>
    <x v="3"/>
    <n v="2656.1909999999998"/>
    <n v="6975.8389999999999"/>
    <n v="23027.266666666666"/>
    <n v="69081.8"/>
    <n v="-0.88465018282673591"/>
    <m/>
    <x v="2"/>
  </r>
  <r>
    <s v="006"/>
    <x v="6"/>
    <x v="4"/>
    <n v="7000"/>
    <n v="159490.31"/>
    <n v="157000"/>
    <n v="471000"/>
    <n v="-0.95541401273885351"/>
    <m/>
    <x v="2"/>
  </r>
  <r>
    <s v="006"/>
    <x v="6"/>
    <x v="5"/>
    <n v="8195"/>
    <n v="306479"/>
    <n v="34000"/>
    <n v="102000"/>
    <n v="-0.75897058823529406"/>
    <m/>
    <x v="2"/>
  </r>
  <r>
    <s v="006"/>
    <x v="6"/>
    <x v="6"/>
    <n v="30"/>
    <n v="128"/>
    <n v="66"/>
    <n v="198"/>
    <n v="-0.54545454545454541"/>
    <m/>
    <x v="2"/>
  </r>
  <r>
    <s v="006"/>
    <x v="6"/>
    <x v="7"/>
    <n v="225.37441000000013"/>
    <n v="828.52666999999997"/>
    <n v="1086.7366400553606"/>
    <n v="3238.977230021887"/>
    <n v="-0.79261359036489365"/>
    <m/>
    <x v="2"/>
  </r>
  <r>
    <s v="006"/>
    <x v="6"/>
    <x v="8"/>
    <n v="1589.7034460130101"/>
    <n v="4349.9237060130145"/>
    <n v="1588.262526013013"/>
    <n v="5175.9140260130143"/>
    <n v="9.0723037054470167E-4"/>
    <m/>
    <x v="2"/>
  </r>
  <r>
    <s v="007"/>
    <x v="7"/>
    <x v="0"/>
    <n v="-23081.39982999998"/>
    <n v="-15393.106749999977"/>
    <n v="26176.959999999992"/>
    <n v="78530.879999999976"/>
    <n v="-1.8817448561635877"/>
    <m/>
    <x v="2"/>
  </r>
  <r>
    <s v="007"/>
    <x v="7"/>
    <x v="1"/>
    <m/>
    <n v="179696.30208999998"/>
    <m/>
    <n v="223218.7458948"/>
    <n v="0"/>
    <m/>
    <x v="2"/>
  </r>
  <r>
    <s v="007"/>
    <x v="7"/>
    <x v="2"/>
    <n v="0"/>
    <n v="133120.91111543172"/>
    <m/>
    <n v="194506.6775205179"/>
    <n v="0"/>
    <m/>
    <x v="2"/>
  </r>
  <r>
    <s v="007"/>
    <x v="7"/>
    <x v="3"/>
    <n v="1985.35211"/>
    <n v="6692.9261099999994"/>
    <n v="27721.200000000001"/>
    <n v="83163.600000000006"/>
    <n v="-0.92838145138017114"/>
    <m/>
    <x v="2"/>
  </r>
  <r>
    <s v="007"/>
    <x v="7"/>
    <x v="4"/>
    <n v="37900"/>
    <n v="128900"/>
    <n v="260000"/>
    <n v="780000"/>
    <n v="-0.85423076923076924"/>
    <m/>
    <x v="2"/>
  </r>
  <r>
    <s v="007"/>
    <x v="7"/>
    <x v="5"/>
    <n v="822"/>
    <n v="2302"/>
    <n v="18000"/>
    <n v="54000"/>
    <n v="-0.95433333333333337"/>
    <m/>
    <x v="2"/>
  </r>
  <r>
    <s v="007"/>
    <x v="7"/>
    <x v="6"/>
    <n v="13"/>
    <n v="80"/>
    <n v="76"/>
    <n v="228"/>
    <n v="-0.82894736842105265"/>
    <m/>
    <x v="2"/>
  </r>
  <r>
    <s v="007"/>
    <x v="7"/>
    <x v="7"/>
    <n v="257.73715000000004"/>
    <n v="623.17465000000004"/>
    <n v="1238.27787225159"/>
    <n v="3691.9857110817852"/>
    <n v="-0.79185838996593672"/>
    <m/>
    <x v="2"/>
  </r>
  <r>
    <s v="007"/>
    <x v="7"/>
    <x v="8"/>
    <n v="-167.06698611406424"/>
    <n v="-1248.5849661140653"/>
    <n v="-182.15686611406363"/>
    <n v="-1972.1898861140648"/>
    <n v="8.2840028607817404E-2"/>
    <m/>
    <x v="2"/>
  </r>
  <r>
    <s v="008"/>
    <x v="8"/>
    <x v="0"/>
    <n v="9362.6050900000264"/>
    <n v="9426.6983399999444"/>
    <n v="25398.773333333374"/>
    <n v="76196.320000000123"/>
    <n v="-0.63137569806520799"/>
    <m/>
    <x v="2"/>
  </r>
  <r>
    <s v="008"/>
    <x v="8"/>
    <x v="1"/>
    <m/>
    <n v="344022.28726999997"/>
    <m/>
    <n v="365151.08829059999"/>
    <n v="0"/>
    <m/>
    <x v="2"/>
  </r>
  <r>
    <s v="008"/>
    <x v="8"/>
    <x v="2"/>
    <n v="0"/>
    <n v="336422.72712531453"/>
    <m/>
    <n v="306256.55630112649"/>
    <n v="0"/>
    <m/>
    <x v="2"/>
  </r>
  <r>
    <s v="008"/>
    <x v="8"/>
    <x v="3"/>
    <n v="8987.6816999999992"/>
    <n v="17295.499250000001"/>
    <n v="26748.466666666664"/>
    <n v="80245.399999999994"/>
    <n v="-0.66399263883038784"/>
    <m/>
    <x v="2"/>
  </r>
  <r>
    <s v="008"/>
    <x v="8"/>
    <x v="4"/>
    <n v="29000"/>
    <n v="274632"/>
    <n v="186000"/>
    <n v="558000"/>
    <n v="-0.84408602150537637"/>
    <m/>
    <x v="2"/>
  </r>
  <r>
    <s v="008"/>
    <x v="8"/>
    <x v="5"/>
    <n v="64396"/>
    <n v="227384"/>
    <n v="78000"/>
    <n v="234000"/>
    <n v="-0.1744102564102564"/>
    <m/>
    <x v="2"/>
  </r>
  <r>
    <s v="008"/>
    <x v="8"/>
    <x v="6"/>
    <n v="53"/>
    <n v="224"/>
    <n v="98"/>
    <n v="294"/>
    <n v="-0.45918367346938777"/>
    <m/>
    <x v="2"/>
  </r>
  <r>
    <s v="008"/>
    <x v="8"/>
    <x v="7"/>
    <n v="457.97938999999963"/>
    <n v="1161.3052499999997"/>
    <n v="1164.6932820458478"/>
    <n v="3473.7278823955135"/>
    <n v="-0.60678111820518643"/>
    <m/>
    <x v="2"/>
  </r>
  <r>
    <s v="008"/>
    <x v="8"/>
    <x v="8"/>
    <n v="-3037.3454211833441"/>
    <n v="-7113.754371183345"/>
    <n v="-3039.3773611833485"/>
    <n v="-8056.4047511833496"/>
    <n v="6.6853824271866102E-4"/>
    <m/>
    <x v="2"/>
  </r>
  <r>
    <s v="009"/>
    <x v="9"/>
    <x v="0"/>
    <n v="4358.6690300000046"/>
    <n v="11089.081079999982"/>
    <n v="22176.960000000006"/>
    <n v="66530.880000000019"/>
    <n v="-0.80345958012279395"/>
    <m/>
    <x v="2"/>
  </r>
  <r>
    <s v="009"/>
    <x v="9"/>
    <x v="1"/>
    <m/>
    <n v="50162.088549999993"/>
    <m/>
    <n v="68737.115192400015"/>
    <n v="0"/>
    <m/>
    <x v="2"/>
  </r>
  <r>
    <s v="009"/>
    <x v="9"/>
    <x v="2"/>
    <n v="0"/>
    <n v="210514.49270963206"/>
    <m/>
    <n v="239849.5029770745"/>
    <n v="0"/>
    <m/>
    <x v="2"/>
  </r>
  <r>
    <s v="009"/>
    <x v="9"/>
    <x v="3"/>
    <n v="8478.2108500000013"/>
    <n v="21031.556250000001"/>
    <n v="22721.200000000001"/>
    <n v="68163.600000000006"/>
    <n v="-0.62685901932996491"/>
    <m/>
    <x v="2"/>
  </r>
  <r>
    <s v="009"/>
    <x v="9"/>
    <x v="4"/>
    <n v="7000"/>
    <n v="21000"/>
    <n v="34000"/>
    <n v="102000"/>
    <n v="-0.79411764705882348"/>
    <m/>
    <x v="2"/>
  </r>
  <r>
    <s v="009"/>
    <x v="9"/>
    <x v="5"/>
    <n v="0"/>
    <n v="7781"/>
    <n v="2000"/>
    <n v="6000"/>
    <n v="-1"/>
    <m/>
    <x v="2"/>
  </r>
  <r>
    <s v="009"/>
    <x v="9"/>
    <x v="6"/>
    <n v="30"/>
    <n v="114"/>
    <n v="73"/>
    <n v="219"/>
    <n v="-0.58904109589041098"/>
    <m/>
    <x v="2"/>
  </r>
  <r>
    <s v="009"/>
    <x v="9"/>
    <x v="7"/>
    <n v="363.22296000000017"/>
    <n v="1022.7733900000001"/>
    <n v="862.28796314593569"/>
    <n v="2567.5256781953576"/>
    <n v="-0.57876837492334632"/>
    <m/>
    <x v="2"/>
  </r>
  <r>
    <s v="009"/>
    <x v="9"/>
    <x v="8"/>
    <n v="1035.2281217025261"/>
    <n v="2936.708731702523"/>
    <n v="1038.9069717025254"/>
    <n v="4298.0268317025239"/>
    <n v="-3.5410774017336265E-3"/>
    <m/>
    <x v="2"/>
  </r>
  <r>
    <s v="010"/>
    <x v="10"/>
    <x v="0"/>
    <n v="-11560.332379999949"/>
    <n v="-12912.746999999916"/>
    <n v="27376.959999999992"/>
    <n v="82130.879999999976"/>
    <n v="-1.4222650133542933"/>
    <m/>
    <x v="2"/>
  </r>
  <r>
    <s v="010"/>
    <x v="10"/>
    <x v="1"/>
    <m/>
    <n v="210092.50449000005"/>
    <m/>
    <n v="206162.4470628"/>
    <n v="0"/>
    <m/>
    <x v="2"/>
  </r>
  <r>
    <s v="010"/>
    <x v="10"/>
    <x v="2"/>
    <n v="0"/>
    <n v="146686.97216496352"/>
    <m/>
    <n v="186806.54641506667"/>
    <n v="0"/>
    <m/>
    <x v="2"/>
  </r>
  <r>
    <s v="010"/>
    <x v="10"/>
    <x v="3"/>
    <n v="6457.5559999999996"/>
    <n v="15278.867849999999"/>
    <n v="29221.199999999997"/>
    <n v="87663.599999999991"/>
    <n v="-0.77901126579332813"/>
    <m/>
    <x v="2"/>
  </r>
  <r>
    <s v="010"/>
    <x v="10"/>
    <x v="4"/>
    <n v="477439"/>
    <n v="1628835"/>
    <n v="828000"/>
    <n v="2484000"/>
    <n v="-0.42338285024154587"/>
    <m/>
    <x v="2"/>
  </r>
  <r>
    <s v="010"/>
    <x v="10"/>
    <x v="5"/>
    <n v="975"/>
    <n v="3354"/>
    <n v="59000"/>
    <n v="177000"/>
    <n v="-0.9834745762711864"/>
    <m/>
    <x v="2"/>
  </r>
  <r>
    <s v="010"/>
    <x v="10"/>
    <x v="6"/>
    <n v="50"/>
    <n v="213"/>
    <n v="91"/>
    <n v="273"/>
    <n v="-0.45054945054945056"/>
    <m/>
    <x v="2"/>
  </r>
  <r>
    <s v="010"/>
    <x v="10"/>
    <x v="7"/>
    <n v="845.77310000000034"/>
    <n v="2657.4434100000003"/>
    <n v="1918.4398806460149"/>
    <n v="5731.4225843644526"/>
    <n v="-0.55913494682189624"/>
    <m/>
    <x v="2"/>
  </r>
  <r>
    <s v="010"/>
    <x v="10"/>
    <x v="8"/>
    <n v="-3721.7943997566804"/>
    <n v="-3878.911949756678"/>
    <n v="-3715.4265297566794"/>
    <n v="-5058.6222797566797"/>
    <n v="-1.7139001266748169E-3"/>
    <m/>
    <x v="2"/>
  </r>
  <r>
    <s v="011"/>
    <x v="11"/>
    <x v="0"/>
    <n v="1758.2063499999931"/>
    <n v="-6477.0991000000104"/>
    <n v="14955.146666666675"/>
    <n v="44865.440000000024"/>
    <n v="-0.88243469695159626"/>
    <m/>
    <x v="2"/>
  </r>
  <r>
    <s v="011"/>
    <x v="11"/>
    <x v="1"/>
    <m/>
    <n v="31430.567029999987"/>
    <m/>
    <n v="36563.021653199998"/>
    <n v="0"/>
    <m/>
    <x v="2"/>
  </r>
  <r>
    <s v="011"/>
    <x v="11"/>
    <x v="2"/>
    <n v="0"/>
    <n v="71666.794586319826"/>
    <m/>
    <n v="91891.624257867952"/>
    <n v="0"/>
    <m/>
    <x v="2"/>
  </r>
  <r>
    <s v="011"/>
    <x v="11"/>
    <x v="3"/>
    <n v="2561.3807000000002"/>
    <n v="8124.0564999999988"/>
    <n v="13693.933333333334"/>
    <n v="41081.800000000003"/>
    <n v="-0.8129550774308818"/>
    <m/>
    <x v="2"/>
  </r>
  <r>
    <s v="011"/>
    <x v="11"/>
    <x v="4"/>
    <n v="13000"/>
    <n v="181789.14"/>
    <n v="118000"/>
    <n v="354000"/>
    <n v="-0.88983050847457623"/>
    <m/>
    <x v="2"/>
  </r>
  <r>
    <s v="011"/>
    <x v="11"/>
    <x v="5"/>
    <n v="0"/>
    <n v="790"/>
    <n v="26000"/>
    <n v="78000"/>
    <n v="-1"/>
    <m/>
    <x v="2"/>
  </r>
  <r>
    <s v="011"/>
    <x v="11"/>
    <x v="6"/>
    <n v="54"/>
    <n v="128"/>
    <n v="58"/>
    <n v="174"/>
    <n v="-6.8965517241379309E-2"/>
    <m/>
    <x v="2"/>
  </r>
  <r>
    <s v="011"/>
    <x v="11"/>
    <x v="7"/>
    <n v="179.01418000000001"/>
    <n v="694.21231"/>
    <n v="649.82986912183105"/>
    <n v="1929.2612166507938"/>
    <n v="-0.72452146553079089"/>
    <m/>
    <x v="2"/>
  </r>
  <r>
    <s v="011"/>
    <x v="11"/>
    <x v="8"/>
    <n v="787.57989232970704"/>
    <n v="326.85863232970672"/>
    <n v="792.26813232970608"/>
    <n v="565.51133232970562"/>
    <n v="-5.9174915772681972E-3"/>
    <m/>
    <x v="2"/>
  </r>
  <r>
    <s v="012"/>
    <x v="12"/>
    <x v="0"/>
    <n v="8763.4978799998062"/>
    <n v="-11924.734270000015"/>
    <n v="26710.293333333335"/>
    <n v="80130.880000000005"/>
    <n v="-0.67190559195157451"/>
    <m/>
    <x v="2"/>
  </r>
  <r>
    <s v="012"/>
    <x v="12"/>
    <x v="1"/>
    <m/>
    <n v="693235.50974999997"/>
    <m/>
    <n v="754005.64610340004"/>
    <n v="0"/>
    <m/>
    <x v="2"/>
  </r>
  <r>
    <s v="012"/>
    <x v="12"/>
    <x v="2"/>
    <n v="0"/>
    <n v="404335.81550102553"/>
    <m/>
    <n v="399461.20976295805"/>
    <n v="0"/>
    <m/>
    <x v="2"/>
  </r>
  <r>
    <s v="012"/>
    <x v="12"/>
    <x v="3"/>
    <n v="3900.1420499999999"/>
    <n v="9752.1985499999992"/>
    <n v="28387.866666666669"/>
    <n v="85163.6"/>
    <n v="-0.86261235844891482"/>
    <m/>
    <x v="2"/>
  </r>
  <r>
    <s v="012"/>
    <x v="12"/>
    <x v="4"/>
    <n v="1785872.5999999999"/>
    <n v="6182888.5999999996"/>
    <n v="5552000"/>
    <n v="16656000"/>
    <n v="-0.67833706772334301"/>
    <m/>
    <x v="2"/>
  </r>
  <r>
    <s v="012"/>
    <x v="12"/>
    <x v="5"/>
    <n v="35571"/>
    <n v="833326"/>
    <n v="153000"/>
    <n v="459000"/>
    <n v="-0.76750980392156865"/>
    <m/>
    <x v="2"/>
  </r>
  <r>
    <s v="012"/>
    <x v="12"/>
    <x v="6"/>
    <n v="49"/>
    <n v="131"/>
    <n v="98"/>
    <n v="294"/>
    <n v="-0.5"/>
    <m/>
    <x v="2"/>
  </r>
  <r>
    <s v="012"/>
    <x v="12"/>
    <x v="7"/>
    <n v="1989.7886200000012"/>
    <n v="6893.4311900000002"/>
    <n v="6551.9866498466927"/>
    <n v="19634.868041506637"/>
    <n v="-0.69630758938641013"/>
    <m/>
    <x v="2"/>
  </r>
  <r>
    <s v="012"/>
    <x v="12"/>
    <x v="8"/>
    <n v="860.74247998075464"/>
    <n v="8467.8585699807554"/>
    <n v="866.77670998075473"/>
    <n v="4370.1665299807555"/>
    <n v="-6.9616891299883596E-3"/>
    <m/>
    <x v="2"/>
  </r>
  <r>
    <s v="013"/>
    <x v="13"/>
    <x v="0"/>
    <n v="-21.423509999978705"/>
    <n v="6640.1657600000181"/>
    <n v="19691.306666666656"/>
    <n v="59073.919999999969"/>
    <n v="-1.0010879679222224"/>
    <m/>
    <x v="2"/>
  </r>
  <r>
    <s v="013"/>
    <x v="13"/>
    <x v="1"/>
    <m/>
    <n v="85095.174710000007"/>
    <m/>
    <n v="66895.645768799994"/>
    <n v="0"/>
    <m/>
    <x v="2"/>
  </r>
  <r>
    <s v="013"/>
    <x v="13"/>
    <x v="2"/>
    <n v="0"/>
    <n v="167897.65994362475"/>
    <m/>
    <n v="184301.03205405321"/>
    <n v="0"/>
    <m/>
    <x v="2"/>
  </r>
  <r>
    <s v="013"/>
    <x v="13"/>
    <x v="3"/>
    <n v="5498.4469500000005"/>
    <n v="17326.707549999999"/>
    <n v="19614.133333333335"/>
    <n v="58842.400000000009"/>
    <n v="-0.71966913569127022"/>
    <m/>
    <x v="2"/>
  </r>
  <r>
    <s v="013"/>
    <x v="13"/>
    <x v="4"/>
    <n v="9600"/>
    <n v="124580"/>
    <n v="91000"/>
    <n v="273000"/>
    <n v="-0.89450549450549455"/>
    <m/>
    <x v="2"/>
  </r>
  <r>
    <s v="013"/>
    <x v="13"/>
    <x v="5"/>
    <n v="10000"/>
    <n v="17213"/>
    <n v="25000"/>
    <n v="75000"/>
    <n v="-0.6"/>
    <m/>
    <x v="2"/>
  </r>
  <r>
    <s v="013"/>
    <x v="13"/>
    <x v="6"/>
    <n v="32"/>
    <n v="141"/>
    <n v="68"/>
    <n v="204"/>
    <n v="-0.52941176470588236"/>
    <m/>
    <x v="2"/>
  </r>
  <r>
    <s v="013"/>
    <x v="13"/>
    <x v="7"/>
    <n v="296.26787999999999"/>
    <n v="832.41287000000011"/>
    <n v="869.62082771566952"/>
    <n v="2578.5809934675285"/>
    <n v="-0.65931372552536482"/>
    <m/>
    <x v="2"/>
  </r>
  <r>
    <s v="013"/>
    <x v="13"/>
    <x v="8"/>
    <n v="-542.80412318133926"/>
    <n v="-286.23807629609263"/>
    <n v="-577.45586318133951"/>
    <n v="155.58040370390705"/>
    <n v="6.0007599211298501E-2"/>
    <m/>
    <x v="2"/>
  </r>
  <r>
    <s v="014"/>
    <x v="14"/>
    <x v="0"/>
    <n v="-1638.0911799999594"/>
    <n v="452.12515999999596"/>
    <n v="23066.666666666715"/>
    <n v="69200.000000000146"/>
    <n v="-1.0710155135838131"/>
    <m/>
    <x v="2"/>
  </r>
  <r>
    <s v="014"/>
    <x v="14"/>
    <x v="1"/>
    <m/>
    <n v="251589.89252000002"/>
    <m/>
    <n v="253469.818134"/>
    <n v="0"/>
    <m/>
    <x v="2"/>
  </r>
  <r>
    <s v="014"/>
    <x v="14"/>
    <x v="2"/>
    <n v="0"/>
    <n v="220655.58603999994"/>
    <m/>
    <n v="264144.02752437023"/>
    <n v="0"/>
    <m/>
    <x v="2"/>
  </r>
  <r>
    <s v="014"/>
    <x v="14"/>
    <x v="3"/>
    <n v="4726.12565"/>
    <n v="14365.273649999999"/>
    <n v="23833.333333333332"/>
    <n v="71500"/>
    <n v="-0.8017010216783218"/>
    <m/>
    <x v="2"/>
  </r>
  <r>
    <s v="014"/>
    <x v="14"/>
    <x v="4"/>
    <n v="792088.19"/>
    <n v="4061981.31"/>
    <n v="1211000"/>
    <n v="3633000"/>
    <n v="-0.3459222213047069"/>
    <m/>
    <x v="2"/>
  </r>
  <r>
    <s v="014"/>
    <x v="14"/>
    <x v="5"/>
    <n v="19044"/>
    <n v="26746"/>
    <n v="12000"/>
    <n v="36000"/>
    <n v="0.58699999999999997"/>
    <m/>
    <x v="2"/>
  </r>
  <r>
    <s v="014"/>
    <x v="14"/>
    <x v="6"/>
    <n v="13"/>
    <n v="80"/>
    <n v="65"/>
    <n v="195"/>
    <n v="-0.8"/>
    <m/>
    <x v="2"/>
  </r>
  <r>
    <s v="014"/>
    <x v="14"/>
    <x v="7"/>
    <n v="959.63604000000078"/>
    <n v="4663.7443500000008"/>
    <n v="2006.3768786606097"/>
    <n v="6007.1060378384791"/>
    <n v="-0.521706988250073"/>
    <m/>
    <x v="2"/>
  </r>
  <r>
    <s v="014"/>
    <x v="14"/>
    <x v="8"/>
    <n v="-4776.9562494193597"/>
    <n v="-3671.99970941936"/>
    <n v="-4791.7591994193535"/>
    <n v="-4432.6252594193547"/>
    <n v="3.0892516472421304E-3"/>
    <m/>
    <x v="2"/>
  </r>
  <r>
    <s v="015"/>
    <x v="15"/>
    <x v="0"/>
    <n v="-1496.4169799999945"/>
    <n v="7514.2517600000028"/>
    <n v="19776.960000000003"/>
    <n v="59330.880000000005"/>
    <n v="-1.0756646613028491"/>
    <m/>
    <x v="2"/>
  </r>
  <r>
    <s v="015"/>
    <x v="15"/>
    <x v="1"/>
    <m/>
    <n v="35808.786610000003"/>
    <m/>
    <n v="23031.166928400002"/>
    <n v="0"/>
    <m/>
    <x v="2"/>
  </r>
  <r>
    <s v="015"/>
    <x v="15"/>
    <x v="2"/>
    <n v="0"/>
    <n v="156101.32050602528"/>
    <m/>
    <n v="181550.4644061267"/>
    <n v="0"/>
    <m/>
    <x v="2"/>
  </r>
  <r>
    <s v="015"/>
    <x v="15"/>
    <x v="3"/>
    <n v="1739.556"/>
    <n v="7255.9500000000007"/>
    <n v="19721.2"/>
    <n v="59163.600000000006"/>
    <n v="-0.91179258868628676"/>
    <m/>
    <x v="2"/>
  </r>
  <r>
    <s v="015"/>
    <x v="15"/>
    <x v="4"/>
    <n v="22000"/>
    <n v="108120"/>
    <n v="58000"/>
    <n v="174000"/>
    <n v="-0.62068965517241381"/>
    <m/>
    <x v="2"/>
  </r>
  <r>
    <s v="015"/>
    <x v="15"/>
    <x v="5"/>
    <n v="1800"/>
    <n v="6036"/>
    <n v="2000"/>
    <n v="6000"/>
    <n v="-0.1"/>
    <m/>
    <x v="2"/>
  </r>
  <r>
    <s v="015"/>
    <x v="15"/>
    <x v="6"/>
    <n v="24"/>
    <n v="114"/>
    <n v="61"/>
    <n v="183"/>
    <n v="-0.60655737704918034"/>
    <m/>
    <x v="2"/>
  </r>
  <r>
    <s v="015"/>
    <x v="15"/>
    <x v="7"/>
    <n v="164.23067999999995"/>
    <n v="560.79044999999996"/>
    <n v="749.84174418687326"/>
    <n v="2232.3987170162882"/>
    <n v="-0.78097954498640076"/>
    <m/>
    <x v="2"/>
  </r>
  <r>
    <s v="015"/>
    <x v="15"/>
    <x v="8"/>
    <n v="-312.55467367678557"/>
    <n v="-1160.6162636767863"/>
    <n v="-310.32965367678725"/>
    <n v="-381.00900367678827"/>
    <n v="-7.1698594498987639E-3"/>
    <m/>
    <x v="2"/>
  </r>
  <r>
    <s v="016"/>
    <x v="16"/>
    <x v="0"/>
    <n v="-8542.3567499999772"/>
    <n v="-20633.274060000025"/>
    <n v="22421.813333333354"/>
    <n v="67265.440000000061"/>
    <n v="-1.380984206005341"/>
    <m/>
    <x v="2"/>
  </r>
  <r>
    <s v="016"/>
    <x v="16"/>
    <x v="1"/>
    <m/>
    <n v="136258.45587999999"/>
    <m/>
    <n v="186271.37329860003"/>
    <n v="0"/>
    <m/>
    <x v="2"/>
  </r>
  <r>
    <s v="016"/>
    <x v="16"/>
    <x v="2"/>
    <n v="0"/>
    <n v="176474.30587679887"/>
    <m/>
    <n v="198353.97347518214"/>
    <n v="0"/>
    <m/>
    <x v="2"/>
  </r>
  <r>
    <s v="016"/>
    <x v="16"/>
    <x v="3"/>
    <n v="988.86855000000003"/>
    <n v="14152.981299999999"/>
    <n v="23027.266666666666"/>
    <n v="69081.8"/>
    <n v="-0.95705662489975651"/>
    <m/>
    <x v="2"/>
  </r>
  <r>
    <s v="016"/>
    <x v="16"/>
    <x v="4"/>
    <n v="230599"/>
    <n v="770119"/>
    <n v="498000"/>
    <n v="1494000"/>
    <n v="-0.5369497991967872"/>
    <m/>
    <x v="2"/>
  </r>
  <r>
    <s v="016"/>
    <x v="16"/>
    <x v="5"/>
    <n v="42269"/>
    <n v="243831"/>
    <n v="289000"/>
    <n v="867000"/>
    <n v="-0.85374048442906569"/>
    <m/>
    <x v="2"/>
  </r>
  <r>
    <s v="016"/>
    <x v="16"/>
    <x v="6"/>
    <n v="53"/>
    <n v="152"/>
    <n v="56"/>
    <n v="168"/>
    <n v="-5.3571428571428568E-2"/>
    <m/>
    <x v="2"/>
  </r>
  <r>
    <s v="016"/>
    <x v="16"/>
    <x v="7"/>
    <n v="393.50728999999978"/>
    <n v="1546.42518"/>
    <n v="1368.3477524950486"/>
    <n v="4083.8107354107296"/>
    <n v="-0.71242157610704027"/>
    <m/>
    <x v="2"/>
  </r>
  <r>
    <s v="016"/>
    <x v="16"/>
    <x v="8"/>
    <n v="672.47302795471342"/>
    <n v="3520.6613479547168"/>
    <n v="706.3240779547109"/>
    <n v="3349.9791479547125"/>
    <n v="-4.7925663383894999E-2"/>
    <m/>
    <x v="2"/>
  </r>
  <r>
    <s v="017"/>
    <x v="17"/>
    <x v="0"/>
    <n v="-18004.063700000013"/>
    <n v="-31526.267430000022"/>
    <n v="18288.479999999996"/>
    <n v="54865.439999999988"/>
    <n v="-1.9844483357829639"/>
    <m/>
    <x v="2"/>
  </r>
  <r>
    <s v="017"/>
    <x v="17"/>
    <x v="1"/>
    <m/>
    <n v="50323.354259999993"/>
    <m/>
    <n v="75016.986085800003"/>
    <n v="0"/>
    <m/>
    <x v="2"/>
  </r>
  <r>
    <s v="017"/>
    <x v="17"/>
    <x v="2"/>
    <n v="0"/>
    <n v="153035.51497051091"/>
    <m/>
    <n v="177381.59172881747"/>
    <n v="0"/>
    <m/>
    <x v="2"/>
  </r>
  <r>
    <s v="017"/>
    <x v="17"/>
    <x v="3"/>
    <n v="1669.2860000000001"/>
    <n v="7293.3477999999996"/>
    <n v="17860.599999999999"/>
    <n v="53581.799999999996"/>
    <n v="-0.90653807822805499"/>
    <m/>
    <x v="2"/>
  </r>
  <r>
    <s v="017"/>
    <x v="17"/>
    <x v="4"/>
    <n v="44500"/>
    <n v="321359.08999999997"/>
    <n v="164000"/>
    <n v="492000"/>
    <n v="-0.72865853658536583"/>
    <m/>
    <x v="2"/>
  </r>
  <r>
    <s v="017"/>
    <x v="17"/>
    <x v="5"/>
    <n v="0"/>
    <n v="1000"/>
    <n v="2000"/>
    <n v="6000"/>
    <n v="-1"/>
    <m/>
    <x v="2"/>
  </r>
  <r>
    <s v="017"/>
    <x v="17"/>
    <x v="6"/>
    <n v="30"/>
    <n v="85"/>
    <n v="48"/>
    <n v="144"/>
    <n v="-0.375"/>
    <m/>
    <x v="2"/>
  </r>
  <r>
    <s v="017"/>
    <x v="17"/>
    <x v="7"/>
    <n v="191.19176000000004"/>
    <n v="897.37297000000012"/>
    <n v="817.16322296402291"/>
    <n v="2444.4346588841595"/>
    <n v="-0.76602990121544223"/>
    <m/>
    <x v="2"/>
  </r>
  <r>
    <s v="017"/>
    <x v="17"/>
    <x v="8"/>
    <n v="-583.59786156195423"/>
    <n v="-2246.1894515619533"/>
    <n v="-591.33004156195148"/>
    <n v="-1868.8502215619521"/>
    <n v="1.3075912699401001E-2"/>
    <m/>
    <x v="2"/>
  </r>
  <r>
    <s v="018"/>
    <x v="18"/>
    <x v="0"/>
    <n v="2204.8544899999979"/>
    <n v="1909.3537499999911"/>
    <n v="23643.626666666671"/>
    <n v="70930.880000000005"/>
    <n v="-0.90674634982676106"/>
    <m/>
    <x v="2"/>
  </r>
  <r>
    <s v="018"/>
    <x v="18"/>
    <x v="1"/>
    <m/>
    <n v="34414.733509999998"/>
    <m/>
    <n v="38069.821528799999"/>
    <n v="0"/>
    <m/>
    <x v="2"/>
  </r>
  <r>
    <s v="018"/>
    <x v="18"/>
    <x v="2"/>
    <n v="0"/>
    <n v="170920.2037305047"/>
    <m/>
    <n v="197265.80271298008"/>
    <n v="0"/>
    <m/>
    <x v="2"/>
  </r>
  <r>
    <s v="018"/>
    <x v="18"/>
    <x v="3"/>
    <n v="4245.8260500000006"/>
    <n v="13402.4486"/>
    <n v="24554.533333333333"/>
    <n v="73663.600000000006"/>
    <n v="-0.82708585855157768"/>
    <m/>
    <x v="2"/>
  </r>
  <r>
    <s v="018"/>
    <x v="18"/>
    <x v="4"/>
    <n v="149129.15"/>
    <n v="376886.15"/>
    <n v="280000"/>
    <n v="840000"/>
    <n v="-0.46739589285714289"/>
    <m/>
    <x v="2"/>
  </r>
  <r>
    <s v="018"/>
    <x v="18"/>
    <x v="5"/>
    <n v="1000"/>
    <n v="25862"/>
    <n v="7000"/>
    <n v="21000"/>
    <n v="-0.8571428571428571"/>
    <m/>
    <x v="2"/>
  </r>
  <r>
    <s v="018"/>
    <x v="18"/>
    <x v="6"/>
    <n v="47"/>
    <n v="301"/>
    <n v="108"/>
    <n v="324"/>
    <n v="-0.56481481481481477"/>
    <m/>
    <x v="2"/>
  </r>
  <r>
    <s v="018"/>
    <x v="18"/>
    <x v="7"/>
    <n v="479.01132999999993"/>
    <n v="1257.01027"/>
    <n v="1161.6603341216774"/>
    <n v="3460.2608921411625"/>
    <n v="-0.58764940496812534"/>
    <m/>
    <x v="2"/>
  </r>
  <r>
    <s v="018"/>
    <x v="18"/>
    <x v="8"/>
    <n v="698.31919455414209"/>
    <n v="854.67012455414283"/>
    <n v="696.09417455414268"/>
    <n v="1730.5711445541428"/>
    <n v="3.1964353119670308E-3"/>
    <m/>
    <x v="2"/>
  </r>
  <r>
    <s v="019"/>
    <x v="19"/>
    <x v="0"/>
    <n v="-4.9132799999998724"/>
    <n v="0.40637000000015178"/>
    <n v="0"/>
    <n v="0"/>
    <n v="0"/>
    <m/>
    <x v="2"/>
  </r>
  <r>
    <s v="019"/>
    <x v="19"/>
    <x v="1"/>
    <m/>
    <n v="615.59143000000006"/>
    <m/>
    <n v="687.92719860000011"/>
    <n v="0"/>
    <m/>
    <x v="2"/>
  </r>
  <r>
    <s v="019"/>
    <x v="19"/>
    <x v="2"/>
    <n v="0"/>
    <n v="0"/>
    <m/>
    <n v="0"/>
    <n v="0"/>
    <m/>
    <x v="2"/>
  </r>
  <r>
    <s v="019"/>
    <x v="19"/>
    <x v="3"/>
    <n v="0"/>
    <n v="0"/>
    <n v="0"/>
    <n v="0"/>
    <n v="0"/>
    <m/>
    <x v="2"/>
  </r>
  <r>
    <s v="019"/>
    <x v="19"/>
    <x v="4"/>
    <n v="0"/>
    <n v="0"/>
    <n v="0"/>
    <n v="0"/>
    <n v="0"/>
    <m/>
    <x v="2"/>
  </r>
  <r>
    <s v="019"/>
    <x v="19"/>
    <x v="5"/>
    <n v="0"/>
    <n v="0"/>
    <n v="0"/>
    <n v="0"/>
    <n v="0"/>
    <m/>
    <x v="2"/>
  </r>
  <r>
    <s v="019"/>
    <x v="19"/>
    <x v="6"/>
    <n v="0"/>
    <n v="0"/>
    <n v="0"/>
    <n v="0"/>
    <n v="0"/>
    <m/>
    <x v="2"/>
  </r>
  <r>
    <s v="019"/>
    <x v="19"/>
    <x v="7"/>
    <n v="0"/>
    <n v="0"/>
    <n v="0.77586882545144986"/>
    <n v="2.2288674376039888"/>
    <n v="-1"/>
    <m/>
    <x v="2"/>
  </r>
  <r>
    <s v="019"/>
    <x v="19"/>
    <x v="8"/>
    <n v="6.0259200000000011"/>
    <n v="7.2884400000000005"/>
    <n v="6.0259200000000011"/>
    <n v="-1.1877299999999995"/>
    <n v="0"/>
    <m/>
    <x v="2"/>
  </r>
  <r>
    <s v="020"/>
    <x v="20"/>
    <x v="0"/>
    <n v="1554.2964199999406"/>
    <n v="12283.018559999968"/>
    <n v="30401.600000000006"/>
    <n v="91204.800000000017"/>
    <n v="-0.94887451910425968"/>
    <m/>
    <x v="2"/>
  </r>
  <r>
    <s v="020"/>
    <x v="20"/>
    <x v="1"/>
    <m/>
    <n v="230741.27798999994"/>
    <m/>
    <n v="221888.08902360001"/>
    <n v="0"/>
    <m/>
    <x v="2"/>
  </r>
  <r>
    <s v="020"/>
    <x v="20"/>
    <x v="2"/>
    <n v="0"/>
    <n v="156806.35254054744"/>
    <m/>
    <n v="193219.66967572513"/>
    <n v="0"/>
    <m/>
    <x v="2"/>
  </r>
  <r>
    <s v="020"/>
    <x v="20"/>
    <x v="3"/>
    <n v="1569.9549999999999"/>
    <n v="7190.1089999999995"/>
    <n v="33002"/>
    <n v="99006"/>
    <n v="-0.95242848918247369"/>
    <m/>
    <x v="2"/>
  </r>
  <r>
    <s v="020"/>
    <x v="20"/>
    <x v="4"/>
    <n v="8000"/>
    <n v="26400"/>
    <n v="63000"/>
    <n v="189000"/>
    <n v="-0.87301587301587302"/>
    <m/>
    <x v="2"/>
  </r>
  <r>
    <s v="020"/>
    <x v="20"/>
    <x v="5"/>
    <n v="69598"/>
    <n v="280536"/>
    <n v="99000"/>
    <n v="297000"/>
    <n v="-0.29698989898989897"/>
    <m/>
    <x v="2"/>
  </r>
  <r>
    <s v="020"/>
    <x v="20"/>
    <x v="6"/>
    <n v="110"/>
    <n v="416"/>
    <n v="178"/>
    <n v="534"/>
    <n v="-0.38202247191011235"/>
    <m/>
    <x v="2"/>
  </r>
  <r>
    <s v="020"/>
    <x v="20"/>
    <x v="7"/>
    <n v="291.59858999999994"/>
    <n v="947.11544000000004"/>
    <n v="1186.2881077338307"/>
    <n v="3547.582935577248"/>
    <n v="-0.75419243596984087"/>
    <m/>
    <x v="2"/>
  </r>
  <r>
    <s v="020"/>
    <x v="20"/>
    <x v="8"/>
    <n v="-2367.9183559209855"/>
    <n v="-5151.6396559209843"/>
    <n v="-2367.9179559209797"/>
    <n v="-6129.6472159209798"/>
    <n v="-1.6892477410845557E-7"/>
    <m/>
    <x v="2"/>
  </r>
  <r>
    <s v="000"/>
    <x v="0"/>
    <x v="0"/>
    <n v="0"/>
    <n v="0"/>
    <n v="0"/>
    <n v="0"/>
    <n v="0"/>
    <m/>
    <x v="3"/>
  </r>
  <r>
    <s v="000"/>
    <x v="0"/>
    <x v="1"/>
    <m/>
    <n v="0"/>
    <m/>
    <n v="0"/>
    <n v="0"/>
    <m/>
    <x v="3"/>
  </r>
  <r>
    <s v="000"/>
    <x v="0"/>
    <x v="2"/>
    <n v="0"/>
    <n v="0"/>
    <m/>
    <n v="0"/>
    <n v="0"/>
    <m/>
    <x v="3"/>
  </r>
  <r>
    <s v="000"/>
    <x v="0"/>
    <x v="3"/>
    <n v="0"/>
    <n v="0"/>
    <n v="0"/>
    <n v="0"/>
    <n v="0"/>
    <m/>
    <x v="3"/>
  </r>
  <r>
    <s v="000"/>
    <x v="0"/>
    <x v="4"/>
    <n v="0"/>
    <n v="0"/>
    <n v="0"/>
    <n v="0"/>
    <n v="0"/>
    <m/>
    <x v="3"/>
  </r>
  <r>
    <s v="000"/>
    <x v="0"/>
    <x v="5"/>
    <n v="0"/>
    <n v="209870"/>
    <n v="0"/>
    <n v="99000"/>
    <n v="0"/>
    <m/>
    <x v="3"/>
  </r>
  <r>
    <s v="000"/>
    <x v="0"/>
    <x v="6"/>
    <n v="0"/>
    <n v="0"/>
    <n v="0"/>
    <n v="0"/>
    <n v="0"/>
    <m/>
    <x v="3"/>
  </r>
  <r>
    <s v="000"/>
    <x v="0"/>
    <x v="7"/>
    <n v="354.6703"/>
    <n v="453.76379000000003"/>
    <n v="117.38327080666403"/>
    <n v="117.50484539416971"/>
    <n v="2.0214722895578476"/>
    <m/>
    <x v="3"/>
  </r>
  <r>
    <s v="000"/>
    <x v="0"/>
    <x v="8"/>
    <n v="-53905.796570189341"/>
    <n v="-145864.89447833935"/>
    <n v="-18820.359002195852"/>
    <n v="-108970.86973034583"/>
    <n v="-1.8642278589850449"/>
    <m/>
    <x v="3"/>
  </r>
  <r>
    <s v="001"/>
    <x v="1"/>
    <x v="0"/>
    <n v="799.3063100000727"/>
    <n v="10759.066650000168"/>
    <n v="7465.9829260652068"/>
    <n v="65531.422926065206"/>
    <n v="-0.89294024404883943"/>
    <m/>
    <x v="3"/>
  </r>
  <r>
    <s v="001"/>
    <x v="1"/>
    <x v="1"/>
    <m/>
    <n v="489382.63978000014"/>
    <m/>
    <n v="501109.87596213032"/>
    <n v="0"/>
    <m/>
    <x v="3"/>
  </r>
  <r>
    <s v="001"/>
    <x v="1"/>
    <x v="2"/>
    <n v="0"/>
    <n v="658657.48782894283"/>
    <m/>
    <n v="512153.98187454953"/>
    <n v="0"/>
    <m/>
    <x v="3"/>
  </r>
  <r>
    <s v="001"/>
    <x v="1"/>
    <x v="3"/>
    <n v="7002.9337500000001"/>
    <n v="43331.011599999998"/>
    <n v="21166.644999582291"/>
    <n v="78748.444999582294"/>
    <n v="-0.66915239755104328"/>
    <m/>
    <x v="3"/>
  </r>
  <r>
    <s v="001"/>
    <x v="1"/>
    <x v="4"/>
    <n v="1854108"/>
    <n v="6062654"/>
    <n v="124221.61012837839"/>
    <n v="4174221.6101283785"/>
    <n v="13.925808787085021"/>
    <m/>
    <x v="3"/>
  </r>
  <r>
    <s v="001"/>
    <x v="1"/>
    <x v="5"/>
    <n v="1239"/>
    <n v="233995"/>
    <n v="28000"/>
    <n v="34000"/>
    <n v="-0.95574999999999999"/>
    <m/>
    <x v="3"/>
  </r>
  <r>
    <s v="001"/>
    <x v="1"/>
    <x v="6"/>
    <n v="21"/>
    <n v="185"/>
    <n v="85"/>
    <n v="340"/>
    <n v="-0.75294117647058822"/>
    <m/>
    <x v="3"/>
  </r>
  <r>
    <s v="001"/>
    <x v="1"/>
    <x v="7"/>
    <n v="2498.7341500000002"/>
    <n v="7820.2592800000002"/>
    <n v="-9.3724204995451146"/>
    <n v="6280.7648958802038"/>
    <n v="267.60499815616203"/>
    <m/>
    <x v="3"/>
  </r>
  <r>
    <s v="001"/>
    <x v="1"/>
    <x v="8"/>
    <n v="-1030.3587791835555"/>
    <n v="-6113.6106255955146"/>
    <n v="4382.1499191513167"/>
    <n v="-101.46511726063781"/>
    <n v="-1.2351263188601962"/>
    <m/>
    <x v="3"/>
  </r>
  <r>
    <s v="002"/>
    <x v="2"/>
    <x v="0"/>
    <n v="4743.3586200000063"/>
    <n v="-18361.573029999963"/>
    <n v="2986.0037593984976"/>
    <n v="62251.443759398499"/>
    <n v="0.58853069259213242"/>
    <m/>
    <x v="3"/>
  </r>
  <r>
    <s v="002"/>
    <x v="2"/>
    <x v="1"/>
    <m/>
    <n v="54771.470080000036"/>
    <m/>
    <n v="55084.296318797002"/>
    <n v="0"/>
    <m/>
    <x v="3"/>
  </r>
  <r>
    <s v="002"/>
    <x v="2"/>
    <x v="2"/>
    <n v="0"/>
    <n v="90437.526144262112"/>
    <m/>
    <n v="76113.816078896096"/>
    <n v="0"/>
    <m/>
    <x v="3"/>
  </r>
  <r>
    <s v="002"/>
    <x v="2"/>
    <x v="3"/>
    <n v="1105.442"/>
    <n v="7457.0268500000002"/>
    <n v="5348.7727218045111"/>
    <n v="64430.572721804499"/>
    <n v="-0.79332791698297134"/>
    <m/>
    <x v="3"/>
  </r>
  <r>
    <s v="002"/>
    <x v="2"/>
    <x v="4"/>
    <n v="10500"/>
    <n v="49500"/>
    <n v="62110.805064189197"/>
    <n v="152110.80506418919"/>
    <n v="-0.83094728865374323"/>
    <m/>
    <x v="3"/>
  </r>
  <r>
    <s v="002"/>
    <x v="2"/>
    <x v="5"/>
    <n v="54845"/>
    <n v="173159"/>
    <n v="14000"/>
    <n v="233000"/>
    <n v="2.9175"/>
    <m/>
    <x v="3"/>
  </r>
  <r>
    <s v="002"/>
    <x v="2"/>
    <x v="6"/>
    <n v="48"/>
    <n v="229"/>
    <n v="73"/>
    <n v="292"/>
    <n v="-0.34246575342465752"/>
    <m/>
    <x v="3"/>
  </r>
  <r>
    <s v="002"/>
    <x v="2"/>
    <x v="7"/>
    <n v="119.54642000000013"/>
    <n v="647.13869000000011"/>
    <n v="-1373.99490293128"/>
    <n v="904.16654440317302"/>
    <n v="1.0870064508572483"/>
    <m/>
    <x v="3"/>
  </r>
  <r>
    <s v="002"/>
    <x v="2"/>
    <x v="8"/>
    <n v="-1308.6718885957403"/>
    <n v="-4286.3301135816"/>
    <n v="79.015023048315015"/>
    <n v="-2795.1089519375455"/>
    <n v="-17.562317368376032"/>
    <m/>
    <x v="3"/>
  </r>
  <r>
    <s v="003"/>
    <x v="3"/>
    <x v="0"/>
    <n v="-8785.0823099999907"/>
    <n v="-3994.3820700000069"/>
    <n v="2986.0037593984976"/>
    <n v="54316.883759398501"/>
    <n v="-3.9420868216755571"/>
    <m/>
    <x v="3"/>
  </r>
  <r>
    <s v="003"/>
    <x v="3"/>
    <x v="1"/>
    <m/>
    <n v="36290.48614999999"/>
    <m/>
    <n v="52546.068008796974"/>
    <n v="0"/>
    <m/>
    <x v="3"/>
  </r>
  <r>
    <s v="003"/>
    <x v="3"/>
    <x v="2"/>
    <n v="0"/>
    <n v="100460.12674563688"/>
    <m/>
    <n v="83420.542987762878"/>
    <n v="0"/>
    <m/>
    <x v="3"/>
  </r>
  <r>
    <s v="003"/>
    <x v="3"/>
    <x v="3"/>
    <n v="460.94200000000001"/>
    <n v="5021.7638500000003"/>
    <n v="5348.7727218045111"/>
    <n v="54512.372721804517"/>
    <n v="-0.91382284797390079"/>
    <m/>
    <x v="3"/>
  </r>
  <r>
    <s v="003"/>
    <x v="3"/>
    <x v="4"/>
    <n v="2000"/>
    <n v="27000"/>
    <n v="62110.805064189197"/>
    <n v="98110.80506418919"/>
    <n v="-0.96779948355309398"/>
    <m/>
    <x v="3"/>
  </r>
  <r>
    <s v="003"/>
    <x v="3"/>
    <x v="5"/>
    <n v="0"/>
    <n v="0"/>
    <n v="14000"/>
    <n v="17000"/>
    <n v="-1"/>
    <m/>
    <x v="3"/>
  </r>
  <r>
    <s v="003"/>
    <x v="3"/>
    <x v="6"/>
    <n v="25"/>
    <n v="102"/>
    <n v="66"/>
    <n v="264"/>
    <n v="-0.62121212121212122"/>
    <m/>
    <x v="3"/>
  </r>
  <r>
    <s v="003"/>
    <x v="3"/>
    <x v="7"/>
    <n v="60.143310000000042"/>
    <n v="334.12554"/>
    <n v="-1363.6787452939009"/>
    <n v="657.74089774999675"/>
    <n v="1.0441037232614769"/>
    <m/>
    <x v="3"/>
  </r>
  <r>
    <s v="003"/>
    <x v="3"/>
    <x v="8"/>
    <n v="-1036.8595674556905"/>
    <n v="-3712.7445292715915"/>
    <n v="471.75479851069599"/>
    <n v="-1757.273113305205"/>
    <n v="-3.1978781577399937"/>
    <m/>
    <x v="3"/>
  </r>
  <r>
    <s v="004"/>
    <x v="4"/>
    <x v="0"/>
    <n v="358.92621000000509"/>
    <n v="1539.9198100000067"/>
    <n v="4554.5513784461173"/>
    <n v="77550.871378446143"/>
    <n v="-0.92119394860741244"/>
    <m/>
    <x v="3"/>
  </r>
  <r>
    <s v="004"/>
    <x v="4"/>
    <x v="1"/>
    <m/>
    <n v="24419.639129999992"/>
    <m/>
    <n v="33413.218986892214"/>
    <n v="0"/>
    <m/>
    <x v="3"/>
  </r>
  <r>
    <s v="004"/>
    <x v="4"/>
    <x v="2"/>
    <n v="0"/>
    <n v="110021.30089497763"/>
    <m/>
    <n v="86161.412800098609"/>
    <n v="0"/>
    <m/>
    <x v="3"/>
  </r>
  <r>
    <s v="004"/>
    <x v="4"/>
    <x v="3"/>
    <n v="1175.8"/>
    <n v="9810.7510199999997"/>
    <n v="8158.4827535505428"/>
    <n v="84403.882753550541"/>
    <n v="-0.85588006550748719"/>
    <m/>
    <x v="3"/>
  </r>
  <r>
    <s v="004"/>
    <x v="4"/>
    <x v="4"/>
    <n v="2000"/>
    <n v="28000"/>
    <n v="124221.61012837839"/>
    <n v="385221.61012837838"/>
    <n v="-0.98389974177654693"/>
    <m/>
    <x v="3"/>
  </r>
  <r>
    <s v="004"/>
    <x v="4"/>
    <x v="5"/>
    <n v="0"/>
    <n v="27984"/>
    <n v="28000"/>
    <n v="31000"/>
    <n v="-1"/>
    <m/>
    <x v="3"/>
  </r>
  <r>
    <s v="004"/>
    <x v="4"/>
    <x v="6"/>
    <n v="12"/>
    <n v="63"/>
    <n v="101"/>
    <n v="404"/>
    <n v="-0.88118811881188119"/>
    <m/>
    <x v="3"/>
  </r>
  <r>
    <s v="004"/>
    <x v="4"/>
    <x v="7"/>
    <n v="26.078370000000007"/>
    <n v="468.80052000000001"/>
    <n v="-1823.3459347779396"/>
    <n v="866.46611862417626"/>
    <n v="1.014302480677193"/>
    <m/>
    <x v="3"/>
  </r>
  <r>
    <s v="004"/>
    <x v="4"/>
    <x v="8"/>
    <n v="-1416.3555877426272"/>
    <n v="-1224.5930935273655"/>
    <n v="423.01027928382916"/>
    <n v="1036.003373499092"/>
    <n v="-4.3482769972884947"/>
    <m/>
    <x v="3"/>
  </r>
  <r>
    <s v="005"/>
    <x v="5"/>
    <x v="0"/>
    <n v="-4274.3180999999749"/>
    <n v="-6091.7295500000473"/>
    <n v="8734.8787593984907"/>
    <n v="108400.31875939846"/>
    <n v="-1.4893391445646484"/>
    <m/>
    <x v="3"/>
  </r>
  <r>
    <s v="005"/>
    <x v="5"/>
    <x v="1"/>
    <m/>
    <n v="136221.86233"/>
    <m/>
    <n v="172969.14579879702"/>
    <n v="0"/>
    <m/>
    <x v="3"/>
  </r>
  <r>
    <s v="005"/>
    <x v="5"/>
    <x v="2"/>
    <n v="0"/>
    <n v="347751.11884172849"/>
    <m/>
    <n v="216930.07196041453"/>
    <n v="0"/>
    <m/>
    <x v="3"/>
  </r>
  <r>
    <s v="005"/>
    <x v="5"/>
    <x v="3"/>
    <n v="2212.8872999999999"/>
    <n v="19041.868399999996"/>
    <n v="10575.010092174882"/>
    <n v="120156.81009217487"/>
    <n v="-0.79074371743271854"/>
    <m/>
    <x v="3"/>
  </r>
  <r>
    <s v="005"/>
    <x v="5"/>
    <x v="4"/>
    <n v="447043"/>
    <n v="2827593.3899999997"/>
    <n v="1608965.6169009011"/>
    <n v="6171965.6169009013"/>
    <n v="-0.72215503221189459"/>
    <m/>
    <x v="3"/>
  </r>
  <r>
    <s v="005"/>
    <x v="5"/>
    <x v="5"/>
    <n v="122781"/>
    <n v="305063"/>
    <n v="97666"/>
    <n v="358666"/>
    <n v="0.25715192595171299"/>
    <m/>
    <x v="3"/>
  </r>
  <r>
    <s v="005"/>
    <x v="5"/>
    <x v="6"/>
    <n v="24"/>
    <n v="184"/>
    <n v="68"/>
    <n v="272"/>
    <n v="-0.6470588235294118"/>
    <m/>
    <x v="3"/>
  </r>
  <r>
    <s v="005"/>
    <x v="5"/>
    <x v="7"/>
    <n v="626.71722"/>
    <n v="3837.1592099999998"/>
    <n v="-3112.4086198703917"/>
    <n v="5387.9242311677062"/>
    <n v="1.201360841889102"/>
    <m/>
    <x v="3"/>
  </r>
  <r>
    <s v="005"/>
    <x v="5"/>
    <x v="8"/>
    <n v="-2436.1116565257325"/>
    <n v="2934.7389314107936"/>
    <n v="4550.32323557783"/>
    <n v="10501.714203514364"/>
    <n v="-1.5353711220948854"/>
    <m/>
    <x v="3"/>
  </r>
  <r>
    <s v="006"/>
    <x v="6"/>
    <x v="0"/>
    <n v="42.811040000015055"/>
    <n v="14366.150720000005"/>
    <n v="5601.4829260651622"/>
    <n v="72866.922926065177"/>
    <n v="-0.99235719530612077"/>
    <m/>
    <x v="3"/>
  </r>
  <r>
    <s v="006"/>
    <x v="6"/>
    <x v="1"/>
    <m/>
    <n v="92311.274630000014"/>
    <m/>
    <n v="81108.644652130301"/>
    <n v="0"/>
    <m/>
    <x v="3"/>
  </r>
  <r>
    <s v="006"/>
    <x v="6"/>
    <x v="2"/>
    <n v="0"/>
    <n v="181495.66352530249"/>
    <m/>
    <n v="141387.11130683607"/>
    <n v="0"/>
    <m/>
    <x v="3"/>
  </r>
  <r>
    <s v="006"/>
    <x v="6"/>
    <x v="3"/>
    <n v="1889.0029999999999"/>
    <n v="8864.8420000000006"/>
    <n v="11147.112999582288"/>
    <n v="80228.912999582288"/>
    <n v="-0.83053881304775623"/>
    <m/>
    <x v="3"/>
  </r>
  <r>
    <s v="006"/>
    <x v="6"/>
    <x v="4"/>
    <n v="14000"/>
    <n v="173490.31"/>
    <n v="124221.61012837839"/>
    <n v="595221.61012837838"/>
    <n v="-0.88729819243582886"/>
    <m/>
    <x v="3"/>
  </r>
  <r>
    <s v="006"/>
    <x v="6"/>
    <x v="5"/>
    <n v="7118"/>
    <n v="313597"/>
    <n v="28000"/>
    <n v="130000"/>
    <n v="-0.74578571428571427"/>
    <m/>
    <x v="3"/>
  </r>
  <r>
    <s v="006"/>
    <x v="6"/>
    <x v="6"/>
    <n v="20"/>
    <n v="148"/>
    <n v="66"/>
    <n v="264"/>
    <n v="-0.69696969696969702"/>
    <m/>
    <x v="3"/>
  </r>
  <r>
    <s v="006"/>
    <x v="6"/>
    <x v="7"/>
    <n v="-92.480380000000082"/>
    <n v="736.04628999999989"/>
    <n v="-1701.1688798672039"/>
    <n v="1537.808350154683"/>
    <n v="0.94563715507938328"/>
    <m/>
    <x v="3"/>
  </r>
  <r>
    <s v="006"/>
    <x v="6"/>
    <x v="8"/>
    <n v="-2547.6280808565057"/>
    <n v="1802.2956251565085"/>
    <n v="1078.7911151979524"/>
    <n v="6254.7051412109668"/>
    <n v="-3.3615582710736631"/>
    <m/>
    <x v="3"/>
  </r>
  <r>
    <s v="007"/>
    <x v="7"/>
    <x v="0"/>
    <n v="-10067.824450000015"/>
    <n v="-25460.931199999992"/>
    <n v="2789.9353070175348"/>
    <n v="81320.815307017503"/>
    <n v="-4.6086229041499198"/>
    <m/>
    <x v="3"/>
  </r>
  <r>
    <s v="007"/>
    <x v="7"/>
    <x v="1"/>
    <m/>
    <n v="169628.47763999997"/>
    <m/>
    <n v="208357.57253403505"/>
    <n v="0"/>
    <m/>
    <x v="3"/>
  </r>
  <r>
    <s v="007"/>
    <x v="7"/>
    <x v="2"/>
    <n v="0"/>
    <n v="128457.12297543175"/>
    <m/>
    <n v="132400.81461661839"/>
    <n v="0"/>
    <m/>
    <x v="3"/>
  </r>
  <r>
    <s v="007"/>
    <x v="7"/>
    <x v="3"/>
    <n v="20"/>
    <n v="6712.9261099999994"/>
    <n v="4997.5589678362567"/>
    <n v="88161.158967836265"/>
    <n v="-0.99599804622042121"/>
    <m/>
    <x v="3"/>
  </r>
  <r>
    <s v="007"/>
    <x v="7"/>
    <x v="4"/>
    <n v="35000"/>
    <n v="163900"/>
    <n v="62110.805064189197"/>
    <n v="842110.80506418925"/>
    <n v="-0.43649096217914407"/>
    <m/>
    <x v="3"/>
  </r>
  <r>
    <s v="007"/>
    <x v="7"/>
    <x v="5"/>
    <n v="816"/>
    <n v="3118"/>
    <n v="14000"/>
    <n v="68000"/>
    <n v="-0.94171428571428573"/>
    <m/>
    <x v="3"/>
  </r>
  <r>
    <s v="007"/>
    <x v="7"/>
    <x v="6"/>
    <n v="14"/>
    <n v="94"/>
    <n v="76"/>
    <n v="304"/>
    <n v="-0.81578947368421051"/>
    <m/>
    <x v="3"/>
  </r>
  <r>
    <s v="007"/>
    <x v="7"/>
    <x v="7"/>
    <n v="113.37011999999982"/>
    <n v="736.54476999999986"/>
    <n v="-2692.8910250248696"/>
    <n v="999.09468605691563"/>
    <n v="1.0420997801048979"/>
    <m/>
    <x v="3"/>
  </r>
  <r>
    <s v="007"/>
    <x v="7"/>
    <x v="8"/>
    <n v="-174.76315408437793"/>
    <n v="-1423.3481201984432"/>
    <n v="312.06171336721832"/>
    <n v="-1660.1281727468465"/>
    <n v="-1.5600275413431623"/>
    <m/>
    <x v="3"/>
  </r>
  <r>
    <s v="008"/>
    <x v="8"/>
    <x v="0"/>
    <n v="1814.0634000000427"/>
    <n v="11240.761739999987"/>
    <n v="6907.3728070175648"/>
    <n v="83103.692807017695"/>
    <n v="-0.73737288391947808"/>
    <m/>
    <x v="3"/>
  </r>
  <r>
    <s v="008"/>
    <x v="8"/>
    <x v="1"/>
    <m/>
    <n v="345836.35067000001"/>
    <m/>
    <n v="348474.42779403506"/>
    <n v="0"/>
    <m/>
    <x v="3"/>
  </r>
  <r>
    <s v="008"/>
    <x v="8"/>
    <x v="2"/>
    <n v="0"/>
    <n v="336272.55622898531"/>
    <m/>
    <n v="252410.07778717196"/>
    <n v="0"/>
    <m/>
    <x v="3"/>
  </r>
  <r>
    <s v="008"/>
    <x v="8"/>
    <x v="3"/>
    <n v="5373.1700499999997"/>
    <n v="22668.669300000001"/>
    <n v="12373.04780116959"/>
    <n v="92618.44780116959"/>
    <n v="-0.56573593375335629"/>
    <m/>
    <x v="3"/>
  </r>
  <r>
    <s v="008"/>
    <x v="8"/>
    <x v="4"/>
    <n v="20000"/>
    <n v="294632"/>
    <n v="248443.22025675679"/>
    <n v="806443.22025675676"/>
    <n v="-0.91949870888273488"/>
    <m/>
    <x v="3"/>
  </r>
  <r>
    <s v="008"/>
    <x v="8"/>
    <x v="5"/>
    <n v="64702"/>
    <n v="292086"/>
    <n v="56000"/>
    <n v="290000"/>
    <n v="0.15539285714285714"/>
    <m/>
    <x v="3"/>
  </r>
  <r>
    <s v="008"/>
    <x v="8"/>
    <x v="6"/>
    <n v="33"/>
    <n v="257"/>
    <n v="98"/>
    <n v="392"/>
    <n v="-0.66326530612244894"/>
    <m/>
    <x v="3"/>
  </r>
  <r>
    <s v="008"/>
    <x v="8"/>
    <x v="7"/>
    <n v="185.33564000000024"/>
    <n v="1346.6408899999999"/>
    <n v="-1505.6322471249991"/>
    <n v="1968.0956352705143"/>
    <n v="1.1230948927627566"/>
    <m/>
    <x v="3"/>
  </r>
  <r>
    <s v="008"/>
    <x v="8"/>
    <x v="8"/>
    <n v="2779.4818384492964"/>
    <n v="-4334.2725327340486"/>
    <n v="4406.3104681935947"/>
    <n v="-3650.0942829897544"/>
    <n v="-0.36920426771725662"/>
    <m/>
    <x v="3"/>
  </r>
  <r>
    <s v="009"/>
    <x v="9"/>
    <x v="0"/>
    <n v="-3193.7531799999997"/>
    <n v="7895.327899999982"/>
    <n v="2867.6228070175425"/>
    <n v="69398.502807017561"/>
    <n v="-2.1137284764873407"/>
    <m/>
    <x v="3"/>
  </r>
  <r>
    <s v="009"/>
    <x v="9"/>
    <x v="1"/>
    <m/>
    <n v="46968.335369999993"/>
    <m/>
    <n v="51538.665134035087"/>
    <n v="0"/>
    <m/>
    <x v="3"/>
  </r>
  <r>
    <s v="009"/>
    <x v="9"/>
    <x v="2"/>
    <n v="0"/>
    <n v="208362.67743963207"/>
    <m/>
    <n v="186103.1558608237"/>
    <n v="0"/>
    <m/>
    <x v="3"/>
  </r>
  <r>
    <s v="009"/>
    <x v="9"/>
    <x v="3"/>
    <n v="1860.78"/>
    <n v="22892.33625"/>
    <n v="5136.719134502925"/>
    <n v="73300.319134502934"/>
    <n v="-0.63774931989150596"/>
    <m/>
    <x v="3"/>
  </r>
  <r>
    <s v="009"/>
    <x v="9"/>
    <x v="4"/>
    <n v="217923"/>
    <n v="238923"/>
    <n v="0"/>
    <n v="102000"/>
    <n v="0"/>
    <m/>
    <x v="3"/>
  </r>
  <r>
    <s v="009"/>
    <x v="9"/>
    <x v="5"/>
    <n v="0"/>
    <n v="7781"/>
    <n v="0"/>
    <n v="6000"/>
    <n v="0"/>
    <m/>
    <x v="3"/>
  </r>
  <r>
    <s v="009"/>
    <x v="9"/>
    <x v="6"/>
    <n v="24"/>
    <n v="138"/>
    <n v="73"/>
    <n v="292"/>
    <n v="-0.67123287671232879"/>
    <m/>
    <x v="3"/>
  </r>
  <r>
    <s v="009"/>
    <x v="9"/>
    <x v="7"/>
    <n v="399.65303999999992"/>
    <n v="1422.42643"/>
    <n v="-1235.4354527127562"/>
    <n v="1332.0902254826015"/>
    <n v="1.3234916394235297"/>
    <m/>
    <x v="3"/>
  </r>
  <r>
    <s v="009"/>
    <x v="9"/>
    <x v="8"/>
    <n v="467.40077449549551"/>
    <n v="3404.1095061980182"/>
    <n v="1685.3212749554714"/>
    <n v="5983.3481066579952"/>
    <n v="-0.72266369537888553"/>
    <m/>
    <x v="3"/>
  </r>
  <r>
    <s v="010"/>
    <x v="10"/>
    <x v="0"/>
    <n v="-26356.569939999987"/>
    <n v="-39269.316939999902"/>
    <n v="2986.0037593985198"/>
    <n v="85116.883759398494"/>
    <n v="-9.8267035354667716"/>
    <m/>
    <x v="3"/>
  </r>
  <r>
    <s v="010"/>
    <x v="10"/>
    <x v="1"/>
    <m/>
    <n v="183735.93455000006"/>
    <m/>
    <n v="227624.84438879698"/>
    <n v="0"/>
    <m/>
    <x v="3"/>
  </r>
  <r>
    <s v="010"/>
    <x v="10"/>
    <x v="2"/>
    <n v="0"/>
    <n v="145563.80911496349"/>
    <m/>
    <n v="102811.32738105005"/>
    <n v="0"/>
    <m/>
    <x v="3"/>
  </r>
  <r>
    <s v="010"/>
    <x v="10"/>
    <x v="3"/>
    <n v="1491.6579999999999"/>
    <n v="16770.525849999998"/>
    <n v="5348.7727218045111"/>
    <n v="93012.37272180451"/>
    <n v="-0.72112144643589182"/>
    <m/>
    <x v="3"/>
  </r>
  <r>
    <s v="010"/>
    <x v="10"/>
    <x v="4"/>
    <n v="350297"/>
    <n v="1979132"/>
    <n v="62110.805064189197"/>
    <n v="2546110.8050641892"/>
    <n v="4.6398721549009245"/>
    <m/>
    <x v="3"/>
  </r>
  <r>
    <s v="010"/>
    <x v="10"/>
    <x v="5"/>
    <n v="1013"/>
    <n v="4367"/>
    <n v="14000"/>
    <n v="191000"/>
    <n v="-0.9276428571428571"/>
    <m/>
    <x v="3"/>
  </r>
  <r>
    <s v="010"/>
    <x v="10"/>
    <x v="6"/>
    <n v="49"/>
    <n v="262"/>
    <n v="91"/>
    <n v="364"/>
    <n v="-0.46153846153846156"/>
    <m/>
    <x v="3"/>
  </r>
  <r>
    <s v="010"/>
    <x v="10"/>
    <x v="7"/>
    <n v="610.28282999999965"/>
    <n v="3267.72624"/>
    <n v="-2620.9846348978135"/>
    <n v="3110.4379494666391"/>
    <n v="1.2328448713030298"/>
    <m/>
    <x v="3"/>
  </r>
  <r>
    <s v="010"/>
    <x v="10"/>
    <x v="8"/>
    <n v="1460.7134323054677"/>
    <n v="-2418.1985174512106"/>
    <n v="-72.69862177500363"/>
    <n v="-5131.3209015316834"/>
    <n v="21.092725235235655"/>
    <m/>
    <x v="3"/>
  </r>
  <r>
    <s v="011"/>
    <x v="11"/>
    <x v="0"/>
    <n v="-4768.7817799999939"/>
    <n v="-11245.880880000004"/>
    <n v="2986.0037593984976"/>
    <n v="47851.44375939852"/>
    <n v="-2.5970448010958367"/>
    <m/>
    <x v="3"/>
  </r>
  <r>
    <s v="011"/>
    <x v="11"/>
    <x v="1"/>
    <m/>
    <n v="26661.785249999994"/>
    <m/>
    <n v="35644.36819879699"/>
    <n v="0"/>
    <m/>
    <x v="3"/>
  </r>
  <r>
    <s v="011"/>
    <x v="11"/>
    <x v="2"/>
    <n v="0"/>
    <n v="72267.389906319819"/>
    <m/>
    <n v="68521.725922632133"/>
    <n v="0"/>
    <m/>
    <x v="3"/>
  </r>
  <r>
    <s v="011"/>
    <x v="11"/>
    <x v="3"/>
    <n v="2912.36555"/>
    <n v="11036.422049999999"/>
    <n v="10544.085610693401"/>
    <n v="51625.885610693404"/>
    <n v="-0.72379154935479728"/>
    <m/>
    <x v="3"/>
  </r>
  <r>
    <s v="011"/>
    <x v="11"/>
    <x v="4"/>
    <n v="95000"/>
    <n v="276789.14"/>
    <n v="62110.805064189197"/>
    <n v="416110.80506418919"/>
    <n v="0.52952453122803755"/>
    <m/>
    <x v="3"/>
  </r>
  <r>
    <s v="011"/>
    <x v="11"/>
    <x v="5"/>
    <n v="1815"/>
    <n v="2605"/>
    <n v="14000"/>
    <n v="92000"/>
    <n v="-0.87035714285714283"/>
    <m/>
    <x v="3"/>
  </r>
  <r>
    <s v="011"/>
    <x v="11"/>
    <x v="6"/>
    <n v="22"/>
    <n v="150"/>
    <n v="58"/>
    <n v="232"/>
    <n v="-0.62068965517241381"/>
    <m/>
    <x v="3"/>
  </r>
  <r>
    <s v="011"/>
    <x v="11"/>
    <x v="7"/>
    <n v="240.91201999999998"/>
    <n v="935.12432999999999"/>
    <n v="-733.67390776429647"/>
    <n v="1195.5873088864973"/>
    <n v="1.3283638922557901"/>
    <m/>
    <x v="3"/>
  </r>
  <r>
    <s v="011"/>
    <x v="11"/>
    <x v="8"/>
    <n v="-1861.7710010632964"/>
    <n v="-1534.9123687335896"/>
    <n v="316.2326068485396"/>
    <n v="881.74393917824523"/>
    <n v="-6.8873467211905703"/>
    <m/>
    <x v="3"/>
  </r>
  <r>
    <s v="012"/>
    <x v="12"/>
    <x v="0"/>
    <n v="28142.53973999992"/>
    <n v="16217.805469999905"/>
    <n v="6444.9472117794749"/>
    <n v="86575.827211779484"/>
    <n v="3.3666051583112431"/>
    <m/>
    <x v="3"/>
  </r>
  <r>
    <s v="012"/>
    <x v="12"/>
    <x v="1"/>
    <m/>
    <n v="721378.04948999989"/>
    <m/>
    <n v="697361.90629355889"/>
    <n v="0"/>
    <m/>
    <x v="3"/>
  </r>
  <r>
    <s v="012"/>
    <x v="12"/>
    <x v="2"/>
    <n v="0"/>
    <n v="400730.20042102545"/>
    <m/>
    <n v="288602.86845901259"/>
    <n v="0"/>
    <m/>
    <x v="3"/>
  </r>
  <r>
    <s v="012"/>
    <x v="12"/>
    <x v="3"/>
    <n v="1500"/>
    <n v="11252.198549999999"/>
    <n v="11173.619697994987"/>
    <n v="96337.219697994995"/>
    <n v="-0.86575523057499781"/>
    <m/>
    <x v="3"/>
  </r>
  <r>
    <s v="012"/>
    <x v="12"/>
    <x v="4"/>
    <n v="3636005.2600000002"/>
    <n v="9818893.8599999994"/>
    <n v="2812732.172192568"/>
    <n v="19468732.172192566"/>
    <n v="0.29269515809095975"/>
    <m/>
    <x v="3"/>
  </r>
  <r>
    <s v="012"/>
    <x v="12"/>
    <x v="5"/>
    <n v="4256"/>
    <n v="837582"/>
    <n v="56000"/>
    <n v="515000"/>
    <n v="-0.92400000000000004"/>
    <m/>
    <x v="3"/>
  </r>
  <r>
    <s v="012"/>
    <x v="12"/>
    <x v="6"/>
    <n v="34"/>
    <n v="165"/>
    <n v="98"/>
    <n v="392"/>
    <n v="-0.65306122448979587"/>
    <m/>
    <x v="3"/>
  </r>
  <r>
    <s v="012"/>
    <x v="12"/>
    <x v="7"/>
    <n v="3840.9509900000003"/>
    <n v="10734.382180000001"/>
    <n v="-9434.589549380431"/>
    <n v="10200.278492126206"/>
    <n v="1.4071137350381329"/>
    <m/>
    <x v="3"/>
  </r>
  <r>
    <s v="012"/>
    <x v="12"/>
    <x v="8"/>
    <n v="5859.0151480789391"/>
    <n v="14326.873718059695"/>
    <n v="1444.9923430899462"/>
    <n v="5815.1588730707017"/>
    <n v="3.0547032488422219"/>
    <m/>
    <x v="3"/>
  </r>
  <r>
    <s v="013"/>
    <x v="13"/>
    <x v="0"/>
    <n v="-2749.6864200000127"/>
    <n v="3890.4793400000053"/>
    <n v="6004.7180451127888"/>
    <n v="65078.638045112755"/>
    <n v="-1.4579209880200736"/>
    <m/>
    <x v="3"/>
  </r>
  <r>
    <s v="013"/>
    <x v="13"/>
    <x v="1"/>
    <m/>
    <n v="82345.488289999994"/>
    <m/>
    <n v="97126.034310225543"/>
    <n v="0"/>
    <m/>
    <x v="3"/>
  </r>
  <r>
    <s v="013"/>
    <x v="13"/>
    <x v="2"/>
    <n v="0"/>
    <n v="169557.30517362471"/>
    <m/>
    <n v="140703.95413594824"/>
    <n v="0"/>
    <m/>
    <x v="3"/>
  </r>
  <r>
    <s v="013"/>
    <x v="13"/>
    <x v="3"/>
    <n v="5703.8140000000003"/>
    <n v="23030.521549999998"/>
    <n v="10756.139197994988"/>
    <n v="69598.539197994993"/>
    <n v="-0.46971549038123017"/>
    <m/>
    <x v="3"/>
  </r>
  <r>
    <s v="013"/>
    <x v="13"/>
    <x v="4"/>
    <n v="32000"/>
    <n v="156580"/>
    <n v="124221.61012837839"/>
    <n v="397221.61012837838"/>
    <n v="-0.74239586842475158"/>
    <m/>
    <x v="3"/>
  </r>
  <r>
    <s v="013"/>
    <x v="13"/>
    <x v="5"/>
    <n v="30350"/>
    <n v="47563"/>
    <n v="28000"/>
    <n v="103000"/>
    <n v="8.3928571428571422E-2"/>
    <m/>
    <x v="3"/>
  </r>
  <r>
    <s v="013"/>
    <x v="13"/>
    <x v="6"/>
    <n v="18"/>
    <n v="159"/>
    <n v="68"/>
    <n v="272"/>
    <n v="-0.73529411764705888"/>
    <m/>
    <x v="3"/>
  </r>
  <r>
    <s v="013"/>
    <x v="13"/>
    <x v="7"/>
    <n v="280.46523999999999"/>
    <n v="1112.8781100000001"/>
    <n v="-1113.3966515960014"/>
    <n v="1465.1843418715271"/>
    <n v="1.2519005599648305"/>
    <m/>
    <x v="3"/>
  </r>
  <r>
    <s v="013"/>
    <x v="13"/>
    <x v="8"/>
    <n v="-626.05234739826199"/>
    <n v="-912.29042369435456"/>
    <n v="1349.9742796211742"/>
    <n v="1505.5546833250812"/>
    <n v="-1.4637513150057517"/>
    <m/>
    <x v="3"/>
  </r>
  <r>
    <s v="014"/>
    <x v="14"/>
    <x v="0"/>
    <n v="3538.2550699999847"/>
    <n v="3990.3802299999807"/>
    <n v="4358.4829260651468"/>
    <n v="73558.482926065291"/>
    <n v="-0.18819113668197079"/>
    <m/>
    <x v="3"/>
  </r>
  <r>
    <s v="014"/>
    <x v="14"/>
    <x v="1"/>
    <m/>
    <n v="255128.14759000001"/>
    <m/>
    <n v="261944.94955213033"/>
    <n v="0"/>
    <m/>
    <x v="3"/>
  </r>
  <r>
    <s v="014"/>
    <x v="14"/>
    <x v="2"/>
    <n v="0"/>
    <n v="218872.84687999991"/>
    <m/>
    <n v="176771.76041599389"/>
    <n v="0"/>
    <m/>
    <x v="3"/>
  </r>
  <r>
    <s v="014"/>
    <x v="14"/>
    <x v="3"/>
    <n v="7243.6662500000002"/>
    <n v="21608.939899999998"/>
    <n v="7807.2689995822902"/>
    <n v="79307.268999582288"/>
    <n v="-7.2189487721307441E-2"/>
    <m/>
    <x v="3"/>
  </r>
  <r>
    <s v="014"/>
    <x v="14"/>
    <x v="4"/>
    <n v="673862.6"/>
    <n v="4735843.91"/>
    <n v="124221.61012837839"/>
    <n v="3757221.6101283785"/>
    <n v="4.4246809335637183"/>
    <m/>
    <x v="3"/>
  </r>
  <r>
    <s v="014"/>
    <x v="14"/>
    <x v="5"/>
    <n v="1447"/>
    <n v="28193"/>
    <n v="28000"/>
    <n v="64000"/>
    <n v="-0.94832142857142854"/>
    <m/>
    <x v="3"/>
  </r>
  <r>
    <s v="014"/>
    <x v="14"/>
    <x v="6"/>
    <n v="17"/>
    <n v="97"/>
    <n v="65"/>
    <n v="260"/>
    <n v="-0.7384615384615385"/>
    <m/>
    <x v="3"/>
  </r>
  <r>
    <s v="014"/>
    <x v="14"/>
    <x v="7"/>
    <n v="993.4464399999988"/>
    <n v="5657.1907899999997"/>
    <n v="-889.45127012992725"/>
    <n v="5117.6547677085518"/>
    <n v="2.1169205929121673"/>
    <m/>
    <x v="3"/>
  </r>
  <r>
    <s v="014"/>
    <x v="14"/>
    <x v="8"/>
    <n v="800.65385145683445"/>
    <n v="-2871.3458579625253"/>
    <n v="638.71063939724672"/>
    <n v="-3793.914620022108"/>
    <n v="0.25354707135051646"/>
    <m/>
    <x v="3"/>
  </r>
  <r>
    <s v="015"/>
    <x v="15"/>
    <x v="0"/>
    <n v="81.036549999997078"/>
    <n v="7595.2883099999999"/>
    <n v="2986.0037593984976"/>
    <n v="62316.883759398501"/>
    <n v="-0.97286120295564493"/>
    <m/>
    <x v="3"/>
  </r>
  <r>
    <s v="015"/>
    <x v="15"/>
    <x v="1"/>
    <m/>
    <n v="35889.82316"/>
    <m/>
    <n v="43277.21110879699"/>
    <n v="0"/>
    <m/>
    <x v="3"/>
  </r>
  <r>
    <s v="015"/>
    <x v="15"/>
    <x v="2"/>
    <n v="0"/>
    <n v="152200.14081602526"/>
    <m/>
    <n v="111974.57530317179"/>
    <n v="0"/>
    <m/>
    <x v="3"/>
  </r>
  <r>
    <s v="015"/>
    <x v="15"/>
    <x v="3"/>
    <n v="647"/>
    <n v="7902.9500000000007"/>
    <n v="5348.7727218045111"/>
    <n v="64512.372721804517"/>
    <n v="-0.8790376720696178"/>
    <m/>
    <x v="3"/>
  </r>
  <r>
    <s v="015"/>
    <x v="15"/>
    <x v="4"/>
    <n v="31000"/>
    <n v="139120"/>
    <n v="62110.805064189197"/>
    <n v="236110.80506418919"/>
    <n v="-0.50089199507295623"/>
    <m/>
    <x v="3"/>
  </r>
  <r>
    <s v="015"/>
    <x v="15"/>
    <x v="5"/>
    <n v="1669"/>
    <n v="7705"/>
    <n v="14000"/>
    <n v="20000"/>
    <n v="-0.88078571428571428"/>
    <m/>
    <x v="3"/>
  </r>
  <r>
    <s v="015"/>
    <x v="15"/>
    <x v="6"/>
    <n v="16"/>
    <n v="130"/>
    <n v="61"/>
    <n v="244"/>
    <n v="-0.73770491803278693"/>
    <m/>
    <x v="3"/>
  </r>
  <r>
    <s v="015"/>
    <x v="15"/>
    <x v="7"/>
    <n v="128.45249999999999"/>
    <n v="689.24294999999995"/>
    <n v="-1336.5597914559589"/>
    <n v="895.83892556032924"/>
    <n v="1.0961068115479311"/>
    <m/>
    <x v="3"/>
  </r>
  <r>
    <s v="015"/>
    <x v="15"/>
    <x v="8"/>
    <n v="-1652.0526540669598"/>
    <n v="-2812.6689177437461"/>
    <n v="873.6603344835496"/>
    <n v="492.65133080676139"/>
    <n v="-2.8909553162254347"/>
    <m/>
    <x v="3"/>
  </r>
  <r>
    <s v="016"/>
    <x v="16"/>
    <x v="0"/>
    <n v="4852.2358099999838"/>
    <n v="-15781.038250000041"/>
    <n v="8812.5662593984907"/>
    <n v="76078.006259398549"/>
    <n v="-0.44939582101579828"/>
    <m/>
    <x v="3"/>
  </r>
  <r>
    <s v="016"/>
    <x v="16"/>
    <x v="1"/>
    <m/>
    <n v="141110.69168999998"/>
    <m/>
    <n v="162425.94514879698"/>
    <n v="0"/>
    <m/>
    <x v="3"/>
  </r>
  <r>
    <s v="016"/>
    <x v="16"/>
    <x v="2"/>
    <n v="0"/>
    <n v="175708.06980679889"/>
    <m/>
    <n v="158558.84561478457"/>
    <n v="0"/>
    <m/>
    <x v="3"/>
  </r>
  <r>
    <s v="016"/>
    <x v="16"/>
    <x v="3"/>
    <n v="2066.2160400000002"/>
    <n v="16219.197339999999"/>
    <n v="8116.5138143971044"/>
    <n v="77198.313814397101"/>
    <n v="-0.74543060145663298"/>
    <m/>
    <x v="3"/>
  </r>
  <r>
    <s v="016"/>
    <x v="16"/>
    <x v="4"/>
    <n v="110669"/>
    <n v="880788"/>
    <n v="1656288.1350450451"/>
    <n v="3150288.1350450451"/>
    <n v="-0.93318251960007537"/>
    <m/>
    <x v="3"/>
  </r>
  <r>
    <s v="016"/>
    <x v="16"/>
    <x v="5"/>
    <n v="40188"/>
    <n v="284019"/>
    <n v="83666"/>
    <n v="950666"/>
    <n v="-0.51966151124710158"/>
    <m/>
    <x v="3"/>
  </r>
  <r>
    <s v="016"/>
    <x v="16"/>
    <x v="6"/>
    <n v="32"/>
    <n v="184"/>
    <n v="56"/>
    <n v="224"/>
    <n v="-0.42857142857142855"/>
    <m/>
    <x v="3"/>
  </r>
  <r>
    <s v="016"/>
    <x v="16"/>
    <x v="7"/>
    <n v="272.39477000000011"/>
    <n v="1818.8199500000001"/>
    <n v="-443.703152684629"/>
    <n v="3640.1075827261006"/>
    <n v="1.6139121805916268"/>
    <m/>
    <x v="3"/>
  </r>
  <r>
    <s v="016"/>
    <x v="16"/>
    <x v="8"/>
    <n v="1209.1273942644723"/>
    <n v="4729.7887422191889"/>
    <n v="2872.4787821368377"/>
    <n v="6222.4579300915502"/>
    <n v="-0.57906481266851961"/>
    <m/>
    <x v="3"/>
  </r>
  <r>
    <s v="017"/>
    <x v="17"/>
    <x v="0"/>
    <n v="-8577.7995099999898"/>
    <n v="-40104.066940000012"/>
    <n v="4462.0662593985053"/>
    <n v="59327.506259398491"/>
    <n v="-2.922382818034686"/>
    <m/>
    <x v="3"/>
  </r>
  <r>
    <s v="017"/>
    <x v="17"/>
    <x v="1"/>
    <m/>
    <n v="41745.554750000003"/>
    <m/>
    <n v="77251.550478796984"/>
    <n v="0"/>
    <m/>
    <x v="3"/>
  </r>
  <r>
    <s v="017"/>
    <x v="17"/>
    <x v="2"/>
    <n v="0"/>
    <n v="159184.93542051091"/>
    <m/>
    <n v="121175.83721876561"/>
    <n v="0"/>
    <m/>
    <x v="3"/>
  </r>
  <r>
    <s v="017"/>
    <x v="17"/>
    <x v="3"/>
    <n v="8354.8880000000008"/>
    <n v="15648.2358"/>
    <n v="8116.5138143971044"/>
    <n v="61698.313814397101"/>
    <n v="2.9369035900618731E-2"/>
    <m/>
    <x v="3"/>
  </r>
  <r>
    <s v="017"/>
    <x v="17"/>
    <x v="4"/>
    <n v="468763.95999999996"/>
    <n v="790123.04999999993"/>
    <n v="1437421.4886283781"/>
    <n v="1929421.4886283781"/>
    <n v="-0.67388552090778486"/>
    <m/>
    <x v="3"/>
  </r>
  <r>
    <s v="017"/>
    <x v="17"/>
    <x v="5"/>
    <n v="0"/>
    <n v="1000"/>
    <n v="42000"/>
    <n v="48000"/>
    <n v="-1"/>
    <m/>
    <x v="3"/>
  </r>
  <r>
    <s v="017"/>
    <x v="17"/>
    <x v="6"/>
    <n v="16"/>
    <n v="101"/>
    <n v="48"/>
    <n v="192"/>
    <n v="-0.66666666666666663"/>
    <m/>
    <x v="3"/>
  </r>
  <r>
    <s v="017"/>
    <x v="17"/>
    <x v="7"/>
    <n v="796.36338999999975"/>
    <n v="1693.7363599999999"/>
    <n v="271.81039193240576"/>
    <n v="2716.2450508165653"/>
    <n v="1.9298489448410812"/>
    <m/>
    <x v="3"/>
  </r>
  <r>
    <s v="017"/>
    <x v="17"/>
    <x v="8"/>
    <n v="-731.7239931697859"/>
    <n v="-2977.9134447317392"/>
    <n v="1484.4871693693372"/>
    <n v="-384.36305219261487"/>
    <n v="-1.4929136527873448"/>
    <m/>
    <x v="3"/>
  </r>
  <r>
    <s v="018"/>
    <x v="18"/>
    <x v="0"/>
    <n v="282.75918999999703"/>
    <n v="2192.1129399999882"/>
    <n v="7998.697211779453"/>
    <n v="78929.577211779455"/>
    <n v="-0.96464934444779515"/>
    <m/>
    <x v="3"/>
  </r>
  <r>
    <s v="018"/>
    <x v="18"/>
    <x v="1"/>
    <m/>
    <n v="34697.492699999995"/>
    <m/>
    <n v="48207.273443558901"/>
    <n v="0"/>
    <m/>
    <x v="3"/>
  </r>
  <r>
    <s v="018"/>
    <x v="18"/>
    <x v="2"/>
    <n v="0"/>
    <n v="170107.35110050466"/>
    <m/>
    <n v="154167.60991446715"/>
    <n v="0"/>
    <m/>
    <x v="3"/>
  </r>
  <r>
    <s v="018"/>
    <x v="18"/>
    <x v="3"/>
    <n v="3184.9431"/>
    <n v="16587.3917"/>
    <n v="13214.635475772764"/>
    <n v="86878.235475772773"/>
    <n v="-0.75898365824474234"/>
    <m/>
    <x v="3"/>
  </r>
  <r>
    <s v="018"/>
    <x v="18"/>
    <x v="4"/>
    <n v="93443"/>
    <n v="470329.15"/>
    <n v="1499532.2936925676"/>
    <n v="2339532.2936925674"/>
    <n v="-0.93768523666142689"/>
    <m/>
    <x v="3"/>
  </r>
  <r>
    <s v="018"/>
    <x v="18"/>
    <x v="5"/>
    <n v="1624"/>
    <n v="27486"/>
    <n v="56000"/>
    <n v="77000"/>
    <n v="-0.97099999999999997"/>
    <m/>
    <x v="3"/>
  </r>
  <r>
    <s v="018"/>
    <x v="18"/>
    <x v="6"/>
    <n v="39"/>
    <n v="340"/>
    <n v="108"/>
    <n v="432"/>
    <n v="-0.63888888888888884"/>
    <m/>
    <x v="3"/>
  </r>
  <r>
    <s v="018"/>
    <x v="18"/>
    <x v="7"/>
    <n v="311.83216999999991"/>
    <n v="1568.8424399999999"/>
    <n v="-153.57648078726015"/>
    <n v="3306.6844113539023"/>
    <n v="3.0304682618164782"/>
    <m/>
    <x v="3"/>
  </r>
  <r>
    <s v="018"/>
    <x v="18"/>
    <x v="8"/>
    <n v="-277.58620398149941"/>
    <n v="577.08392057264336"/>
    <n v="3179.2912959416108"/>
    <n v="4909.8624404957536"/>
    <n v="-1.0873107174343666"/>
    <m/>
    <x v="3"/>
  </r>
  <r>
    <s v="019"/>
    <x v="19"/>
    <x v="0"/>
    <n v="2.7286799999999403"/>
    <n v="3.135050000000092"/>
    <n v="0"/>
    <n v="0"/>
    <n v="0"/>
    <m/>
    <x v="3"/>
  </r>
  <r>
    <s v="019"/>
    <x v="19"/>
    <x v="1"/>
    <m/>
    <n v="618.32011"/>
    <m/>
    <n v="620.50470999999993"/>
    <n v="0"/>
    <m/>
    <x v="3"/>
  </r>
  <r>
    <s v="019"/>
    <x v="19"/>
    <x v="2"/>
    <n v="0"/>
    <n v="0"/>
    <m/>
    <n v="-15.040850000000001"/>
    <n v="0"/>
    <m/>
    <x v="3"/>
  </r>
  <r>
    <s v="019"/>
    <x v="19"/>
    <x v="3"/>
    <n v="0"/>
    <n v="0"/>
    <n v="0"/>
    <n v="0"/>
    <n v="0"/>
    <m/>
    <x v="3"/>
  </r>
  <r>
    <s v="019"/>
    <x v="19"/>
    <x v="4"/>
    <n v="0"/>
    <n v="0"/>
    <n v="0"/>
    <n v="0"/>
    <n v="0"/>
    <m/>
    <x v="3"/>
  </r>
  <r>
    <s v="019"/>
    <x v="19"/>
    <x v="5"/>
    <n v="0"/>
    <n v="0"/>
    <n v="0"/>
    <n v="0"/>
    <n v="0"/>
    <m/>
    <x v="3"/>
  </r>
  <r>
    <s v="019"/>
    <x v="19"/>
    <x v="6"/>
    <n v="0"/>
    <n v="0"/>
    <n v="0"/>
    <n v="0"/>
    <n v="0"/>
    <m/>
    <x v="3"/>
  </r>
  <r>
    <s v="019"/>
    <x v="19"/>
    <x v="7"/>
    <n v="0"/>
    <n v="0"/>
    <n v="-1.4642685444929049"/>
    <n v="0.76459889311108387"/>
    <n v="1"/>
    <m/>
    <x v="3"/>
  </r>
  <r>
    <s v="019"/>
    <x v="19"/>
    <x v="8"/>
    <n v="5.543934310360739"/>
    <n v="12.832374310360739"/>
    <n v="-0.82459836895296745"/>
    <n v="-2.012328368952967"/>
    <n v="7.7231933982602241"/>
    <m/>
    <x v="3"/>
  </r>
  <r>
    <s v="020"/>
    <x v="20"/>
    <x v="0"/>
    <n v="2970.1284800000431"/>
    <n v="15253.147040000011"/>
    <n v="11650.009711779445"/>
    <n v="102854.80971177947"/>
    <n v="-0.74505356188699867"/>
    <m/>
    <x v="3"/>
  </r>
  <r>
    <s v="020"/>
    <x v="20"/>
    <x v="1"/>
    <m/>
    <n v="233711.40646999999"/>
    <m/>
    <n v="252487.0009935589"/>
    <n v="0"/>
    <m/>
    <x v="3"/>
  </r>
  <r>
    <s v="020"/>
    <x v="20"/>
    <x v="2"/>
    <n v="0"/>
    <n v="157724.81423054743"/>
    <m/>
    <n v="131144.32990362481"/>
    <n v="0"/>
    <m/>
    <x v="3"/>
  </r>
  <r>
    <s v="020"/>
    <x v="20"/>
    <x v="3"/>
    <n v="259.548"/>
    <n v="7449.6569999999992"/>
    <n v="20868.444642439434"/>
    <n v="119874.44464243943"/>
    <n v="-0.98756265718662306"/>
    <m/>
    <x v="3"/>
  </r>
  <r>
    <s v="020"/>
    <x v="20"/>
    <x v="4"/>
    <n v="15800"/>
    <n v="42200"/>
    <n v="248443.22025675679"/>
    <n v="437443.22025675676"/>
    <n v="-0.93640398001736058"/>
    <m/>
    <x v="3"/>
  </r>
  <r>
    <s v="020"/>
    <x v="20"/>
    <x v="5"/>
    <n v="45182"/>
    <n v="325718"/>
    <n v="56000"/>
    <n v="353000"/>
    <n v="-0.19317857142857142"/>
    <m/>
    <x v="3"/>
  </r>
  <r>
    <s v="020"/>
    <x v="20"/>
    <x v="6"/>
    <n v="129"/>
    <n v="545"/>
    <n v="178"/>
    <n v="712"/>
    <n v="-0.2752808988764045"/>
    <m/>
    <x v="3"/>
  </r>
  <r>
    <s v="020"/>
    <x v="20"/>
    <x v="7"/>
    <n v="233.30377000000021"/>
    <n v="1180.4192100000002"/>
    <n v="-1574.5433027327397"/>
    <n v="1973.0396328445083"/>
    <n v="1.1481723427962152"/>
    <m/>
    <x v="3"/>
  </r>
  <r>
    <s v="020"/>
    <x v="20"/>
    <x v="8"/>
    <n v="-2130.2088151814633"/>
    <n v="-7281.8484711024475"/>
    <n v="-1266.2518228079571"/>
    <n v="-7395.8990387289368"/>
    <n v="-0.68229476697427516"/>
    <m/>
    <x v="3"/>
  </r>
  <r>
    <s v="000"/>
    <x v="0"/>
    <x v="0"/>
    <n v="0"/>
    <n v="0"/>
    <n v="0"/>
    <n v="0"/>
    <n v="0"/>
    <m/>
    <x v="4"/>
  </r>
  <r>
    <s v="000"/>
    <x v="0"/>
    <x v="1"/>
    <m/>
    <n v="0"/>
    <m/>
    <n v="0"/>
    <n v="0"/>
    <m/>
    <x v="4"/>
  </r>
  <r>
    <s v="000"/>
    <x v="0"/>
    <x v="2"/>
    <n v="0"/>
    <n v="0"/>
    <m/>
    <n v="0"/>
    <n v="0"/>
    <m/>
    <x v="4"/>
  </r>
  <r>
    <s v="000"/>
    <x v="0"/>
    <x v="3"/>
    <n v="0"/>
    <n v="0"/>
    <n v="0"/>
    <n v="0"/>
    <n v="0"/>
    <m/>
    <x v="4"/>
  </r>
  <r>
    <s v="000"/>
    <x v="0"/>
    <x v="4"/>
    <n v="0"/>
    <n v="0"/>
    <n v="0"/>
    <n v="0"/>
    <n v="0"/>
    <m/>
    <x v="4"/>
  </r>
  <r>
    <s v="000"/>
    <x v="0"/>
    <x v="5"/>
    <n v="0"/>
    <n v="209870"/>
    <n v="0"/>
    <n v="99000"/>
    <n v="0"/>
    <m/>
    <x v="4"/>
  </r>
  <r>
    <s v="000"/>
    <x v="0"/>
    <x v="6"/>
    <n v="0"/>
    <n v="0"/>
    <n v="0"/>
    <n v="0"/>
    <n v="0"/>
    <m/>
    <x v="4"/>
  </r>
  <r>
    <s v="000"/>
    <x v="0"/>
    <x v="7"/>
    <n v="4.9999999998817657E-4"/>
    <n v="453.76429000000002"/>
    <n v="4.3942561047856543E-2"/>
    <n v="117.54878795521756"/>
    <n v="-0.98862150980586583"/>
    <m/>
    <x v="4"/>
  </r>
  <r>
    <s v="000"/>
    <x v="0"/>
    <x v="8"/>
    <n v="-17021.671799510717"/>
    <n v="-162886.56627785007"/>
    <n v="-32524.111250375383"/>
    <n v="-141494.98098072122"/>
    <n v="0.47664452170651522"/>
    <m/>
    <x v="4"/>
  </r>
  <r>
    <s v="001"/>
    <x v="1"/>
    <x v="0"/>
    <n v="28999.27284999995"/>
    <n v="39758.339500000118"/>
    <n v="7465.9829260652068"/>
    <n v="72997.40585213041"/>
    <n v="2.8841868695892425"/>
    <m/>
    <x v="4"/>
  </r>
  <r>
    <s v="001"/>
    <x v="1"/>
    <x v="1"/>
    <m/>
    <n v="518381.91263000009"/>
    <m/>
    <n v="508575.85888819554"/>
    <n v="0"/>
    <m/>
    <x v="4"/>
  </r>
  <r>
    <s v="001"/>
    <x v="1"/>
    <x v="2"/>
    <n v="0"/>
    <n v="666821.6434399999"/>
    <m/>
    <n v="518649.94671551604"/>
    <n v="0"/>
    <m/>
    <x v="4"/>
  </r>
  <r>
    <s v="001"/>
    <x v="1"/>
    <x v="3"/>
    <n v="7189.7770499999997"/>
    <n v="50520.788649999995"/>
    <n v="21166.644999582291"/>
    <n v="99915.089999164586"/>
    <n v="-0.6603251459954147"/>
    <m/>
    <x v="4"/>
  </r>
  <r>
    <s v="001"/>
    <x v="1"/>
    <x v="4"/>
    <n v="3270465.2"/>
    <n v="9333119.1999999993"/>
    <n v="124221.61012837839"/>
    <n v="4298443.220256757"/>
    <n v="25.327667115408474"/>
    <m/>
    <x v="4"/>
  </r>
  <r>
    <s v="001"/>
    <x v="1"/>
    <x v="5"/>
    <n v="12147"/>
    <n v="246142"/>
    <n v="28000"/>
    <n v="62000"/>
    <n v="-0.56617857142857142"/>
    <m/>
    <x v="4"/>
  </r>
  <r>
    <s v="001"/>
    <x v="1"/>
    <x v="6"/>
    <n v="61"/>
    <n v="246"/>
    <n v="85"/>
    <n v="425"/>
    <n v="-0.28235294117647058"/>
    <m/>
    <x v="4"/>
  </r>
  <r>
    <s v="001"/>
    <x v="1"/>
    <x v="7"/>
    <n v="3429.8978399999978"/>
    <n v="11250.157119999998"/>
    <n v="2973.3168011170528"/>
    <n v="9254.0816969972566"/>
    <n v="0.15355949917997669"/>
    <m/>
    <x v="4"/>
  </r>
  <r>
    <s v="001"/>
    <x v="1"/>
    <x v="8"/>
    <n v="1369.7320255955196"/>
    <n v="-4743.8785999999945"/>
    <n v="6510.576436019448"/>
    <n v="6409.1113187588098"/>
    <n v="-0.78961432385348485"/>
    <m/>
    <x v="4"/>
  </r>
  <r>
    <s v="002"/>
    <x v="2"/>
    <x v="0"/>
    <n v="-2210.9563100000087"/>
    <n v="-20572.529339999972"/>
    <n v="2986.0037593984976"/>
    <n v="65237.447518796995"/>
    <n v="-1.7404398949736706"/>
    <m/>
    <x v="4"/>
  </r>
  <r>
    <s v="002"/>
    <x v="2"/>
    <x v="1"/>
    <m/>
    <n v="52560.513770000027"/>
    <m/>
    <n v="58070.300078195498"/>
    <n v="0"/>
    <m/>
    <x v="4"/>
  </r>
  <r>
    <s v="002"/>
    <x v="2"/>
    <x v="2"/>
    <n v="0"/>
    <n v="91571.325320000018"/>
    <m/>
    <n v="78823.174933229995"/>
    <n v="0"/>
    <m/>
    <x v="4"/>
  </r>
  <r>
    <s v="002"/>
    <x v="2"/>
    <x v="3"/>
    <n v="2185.3029999999999"/>
    <n v="9642.3298500000001"/>
    <n v="5348.7727218045111"/>
    <n v="69779.345443609011"/>
    <n v="-0.59143842640919952"/>
    <m/>
    <x v="4"/>
  </r>
  <r>
    <s v="002"/>
    <x v="2"/>
    <x v="4"/>
    <n v="8000"/>
    <n v="57500"/>
    <n v="62110.805064189197"/>
    <n v="214221.61012837838"/>
    <n v="-0.87119793421237579"/>
    <m/>
    <x v="4"/>
  </r>
  <r>
    <s v="002"/>
    <x v="2"/>
    <x v="5"/>
    <n v="60375"/>
    <n v="233534"/>
    <n v="14000"/>
    <n v="247000"/>
    <n v="3.3125"/>
    <m/>
    <x v="4"/>
  </r>
  <r>
    <s v="002"/>
    <x v="2"/>
    <x v="6"/>
    <n v="64"/>
    <n v="293"/>
    <n v="73"/>
    <n v="365"/>
    <n v="-0.12328767123287671"/>
    <m/>
    <x v="4"/>
  </r>
  <r>
    <s v="002"/>
    <x v="2"/>
    <x v="7"/>
    <n v="160.50095999999996"/>
    <n v="807.63965000000007"/>
    <n v="389.50970258517759"/>
    <n v="1293.6762469883506"/>
    <n v="-0.58794104759199994"/>
    <m/>
    <x v="4"/>
  </r>
  <r>
    <s v="002"/>
    <x v="2"/>
    <x v="8"/>
    <n v="-2123.2478264183997"/>
    <n v="-6409.5779399999992"/>
    <n v="205.18651693008496"/>
    <n v="-2589.9224350074605"/>
    <n v="-11.347891558302893"/>
    <m/>
    <x v="4"/>
  </r>
  <r>
    <s v="003"/>
    <x v="3"/>
    <x v="0"/>
    <n v="-766.94997999999759"/>
    <n v="-4761.3320500000045"/>
    <n v="2986.0037593984976"/>
    <n v="57302.887518796997"/>
    <n v="-1.2568482968536157"/>
    <m/>
    <x v="4"/>
  </r>
  <r>
    <s v="003"/>
    <x v="3"/>
    <x v="1"/>
    <m/>
    <n v="35523.536169999992"/>
    <m/>
    <n v="55532.07176819547"/>
    <n v="0"/>
    <m/>
    <x v="4"/>
  </r>
  <r>
    <s v="003"/>
    <x v="3"/>
    <x v="2"/>
    <n v="0"/>
    <n v="99906.855529999972"/>
    <m/>
    <n v="86369.489535845045"/>
    <n v="0"/>
    <m/>
    <x v="4"/>
  </r>
  <r>
    <s v="003"/>
    <x v="3"/>
    <x v="3"/>
    <n v="1632.3"/>
    <n v="6654.0638500000005"/>
    <n v="5348.7727218045111"/>
    <n v="59861.145443609028"/>
    <n v="-0.69482719029248408"/>
    <m/>
    <x v="4"/>
  </r>
  <r>
    <s v="003"/>
    <x v="3"/>
    <x v="4"/>
    <n v="4000"/>
    <n v="31000"/>
    <n v="62110.805064189197"/>
    <n v="160221.61012837838"/>
    <n v="-0.93559896710618784"/>
    <m/>
    <x v="4"/>
  </r>
  <r>
    <s v="003"/>
    <x v="3"/>
    <x v="5"/>
    <n v="0"/>
    <n v="0"/>
    <n v="14000"/>
    <n v="31000"/>
    <n v="-1"/>
    <m/>
    <x v="4"/>
  </r>
  <r>
    <s v="003"/>
    <x v="3"/>
    <x v="6"/>
    <n v="12"/>
    <n v="114"/>
    <n v="66"/>
    <n v="330"/>
    <n v="-0.81818181818181823"/>
    <m/>
    <x v="4"/>
  </r>
  <r>
    <s v="003"/>
    <x v="3"/>
    <x v="7"/>
    <n v="108.18666999999994"/>
    <n v="442.31220999999994"/>
    <n v="393.08880635567994"/>
    <n v="1050.8297041056767"/>
    <n v="-0.72477804442462546"/>
    <m/>
    <x v="4"/>
  </r>
  <r>
    <s v="003"/>
    <x v="3"/>
    <x v="8"/>
    <n v="237.03676927159168"/>
    <n v="-3475.7077599999998"/>
    <n v="529.02156686492981"/>
    <n v="-1228.2515464402752"/>
    <n v="-0.55193363726868239"/>
    <m/>
    <x v="4"/>
  </r>
  <r>
    <s v="004"/>
    <x v="4"/>
    <x v="0"/>
    <n v="8109.0468900000014"/>
    <n v="9648.9667000000081"/>
    <n v="4554.5513784461173"/>
    <n v="82105.422756892265"/>
    <n v="0.78042714116150258"/>
    <m/>
    <x v="4"/>
  </r>
  <r>
    <s v="004"/>
    <x v="4"/>
    <x v="1"/>
    <m/>
    <n v="32528.686019999994"/>
    <m/>
    <n v="37967.770365338336"/>
    <n v="0"/>
    <m/>
    <x v="4"/>
  </r>
  <r>
    <s v="004"/>
    <x v="4"/>
    <x v="2"/>
    <n v="0"/>
    <n v="111211.25711934784"/>
    <m/>
    <n v="90216.661244249553"/>
    <n v="0"/>
    <m/>
    <x v="4"/>
  </r>
  <r>
    <s v="004"/>
    <x v="4"/>
    <x v="3"/>
    <n v="2025.0295000000001"/>
    <n v="11835.78052"/>
    <n v="8158.4827535505428"/>
    <n v="92562.365507101087"/>
    <n v="-0.75178846837437818"/>
    <m/>
    <x v="4"/>
  </r>
  <r>
    <s v="004"/>
    <x v="4"/>
    <x v="4"/>
    <n v="5000"/>
    <n v="33000"/>
    <n v="124221.61012837839"/>
    <n v="509443.22025675676"/>
    <n v="-0.95974935444136744"/>
    <m/>
    <x v="4"/>
  </r>
  <r>
    <s v="004"/>
    <x v="4"/>
    <x v="5"/>
    <n v="0"/>
    <n v="27984"/>
    <n v="28000"/>
    <n v="59000"/>
    <n v="-1"/>
    <m/>
    <x v="4"/>
  </r>
  <r>
    <s v="004"/>
    <x v="4"/>
    <x v="6"/>
    <n v="23"/>
    <n v="86"/>
    <n v="101"/>
    <n v="505"/>
    <n v="-0.7722772277227723"/>
    <m/>
    <x v="4"/>
  </r>
  <r>
    <s v="004"/>
    <x v="4"/>
    <x v="7"/>
    <n v="94.528479999999945"/>
    <n v="563.32899999999995"/>
    <n v="428.60336489485167"/>
    <n v="1295.0694835190279"/>
    <n v="-0.77944998163234114"/>
    <m/>
    <x v="4"/>
  </r>
  <r>
    <s v="004"/>
    <x v="4"/>
    <x v="8"/>
    <n v="-1215.1877264726329"/>
    <n v="-2439.7808199999986"/>
    <n v="1466.4574334683066"/>
    <n v="2502.4608069673986"/>
    <n v="-1.8286553013670517"/>
    <m/>
    <x v="4"/>
  </r>
  <r>
    <s v="005"/>
    <x v="5"/>
    <x v="0"/>
    <n v="7913.622250000044"/>
    <n v="1821.8926999999967"/>
    <n v="8734.8787593984907"/>
    <n v="117135.19751879695"/>
    <n v="-9.4020367313604344E-2"/>
    <m/>
    <x v="4"/>
  </r>
  <r>
    <s v="005"/>
    <x v="5"/>
    <x v="1"/>
    <m/>
    <n v="144135.48458000005"/>
    <m/>
    <n v="181704.0245581955"/>
    <n v="0"/>
    <m/>
    <x v="4"/>
  </r>
  <r>
    <s v="005"/>
    <x v="5"/>
    <x v="2"/>
    <n v="0"/>
    <n v="325655.87998999993"/>
    <m/>
    <n v="215775.47037271809"/>
    <n v="0"/>
    <m/>
    <x v="4"/>
  </r>
  <r>
    <s v="005"/>
    <x v="5"/>
    <x v="3"/>
    <n v="1775.4609599999999"/>
    <n v="20817.329359999996"/>
    <n v="10575.010092174882"/>
    <n v="130731.82018434975"/>
    <n v="-0.83210787086493887"/>
    <m/>
    <x v="4"/>
  </r>
  <r>
    <s v="005"/>
    <x v="5"/>
    <x v="4"/>
    <n v="678280.15999999992"/>
    <n v="3505873.55"/>
    <n v="1608965.6169009011"/>
    <n v="7780931.2338018026"/>
    <n v="-0.57843713198392332"/>
    <m/>
    <x v="4"/>
  </r>
  <r>
    <s v="005"/>
    <x v="5"/>
    <x v="5"/>
    <n v="30684"/>
    <n v="335747"/>
    <n v="97666"/>
    <n v="456332"/>
    <n v="-0.68582720701165201"/>
    <m/>
    <x v="4"/>
  </r>
  <r>
    <s v="005"/>
    <x v="5"/>
    <x v="6"/>
    <n v="22"/>
    <n v="206"/>
    <n v="68"/>
    <n v="340"/>
    <n v="-0.67647058823529416"/>
    <m/>
    <x v="4"/>
  </r>
  <r>
    <s v="005"/>
    <x v="5"/>
    <x v="7"/>
    <n v="864.72460000000046"/>
    <n v="4701.8838100000003"/>
    <n v="4233.663175105512"/>
    <n v="9621.5874062732182"/>
    <n v="-0.7957502606525968"/>
    <m/>
    <x v="4"/>
  </r>
  <r>
    <s v="005"/>
    <x v="5"/>
    <x v="8"/>
    <n v="5124.2747285892046"/>
    <n v="8059.0136599999987"/>
    <n v="6005.957069443788"/>
    <n v="16507.671272958152"/>
    <n v="-0.1468013058801694"/>
    <m/>
    <x v="4"/>
  </r>
  <r>
    <s v="006"/>
    <x v="6"/>
    <x v="0"/>
    <n v="-1007.1726500000077"/>
    <n v="13358.978069999997"/>
    <n v="5601.4829260651622"/>
    <n v="78468.405852130338"/>
    <n v="-1.1798046451794704"/>
    <m/>
    <x v="4"/>
  </r>
  <r>
    <s v="006"/>
    <x v="6"/>
    <x v="1"/>
    <m/>
    <n v="91304.101980000007"/>
    <m/>
    <n v="86710.127578195461"/>
    <n v="0"/>
    <m/>
    <x v="4"/>
  </r>
  <r>
    <s v="006"/>
    <x v="6"/>
    <x v="2"/>
    <n v="0"/>
    <n v="179180.52647000001"/>
    <m/>
    <n v="147092.39514078098"/>
    <n v="0"/>
    <m/>
    <x v="4"/>
  </r>
  <r>
    <s v="006"/>
    <x v="6"/>
    <x v="3"/>
    <n v="2398.348"/>
    <n v="11263.19"/>
    <n v="11147.112999582288"/>
    <n v="91376.025999164573"/>
    <n v="-0.78484581612388138"/>
    <m/>
    <x v="4"/>
  </r>
  <r>
    <s v="006"/>
    <x v="6"/>
    <x v="4"/>
    <n v="33500"/>
    <n v="206990.31"/>
    <n v="124221.61012837839"/>
    <n v="719443.22025675676"/>
    <n v="-0.73032067475716178"/>
    <m/>
    <x v="4"/>
  </r>
  <r>
    <s v="006"/>
    <x v="6"/>
    <x v="5"/>
    <n v="9217"/>
    <n v="322814"/>
    <n v="28000"/>
    <n v="158000"/>
    <n v="-0.67082142857142857"/>
    <m/>
    <x v="4"/>
  </r>
  <r>
    <s v="006"/>
    <x v="6"/>
    <x v="6"/>
    <n v="74"/>
    <n v="222"/>
    <n v="66"/>
    <n v="330"/>
    <n v="0.12121212121212122"/>
    <m/>
    <x v="4"/>
  </r>
  <r>
    <s v="006"/>
    <x v="6"/>
    <x v="7"/>
    <n v="220.53039000000012"/>
    <n v="956.57668000000001"/>
    <n v="755.65759979837594"/>
    <n v="2293.465949953059"/>
    <n v="-0.70816095800685142"/>
    <m/>
    <x v="4"/>
  </r>
  <r>
    <s v="006"/>
    <x v="6"/>
    <x v="8"/>
    <n v="909.5203748434933"/>
    <n v="2711.8160000000021"/>
    <n v="1464.1730667035899"/>
    <n v="7718.8782079145567"/>
    <n v="-0.37881634655992591"/>
    <m/>
    <x v="4"/>
  </r>
  <r>
    <s v="007"/>
    <x v="7"/>
    <x v="0"/>
    <n v="7665.2357900000352"/>
    <n v="-17795.695409999957"/>
    <n v="2789.9353070175348"/>
    <n v="84110.750614035031"/>
    <n v="1.7474600470912851"/>
    <m/>
    <x v="4"/>
  </r>
  <r>
    <s v="007"/>
    <x v="7"/>
    <x v="1"/>
    <m/>
    <n v="177293.71343"/>
    <m/>
    <n v="211147.5078410526"/>
    <n v="0"/>
    <m/>
    <x v="4"/>
  </r>
  <r>
    <s v="007"/>
    <x v="7"/>
    <x v="2"/>
    <n v="0"/>
    <n v="128210.21214999992"/>
    <m/>
    <n v="133609.33458709944"/>
    <n v="0"/>
    <m/>
    <x v="4"/>
  </r>
  <r>
    <s v="007"/>
    <x v="7"/>
    <x v="3"/>
    <n v="2470"/>
    <n v="9182.9261100000003"/>
    <n v="4997.5589678362567"/>
    <n v="93158.717935672525"/>
    <n v="-0.50575870822202396"/>
    <m/>
    <x v="4"/>
  </r>
  <r>
    <s v="007"/>
    <x v="7"/>
    <x v="4"/>
    <n v="52000"/>
    <n v="215900"/>
    <n v="62110.805064189197"/>
    <n v="904221.6101283785"/>
    <n v="-0.16278657238044261"/>
    <m/>
    <x v="4"/>
  </r>
  <r>
    <s v="007"/>
    <x v="7"/>
    <x v="5"/>
    <n v="0"/>
    <n v="3118"/>
    <n v="14000"/>
    <n v="82000"/>
    <n v="-1"/>
    <m/>
    <x v="4"/>
  </r>
  <r>
    <s v="007"/>
    <x v="7"/>
    <x v="6"/>
    <n v="26"/>
    <n v="120"/>
    <n v="76"/>
    <n v="380"/>
    <n v="-0.65789473684210531"/>
    <m/>
    <x v="4"/>
  </r>
  <r>
    <s v="007"/>
    <x v="7"/>
    <x v="7"/>
    <n v="200.47607000000016"/>
    <n v="937.02084000000002"/>
    <n v="383.93052124673613"/>
    <n v="1383.0252073036518"/>
    <n v="-0.47783242304103624"/>
    <m/>
    <x v="4"/>
  </r>
  <r>
    <s v="007"/>
    <x v="7"/>
    <x v="8"/>
    <n v="-543.67085980155787"/>
    <n v="-1967.0189800000012"/>
    <n v="239.51791219068696"/>
    <n v="-1420.6102605561596"/>
    <n v="-3.2698547045146511"/>
    <m/>
    <x v="4"/>
  </r>
  <r>
    <s v="008"/>
    <x v="8"/>
    <x v="0"/>
    <n v="989.84078999998746"/>
    <n v="12230.602529999975"/>
    <n v="6907.3728070175648"/>
    <n v="90011.065614035266"/>
    <n v="-0.85669793456140719"/>
    <m/>
    <x v="4"/>
  </r>
  <r>
    <s v="008"/>
    <x v="8"/>
    <x v="1"/>
    <m/>
    <n v="346826.19146"/>
    <m/>
    <n v="355381.80060105264"/>
    <n v="0"/>
    <m/>
    <x v="4"/>
  </r>
  <r>
    <s v="008"/>
    <x v="8"/>
    <x v="2"/>
    <n v="0"/>
    <n v="335776.56474367069"/>
    <m/>
    <n v="214158.43991633671"/>
    <n v="0"/>
    <m/>
    <x v="4"/>
  </r>
  <r>
    <s v="008"/>
    <x v="8"/>
    <x v="3"/>
    <n v="3438.2069999999999"/>
    <n v="26106.8763"/>
    <n v="12373.04780116959"/>
    <n v="104991.49560233919"/>
    <n v="-0.7221212545808644"/>
    <m/>
    <x v="4"/>
  </r>
  <r>
    <s v="008"/>
    <x v="8"/>
    <x v="4"/>
    <n v="79000"/>
    <n v="373632"/>
    <n v="248443.22025675679"/>
    <n v="1054886.4405135135"/>
    <n v="-0.68201990008680269"/>
    <m/>
    <x v="4"/>
  </r>
  <r>
    <s v="008"/>
    <x v="8"/>
    <x v="5"/>
    <n v="78571"/>
    <n v="370657"/>
    <n v="56000"/>
    <n v="346000"/>
    <n v="0.40305357142857146"/>
    <m/>
    <x v="4"/>
  </r>
  <r>
    <s v="008"/>
    <x v="8"/>
    <x v="6"/>
    <n v="52"/>
    <n v="309"/>
    <n v="98"/>
    <n v="490"/>
    <n v="-0.46938775510204084"/>
    <m/>
    <x v="4"/>
  </r>
  <r>
    <s v="008"/>
    <x v="8"/>
    <x v="7"/>
    <n v="243.33102999999983"/>
    <n v="1589.9719199999997"/>
    <n v="804.27507601601064"/>
    <n v="2772.370711286525"/>
    <n v="-0.69745297690269858"/>
    <m/>
    <x v="4"/>
  </r>
  <r>
    <s v="008"/>
    <x v="8"/>
    <x v="8"/>
    <n v="-365.50725726595709"/>
    <n v="-4699.779790000006"/>
    <n v="2698.3022471286977"/>
    <n v="-951.79203586105689"/>
    <n v="-1.135458234026562"/>
    <m/>
    <x v="4"/>
  </r>
  <r>
    <s v="009"/>
    <x v="9"/>
    <x v="0"/>
    <n v="22463.982750000003"/>
    <n v="30359.310649999985"/>
    <n v="2867.6228070175425"/>
    <n v="72266.125614035103"/>
    <n v="6.8336602341936183"/>
    <m/>
    <x v="4"/>
  </r>
  <r>
    <s v="009"/>
    <x v="9"/>
    <x v="1"/>
    <m/>
    <n v="69432.318119999996"/>
    <m/>
    <n v="54406.287941052629"/>
    <n v="0"/>
    <m/>
    <x v="4"/>
  </r>
  <r>
    <s v="009"/>
    <x v="9"/>
    <x v="2"/>
    <n v="0"/>
    <n v="205669.58711999998"/>
    <m/>
    <n v="187290.54582248669"/>
    <n v="0"/>
    <m/>
    <x v="4"/>
  </r>
  <r>
    <s v="009"/>
    <x v="9"/>
    <x v="3"/>
    <n v="939.18499999999995"/>
    <n v="23831.521250000002"/>
    <n v="5136.719134502925"/>
    <n v="78437.038269005861"/>
    <n v="-0.81716247756441052"/>
    <m/>
    <x v="4"/>
  </r>
  <r>
    <s v="009"/>
    <x v="9"/>
    <x v="4"/>
    <n v="44125"/>
    <n v="283048"/>
    <n v="0"/>
    <n v="102000"/>
    <n v="0"/>
    <m/>
    <x v="4"/>
  </r>
  <r>
    <s v="009"/>
    <x v="9"/>
    <x v="5"/>
    <n v="0"/>
    <n v="7781"/>
    <n v="0"/>
    <n v="6000"/>
    <n v="0"/>
    <m/>
    <x v="4"/>
  </r>
  <r>
    <s v="009"/>
    <x v="9"/>
    <x v="6"/>
    <n v="58"/>
    <n v="196"/>
    <n v="73"/>
    <n v="365"/>
    <n v="-0.20547945205479451"/>
    <m/>
    <x v="4"/>
  </r>
  <r>
    <s v="009"/>
    <x v="9"/>
    <x v="7"/>
    <n v="169.76152000000002"/>
    <n v="1592.18795"/>
    <n v="318.16551188359585"/>
    <n v="1650.2557373661973"/>
    <n v="-0.46643645002570538"/>
    <m/>
    <x v="4"/>
  </r>
  <r>
    <s v="009"/>
    <x v="9"/>
    <x v="8"/>
    <n v="967.17580380198683"/>
    <n v="4371.2853100000048"/>
    <n v="1834.8261727012414"/>
    <n v="7818.1742793592366"/>
    <n v="-0.47287878372799469"/>
    <m/>
    <x v="4"/>
  </r>
  <r>
    <s v="010"/>
    <x v="10"/>
    <x v="0"/>
    <n v="-10219.719290000037"/>
    <n v="-49489.03622999994"/>
    <n v="2986.0037593985198"/>
    <n v="88102.887518797012"/>
    <n v="-4.4225406642015175"/>
    <m/>
    <x v="4"/>
  </r>
  <r>
    <s v="010"/>
    <x v="10"/>
    <x v="1"/>
    <m/>
    <n v="173516.21526000003"/>
    <m/>
    <n v="230610.84814819551"/>
    <n v="0"/>
    <m/>
    <x v="4"/>
  </r>
  <r>
    <s v="010"/>
    <x v="10"/>
    <x v="2"/>
    <n v="0"/>
    <n v="141957.13157999996"/>
    <m/>
    <n v="104020.75677772189"/>
    <n v="0"/>
    <m/>
    <x v="4"/>
  </r>
  <r>
    <s v="010"/>
    <x v="10"/>
    <x v="3"/>
    <n v="6697.2730000000001"/>
    <n v="23467.798849999999"/>
    <n v="5348.7727218045111"/>
    <n v="98361.145443609013"/>
    <n v="0.25211396115192319"/>
    <m/>
    <x v="4"/>
  </r>
  <r>
    <s v="010"/>
    <x v="10"/>
    <x v="4"/>
    <n v="967762"/>
    <n v="2946894"/>
    <n v="62110.805064189197"/>
    <n v="2608221.6101283785"/>
    <n v="14.581218098845348"/>
    <m/>
    <x v="4"/>
  </r>
  <r>
    <s v="010"/>
    <x v="10"/>
    <x v="5"/>
    <n v="385"/>
    <n v="4752"/>
    <n v="14000"/>
    <n v="205000"/>
    <n v="-0.97250000000000003"/>
    <m/>
    <x v="4"/>
  </r>
  <r>
    <s v="010"/>
    <x v="10"/>
    <x v="6"/>
    <n v="51"/>
    <n v="313"/>
    <n v="91"/>
    <n v="455"/>
    <n v="-0.43956043956043955"/>
    <m/>
    <x v="4"/>
  </r>
  <r>
    <s v="010"/>
    <x v="10"/>
    <x v="7"/>
    <n v="1376.7654099999991"/>
    <n v="4644.491649999999"/>
    <n v="464.34293612797183"/>
    <n v="3574.7808855946109"/>
    <n v="1.9649754586135575"/>
    <m/>
    <x v="4"/>
  </r>
  <r>
    <s v="010"/>
    <x v="10"/>
    <x v="8"/>
    <n v="654.99495745120964"/>
    <n v="-1763.2035600000008"/>
    <n v="58.306404285829558"/>
    <n v="-5073.0144972458538"/>
    <n v="10.233670905863008"/>
    <m/>
    <x v="4"/>
  </r>
  <r>
    <s v="011"/>
    <x v="11"/>
    <x v="0"/>
    <n v="1989.9007999999958"/>
    <n v="-9255.9800800000085"/>
    <n v="2986.0037593984976"/>
    <n v="50837.447518797017"/>
    <n v="-0.33359065817089173"/>
    <m/>
    <x v="4"/>
  </r>
  <r>
    <s v="011"/>
    <x v="11"/>
    <x v="1"/>
    <m/>
    <n v="28651.686049999989"/>
    <m/>
    <n v="38630.371958195487"/>
    <n v="0"/>
    <m/>
    <x v="4"/>
  </r>
  <r>
    <s v="011"/>
    <x v="11"/>
    <x v="2"/>
    <n v="0"/>
    <n v="71419.281600000017"/>
    <m/>
    <n v="76986.768056616507"/>
    <n v="0"/>
    <m/>
    <x v="4"/>
  </r>
  <r>
    <s v="011"/>
    <x v="11"/>
    <x v="3"/>
    <n v="2269.2787999999996"/>
    <n v="13305.700849999999"/>
    <n v="10544.085610693401"/>
    <n v="62169.971221386804"/>
    <n v="-0.7847818308968787"/>
    <m/>
    <x v="4"/>
  </r>
  <r>
    <s v="011"/>
    <x v="11"/>
    <x v="4"/>
    <n v="53540"/>
    <n v="330329.14"/>
    <n v="62110.805064189197"/>
    <n v="478221.61012837838"/>
    <n v="-0.13799217471632497"/>
    <m/>
    <x v="4"/>
  </r>
  <r>
    <s v="011"/>
    <x v="11"/>
    <x v="5"/>
    <n v="0"/>
    <n v="2605"/>
    <n v="14000"/>
    <n v="106000"/>
    <n v="-1"/>
    <m/>
    <x v="4"/>
  </r>
  <r>
    <s v="011"/>
    <x v="11"/>
    <x v="6"/>
    <n v="76"/>
    <n v="226"/>
    <n v="58"/>
    <n v="290"/>
    <n v="0.31034482758620691"/>
    <m/>
    <x v="4"/>
  </r>
  <r>
    <s v="011"/>
    <x v="11"/>
    <x v="7"/>
    <n v="200.68865999999991"/>
    <n v="1135.8129899999999"/>
    <n v="512.32158701566777"/>
    <n v="1707.9088959021651"/>
    <n v="-0.60827600263921244"/>
    <m/>
    <x v="4"/>
  </r>
  <r>
    <s v="011"/>
    <x v="11"/>
    <x v="8"/>
    <n v="164.3059387335924"/>
    <n v="-1370.6064299999971"/>
    <n v="539.1941497267976"/>
    <n v="1420.9380889050428"/>
    <n v="-0.69527499729579045"/>
    <m/>
    <x v="4"/>
  </r>
  <r>
    <s v="012"/>
    <x v="12"/>
    <x v="0"/>
    <n v="73589.817970000324"/>
    <n v="89807.623440000229"/>
    <n v="6444.9472117794749"/>
    <n v="93020.774423558963"/>
    <n v="10.418218885563515"/>
    <m/>
    <x v="4"/>
  </r>
  <r>
    <s v="012"/>
    <x v="12"/>
    <x v="1"/>
    <m/>
    <n v="794967.86746000021"/>
    <m/>
    <n v="703806.85350533831"/>
    <n v="0"/>
    <m/>
    <x v="4"/>
  </r>
  <r>
    <s v="012"/>
    <x v="12"/>
    <x v="2"/>
    <n v="0"/>
    <n v="403815.38329999987"/>
    <m/>
    <n v="303010.12662036798"/>
    <n v="0"/>
    <m/>
    <x v="4"/>
  </r>
  <r>
    <s v="012"/>
    <x v="12"/>
    <x v="3"/>
    <n v="18031.174400000004"/>
    <n v="29283.372950000004"/>
    <n v="11173.619697994987"/>
    <n v="107510.83939598998"/>
    <n v="0.61372723319333544"/>
    <m/>
    <x v="4"/>
  </r>
  <r>
    <s v="012"/>
    <x v="12"/>
    <x v="4"/>
    <n v="5929942.5799999991"/>
    <n v="15748836.439999998"/>
    <n v="2812732.172192568"/>
    <n v="22281464.344385132"/>
    <n v="1.1082499921695417"/>
    <m/>
    <x v="4"/>
  </r>
  <r>
    <s v="012"/>
    <x v="12"/>
    <x v="5"/>
    <n v="14789"/>
    <n v="852371"/>
    <n v="56000"/>
    <n v="571000"/>
    <n v="-0.73591071428571431"/>
    <m/>
    <x v="4"/>
  </r>
  <r>
    <s v="012"/>
    <x v="12"/>
    <x v="6"/>
    <n v="71"/>
    <n v="236"/>
    <n v="98"/>
    <n v="490"/>
    <n v="-0.27551020408163263"/>
    <m/>
    <x v="4"/>
  </r>
  <r>
    <s v="012"/>
    <x v="12"/>
    <x v="7"/>
    <n v="6468.9421900000052"/>
    <n v="17203.324370000006"/>
    <n v="6342.1456664377656"/>
    <n v="16542.424158563972"/>
    <n v="1.9992685477604022E-2"/>
    <m/>
    <x v="4"/>
  </r>
  <r>
    <s v="012"/>
    <x v="12"/>
    <x v="8"/>
    <n v="6657.5364819403012"/>
    <n v="20984.410199999995"/>
    <n v="5455.7936383817132"/>
    <n v="11270.952511452415"/>
    <n v="0.2202691163214609"/>
    <m/>
    <x v="4"/>
  </r>
  <r>
    <s v="013"/>
    <x v="13"/>
    <x v="0"/>
    <n v="2548.8988900000259"/>
    <n v="6439.3782300000312"/>
    <n v="6004.7180451127888"/>
    <n v="71083.356090225541"/>
    <n v="-0.57551730641631671"/>
    <m/>
    <x v="4"/>
  </r>
  <r>
    <s v="013"/>
    <x v="13"/>
    <x v="1"/>
    <m/>
    <n v="84894.38718000002"/>
    <m/>
    <n v="103130.75235533834"/>
    <n v="0"/>
    <m/>
    <x v="4"/>
  </r>
  <r>
    <s v="013"/>
    <x v="13"/>
    <x v="2"/>
    <n v="0"/>
    <n v="166771.91965999999"/>
    <m/>
    <n v="148423.56014020901"/>
    <n v="0"/>
    <m/>
    <x v="4"/>
  </r>
  <r>
    <s v="013"/>
    <x v="13"/>
    <x v="3"/>
    <n v="1294.0999999999999"/>
    <n v="24324.621549999996"/>
    <n v="10756.139197994988"/>
    <n v="80354.678395989977"/>
    <n v="-0.87968731380482423"/>
    <m/>
    <x v="4"/>
  </r>
  <r>
    <s v="013"/>
    <x v="13"/>
    <x v="4"/>
    <n v="20800"/>
    <n v="177380"/>
    <n v="124221.61012837839"/>
    <n v="521443.22025675676"/>
    <n v="-0.83255731447608849"/>
    <m/>
    <x v="4"/>
  </r>
  <r>
    <s v="013"/>
    <x v="13"/>
    <x v="5"/>
    <n v="535"/>
    <n v="48098"/>
    <n v="28000"/>
    <n v="131000"/>
    <n v="-0.98089285714285712"/>
    <m/>
    <x v="4"/>
  </r>
  <r>
    <s v="013"/>
    <x v="13"/>
    <x v="6"/>
    <n v="70"/>
    <n v="229"/>
    <n v="68"/>
    <n v="340"/>
    <n v="2.9411764705882353E-2"/>
    <m/>
    <x v="4"/>
  </r>
  <r>
    <s v="013"/>
    <x v="13"/>
    <x v="7"/>
    <n v="178.44094999999993"/>
    <n v="1291.31906"/>
    <n v="652.0169815305012"/>
    <n v="2117.2013234020283"/>
    <n v="-0.72632468930312288"/>
    <m/>
    <x v="4"/>
  </r>
  <r>
    <s v="013"/>
    <x v="13"/>
    <x v="8"/>
    <n v="790.52320369435381"/>
    <n v="-121.76722000000076"/>
    <n v="1622.4151617579798"/>
    <n v="3127.969845083061"/>
    <n v="-0.51274912714833321"/>
    <m/>
    <x v="4"/>
  </r>
  <r>
    <s v="014"/>
    <x v="14"/>
    <x v="0"/>
    <n v="-832.84165000004577"/>
    <n v="3157.5385799999349"/>
    <n v="4358.4829260651468"/>
    <n v="77916.965852130437"/>
    <n v="-1.1910852156880969"/>
    <m/>
    <x v="4"/>
  </r>
  <r>
    <s v="014"/>
    <x v="14"/>
    <x v="1"/>
    <m/>
    <n v="254295.30593999996"/>
    <m/>
    <n v="266303.43247819546"/>
    <n v="0"/>
    <m/>
    <x v="4"/>
  </r>
  <r>
    <s v="014"/>
    <x v="14"/>
    <x v="2"/>
    <n v="0"/>
    <n v="218451.94940000001"/>
    <m/>
    <n v="180731.77802992397"/>
    <n v="0"/>
    <m/>
    <x v="4"/>
  </r>
  <r>
    <s v="014"/>
    <x v="14"/>
    <x v="3"/>
    <n v="771.59010000000001"/>
    <n v="22380.53"/>
    <n v="7807.2689995822902"/>
    <n v="87114.537999164575"/>
    <n v="-0.90117029398611959"/>
    <m/>
    <x v="4"/>
  </r>
  <r>
    <s v="014"/>
    <x v="14"/>
    <x v="4"/>
    <n v="2591690.02"/>
    <n v="7327533.9299999997"/>
    <n v="124221.61012837839"/>
    <n v="3881443.220256757"/>
    <n v="19.863439278573068"/>
    <m/>
    <x v="4"/>
  </r>
  <r>
    <s v="014"/>
    <x v="14"/>
    <x v="5"/>
    <n v="5991"/>
    <n v="34184"/>
    <n v="28000"/>
    <n v="92000"/>
    <n v="-0.78603571428571428"/>
    <m/>
    <x v="4"/>
  </r>
  <r>
    <s v="014"/>
    <x v="14"/>
    <x v="6"/>
    <n v="34"/>
    <n v="131"/>
    <n v="65"/>
    <n v="325"/>
    <n v="-0.47692307692307695"/>
    <m/>
    <x v="4"/>
  </r>
  <r>
    <s v="014"/>
    <x v="14"/>
    <x v="7"/>
    <n v="2682.2264399999995"/>
    <n v="8339.4172299999991"/>
    <n v="2466.9892188337008"/>
    <n v="7584.6439865422526"/>
    <n v="8.7246924114266988E-2"/>
    <m/>
    <x v="4"/>
  </r>
  <r>
    <s v="014"/>
    <x v="14"/>
    <x v="8"/>
    <n v="373.11200796252444"/>
    <n v="-2498.233850000001"/>
    <n v="2881.6886471016128"/>
    <n v="-912.22597292049534"/>
    <n v="-0.87052313637776291"/>
    <m/>
    <x v="4"/>
  </r>
  <r>
    <s v="015"/>
    <x v="15"/>
    <x v="0"/>
    <n v="1965.2615599999917"/>
    <n v="9560.5498699999916"/>
    <n v="2986.0037593984976"/>
    <n v="65302.887518796997"/>
    <n v="-0.34184223518999346"/>
    <m/>
    <x v="4"/>
  </r>
  <r>
    <s v="015"/>
    <x v="15"/>
    <x v="1"/>
    <m/>
    <n v="37855.084719999992"/>
    <m/>
    <n v="46263.214868195486"/>
    <n v="0"/>
    <m/>
    <x v="4"/>
  </r>
  <r>
    <s v="015"/>
    <x v="15"/>
    <x v="2"/>
    <n v="0"/>
    <n v="149085.25650000005"/>
    <m/>
    <n v="112443.13761567284"/>
    <n v="0"/>
    <m/>
    <x v="4"/>
  </r>
  <r>
    <s v="015"/>
    <x v="15"/>
    <x v="3"/>
    <n v="1007.22"/>
    <n v="8910.17"/>
    <n v="5348.7727218045111"/>
    <n v="69861.145443609028"/>
    <n v="-0.81169138185774414"/>
    <m/>
    <x v="4"/>
  </r>
  <r>
    <s v="015"/>
    <x v="15"/>
    <x v="4"/>
    <n v="16000"/>
    <n v="155120"/>
    <n v="62110.805064189197"/>
    <n v="298221.61012837838"/>
    <n v="-0.74239586842475158"/>
    <m/>
    <x v="4"/>
  </r>
  <r>
    <s v="015"/>
    <x v="15"/>
    <x v="5"/>
    <n v="5189"/>
    <n v="12894"/>
    <n v="14000"/>
    <n v="34000"/>
    <n v="-0.62935714285714284"/>
    <m/>
    <x v="4"/>
  </r>
  <r>
    <s v="015"/>
    <x v="15"/>
    <x v="6"/>
    <n v="15"/>
    <n v="145"/>
    <n v="61"/>
    <n v="305"/>
    <n v="-0.75409836065573765"/>
    <m/>
    <x v="4"/>
  </r>
  <r>
    <s v="015"/>
    <x v="15"/>
    <x v="7"/>
    <n v="124.3490700000001"/>
    <n v="813.59202000000005"/>
    <n v="349.60645779997685"/>
    <n v="1245.4453833603061"/>
    <n v="-0.64431701066819269"/>
    <m/>
    <x v="4"/>
  </r>
  <r>
    <s v="015"/>
    <x v="15"/>
    <x v="8"/>
    <n v="-220.6003022562503"/>
    <n v="-3033.2692199999965"/>
    <n v="887.09821922452068"/>
    <n v="1379.7495500312821"/>
    <n v="-1.2486762992818243"/>
    <m/>
    <x v="4"/>
  </r>
  <r>
    <s v="016"/>
    <x v="16"/>
    <x v="0"/>
    <n v="3775.7357900000061"/>
    <n v="-12005.302460000035"/>
    <n v="8812.5662593984907"/>
    <n v="84890.572518797038"/>
    <n v="-0.57155093319460359"/>
    <m/>
    <x v="4"/>
  </r>
  <r>
    <s v="016"/>
    <x v="16"/>
    <x v="1"/>
    <m/>
    <n v="144886.42747999998"/>
    <m/>
    <n v="171238.51140819545"/>
    <n v="0"/>
    <m/>
    <x v="4"/>
  </r>
  <r>
    <s v="016"/>
    <x v="16"/>
    <x v="2"/>
    <n v="0"/>
    <n v="171582.24031999998"/>
    <m/>
    <n v="161400.196995882"/>
    <n v="0"/>
    <m/>
    <x v="4"/>
  </r>
  <r>
    <s v="016"/>
    <x v="16"/>
    <x v="3"/>
    <n v="2411.2468100000001"/>
    <n v="18630.444149999999"/>
    <n v="8116.5138143971044"/>
    <n v="85314.827628794199"/>
    <n v="-0.7029208764823488"/>
    <m/>
    <x v="4"/>
  </r>
  <r>
    <s v="016"/>
    <x v="16"/>
    <x v="4"/>
    <n v="228999"/>
    <n v="1109787"/>
    <n v="1656288.1350450451"/>
    <n v="4806576.2700900901"/>
    <n v="-0.86173963626578054"/>
    <m/>
    <x v="4"/>
  </r>
  <r>
    <s v="016"/>
    <x v="16"/>
    <x v="5"/>
    <n v="12592"/>
    <n v="296611"/>
    <n v="83666"/>
    <n v="1034332"/>
    <n v="-0.84949680873951183"/>
    <m/>
    <x v="4"/>
  </r>
  <r>
    <s v="016"/>
    <x v="16"/>
    <x v="6"/>
    <n v="48"/>
    <n v="232"/>
    <n v="56"/>
    <n v="280"/>
    <n v="-0.14285714285714285"/>
    <m/>
    <x v="4"/>
  </r>
  <r>
    <s v="016"/>
    <x v="16"/>
    <x v="7"/>
    <n v="470.81802000000016"/>
    <n v="2289.6379700000002"/>
    <n v="4109.801363106315"/>
    <n v="7749.9089458324152"/>
    <n v="-0.88544020053462114"/>
    <m/>
    <x v="4"/>
  </r>
  <r>
    <s v="016"/>
    <x v="16"/>
    <x v="8"/>
    <n v="2379.103767780819"/>
    <n v="7108.8925100000079"/>
    <n v="4742.5251062350835"/>
    <n v="10964.983036326634"/>
    <n v="-0.49834661609846448"/>
    <m/>
    <x v="4"/>
  </r>
  <r>
    <s v="017"/>
    <x v="17"/>
    <x v="0"/>
    <n v="27334.491389999988"/>
    <n v="-12769.575550000023"/>
    <n v="4462.0662593985053"/>
    <n v="63789.572518796995"/>
    <n v="5.12597164652699"/>
    <m/>
    <x v="4"/>
  </r>
  <r>
    <s v="017"/>
    <x v="17"/>
    <x v="1"/>
    <m/>
    <n v="69080.046139999991"/>
    <m/>
    <n v="81713.616738195487"/>
    <n v="0"/>
    <m/>
    <x v="4"/>
  </r>
  <r>
    <s v="017"/>
    <x v="17"/>
    <x v="2"/>
    <n v="0"/>
    <n v="165152.36579000004"/>
    <m/>
    <n v="125651.4610364852"/>
    <n v="0"/>
    <m/>
    <x v="4"/>
  </r>
  <r>
    <s v="017"/>
    <x v="17"/>
    <x v="3"/>
    <n v="6010.2290000000003"/>
    <n v="21658.464800000002"/>
    <n v="8116.5138143971044"/>
    <n v="69814.827628794199"/>
    <n v="-0.25950609615928549"/>
    <m/>
    <x v="4"/>
  </r>
  <r>
    <s v="017"/>
    <x v="17"/>
    <x v="4"/>
    <n v="1558688.04"/>
    <n v="2348811.09"/>
    <n v="1437421.4886283781"/>
    <n v="3366842.9772567563"/>
    <n v="8.436394775713095E-2"/>
    <m/>
    <x v="4"/>
  </r>
  <r>
    <s v="017"/>
    <x v="17"/>
    <x v="5"/>
    <n v="290613"/>
    <n v="291613"/>
    <n v="42000"/>
    <n v="90000"/>
    <n v="5.9193571428571428"/>
    <m/>
    <x v="4"/>
  </r>
  <r>
    <s v="017"/>
    <x v="17"/>
    <x v="6"/>
    <n v="37"/>
    <n v="138"/>
    <n v="48"/>
    <n v="240"/>
    <n v="-0.22916666666666666"/>
    <m/>
    <x v="4"/>
  </r>
  <r>
    <s v="017"/>
    <x v="17"/>
    <x v="7"/>
    <n v="1835.3505700000005"/>
    <n v="3529.0869300000004"/>
    <n v="3845.2425286838802"/>
    <n v="6561.4875795004455"/>
    <n v="-0.52269575811953006"/>
    <m/>
    <x v="4"/>
  </r>
  <r>
    <s v="017"/>
    <x v="17"/>
    <x v="8"/>
    <n v="2501.3833947317457"/>
    <n v="-476.53004999999365"/>
    <n v="3676.7905128756088"/>
    <n v="3292.427460682994"/>
    <n v="-0.31968291748680022"/>
    <m/>
    <x v="4"/>
  </r>
  <r>
    <s v="018"/>
    <x v="18"/>
    <x v="0"/>
    <n v="11052.019269999997"/>
    <n v="13244.132209999985"/>
    <n v="7998.697211779453"/>
    <n v="86928.274423558905"/>
    <n v="0.38172742102601454"/>
    <m/>
    <x v="4"/>
  </r>
  <r>
    <s v="018"/>
    <x v="18"/>
    <x v="1"/>
    <m/>
    <n v="45749.511969999992"/>
    <m/>
    <n v="56205.970655338351"/>
    <n v="0"/>
    <m/>
    <x v="4"/>
  </r>
  <r>
    <s v="018"/>
    <x v="18"/>
    <x v="2"/>
    <n v="0"/>
    <n v="171059.18790000002"/>
    <m/>
    <n v="163460.74363521725"/>
    <n v="0"/>
    <m/>
    <x v="4"/>
  </r>
  <r>
    <s v="018"/>
    <x v="18"/>
    <x v="3"/>
    <n v="3536.7530000000002"/>
    <n v="20124.144700000001"/>
    <n v="13214.635475772764"/>
    <n v="100092.87095154554"/>
    <n v="-0.7323609110153545"/>
    <m/>
    <x v="4"/>
  </r>
  <r>
    <s v="018"/>
    <x v="18"/>
    <x v="4"/>
    <n v="231555"/>
    <n v="701884.15"/>
    <n v="1499532.2936925676"/>
    <n v="3839064.5873851348"/>
    <n v="-0.84558185177206113"/>
    <m/>
    <x v="4"/>
  </r>
  <r>
    <s v="018"/>
    <x v="18"/>
    <x v="5"/>
    <n v="387"/>
    <n v="27873"/>
    <n v="56000"/>
    <n v="133000"/>
    <n v="-0.99308928571428567"/>
    <m/>
    <x v="4"/>
  </r>
  <r>
    <s v="018"/>
    <x v="18"/>
    <x v="6"/>
    <n v="58"/>
    <n v="398"/>
    <n v="108"/>
    <n v="540"/>
    <n v="-0.46296296296296297"/>
    <m/>
    <x v="4"/>
  </r>
  <r>
    <s v="018"/>
    <x v="18"/>
    <x v="7"/>
    <n v="457.98511000000008"/>
    <n v="2026.82755"/>
    <n v="4064.5334452688371"/>
    <n v="7371.2178566227394"/>
    <n v="-0.88732160377887903"/>
    <m/>
    <x v="4"/>
  </r>
  <r>
    <s v="018"/>
    <x v="18"/>
    <x v="8"/>
    <n v="-9644.1885105726451"/>
    <n v="-9067.1045900000008"/>
    <n v="4952.8788759851413"/>
    <n v="9862.741316480895"/>
    <n v="-2.9471884437421032"/>
    <m/>
    <x v="4"/>
  </r>
  <r>
    <s v="019"/>
    <x v="19"/>
    <x v="0"/>
    <n v="-1.7810699999999997"/>
    <n v="1.3539800000000923"/>
    <n v="0"/>
    <n v="0"/>
    <n v="0"/>
    <m/>
    <x v="4"/>
  </r>
  <r>
    <s v="019"/>
    <x v="19"/>
    <x v="1"/>
    <m/>
    <n v="616.53904"/>
    <m/>
    <n v="620.50470999999993"/>
    <n v="0"/>
    <m/>
    <x v="4"/>
  </r>
  <r>
    <s v="019"/>
    <x v="19"/>
    <x v="2"/>
    <n v="0"/>
    <n v="0"/>
    <m/>
    <n v="-15.040850000000001"/>
    <n v="0"/>
    <m/>
    <x v="4"/>
  </r>
  <r>
    <s v="019"/>
    <x v="19"/>
    <x v="3"/>
    <n v="0"/>
    <n v="0"/>
    <n v="0"/>
    <n v="0"/>
    <n v="0"/>
    <m/>
    <x v="4"/>
  </r>
  <r>
    <s v="019"/>
    <x v="19"/>
    <x v="4"/>
    <n v="0"/>
    <n v="0"/>
    <n v="0"/>
    <n v="0"/>
    <n v="0"/>
    <m/>
    <x v="4"/>
  </r>
  <r>
    <s v="019"/>
    <x v="19"/>
    <x v="5"/>
    <n v="0"/>
    <n v="0"/>
    <n v="0"/>
    <n v="0"/>
    <n v="0"/>
    <m/>
    <x v="4"/>
  </r>
  <r>
    <s v="019"/>
    <x v="19"/>
    <x v="6"/>
    <n v="0"/>
    <n v="0"/>
    <n v="0"/>
    <n v="0"/>
    <n v="0"/>
    <m/>
    <x v="4"/>
  </r>
  <r>
    <s v="019"/>
    <x v="19"/>
    <x v="7"/>
    <n v="0"/>
    <n v="0"/>
    <n v="0.80561361921055208"/>
    <n v="1.5702125123216359"/>
    <n v="-1"/>
    <m/>
    <x v="4"/>
  </r>
  <r>
    <s v="019"/>
    <x v="19"/>
    <x v="8"/>
    <n v="-0.99854431036073399"/>
    <n v="11.833830000000006"/>
    <n v="-0.8407787878390427"/>
    <n v="-2.8531071567920097"/>
    <n v="-0.18764212989623338"/>
    <m/>
    <x v="4"/>
  </r>
  <r>
    <s v="020"/>
    <x v="20"/>
    <x v="0"/>
    <n v="1876.5409799999907"/>
    <n v="17129.688020000001"/>
    <n v="11650.009711779445"/>
    <n v="114504.81942355892"/>
    <n v="-0.83892365530797797"/>
    <m/>
    <x v="4"/>
  </r>
  <r>
    <s v="020"/>
    <x v="20"/>
    <x v="1"/>
    <m/>
    <n v="235587.94744999998"/>
    <m/>
    <n v="264137.01070533838"/>
    <n v="0"/>
    <m/>
    <x v="4"/>
  </r>
  <r>
    <s v="020"/>
    <x v="20"/>
    <x v="2"/>
    <n v="0"/>
    <n v="147203.47313"/>
    <m/>
    <n v="148113.69125050015"/>
    <n v="0"/>
    <m/>
    <x v="4"/>
  </r>
  <r>
    <s v="020"/>
    <x v="20"/>
    <x v="3"/>
    <n v="3091.2420000000002"/>
    <n v="10540.898999999999"/>
    <n v="20868.444642439434"/>
    <n v="140742.88928487885"/>
    <n v="-0.8518700337775319"/>
    <m/>
    <x v="4"/>
  </r>
  <r>
    <s v="020"/>
    <x v="20"/>
    <x v="4"/>
    <n v="5000"/>
    <n v="47200"/>
    <n v="248443.22025675679"/>
    <n v="685886.44051351352"/>
    <n v="-0.97987467722068367"/>
    <m/>
    <x v="4"/>
  </r>
  <r>
    <s v="020"/>
    <x v="20"/>
    <x v="5"/>
    <n v="30061"/>
    <n v="355779"/>
    <n v="56000"/>
    <n v="409000"/>
    <n v="-0.46319642857142856"/>
    <m/>
    <x v="4"/>
  </r>
  <r>
    <s v="020"/>
    <x v="20"/>
    <x v="6"/>
    <n v="69"/>
    <n v="614"/>
    <n v="178"/>
    <n v="890"/>
    <n v="-0.61235955056179781"/>
    <m/>
    <x v="4"/>
  </r>
  <r>
    <s v="020"/>
    <x v="20"/>
    <x v="7"/>
    <n v="215.18431999999984"/>
    <n v="1395.6035300000001"/>
    <n v="1044.1776026266255"/>
    <n v="3017.2172354711338"/>
    <n v="-0.79391980879621971"/>
    <m/>
    <x v="4"/>
  </r>
  <r>
    <s v="020"/>
    <x v="20"/>
    <x v="8"/>
    <n v="-1873.5984388975492"/>
    <n v="-9155.4469099999969"/>
    <n v="-894.2905558983739"/>
    <n v="-8290.1895946273107"/>
    <n v="-1.0950667839887853"/>
    <m/>
    <x v="4"/>
  </r>
  <r>
    <s v="000"/>
    <x v="0"/>
    <x v="0"/>
    <n v="0"/>
    <n v="0"/>
    <n v="0"/>
    <n v="0"/>
    <n v="0"/>
    <m/>
    <x v="5"/>
  </r>
  <r>
    <s v="000"/>
    <x v="0"/>
    <x v="1"/>
    <m/>
    <n v="0"/>
    <m/>
    <n v="0"/>
    <n v="0"/>
    <m/>
    <x v="5"/>
  </r>
  <r>
    <s v="000"/>
    <x v="0"/>
    <x v="2"/>
    <n v="0"/>
    <n v="0"/>
    <m/>
    <n v="0"/>
    <n v="0"/>
    <m/>
    <x v="5"/>
  </r>
  <r>
    <s v="000"/>
    <x v="0"/>
    <x v="3"/>
    <n v="0"/>
    <n v="0"/>
    <n v="0"/>
    <n v="0"/>
    <n v="0"/>
    <m/>
    <x v="5"/>
  </r>
  <r>
    <s v="000"/>
    <x v="0"/>
    <x v="4"/>
    <n v="0"/>
    <n v="0"/>
    <n v="0"/>
    <n v="0"/>
    <n v="0"/>
    <m/>
    <x v="5"/>
  </r>
  <r>
    <s v="000"/>
    <x v="0"/>
    <x v="5"/>
    <n v="33750"/>
    <n v="243620"/>
    <n v="0"/>
    <n v="99000"/>
    <n v="0"/>
    <m/>
    <x v="5"/>
  </r>
  <r>
    <s v="000"/>
    <x v="0"/>
    <x v="6"/>
    <n v="0"/>
    <n v="0"/>
    <n v="0"/>
    <n v="0"/>
    <n v="0"/>
    <m/>
    <x v="5"/>
  </r>
  <r>
    <s v="000"/>
    <x v="0"/>
    <x v="7"/>
    <n v="2.7799999999729152E-3"/>
    <n v="453.76706999999999"/>
    <n v="4.3355300496955351E-2"/>
    <n v="117.59214325571452"/>
    <n v="-0.93587865916952551"/>
    <m/>
    <x v="5"/>
  </r>
  <r>
    <s v="000"/>
    <x v="0"/>
    <x v="8"/>
    <n v="-16569.254430591045"/>
    <n v="-179455.82070844111"/>
    <n v="-20567.407791447709"/>
    <n v="-162062.38877216892"/>
    <n v="0.19439267220243314"/>
    <m/>
    <x v="5"/>
  </r>
  <r>
    <s v="001"/>
    <x v="1"/>
    <x v="0"/>
    <n v="-12228.28408000007"/>
    <n v="27530.055420000048"/>
    <n v="7465.9829260652068"/>
    <n v="80463.388778195615"/>
    <n v="-2.6378666012359524"/>
    <m/>
    <x v="5"/>
  </r>
  <r>
    <s v="001"/>
    <x v="1"/>
    <x v="1"/>
    <m/>
    <n v="506153.62855000002"/>
    <m/>
    <n v="516041.8418142607"/>
    <n v="0"/>
    <m/>
    <x v="5"/>
  </r>
  <r>
    <s v="001"/>
    <x v="1"/>
    <x v="2"/>
    <n v="0"/>
    <n v="672857.78944999992"/>
    <m/>
    <n v="525266.6519396794"/>
    <n v="0"/>
    <m/>
    <x v="5"/>
  </r>
  <r>
    <s v="001"/>
    <x v="1"/>
    <x v="3"/>
    <n v="9977.8920500000004"/>
    <n v="60498.680699999997"/>
    <n v="21166.644999582291"/>
    <n v="121081.73499874688"/>
    <n v="-0.52860304265522917"/>
    <m/>
    <x v="5"/>
  </r>
  <r>
    <s v="001"/>
    <x v="1"/>
    <x v="4"/>
    <n v="4001647.9400000013"/>
    <n v="13334767.140000001"/>
    <n v="124221.61012837839"/>
    <n v="4422664.8303851355"/>
    <n v="31.21378257667444"/>
    <m/>
    <x v="5"/>
  </r>
  <r>
    <s v="001"/>
    <x v="1"/>
    <x v="5"/>
    <n v="131994"/>
    <n v="378136"/>
    <n v="28000"/>
    <n v="90000"/>
    <n v="3.7140714285714287"/>
    <m/>
    <x v="5"/>
  </r>
  <r>
    <s v="001"/>
    <x v="1"/>
    <x v="6"/>
    <n v="69"/>
    <n v="315"/>
    <n v="85"/>
    <n v="510"/>
    <n v="-0.18823529411764706"/>
    <m/>
    <x v="5"/>
  </r>
  <r>
    <s v="001"/>
    <x v="1"/>
    <x v="7"/>
    <n v="4188.9635900000012"/>
    <n v="15439.120709999999"/>
    <n v="977.68434433161019"/>
    <n v="10231.766041328867"/>
    <n v="3.2845767289684571"/>
    <m/>
    <x v="5"/>
  </r>
  <r>
    <s v="001"/>
    <x v="1"/>
    <x v="8"/>
    <n v="-1337.1877429443896"/>
    <n v="-6081.0663429443848"/>
    <n v="4844.3729508975312"/>
    <n v="11253.484269656341"/>
    <n v="-1.2760290664030407"/>
    <m/>
    <x v="5"/>
  </r>
  <r>
    <s v="002"/>
    <x v="2"/>
    <x v="0"/>
    <n v="4406.5777999999627"/>
    <n v="-16165.951540000009"/>
    <n v="2986.0037593984976"/>
    <n v="68223.451278195498"/>
    <n v="0.47574422374057107"/>
    <m/>
    <x v="5"/>
  </r>
  <r>
    <s v="002"/>
    <x v="2"/>
    <x v="1"/>
    <m/>
    <n v="56967.09156999999"/>
    <m/>
    <n v="61056.303837593987"/>
    <n v="0"/>
    <m/>
    <x v="5"/>
  </r>
  <r>
    <s v="002"/>
    <x v="2"/>
    <x v="2"/>
    <n v="0"/>
    <n v="90769.645039999989"/>
    <m/>
    <n v="81707.346093515342"/>
    <n v="0"/>
    <m/>
    <x v="5"/>
  </r>
  <r>
    <s v="002"/>
    <x v="2"/>
    <x v="3"/>
    <n v="841.43399999999997"/>
    <n v="10483.763849999999"/>
    <n v="5348.7727218045111"/>
    <n v="75128.118165413529"/>
    <n v="-0.84268652945939226"/>
    <m/>
    <x v="5"/>
  </r>
  <r>
    <s v="002"/>
    <x v="2"/>
    <x v="4"/>
    <n v="0"/>
    <n v="57500"/>
    <n v="62110.805064189197"/>
    <n v="276332.41519256757"/>
    <n v="-1"/>
    <m/>
    <x v="5"/>
  </r>
  <r>
    <s v="002"/>
    <x v="2"/>
    <x v="5"/>
    <n v="43194"/>
    <n v="276728"/>
    <n v="14000"/>
    <n v="261000"/>
    <n v="2.0852857142857144"/>
    <m/>
    <x v="5"/>
  </r>
  <r>
    <s v="002"/>
    <x v="2"/>
    <x v="6"/>
    <n v="114"/>
    <n v="407"/>
    <n v="73"/>
    <n v="438"/>
    <n v="0.56164383561643838"/>
    <m/>
    <x v="5"/>
  </r>
  <r>
    <s v="002"/>
    <x v="2"/>
    <x v="7"/>
    <n v="127.27053000000001"/>
    <n v="934.91018000000008"/>
    <n v="383.55599526122705"/>
    <n v="1677.2322422495777"/>
    <n v="-0.66818266023108219"/>
    <m/>
    <x v="5"/>
  </r>
  <r>
    <s v="002"/>
    <x v="2"/>
    <x v="8"/>
    <n v="-1490.4545389887599"/>
    <n v="-7900.0324789887591"/>
    <n v="172.21404898484025"/>
    <n v="-2417.7083860226203"/>
    <n v="-9.6546628905982139"/>
    <m/>
    <x v="5"/>
  </r>
  <r>
    <s v="003"/>
    <x v="3"/>
    <x v="0"/>
    <n v="-5.8662200000035227"/>
    <n v="-4767.1982700000081"/>
    <n v="2986.0037593984976"/>
    <n v="60288.891278195493"/>
    <n v="-1.0019645722084374"/>
    <m/>
    <x v="5"/>
  </r>
  <r>
    <s v="003"/>
    <x v="3"/>
    <x v="1"/>
    <m/>
    <n v="35517.669949999989"/>
    <m/>
    <n v="58518.075527593974"/>
    <n v="0"/>
    <m/>
    <x v="5"/>
  </r>
  <r>
    <s v="003"/>
    <x v="3"/>
    <x v="2"/>
    <n v="0"/>
    <n v="98096.666759999978"/>
    <m/>
    <n v="89424.058265153086"/>
    <n v="0"/>
    <m/>
    <x v="5"/>
  </r>
  <r>
    <s v="003"/>
    <x v="3"/>
    <x v="3"/>
    <n v="0"/>
    <n v="6654.0638500000005"/>
    <n v="5348.7727218045111"/>
    <n v="65209.918165413539"/>
    <n v="-1"/>
    <m/>
    <x v="5"/>
  </r>
  <r>
    <s v="003"/>
    <x v="3"/>
    <x v="4"/>
    <n v="5000"/>
    <n v="36000"/>
    <n v="62110.805064189197"/>
    <n v="222332.41519256757"/>
    <n v="-0.91949870888273488"/>
    <m/>
    <x v="5"/>
  </r>
  <r>
    <s v="003"/>
    <x v="3"/>
    <x v="5"/>
    <n v="0"/>
    <n v="0"/>
    <n v="14000"/>
    <n v="45000"/>
    <n v="-1"/>
    <m/>
    <x v="5"/>
  </r>
  <r>
    <s v="003"/>
    <x v="3"/>
    <x v="6"/>
    <n v="30"/>
    <n v="144"/>
    <n v="66"/>
    <n v="396"/>
    <n v="-0.54545454545454541"/>
    <m/>
    <x v="5"/>
  </r>
  <r>
    <s v="003"/>
    <x v="3"/>
    <x v="7"/>
    <n v="45.221620000000087"/>
    <n v="487.53383000000002"/>
    <n v="395.52343105245154"/>
    <n v="1446.3531351581282"/>
    <n v="-0.88566639432796812"/>
    <m/>
    <x v="5"/>
  </r>
  <r>
    <s v="003"/>
    <x v="3"/>
    <x v="8"/>
    <n v="-1075.2828602710924"/>
    <n v="-4550.9906202710927"/>
    <n v="556.9689570691047"/>
    <n v="-671.2825893711705"/>
    <n v="-2.9305974715888503"/>
    <m/>
    <x v="5"/>
  </r>
  <r>
    <s v="004"/>
    <x v="4"/>
    <x v="0"/>
    <n v="2267.0231800000111"/>
    <n v="11915.989880000019"/>
    <n v="4554.5513784461173"/>
    <n v="86659.974135338387"/>
    <n v="-0.50225104700137235"/>
    <m/>
    <x v="5"/>
  </r>
  <r>
    <s v="004"/>
    <x v="4"/>
    <x v="1"/>
    <m/>
    <n v="34795.709200000005"/>
    <m/>
    <n v="42522.321743784443"/>
    <n v="0"/>
    <m/>
    <x v="5"/>
  </r>
  <r>
    <s v="004"/>
    <x v="4"/>
    <x v="2"/>
    <n v="0"/>
    <n v="114136.12993934788"/>
    <m/>
    <n v="95498.814313695635"/>
    <n v="0"/>
    <m/>
    <x v="5"/>
  </r>
  <r>
    <s v="004"/>
    <x v="4"/>
    <x v="3"/>
    <n v="3594.346"/>
    <n v="15430.12652"/>
    <n v="8158.4827535505428"/>
    <n v="100720.84826065163"/>
    <n v="-0.55943450411343298"/>
    <m/>
    <x v="5"/>
  </r>
  <r>
    <s v="004"/>
    <x v="4"/>
    <x v="4"/>
    <n v="2000"/>
    <n v="35000"/>
    <n v="124221.61012837839"/>
    <n v="633664.83038513514"/>
    <n v="-0.98389974177654693"/>
    <m/>
    <x v="5"/>
  </r>
  <r>
    <s v="004"/>
    <x v="4"/>
    <x v="5"/>
    <n v="330"/>
    <n v="28314"/>
    <n v="28000"/>
    <n v="87000"/>
    <n v="-0.98821428571428571"/>
    <m/>
    <x v="5"/>
  </r>
  <r>
    <s v="004"/>
    <x v="4"/>
    <x v="6"/>
    <n v="29"/>
    <n v="115"/>
    <n v="101"/>
    <n v="606"/>
    <n v="-0.71287128712871284"/>
    <m/>
    <x v="5"/>
  </r>
  <r>
    <s v="004"/>
    <x v="4"/>
    <x v="7"/>
    <n v="124.88038000000006"/>
    <n v="688.20938000000001"/>
    <n v="423.1030475591399"/>
    <n v="1718.1725310781678"/>
    <n v="-0.70484641809973092"/>
    <m/>
    <x v="5"/>
  </r>
  <r>
    <s v="004"/>
    <x v="4"/>
    <x v="8"/>
    <n v="-85.39870922885882"/>
    <n v="-2525.1795292288571"/>
    <n v="544.34904770392859"/>
    <n v="3046.8098546713272"/>
    <n v="-1.1568822607278761"/>
    <m/>
    <x v="5"/>
  </r>
  <r>
    <s v="005"/>
    <x v="5"/>
    <x v="0"/>
    <n v="-797.97797000003629"/>
    <n v="1023.9147299999604"/>
    <n v="8734.8787593984907"/>
    <n v="125870.07627819544"/>
    <n v="-1.0913553572957648"/>
    <m/>
    <x v="5"/>
  </r>
  <r>
    <s v="005"/>
    <x v="5"/>
    <x v="1"/>
    <m/>
    <n v="143337.50661000001"/>
    <m/>
    <n v="190438.90331759403"/>
    <n v="0"/>
    <m/>
    <x v="5"/>
  </r>
  <r>
    <s v="005"/>
    <x v="5"/>
    <x v="2"/>
    <n v="0"/>
    <n v="323040.19003000006"/>
    <m/>
    <n v="213916.70486312557"/>
    <n v="0"/>
    <m/>
    <x v="5"/>
  </r>
  <r>
    <s v="005"/>
    <x v="5"/>
    <x v="3"/>
    <n v="496.89"/>
    <n v="21314.219359999996"/>
    <n v="10575.010092174882"/>
    <n v="141306.83027652465"/>
    <n v="-0.95301281079933153"/>
    <m/>
    <x v="5"/>
  </r>
  <r>
    <s v="005"/>
    <x v="5"/>
    <x v="4"/>
    <n v="727275.48000000045"/>
    <n v="4233149.03"/>
    <n v="1608965.6169009011"/>
    <n v="9389896.850702703"/>
    <n v="-0.54798569194981461"/>
    <m/>
    <x v="5"/>
  </r>
  <r>
    <s v="005"/>
    <x v="5"/>
    <x v="5"/>
    <n v="14220"/>
    <n v="349967"/>
    <n v="97666"/>
    <n v="553998"/>
    <n v="-0.85440173653062479"/>
    <m/>
    <x v="5"/>
  </r>
  <r>
    <s v="005"/>
    <x v="5"/>
    <x v="6"/>
    <n v="42"/>
    <n v="248"/>
    <n v="68"/>
    <n v="408"/>
    <n v="-0.38235294117647056"/>
    <m/>
    <x v="5"/>
  </r>
  <r>
    <s v="005"/>
    <x v="5"/>
    <x v="7"/>
    <n v="859.59473000000071"/>
    <n v="5561.478540000001"/>
    <n v="2202.6830593652157"/>
    <n v="11824.270465638434"/>
    <n v="-0.60975105957925491"/>
    <m/>
    <x v="5"/>
  </r>
  <r>
    <s v="005"/>
    <x v="5"/>
    <x v="8"/>
    <n v="-1314.7079417472091"/>
    <n v="6744.3057182527891"/>
    <n v="20.224803992507077"/>
    <n v="16527.896076950659"/>
    <n v="-66.004730935057992"/>
    <m/>
    <x v="5"/>
  </r>
  <r>
    <s v="006"/>
    <x v="6"/>
    <x v="0"/>
    <n v="15047.350619999997"/>
    <n v="28406.328689999995"/>
    <n v="5601.4829260651622"/>
    <n v="84069.888778195498"/>
    <n v="1.6863155379766932"/>
    <m/>
    <x v="5"/>
  </r>
  <r>
    <s v="006"/>
    <x v="6"/>
    <x v="1"/>
    <m/>
    <n v="106351.4526"/>
    <m/>
    <n v="92311.610504260636"/>
    <n v="0"/>
    <m/>
    <x v="5"/>
  </r>
  <r>
    <s v="006"/>
    <x v="6"/>
    <x v="2"/>
    <n v="0"/>
    <n v="174733.39354000002"/>
    <m/>
    <n v="160856.19580297393"/>
    <n v="0"/>
    <m/>
    <x v="5"/>
  </r>
  <r>
    <s v="006"/>
    <x v="6"/>
    <x v="3"/>
    <n v="442.30599999999998"/>
    <n v="11705.496000000001"/>
    <n v="11147.112999582288"/>
    <n v="102523.13899874686"/>
    <n v="-0.96032102661769236"/>
    <m/>
    <x v="5"/>
  </r>
  <r>
    <s v="006"/>
    <x v="6"/>
    <x v="4"/>
    <n v="16000"/>
    <n v="222990.31"/>
    <n v="124221.61012837839"/>
    <n v="843664.83038513514"/>
    <n v="-0.87119793421237579"/>
    <m/>
    <x v="5"/>
  </r>
  <r>
    <s v="006"/>
    <x v="6"/>
    <x v="5"/>
    <n v="771"/>
    <n v="323585"/>
    <n v="28000"/>
    <n v="186000"/>
    <n v="-0.97246428571428567"/>
    <m/>
    <x v="5"/>
  </r>
  <r>
    <s v="006"/>
    <x v="6"/>
    <x v="6"/>
    <n v="91"/>
    <n v="313"/>
    <n v="66"/>
    <n v="396"/>
    <n v="0.37878787878787878"/>
    <m/>
    <x v="5"/>
  </r>
  <r>
    <s v="006"/>
    <x v="6"/>
    <x v="7"/>
    <n v="124.79442000000029"/>
    <n v="1081.3711000000003"/>
    <n v="740.77181769293247"/>
    <n v="3034.2377676459914"/>
    <n v="-0.83153460077806229"/>
    <m/>
    <x v="5"/>
  </r>
  <r>
    <s v="006"/>
    <x v="6"/>
    <x v="8"/>
    <n v="708.36629059119798"/>
    <n v="3420.1822905911999"/>
    <n v="1759.9093792532585"/>
    <n v="9478.7875871678152"/>
    <n v="-0.5974984286453644"/>
    <m/>
    <x v="5"/>
  </r>
  <r>
    <s v="007"/>
    <x v="7"/>
    <x v="0"/>
    <n v="-4681.8955100000021"/>
    <n v="-22477.590919999959"/>
    <n v="2789.9353070175348"/>
    <n v="86900.685921052558"/>
    <n v="-2.6781376608352216"/>
    <m/>
    <x v="5"/>
  </r>
  <r>
    <s v="007"/>
    <x v="7"/>
    <x v="1"/>
    <m/>
    <n v="172611.81792"/>
    <m/>
    <n v="213937.44314807013"/>
    <n v="0"/>
    <m/>
    <x v="5"/>
  </r>
  <r>
    <s v="007"/>
    <x v="7"/>
    <x v="2"/>
    <n v="0"/>
    <n v="121886.33307999995"/>
    <m/>
    <n v="134901.04615110264"/>
    <n v="0"/>
    <m/>
    <x v="5"/>
  </r>
  <r>
    <s v="007"/>
    <x v="7"/>
    <x v="3"/>
    <n v="613.75599999999997"/>
    <n v="9796.6821099999997"/>
    <n v="4997.5589678362567"/>
    <n v="98156.276903508784"/>
    <n v="-0.8771888428030431"/>
    <m/>
    <x v="5"/>
  </r>
  <r>
    <s v="007"/>
    <x v="7"/>
    <x v="4"/>
    <n v="6000"/>
    <n v="221900"/>
    <n v="62110.805064189197"/>
    <n v="966332.41519256774"/>
    <n v="-0.90339845065928182"/>
    <m/>
    <x v="5"/>
  </r>
  <r>
    <s v="007"/>
    <x v="7"/>
    <x v="5"/>
    <n v="530"/>
    <n v="3648"/>
    <n v="14000"/>
    <n v="96000"/>
    <n v="-0.96214285714285719"/>
    <m/>
    <x v="5"/>
  </r>
  <r>
    <s v="007"/>
    <x v="7"/>
    <x v="6"/>
    <n v="35"/>
    <n v="155"/>
    <n v="76"/>
    <n v="456"/>
    <n v="-0.53947368421052633"/>
    <m/>
    <x v="5"/>
  </r>
  <r>
    <s v="007"/>
    <x v="7"/>
    <x v="7"/>
    <n v="96.676039999999944"/>
    <n v="1033.69688"/>
    <n v="381.50936566990572"/>
    <n v="1764.5345729735575"/>
    <n v="-0.74659589331380349"/>
    <m/>
    <x v="5"/>
  </r>
  <r>
    <s v="007"/>
    <x v="7"/>
    <x v="8"/>
    <n v="-639.94358493755362"/>
    <n v="-2606.9625649375548"/>
    <n v="334.35166809539487"/>
    <n v="-1086.2585924607647"/>
    <n v="-2.91398352693419"/>
    <m/>
    <x v="5"/>
  </r>
  <r>
    <s v="008"/>
    <x v="8"/>
    <x v="0"/>
    <n v="7873.8618000000715"/>
    <n v="20104.464330000046"/>
    <n v="6907.3728070175648"/>
    <n v="96918.438421052837"/>
    <n v="0.13992135939160538"/>
    <m/>
    <x v="5"/>
  </r>
  <r>
    <s v="008"/>
    <x v="8"/>
    <x v="1"/>
    <m/>
    <n v="354700.05326000007"/>
    <m/>
    <n v="362289.17340807023"/>
    <n v="0"/>
    <m/>
    <x v="5"/>
  </r>
  <r>
    <s v="008"/>
    <x v="8"/>
    <x v="2"/>
    <n v="0"/>
    <n v="336051.4486129366"/>
    <m/>
    <n v="240297.15735874238"/>
    <n v="0"/>
    <m/>
    <x v="5"/>
  </r>
  <r>
    <s v="008"/>
    <x v="8"/>
    <x v="3"/>
    <n v="1029.96255"/>
    <n v="27136.83885"/>
    <n v="12373.04780116959"/>
    <n v="117364.54340350878"/>
    <n v="-0.91675757125074386"/>
    <m/>
    <x v="5"/>
  </r>
  <r>
    <s v="008"/>
    <x v="8"/>
    <x v="4"/>
    <n v="36475"/>
    <n v="410107"/>
    <n v="248443.22025675679"/>
    <n v="1303329.6607702703"/>
    <n v="-0.85318577032488774"/>
    <m/>
    <x v="5"/>
  </r>
  <r>
    <s v="008"/>
    <x v="8"/>
    <x v="5"/>
    <n v="39283"/>
    <n v="409940"/>
    <n v="56000"/>
    <n v="402000"/>
    <n v="-0.29851785714285717"/>
    <m/>
    <x v="5"/>
  </r>
  <r>
    <s v="008"/>
    <x v="8"/>
    <x v="6"/>
    <n v="70"/>
    <n v="379"/>
    <n v="98"/>
    <n v="588"/>
    <n v="-0.2857142857142857"/>
    <m/>
    <x v="5"/>
  </r>
  <r>
    <s v="008"/>
    <x v="8"/>
    <x v="7"/>
    <n v="355.20190000000002"/>
    <n v="1945.1738199999998"/>
    <n v="816.67724755148629"/>
    <n v="3589.0479588380113"/>
    <n v="-0.56506453306377091"/>
    <m/>
    <x v="5"/>
  </r>
  <r>
    <s v="008"/>
    <x v="8"/>
    <x v="8"/>
    <n v="-882.99926309671343"/>
    <n v="-5582.7790530967195"/>
    <n v="3597.0382258461345"/>
    <n v="2645.2461899850778"/>
    <n v="-1.2454795327867287"/>
    <m/>
    <x v="5"/>
  </r>
  <r>
    <s v="009"/>
    <x v="9"/>
    <x v="0"/>
    <n v="-19874.476570000006"/>
    <n v="10484.834079999979"/>
    <n v="2867.6228070175425"/>
    <n v="75133.748421052645"/>
    <n v="-7.9306453140782347"/>
    <m/>
    <x v="5"/>
  </r>
  <r>
    <s v="009"/>
    <x v="9"/>
    <x v="1"/>
    <m/>
    <n v="49557.84154999999"/>
    <m/>
    <n v="57273.910748070179"/>
    <n v="0"/>
    <m/>
    <x v="5"/>
  </r>
  <r>
    <s v="009"/>
    <x v="9"/>
    <x v="2"/>
    <n v="0"/>
    <n v="205458.77892999994"/>
    <m/>
    <n v="185450.53241830686"/>
    <n v="0"/>
    <m/>
    <x v="5"/>
  </r>
  <r>
    <s v="009"/>
    <x v="9"/>
    <x v="3"/>
    <n v="2055.6759999999999"/>
    <n v="25887.197250000001"/>
    <n v="5136.719134502925"/>
    <n v="83573.757403508789"/>
    <n v="-0.5998075919331094"/>
    <m/>
    <x v="5"/>
  </r>
  <r>
    <s v="009"/>
    <x v="9"/>
    <x v="4"/>
    <n v="0"/>
    <n v="283048"/>
    <n v="0"/>
    <n v="102000"/>
    <n v="0"/>
    <m/>
    <x v="5"/>
  </r>
  <r>
    <s v="009"/>
    <x v="9"/>
    <x v="5"/>
    <n v="0"/>
    <n v="7781"/>
    <n v="0"/>
    <n v="6000"/>
    <n v="0"/>
    <m/>
    <x v="5"/>
  </r>
  <r>
    <s v="009"/>
    <x v="9"/>
    <x v="6"/>
    <n v="74"/>
    <n v="270"/>
    <n v="73"/>
    <n v="438"/>
    <n v="1.3698630136986301E-2"/>
    <m/>
    <x v="5"/>
  </r>
  <r>
    <s v="009"/>
    <x v="9"/>
    <x v="7"/>
    <n v="143.59574000000021"/>
    <n v="1735.7836900000002"/>
    <n v="319.31512376804494"/>
    <n v="1969.5708611342423"/>
    <n v="-0.55030084918774413"/>
    <m/>
    <x v="5"/>
  </r>
  <r>
    <s v="009"/>
    <x v="9"/>
    <x v="8"/>
    <n v="-826.66529502623996"/>
    <n v="3544.6200149737651"/>
    <n v="1643.6323659494246"/>
    <n v="9461.8066453086612"/>
    <n v="-1.5029502412777853"/>
    <m/>
    <x v="5"/>
  </r>
  <r>
    <s v="010"/>
    <x v="10"/>
    <x v="0"/>
    <n v="12224.785969999997"/>
    <n v="-37264.250259999943"/>
    <n v="2986.0037593985198"/>
    <n v="91088.89127819553"/>
    <n v="3.094028994947573"/>
    <m/>
    <x v="5"/>
  </r>
  <r>
    <s v="010"/>
    <x v="10"/>
    <x v="1"/>
    <m/>
    <n v="185741.00123000002"/>
    <m/>
    <n v="233596.85190759395"/>
    <n v="0"/>
    <m/>
    <x v="5"/>
  </r>
  <r>
    <s v="010"/>
    <x v="10"/>
    <x v="2"/>
    <n v="0"/>
    <n v="145170.73618999997"/>
    <m/>
    <n v="105291.54022401386"/>
    <n v="0"/>
    <m/>
    <x v="5"/>
  </r>
  <r>
    <s v="010"/>
    <x v="10"/>
    <x v="3"/>
    <n v="5248.5159999999996"/>
    <n v="28716.314849999999"/>
    <n v="5348.7727218045111"/>
    <n v="103709.91816541352"/>
    <n v="-1.8743873972399398E-2"/>
    <m/>
    <x v="5"/>
  </r>
  <r>
    <s v="010"/>
    <x v="10"/>
    <x v="4"/>
    <n v="1744853"/>
    <n v="4691747"/>
    <n v="62110.805064189197"/>
    <n v="2670332.4151925677"/>
    <n v="27.092583861966684"/>
    <m/>
    <x v="5"/>
  </r>
  <r>
    <s v="010"/>
    <x v="10"/>
    <x v="5"/>
    <n v="12900"/>
    <n v="17652"/>
    <n v="14000"/>
    <n v="219000"/>
    <n v="-7.857142857142857E-2"/>
    <m/>
    <x v="5"/>
  </r>
  <r>
    <s v="010"/>
    <x v="10"/>
    <x v="6"/>
    <n v="65"/>
    <n v="378"/>
    <n v="91"/>
    <n v="546"/>
    <n v="-0.2857142857142857"/>
    <m/>
    <x v="5"/>
  </r>
  <r>
    <s v="010"/>
    <x v="10"/>
    <x v="7"/>
    <n v="2060.5207600000012"/>
    <n v="6705.0124100000003"/>
    <n v="484.46438328961722"/>
    <n v="4059.2452688842282"/>
    <n v="3.2531934876380855"/>
    <m/>
    <x v="5"/>
  </r>
  <r>
    <s v="010"/>
    <x v="10"/>
    <x v="8"/>
    <n v="1340.1914715415569"/>
    <n v="-423.01208845844377"/>
    <n v="20.234375749119863"/>
    <n v="-5052.780121496734"/>
    <n v="65.233398458059739"/>
    <m/>
    <x v="5"/>
  </r>
  <r>
    <s v="011"/>
    <x v="11"/>
    <x v="0"/>
    <n v="1609.9889300000104"/>
    <n v="-7645.991149999998"/>
    <n v="2986.0037593984976"/>
    <n v="53823.451278195513"/>
    <n v="-0.46082153281537475"/>
    <m/>
    <x v="5"/>
  </r>
  <r>
    <s v="011"/>
    <x v="11"/>
    <x v="1"/>
    <m/>
    <n v="30261.67498"/>
    <m/>
    <n v="41616.375717593983"/>
    <n v="0"/>
    <m/>
    <x v="5"/>
  </r>
  <r>
    <s v="011"/>
    <x v="11"/>
    <x v="2"/>
    <n v="0"/>
    <n v="70824.090740000014"/>
    <m/>
    <n v="85499.462393961556"/>
    <n v="0"/>
    <m/>
    <x v="5"/>
  </r>
  <r>
    <s v="011"/>
    <x v="11"/>
    <x v="3"/>
    <n v="1175.2"/>
    <n v="14480.90085"/>
    <n v="10544.085610693401"/>
    <n v="72714.056832080212"/>
    <n v="-0.88854415229632067"/>
    <m/>
    <x v="5"/>
  </r>
  <r>
    <s v="011"/>
    <x v="11"/>
    <x v="4"/>
    <n v="5000"/>
    <n v="335329.14"/>
    <n v="62110.805064189197"/>
    <n v="540332.41519256763"/>
    <n v="-0.91949870888273488"/>
    <m/>
    <x v="5"/>
  </r>
  <r>
    <s v="011"/>
    <x v="11"/>
    <x v="5"/>
    <n v="1080"/>
    <n v="3685"/>
    <n v="14000"/>
    <n v="120000"/>
    <n v="-0.92285714285714282"/>
    <m/>
    <x v="5"/>
  </r>
  <r>
    <s v="011"/>
    <x v="11"/>
    <x v="6"/>
    <n v="73"/>
    <n v="299"/>
    <n v="58"/>
    <n v="348"/>
    <n v="0.25862068965517243"/>
    <m/>
    <x v="5"/>
  </r>
  <r>
    <s v="011"/>
    <x v="11"/>
    <x v="7"/>
    <n v="121.32637000000022"/>
    <n v="1257.1393600000001"/>
    <n v="513.48938955649328"/>
    <n v="2221.3982854586584"/>
    <n v="-0.76372175848698409"/>
    <m/>
    <x v="5"/>
  </r>
  <r>
    <s v="011"/>
    <x v="11"/>
    <x v="8"/>
    <n v="-638.40118727522247"/>
    <n v="-2009.0076172752197"/>
    <n v="602.08399806291027"/>
    <n v="2023.0220869679531"/>
    <n v="-2.0603191404009338"/>
    <m/>
    <x v="5"/>
  </r>
  <r>
    <s v="012"/>
    <x v="12"/>
    <x v="0"/>
    <n v="42439.479459999478"/>
    <n v="132247.10289999971"/>
    <n v="6444.9472117794749"/>
    <n v="99465.721635338443"/>
    <n v="5.5849227410943802"/>
    <m/>
    <x v="5"/>
  </r>
  <r>
    <s v="012"/>
    <x v="12"/>
    <x v="1"/>
    <m/>
    <n v="837407.34691999969"/>
    <m/>
    <n v="710251.80071711773"/>
    <n v="0"/>
    <m/>
    <x v="5"/>
  </r>
  <r>
    <s v="012"/>
    <x v="12"/>
    <x v="2"/>
    <n v="0"/>
    <n v="399708.61503999989"/>
    <m/>
    <n v="301246.16553132283"/>
    <n v="0"/>
    <m/>
    <x v="5"/>
  </r>
  <r>
    <s v="012"/>
    <x v="12"/>
    <x v="3"/>
    <n v="3564.8969999999999"/>
    <n v="32848.269950000002"/>
    <n v="11173.619697994987"/>
    <n v="118684.45909398497"/>
    <n v="-0.68095414947407862"/>
    <m/>
    <x v="5"/>
  </r>
  <r>
    <s v="012"/>
    <x v="12"/>
    <x v="4"/>
    <n v="7481487.8899999969"/>
    <n v="23230324.329999994"/>
    <n v="2812732.172192568"/>
    <n v="25094196.516577698"/>
    <n v="1.6598650109541222"/>
    <m/>
    <x v="5"/>
  </r>
  <r>
    <s v="012"/>
    <x v="12"/>
    <x v="5"/>
    <n v="177514"/>
    <n v="1029885"/>
    <n v="56000"/>
    <n v="627000"/>
    <n v="2.1698928571428571"/>
    <m/>
    <x v="5"/>
  </r>
  <r>
    <s v="012"/>
    <x v="12"/>
    <x v="6"/>
    <n v="47"/>
    <n v="283"/>
    <n v="98"/>
    <n v="588"/>
    <n v="-0.52040816326530615"/>
    <m/>
    <x v="5"/>
  </r>
  <r>
    <s v="012"/>
    <x v="12"/>
    <x v="7"/>
    <n v="7678.5894399999925"/>
    <n v="24881.913809999998"/>
    <n v="3338.1051980820666"/>
    <n v="19880.529356646039"/>
    <n v="1.3002838389909892"/>
    <m/>
    <x v="5"/>
  </r>
  <r>
    <s v="012"/>
    <x v="12"/>
    <x v="8"/>
    <n v="4706.6543028397336"/>
    <n v="25691.06450283973"/>
    <n v="2838.9436040836099"/>
    <n v="14109.896115536025"/>
    <n v="0.6578893275898684"/>
    <m/>
    <x v="5"/>
  </r>
  <r>
    <s v="013"/>
    <x v="13"/>
    <x v="0"/>
    <n v="-1804.9743400000152"/>
    <n v="4634.403890000016"/>
    <n v="6004.7180451127888"/>
    <n v="77088.074135338335"/>
    <n v="-1.3005926883559629"/>
    <m/>
    <x v="5"/>
  </r>
  <r>
    <s v="013"/>
    <x v="13"/>
    <x v="1"/>
    <m/>
    <n v="83089.412840000005"/>
    <m/>
    <n v="109135.47040045111"/>
    <n v="0"/>
    <m/>
    <x v="5"/>
  </r>
  <r>
    <s v="013"/>
    <x v="13"/>
    <x v="2"/>
    <n v="0"/>
    <n v="164685.02992"/>
    <m/>
    <n v="154792.96296114303"/>
    <n v="0"/>
    <m/>
    <x v="5"/>
  </r>
  <r>
    <s v="013"/>
    <x v="13"/>
    <x v="3"/>
    <n v="1687.3920000000001"/>
    <n v="26012.013549999996"/>
    <n v="10756.139197994988"/>
    <n v="91110.817593984961"/>
    <n v="-0.84312289298798393"/>
    <m/>
    <x v="5"/>
  </r>
  <r>
    <s v="013"/>
    <x v="13"/>
    <x v="4"/>
    <n v="16000"/>
    <n v="193380"/>
    <n v="124221.61012837839"/>
    <n v="645664.83038513514"/>
    <n v="-0.87119793421237579"/>
    <m/>
    <x v="5"/>
  </r>
  <r>
    <s v="013"/>
    <x v="13"/>
    <x v="5"/>
    <n v="1757"/>
    <n v="49855"/>
    <n v="28000"/>
    <n v="159000"/>
    <n v="-0.93725000000000003"/>
    <m/>
    <x v="5"/>
  </r>
  <r>
    <s v="013"/>
    <x v="13"/>
    <x v="6"/>
    <n v="98"/>
    <n v="327"/>
    <n v="68"/>
    <n v="408"/>
    <n v="0.44117647058823528"/>
    <m/>
    <x v="5"/>
  </r>
  <r>
    <s v="013"/>
    <x v="13"/>
    <x v="7"/>
    <n v="147.12597000000005"/>
    <n v="1438.4450300000001"/>
    <n v="654.37611914880381"/>
    <n v="2771.5774425508321"/>
    <n v="-0.77516604641474718"/>
    <m/>
    <x v="5"/>
  </r>
  <r>
    <s v="013"/>
    <x v="13"/>
    <x v="8"/>
    <n v="487.88421321699383"/>
    <n v="366.11699321699308"/>
    <n v="1550.1101056288553"/>
    <n v="4678.0799507119164"/>
    <n v="-0.6852583494260448"/>
    <m/>
    <x v="5"/>
  </r>
  <r>
    <s v="014"/>
    <x v="14"/>
    <x v="0"/>
    <n v="-22027.359309999942"/>
    <n v="-18869.820730000007"/>
    <n v="4358.4829260651468"/>
    <n v="82275.448778195583"/>
    <n v="-6.0539051508654902"/>
    <m/>
    <x v="5"/>
  </r>
  <r>
    <s v="014"/>
    <x v="14"/>
    <x v="1"/>
    <m/>
    <n v="232267.94663000002"/>
    <m/>
    <n v="270661.91540426068"/>
    <n v="0"/>
    <m/>
    <x v="5"/>
  </r>
  <r>
    <s v="014"/>
    <x v="14"/>
    <x v="2"/>
    <n v="0"/>
    <n v="214432.61610999997"/>
    <m/>
    <n v="181799.44602801959"/>
    <n v="0"/>
    <m/>
    <x v="5"/>
  </r>
  <r>
    <s v="014"/>
    <x v="14"/>
    <x v="3"/>
    <n v="259.815"/>
    <n v="22640.344999999998"/>
    <n v="7807.2689995822902"/>
    <n v="94921.806998746863"/>
    <n v="-0.96672139771104337"/>
    <m/>
    <x v="5"/>
  </r>
  <r>
    <s v="014"/>
    <x v="14"/>
    <x v="4"/>
    <n v="2278906"/>
    <n v="9606439.9299999997"/>
    <n v="124221.61012837839"/>
    <n v="4005664.8303851355"/>
    <n v="17.345487533488221"/>
    <m/>
    <x v="5"/>
  </r>
  <r>
    <s v="014"/>
    <x v="14"/>
    <x v="5"/>
    <n v="2487"/>
    <n v="36671"/>
    <n v="28000"/>
    <n v="120000"/>
    <n v="-0.91117857142857139"/>
    <m/>
    <x v="5"/>
  </r>
  <r>
    <s v="014"/>
    <x v="14"/>
    <x v="6"/>
    <n v="32"/>
    <n v="163"/>
    <n v="65"/>
    <n v="390"/>
    <n v="-0.50769230769230766"/>
    <m/>
    <x v="5"/>
  </r>
  <r>
    <s v="014"/>
    <x v="14"/>
    <x v="7"/>
    <n v="2331.5252999999993"/>
    <n v="10670.942529999998"/>
    <n v="472.23686777436797"/>
    <n v="8056.8808543166206"/>
    <n v="3.9371945714200116"/>
    <m/>
    <x v="5"/>
  </r>
  <r>
    <s v="014"/>
    <x v="14"/>
    <x v="8"/>
    <n v="-1861.0053627766338"/>
    <n v="-4359.2392127766352"/>
    <n v="974.68914589164342"/>
    <n v="62.46317297114804"/>
    <n v="-2.9093321913154067"/>
    <m/>
    <x v="5"/>
  </r>
  <r>
    <s v="015"/>
    <x v="15"/>
    <x v="0"/>
    <n v="6997.4551500000161"/>
    <n v="16558.005020000008"/>
    <n v="2986.0037593984976"/>
    <n v="68288.8912781955"/>
    <n v="1.3434180643528686"/>
    <m/>
    <x v="5"/>
  </r>
  <r>
    <s v="015"/>
    <x v="15"/>
    <x v="1"/>
    <m/>
    <n v="44852.539870000008"/>
    <m/>
    <n v="49249.218627593982"/>
    <n v="0"/>
    <m/>
    <x v="5"/>
  </r>
  <r>
    <s v="015"/>
    <x v="15"/>
    <x v="2"/>
    <n v="0"/>
    <n v="151512.58733000004"/>
    <m/>
    <n v="112995.25573854288"/>
    <n v="0"/>
    <m/>
    <x v="5"/>
  </r>
  <r>
    <s v="015"/>
    <x v="15"/>
    <x v="3"/>
    <n v="4951.6310000000003"/>
    <n v="13861.800999999999"/>
    <n v="5348.7727218045111"/>
    <n v="75209.918165413546"/>
    <n v="-7.4249130120175949E-2"/>
    <m/>
    <x v="5"/>
  </r>
  <r>
    <s v="015"/>
    <x v="15"/>
    <x v="4"/>
    <n v="13000"/>
    <n v="168120"/>
    <n v="62110.805064189197"/>
    <n v="360332.41519256757"/>
    <n v="-0.79069664309511067"/>
    <m/>
    <x v="5"/>
  </r>
  <r>
    <s v="015"/>
    <x v="15"/>
    <x v="5"/>
    <n v="546"/>
    <n v="13440"/>
    <n v="14000"/>
    <n v="48000"/>
    <n v="-0.96099999999999997"/>
    <m/>
    <x v="5"/>
  </r>
  <r>
    <s v="015"/>
    <x v="15"/>
    <x v="6"/>
    <n v="49"/>
    <n v="194"/>
    <n v="61"/>
    <n v="366"/>
    <n v="-0.19672131147540983"/>
    <m/>
    <x v="5"/>
  </r>
  <r>
    <s v="015"/>
    <x v="15"/>
    <x v="7"/>
    <n v="222.92680999999993"/>
    <n v="1036.51883"/>
    <n v="346.15061141036995"/>
    <n v="1591.595994770676"/>
    <n v="-0.35598319733800848"/>
    <m/>
    <x v="5"/>
  </r>
  <r>
    <s v="015"/>
    <x v="15"/>
    <x v="8"/>
    <n v="328.15623177179322"/>
    <n v="-2705.1129882282034"/>
    <n v="861.36013303828395"/>
    <n v="2241.109683069566"/>
    <n v="-0.61902551652317062"/>
    <m/>
    <x v="5"/>
  </r>
  <r>
    <s v="016"/>
    <x v="16"/>
    <x v="0"/>
    <n v="-3186.3624899999995"/>
    <n v="-15191.664950000035"/>
    <n v="8812.5662593984907"/>
    <n v="93703.138778195527"/>
    <n v="-1.3615703299367292"/>
    <m/>
    <x v="5"/>
  </r>
  <r>
    <s v="016"/>
    <x v="16"/>
    <x v="1"/>
    <m/>
    <n v="141700.06498999998"/>
    <m/>
    <n v="180051.07766759393"/>
    <n v="0"/>
    <m/>
    <x v="5"/>
  </r>
  <r>
    <s v="016"/>
    <x v="16"/>
    <x v="2"/>
    <n v="0"/>
    <n v="166572.07542000001"/>
    <m/>
    <n v="164403.12632140907"/>
    <n v="0"/>
    <m/>
    <x v="5"/>
  </r>
  <r>
    <s v="016"/>
    <x v="16"/>
    <x v="3"/>
    <n v="6042.0780000000004"/>
    <n v="24672.522150000001"/>
    <n v="8116.5138143971044"/>
    <n v="93431.341443191297"/>
    <n v="-0.25558212082599568"/>
    <m/>
    <x v="5"/>
  </r>
  <r>
    <s v="016"/>
    <x v="16"/>
    <x v="4"/>
    <n v="183243"/>
    <n v="1293030"/>
    <n v="1656288.1350450451"/>
    <n v="6462864.4051351352"/>
    <n v="-0.88936526433849239"/>
    <m/>
    <x v="5"/>
  </r>
  <r>
    <s v="016"/>
    <x v="16"/>
    <x v="5"/>
    <n v="26596"/>
    <n v="323207"/>
    <n v="83666"/>
    <n v="1117998"/>
    <n v="-0.68211698897999185"/>
    <m/>
    <x v="5"/>
  </r>
  <r>
    <s v="016"/>
    <x v="16"/>
    <x v="6"/>
    <n v="61"/>
    <n v="293"/>
    <n v="56"/>
    <n v="336"/>
    <n v="8.9285714285714288E-2"/>
    <m/>
    <x v="5"/>
  </r>
  <r>
    <s v="016"/>
    <x v="16"/>
    <x v="7"/>
    <n v="494.04428999999891"/>
    <n v="2783.6822599999991"/>
    <n v="2107.5923195170626"/>
    <n v="9857.5012653494778"/>
    <n v="-0.76558830404487088"/>
    <m/>
    <x v="5"/>
  </r>
  <r>
    <s v="016"/>
    <x v="16"/>
    <x v="8"/>
    <n v="1775.3318767492315"/>
    <n v="8884.2243867492398"/>
    <n v="2982.7012618753251"/>
    <n v="13947.684298201959"/>
    <n v="-0.40479058381025385"/>
    <m/>
    <x v="5"/>
  </r>
  <r>
    <s v="017"/>
    <x v="17"/>
    <x v="0"/>
    <n v="29692.76642"/>
    <n v="16923.190869999977"/>
    <n v="4462.0662593985053"/>
    <n v="68251.638778195498"/>
    <n v="5.6544880093292562"/>
    <m/>
    <x v="5"/>
  </r>
  <r>
    <s v="017"/>
    <x v="17"/>
    <x v="1"/>
    <m/>
    <n v="98772.812559999991"/>
    <m/>
    <n v="86175.682997594005"/>
    <n v="0"/>
    <m/>
    <x v="5"/>
  </r>
  <r>
    <s v="017"/>
    <x v="17"/>
    <x v="2"/>
    <n v="0"/>
    <n v="166134.92554000005"/>
    <m/>
    <n v="130182.14881101203"/>
    <n v="0"/>
    <m/>
    <x v="5"/>
  </r>
  <r>
    <s v="017"/>
    <x v="17"/>
    <x v="3"/>
    <n v="748"/>
    <n v="22406.464800000002"/>
    <n v="8116.5138143971044"/>
    <n v="77931.341443191297"/>
    <n v="-0.90784220699862606"/>
    <m/>
    <x v="5"/>
  </r>
  <r>
    <s v="017"/>
    <x v="17"/>
    <x v="4"/>
    <n v="592944.65000000037"/>
    <n v="2941755.74"/>
    <n v="1437421.4886283781"/>
    <n v="4804264.4658851344"/>
    <n v="-0.58749423555243896"/>
    <m/>
    <x v="5"/>
  </r>
  <r>
    <s v="017"/>
    <x v="17"/>
    <x v="5"/>
    <n v="213525"/>
    <n v="505138"/>
    <n v="42000"/>
    <n v="132000"/>
    <n v="4.0839285714285714"/>
    <m/>
    <x v="5"/>
  </r>
  <r>
    <s v="017"/>
    <x v="17"/>
    <x v="6"/>
    <n v="26"/>
    <n v="164"/>
    <n v="48"/>
    <n v="288"/>
    <n v="-0.45833333333333331"/>
    <m/>
    <x v="5"/>
  </r>
  <r>
    <s v="017"/>
    <x v="17"/>
    <x v="7"/>
    <n v="572.10516999999891"/>
    <n v="4101.1920999999993"/>
    <n v="1827.5299718803044"/>
    <n v="8389.0175513807499"/>
    <n v="-0.68695168954664376"/>
    <m/>
    <x v="5"/>
  </r>
  <r>
    <s v="017"/>
    <x v="17"/>
    <x v="8"/>
    <n v="-409.92356003033728"/>
    <n v="-886.45361003033099"/>
    <n v="1593.0964175763293"/>
    <n v="4885.5238782593233"/>
    <n v="-1.2573124611340085"/>
    <m/>
    <x v="5"/>
  </r>
  <r>
    <s v="018"/>
    <x v="18"/>
    <x v="0"/>
    <n v="973.37208000000828"/>
    <n v="14217.504289999993"/>
    <n v="7998.697211779453"/>
    <n v="94926.971635338356"/>
    <n v="-0.8783086727465379"/>
    <m/>
    <x v="5"/>
  </r>
  <r>
    <s v="018"/>
    <x v="18"/>
    <x v="1"/>
    <m/>
    <n v="46722.884050000001"/>
    <m/>
    <n v="64204.667867117809"/>
    <n v="0"/>
    <m/>
    <x v="5"/>
  </r>
  <r>
    <s v="018"/>
    <x v="18"/>
    <x v="2"/>
    <n v="0"/>
    <n v="171692.83484999996"/>
    <m/>
    <n v="172896.51741223593"/>
    <n v="0"/>
    <m/>
    <x v="5"/>
  </r>
  <r>
    <s v="018"/>
    <x v="18"/>
    <x v="3"/>
    <n v="3401.4122499999999"/>
    <n v="23525.556950000002"/>
    <n v="13214.635475772764"/>
    <n v="113307.50642731831"/>
    <n v="-0.74260264263543052"/>
    <m/>
    <x v="5"/>
  </r>
  <r>
    <s v="018"/>
    <x v="18"/>
    <x v="4"/>
    <n v="166302"/>
    <n v="868186.15"/>
    <n v="1499532.2936925676"/>
    <n v="5338596.8810777022"/>
    <n v="-0.88909742010924975"/>
    <m/>
    <x v="5"/>
  </r>
  <r>
    <s v="018"/>
    <x v="18"/>
    <x v="5"/>
    <n v="421"/>
    <n v="28294"/>
    <n v="56000"/>
    <n v="189000"/>
    <n v="-0.99248214285714287"/>
    <m/>
    <x v="5"/>
  </r>
  <r>
    <s v="018"/>
    <x v="18"/>
    <x v="6"/>
    <n v="116"/>
    <n v="514"/>
    <n v="108"/>
    <n v="648"/>
    <n v="7.407407407407407E-2"/>
    <m/>
    <x v="5"/>
  </r>
  <r>
    <s v="018"/>
    <x v="18"/>
    <x v="7"/>
    <n v="412.52157000000034"/>
    <n v="2439.3491200000003"/>
    <n v="2063.5353583179367"/>
    <n v="9434.7532149406761"/>
    <n v="-0.80008989507392703"/>
    <m/>
    <x v="5"/>
  </r>
  <r>
    <s v="018"/>
    <x v="18"/>
    <x v="8"/>
    <n v="386.19788380508498"/>
    <n v="-8680.9067061949172"/>
    <n v="3459.6122929276844"/>
    <n v="13322.353609408579"/>
    <n v="-0.88836960586752156"/>
    <m/>
    <x v="5"/>
  </r>
  <r>
    <s v="019"/>
    <x v="19"/>
    <x v="0"/>
    <n v="-12.448290000000043"/>
    <n v="-11.09430999999995"/>
    <n v="0"/>
    <n v="0"/>
    <n v="0"/>
    <m/>
    <x v="5"/>
  </r>
  <r>
    <s v="019"/>
    <x v="19"/>
    <x v="1"/>
    <m/>
    <n v="604.09074999999996"/>
    <m/>
    <n v="620.50470999999993"/>
    <n v="0"/>
    <m/>
    <x v="5"/>
  </r>
  <r>
    <s v="019"/>
    <x v="19"/>
    <x v="2"/>
    <n v="0"/>
    <n v="0"/>
    <m/>
    <n v="-15.040850000000001"/>
    <n v="0"/>
    <m/>
    <x v="5"/>
  </r>
  <r>
    <s v="019"/>
    <x v="19"/>
    <x v="3"/>
    <n v="0"/>
    <n v="0"/>
    <n v="0"/>
    <n v="0"/>
    <n v="0"/>
    <m/>
    <x v="5"/>
  </r>
  <r>
    <s v="019"/>
    <x v="19"/>
    <x v="4"/>
    <n v="0"/>
    <n v="0"/>
    <n v="0"/>
    <n v="0"/>
    <n v="0"/>
    <m/>
    <x v="5"/>
  </r>
  <r>
    <s v="019"/>
    <x v="19"/>
    <x v="5"/>
    <n v="0"/>
    <n v="0"/>
    <n v="0"/>
    <n v="0"/>
    <n v="0"/>
    <m/>
    <x v="5"/>
  </r>
  <r>
    <s v="019"/>
    <x v="19"/>
    <x v="6"/>
    <n v="0"/>
    <n v="0"/>
    <n v="0"/>
    <n v="0"/>
    <n v="0"/>
    <m/>
    <x v="5"/>
  </r>
  <r>
    <s v="019"/>
    <x v="19"/>
    <x v="7"/>
    <n v="0.12869999999999998"/>
    <n v="0.12869999999999998"/>
    <n v="0.79484717577768871"/>
    <n v="2.3650596880993247"/>
    <n v="-0.83808208178625243"/>
    <m/>
    <x v="5"/>
  </r>
  <r>
    <s v="019"/>
    <x v="19"/>
    <x v="8"/>
    <n v="6.3614426541400171"/>
    <n v="18.195272654140023"/>
    <n v="-0.81015031150463868"/>
    <n v="-3.6632574682966483"/>
    <n v="8.8521757799800511"/>
    <m/>
    <x v="5"/>
  </r>
  <r>
    <s v="020"/>
    <x v="20"/>
    <x v="0"/>
    <n v="-11418.415959999984"/>
    <n v="5711.2720600000175"/>
    <n v="11650.009711779445"/>
    <n v="126154.82913533837"/>
    <n v="-1.980120724573706"/>
    <m/>
    <x v="5"/>
  </r>
  <r>
    <s v="020"/>
    <x v="20"/>
    <x v="1"/>
    <m/>
    <n v="224169.53148999999"/>
    <m/>
    <n v="275787.02041711786"/>
    <n v="0"/>
    <m/>
    <x v="5"/>
  </r>
  <r>
    <s v="020"/>
    <x v="20"/>
    <x v="2"/>
    <n v="0"/>
    <n v="139603.56213999997"/>
    <m/>
    <n v="166599.94437027563"/>
    <n v="0"/>
    <m/>
    <x v="5"/>
  </r>
  <r>
    <s v="020"/>
    <x v="20"/>
    <x v="3"/>
    <n v="901.77700000000004"/>
    <n v="11442.675999999999"/>
    <n v="20868.444642439434"/>
    <n v="161611.33392731828"/>
    <n v="-0.9567875318237139"/>
    <m/>
    <x v="5"/>
  </r>
  <r>
    <s v="020"/>
    <x v="20"/>
    <x v="4"/>
    <n v="14500"/>
    <n v="61700"/>
    <n v="248443.22025675679"/>
    <n v="934329.66077027027"/>
    <n v="-0.94163656393998274"/>
    <m/>
    <x v="5"/>
  </r>
  <r>
    <s v="020"/>
    <x v="20"/>
    <x v="5"/>
    <n v="418302"/>
    <n v="774081"/>
    <n v="56000"/>
    <n v="465000"/>
    <n v="6.4696785714285712"/>
    <m/>
    <x v="5"/>
  </r>
  <r>
    <s v="020"/>
    <x v="20"/>
    <x v="6"/>
    <n v="131"/>
    <n v="745"/>
    <n v="178"/>
    <n v="1068"/>
    <n v="-0.2640449438202247"/>
    <m/>
    <x v="5"/>
  </r>
  <r>
    <s v="020"/>
    <x v="20"/>
    <x v="7"/>
    <n v="213.68154999999979"/>
    <n v="1609.2850799999999"/>
    <n v="1042.2471597548456"/>
    <n v="4059.4643952259794"/>
    <n v="-0.79497996420516859"/>
    <m/>
    <x v="5"/>
  </r>
  <r>
    <s v="020"/>
    <x v="20"/>
    <x v="8"/>
    <n v="453.69848279862663"/>
    <n v="-8701.7484272013699"/>
    <n v="-760.97058255146294"/>
    <n v="-9051.1601771787737"/>
    <n v="1.5962102782967222"/>
    <m/>
    <x v="5"/>
  </r>
  <r>
    <s v="000"/>
    <x v="0"/>
    <x v="0"/>
    <n v="0"/>
    <n v="0"/>
    <n v="0"/>
    <n v="0"/>
    <n v="0"/>
    <m/>
    <x v="6"/>
  </r>
  <r>
    <s v="000"/>
    <x v="0"/>
    <x v="1"/>
    <m/>
    <n v="0"/>
    <m/>
    <n v="0"/>
    <n v="0"/>
    <m/>
    <x v="6"/>
  </r>
  <r>
    <s v="000"/>
    <x v="0"/>
    <x v="2"/>
    <n v="0"/>
    <n v="0"/>
    <m/>
    <n v="0"/>
    <n v="0"/>
    <m/>
    <x v="6"/>
  </r>
  <r>
    <s v="000"/>
    <x v="0"/>
    <x v="3"/>
    <n v="0"/>
    <n v="0"/>
    <n v="0"/>
    <n v="0"/>
    <n v="0"/>
    <m/>
    <x v="6"/>
  </r>
  <r>
    <s v="000"/>
    <x v="0"/>
    <x v="4"/>
    <n v="0"/>
    <n v="0"/>
    <n v="0"/>
    <n v="0"/>
    <n v="0"/>
    <m/>
    <x v="6"/>
  </r>
  <r>
    <s v="000"/>
    <x v="0"/>
    <x v="5"/>
    <n v="0"/>
    <n v="243620"/>
    <n v="0"/>
    <n v="99000"/>
    <n v="0"/>
    <m/>
    <x v="6"/>
  </r>
  <r>
    <s v="000"/>
    <x v="0"/>
    <x v="6"/>
    <n v="0"/>
    <n v="0"/>
    <n v="0"/>
    <n v="0"/>
    <n v="0"/>
    <m/>
    <x v="6"/>
  </r>
  <r>
    <s v="000"/>
    <x v="0"/>
    <x v="7"/>
    <n v="366.00511999999992"/>
    <n v="819.77218999999991"/>
    <n v="4.5627263656299988E-2"/>
    <n v="117.63777051937082"/>
    <n v="8020.6320390596939"/>
    <m/>
    <x v="6"/>
  </r>
  <r>
    <s v="000"/>
    <x v="0"/>
    <x v="8"/>
    <n v="-11619.751584155827"/>
    <n v="-191075.57229259695"/>
    <n v="-20130.287509152782"/>
    <n v="-182192.67628132171"/>
    <n v="0.4227726961737337"/>
    <m/>
    <x v="6"/>
  </r>
  <r>
    <s v="001"/>
    <x v="1"/>
    <x v="0"/>
    <n v="5667.1291000000201"/>
    <n v="33197.184520000068"/>
    <n v="7465.9829260652068"/>
    <n v="87929.371704260819"/>
    <n v="-0.24093998658703547"/>
    <m/>
    <x v="6"/>
  </r>
  <r>
    <s v="001"/>
    <x v="1"/>
    <x v="1"/>
    <m/>
    <n v="511820.75765000004"/>
    <m/>
    <n v="523507.82474032586"/>
    <n v="0"/>
    <m/>
    <x v="6"/>
  </r>
  <r>
    <s v="001"/>
    <x v="1"/>
    <x v="2"/>
    <n v="0"/>
    <n v="677677.54038999998"/>
    <m/>
    <n v="532190.91187385854"/>
    <n v="0"/>
    <m/>
    <x v="6"/>
  </r>
  <r>
    <s v="001"/>
    <x v="1"/>
    <x v="3"/>
    <n v="5543.2675999999992"/>
    <n v="66041.948299999989"/>
    <n v="21166.644999582291"/>
    <n v="142248.37999832915"/>
    <n v="-0.73811307365388368"/>
    <m/>
    <x v="6"/>
  </r>
  <r>
    <s v="001"/>
    <x v="1"/>
    <x v="4"/>
    <n v="3237602"/>
    <n v="16572369.140000001"/>
    <n v="124221.61012837839"/>
    <n v="4546886.440513514"/>
    <n v="25.063114112383982"/>
    <m/>
    <x v="6"/>
  </r>
  <r>
    <s v="001"/>
    <x v="1"/>
    <x v="5"/>
    <n v="151786"/>
    <n v="529922"/>
    <n v="28000"/>
    <n v="118000"/>
    <n v="4.4209285714285711"/>
    <m/>
    <x v="6"/>
  </r>
  <r>
    <s v="001"/>
    <x v="1"/>
    <x v="6"/>
    <n v="21"/>
    <n v="336"/>
    <n v="85"/>
    <n v="595"/>
    <n v="-0.75294117647058822"/>
    <m/>
    <x v="6"/>
  </r>
  <r>
    <s v="001"/>
    <x v="1"/>
    <x v="7"/>
    <n v="3361.094850000005"/>
    <n v="18800.215560000004"/>
    <n v="986.9479166366873"/>
    <n v="11218.713957965554"/>
    <n v="2.4055442980759465"/>
    <m/>
    <x v="6"/>
  </r>
  <r>
    <s v="001"/>
    <x v="1"/>
    <x v="8"/>
    <n v="677.12395076019686"/>
    <n v="-5403.9423921841881"/>
    <n v="9488.057835807138"/>
    <n v="20741.542105463479"/>
    <n v="-0.92863408270923609"/>
    <m/>
    <x v="6"/>
  </r>
  <r>
    <s v="002"/>
    <x v="2"/>
    <x v="0"/>
    <n v="2084.1728600000206"/>
    <n v="-14081.778679999989"/>
    <n v="2986.0037593984976"/>
    <n v="71209.455037594002"/>
    <n v="-0.30201934493884974"/>
    <m/>
    <x v="6"/>
  </r>
  <r>
    <s v="002"/>
    <x v="2"/>
    <x v="1"/>
    <m/>
    <n v="59051.26443000001"/>
    <m/>
    <n v="64042.307596992476"/>
    <n v="0"/>
    <m/>
    <x v="6"/>
  </r>
  <r>
    <s v="002"/>
    <x v="2"/>
    <x v="2"/>
    <n v="0"/>
    <n v="91282.668689999977"/>
    <m/>
    <n v="84783.474342751651"/>
    <n v="0"/>
    <m/>
    <x v="6"/>
  </r>
  <r>
    <s v="002"/>
    <x v="2"/>
    <x v="3"/>
    <n v="2409.877"/>
    <n v="12893.64085"/>
    <n v="5348.7727218045111"/>
    <n v="80476.890887218033"/>
    <n v="-0.54945234629693118"/>
    <m/>
    <x v="6"/>
  </r>
  <r>
    <s v="002"/>
    <x v="2"/>
    <x v="4"/>
    <n v="19000"/>
    <n v="76500"/>
    <n v="62110.805064189197"/>
    <n v="338443.22025675676"/>
    <n v="-0.69409509375439249"/>
    <m/>
    <x v="6"/>
  </r>
  <r>
    <s v="002"/>
    <x v="2"/>
    <x v="5"/>
    <n v="742"/>
    <n v="277470"/>
    <n v="14000"/>
    <n v="275000"/>
    <n v="-0.94699999999999995"/>
    <m/>
    <x v="6"/>
  </r>
  <r>
    <s v="002"/>
    <x v="2"/>
    <x v="6"/>
    <n v="49"/>
    <n v="456"/>
    <n v="73"/>
    <n v="511"/>
    <n v="-0.32876712328767121"/>
    <m/>
    <x v="6"/>
  </r>
  <r>
    <s v="002"/>
    <x v="2"/>
    <x v="7"/>
    <n v="203.17012"/>
    <n v="1138.0803000000001"/>
    <n v="398.96047438593905"/>
    <n v="2076.1927166355167"/>
    <n v="-0.49075125721987933"/>
    <m/>
    <x v="6"/>
  </r>
  <r>
    <s v="002"/>
    <x v="2"/>
    <x v="8"/>
    <n v="-690.59690092022902"/>
    <n v="-8590.629379908989"/>
    <n v="215.77906161942155"/>
    <n v="-2201.9293244031987"/>
    <n v="-4.2004815283619283"/>
    <m/>
    <x v="6"/>
  </r>
  <r>
    <s v="003"/>
    <x v="3"/>
    <x v="0"/>
    <n v="2245.3767500000104"/>
    <n v="-2521.8215199999977"/>
    <n v="2986.0037593984976"/>
    <n v="63274.895037593989"/>
    <n v="-0.24803284559416613"/>
    <m/>
    <x v="6"/>
  </r>
  <r>
    <s v="003"/>
    <x v="3"/>
    <x v="1"/>
    <m/>
    <n v="37763.046699999999"/>
    <m/>
    <n v="61504.07928699247"/>
    <n v="0"/>
    <m/>
    <x v="6"/>
  </r>
  <r>
    <s v="003"/>
    <x v="3"/>
    <x v="2"/>
    <n v="0"/>
    <n v="96627.467019999967"/>
    <m/>
    <n v="92721.228749835296"/>
    <n v="0"/>
    <m/>
    <x v="6"/>
  </r>
  <r>
    <s v="003"/>
    <x v="3"/>
    <x v="3"/>
    <n v="649.04600000000005"/>
    <n v="7303.1098500000007"/>
    <n v="5348.7727218045111"/>
    <n v="70558.69088721805"/>
    <n v="-0.87865515441436959"/>
    <m/>
    <x v="6"/>
  </r>
  <r>
    <s v="003"/>
    <x v="3"/>
    <x v="4"/>
    <n v="5000"/>
    <n v="41000"/>
    <n v="62110.805064189197"/>
    <n v="284443.22025675676"/>
    <n v="-0.91949870888273488"/>
    <m/>
    <x v="6"/>
  </r>
  <r>
    <s v="003"/>
    <x v="3"/>
    <x v="5"/>
    <n v="0"/>
    <n v="0"/>
    <n v="14000"/>
    <n v="59000"/>
    <n v="-1"/>
    <m/>
    <x v="6"/>
  </r>
  <r>
    <s v="003"/>
    <x v="3"/>
    <x v="6"/>
    <n v="14"/>
    <n v="158"/>
    <n v="66"/>
    <n v="462"/>
    <n v="-0.78787878787878785"/>
    <m/>
    <x v="6"/>
  </r>
  <r>
    <s v="003"/>
    <x v="3"/>
    <x v="7"/>
    <n v="69.875720000000058"/>
    <n v="557.40955000000008"/>
    <n v="404.84405015835682"/>
    <n v="1851.197185316485"/>
    <n v="-0.82740089678317408"/>
    <m/>
    <x v="6"/>
  </r>
  <r>
    <s v="003"/>
    <x v="3"/>
    <x v="8"/>
    <n v="-891.73302783634881"/>
    <n v="-5442.7236481074415"/>
    <n v="571.6149204634396"/>
    <n v="-99.667668907730899"/>
    <n v="-2.5600240580028455"/>
    <m/>
    <x v="6"/>
  </r>
  <r>
    <s v="004"/>
    <x v="4"/>
    <x v="0"/>
    <n v="-7473.4667700000064"/>
    <n v="4442.5231100000128"/>
    <n v="4554.5513784461173"/>
    <n v="91214.525513784509"/>
    <n v="-2.6408787933246987"/>
    <m/>
    <x v="6"/>
  </r>
  <r>
    <s v="004"/>
    <x v="4"/>
    <x v="1"/>
    <m/>
    <n v="27322.242429999998"/>
    <m/>
    <n v="47076.873122230558"/>
    <n v="0"/>
    <m/>
    <x v="6"/>
  </r>
  <r>
    <s v="004"/>
    <x v="4"/>
    <x v="2"/>
    <n v="0"/>
    <n v="113355.08813934786"/>
    <m/>
    <n v="101028.46507708379"/>
    <n v="0"/>
    <m/>
    <x v="6"/>
  </r>
  <r>
    <s v="004"/>
    <x v="4"/>
    <x v="3"/>
    <n v="575"/>
    <n v="16005.12652"/>
    <n v="8158.4827535505428"/>
    <n v="108879.33101420218"/>
    <n v="-0.9295212091059748"/>
    <m/>
    <x v="6"/>
  </r>
  <r>
    <s v="004"/>
    <x v="4"/>
    <x v="4"/>
    <n v="6000"/>
    <n v="41000"/>
    <n v="124221.61012837839"/>
    <n v="757886.44051351352"/>
    <n v="-0.95169922532964091"/>
    <m/>
    <x v="6"/>
  </r>
  <r>
    <s v="004"/>
    <x v="4"/>
    <x v="5"/>
    <n v="198"/>
    <n v="28512"/>
    <n v="28000"/>
    <n v="115000"/>
    <n v="-0.99292857142857138"/>
    <m/>
    <x v="6"/>
  </r>
  <r>
    <s v="004"/>
    <x v="4"/>
    <x v="6"/>
    <n v="15"/>
    <n v="130"/>
    <n v="101"/>
    <n v="707"/>
    <n v="-0.85148514851485146"/>
    <m/>
    <x v="6"/>
  </r>
  <r>
    <s v="004"/>
    <x v="4"/>
    <x v="7"/>
    <n v="57.661429999999996"/>
    <n v="745.87081000000001"/>
    <n v="425.5776269626474"/>
    <n v="2143.7501580408152"/>
    <n v="-0.86451019427047815"/>
    <m/>
    <x v="6"/>
  </r>
  <r>
    <s v="004"/>
    <x v="4"/>
    <x v="8"/>
    <n v="842.51759548872076"/>
    <n v="-1682.6619337401364"/>
    <n v="595.41063368112327"/>
    <n v="3642.2204883524505"/>
    <n v="0.41501939641195174"/>
    <m/>
    <x v="6"/>
  </r>
  <r>
    <s v="005"/>
    <x v="5"/>
    <x v="0"/>
    <n v="4287.1022099999827"/>
    <n v="5311.0169399999431"/>
    <n v="8734.8787593984907"/>
    <n v="134604.95503759393"/>
    <n v="-0.5091972850353329"/>
    <m/>
    <x v="6"/>
  </r>
  <r>
    <s v="005"/>
    <x v="5"/>
    <x v="1"/>
    <m/>
    <n v="147624.60881999999"/>
    <m/>
    <n v="199173.7820769925"/>
    <n v="0"/>
    <m/>
    <x v="6"/>
  </r>
  <r>
    <s v="005"/>
    <x v="5"/>
    <x v="2"/>
    <n v="0"/>
    <n v="320360.48377000011"/>
    <m/>
    <n v="222381.71371174758"/>
    <n v="0"/>
    <m/>
    <x v="6"/>
  </r>
  <r>
    <s v="005"/>
    <x v="5"/>
    <x v="3"/>
    <n v="691.37300000000005"/>
    <n v="22005.592359999995"/>
    <n v="10575.010092174882"/>
    <n v="151881.84036869952"/>
    <n v="-0.9346220009273003"/>
    <m/>
    <x v="6"/>
  </r>
  <r>
    <s v="005"/>
    <x v="5"/>
    <x v="4"/>
    <n v="807588.65999999992"/>
    <n v="5040737.6900000004"/>
    <n v="1608965.6169009011"/>
    <n v="10998862.467603603"/>
    <n v="-0.49806965946510923"/>
    <m/>
    <x v="6"/>
  </r>
  <r>
    <s v="005"/>
    <x v="5"/>
    <x v="5"/>
    <n v="1920"/>
    <n v="351887"/>
    <n v="97666"/>
    <n v="651664"/>
    <n v="-0.98034116273831218"/>
    <m/>
    <x v="6"/>
  </r>
  <r>
    <s v="005"/>
    <x v="5"/>
    <x v="6"/>
    <n v="16"/>
    <n v="264"/>
    <n v="68"/>
    <n v="476"/>
    <n v="-0.76470588235294112"/>
    <m/>
    <x v="6"/>
  </r>
  <r>
    <s v="005"/>
    <x v="5"/>
    <x v="7"/>
    <n v="936.09970000000067"/>
    <n v="6497.5782400000016"/>
    <n v="2205.9043553692209"/>
    <n v="14030.174821007655"/>
    <n v="-0.57563903542711958"/>
    <m/>
    <x v="6"/>
  </r>
  <r>
    <s v="005"/>
    <x v="5"/>
    <x v="8"/>
    <n v="-1206.0451858914616"/>
    <n v="5538.2605323613279"/>
    <n v="4566.0577073731292"/>
    <n v="21093.953784323789"/>
    <n v="-1.2641327077281519"/>
    <m/>
    <x v="6"/>
  </r>
  <r>
    <s v="006"/>
    <x v="6"/>
    <x v="0"/>
    <n v="-23984.446739999999"/>
    <n v="4421.8819499999954"/>
    <n v="5601.4829260651622"/>
    <n v="89671.371704260659"/>
    <n v="-5.2818030611847631"/>
    <m/>
    <x v="6"/>
  </r>
  <r>
    <s v="006"/>
    <x v="6"/>
    <x v="1"/>
    <m/>
    <n v="82367.005860000005"/>
    <m/>
    <n v="97913.093430325811"/>
    <n v="0"/>
    <m/>
    <x v="6"/>
  </r>
  <r>
    <s v="006"/>
    <x v="6"/>
    <x v="2"/>
    <n v="0"/>
    <n v="173940.98021999997"/>
    <m/>
    <n v="159644.8451104335"/>
    <n v="0"/>
    <m/>
    <x v="6"/>
  </r>
  <r>
    <s v="006"/>
    <x v="6"/>
    <x v="3"/>
    <n v="3875.4291000000003"/>
    <n v="15580.9251"/>
    <n v="11147.112999582288"/>
    <n v="113670.25199832914"/>
    <n v="-0.65233786540557881"/>
    <m/>
    <x v="6"/>
  </r>
  <r>
    <s v="006"/>
    <x v="6"/>
    <x v="4"/>
    <n v="111187"/>
    <n v="334177.31"/>
    <n v="124221.61012837839"/>
    <n v="967886.44051351352"/>
    <n v="-0.10493029445446417"/>
    <m/>
    <x v="6"/>
  </r>
  <r>
    <s v="006"/>
    <x v="6"/>
    <x v="5"/>
    <n v="10303"/>
    <n v="333888"/>
    <n v="28000"/>
    <n v="214000"/>
    <n v="-0.63203571428571426"/>
    <m/>
    <x v="6"/>
  </r>
  <r>
    <s v="006"/>
    <x v="6"/>
    <x v="6"/>
    <n v="36"/>
    <n v="349"/>
    <n v="66"/>
    <n v="462"/>
    <n v="-0.45454545454545453"/>
    <m/>
    <x v="6"/>
  </r>
  <r>
    <s v="006"/>
    <x v="6"/>
    <x v="7"/>
    <n v="343.40968999999996"/>
    <n v="1424.7807900000003"/>
    <n v="755.24144823531879"/>
    <n v="3789.4792158813102"/>
    <n v="-0.54529814167058255"/>
    <m/>
    <x v="6"/>
  </r>
  <r>
    <s v="006"/>
    <x v="6"/>
    <x v="8"/>
    <n v="-592.89281138160777"/>
    <n v="2827.2894792095922"/>
    <n v="1393.0795797104256"/>
    <n v="10871.867166878241"/>
    <n v="-1.4255986664486535"/>
    <m/>
    <x v="6"/>
  </r>
  <r>
    <s v="007"/>
    <x v="7"/>
    <x v="0"/>
    <n v="-4344.3254299999971"/>
    <n v="-26821.916349999956"/>
    <n v="2789.9353070175348"/>
    <n v="89690.621228070086"/>
    <n v="-2.557141995039347"/>
    <m/>
    <x v="6"/>
  </r>
  <r>
    <s v="007"/>
    <x v="7"/>
    <x v="1"/>
    <m/>
    <n v="168267.49249"/>
    <m/>
    <n v="216727.37845508766"/>
    <n v="0"/>
    <m/>
    <x v="6"/>
  </r>
  <r>
    <s v="007"/>
    <x v="7"/>
    <x v="2"/>
    <n v="0"/>
    <n v="124132.87643999996"/>
    <m/>
    <n v="136342.58754522345"/>
    <n v="0"/>
    <m/>
    <x v="6"/>
  </r>
  <r>
    <s v="007"/>
    <x v="7"/>
    <x v="3"/>
    <n v="4460"/>
    <n v="14256.68211"/>
    <n v="4997.5589678362567"/>
    <n v="103153.83587134504"/>
    <n v="-0.10756430715393804"/>
    <m/>
    <x v="6"/>
  </r>
  <r>
    <s v="007"/>
    <x v="7"/>
    <x v="4"/>
    <n v="25892"/>
    <n v="247792"/>
    <n v="62110.805064189197"/>
    <n v="1028443.220256757"/>
    <n v="-0.58313211407835419"/>
    <m/>
    <x v="6"/>
  </r>
  <r>
    <s v="007"/>
    <x v="7"/>
    <x v="5"/>
    <n v="1768"/>
    <n v="5416"/>
    <n v="14000"/>
    <n v="110000"/>
    <n v="-0.87371428571428567"/>
    <m/>
    <x v="6"/>
  </r>
  <r>
    <s v="007"/>
    <x v="7"/>
    <x v="6"/>
    <n v="11"/>
    <n v="166"/>
    <n v="76"/>
    <n v="532"/>
    <n v="-0.85526315789473684"/>
    <m/>
    <x v="6"/>
  </r>
  <r>
    <s v="007"/>
    <x v="7"/>
    <x v="7"/>
    <n v="252.17205000000013"/>
    <n v="1285.8689300000001"/>
    <n v="388.35624873680104"/>
    <n v="2152.8908217103585"/>
    <n v="-0.35066823098576283"/>
    <m/>
    <x v="6"/>
  </r>
  <r>
    <s v="007"/>
    <x v="7"/>
    <x v="8"/>
    <n v="-1605.3495797475321"/>
    <n v="-4212.3121446850864"/>
    <n v="285.61715146881352"/>
    <n v="-800.64144099195119"/>
    <n v="-6.6206343753933137"/>
    <m/>
    <x v="6"/>
  </r>
  <r>
    <s v="008"/>
    <x v="8"/>
    <x v="0"/>
    <n v="-695.64522000000579"/>
    <n v="19408.81911000004"/>
    <n v="6907.3728070175648"/>
    <n v="103825.81122807041"/>
    <n v="-1.1007105363262373"/>
    <m/>
    <x v="6"/>
  </r>
  <r>
    <s v="008"/>
    <x v="8"/>
    <x v="1"/>
    <m/>
    <n v="354004.40804000007"/>
    <m/>
    <n v="369196.54621508776"/>
    <n v="0"/>
    <m/>
    <x v="6"/>
  </r>
  <r>
    <s v="008"/>
    <x v="8"/>
    <x v="2"/>
    <n v="0"/>
    <n v="332389.37753468298"/>
    <m/>
    <n v="268187.31255168875"/>
    <n v="0"/>
    <m/>
    <x v="6"/>
  </r>
  <r>
    <s v="008"/>
    <x v="8"/>
    <x v="3"/>
    <n v="872.24275"/>
    <n v="28009.081600000001"/>
    <n v="12373.04780116959"/>
    <n v="129737.59120467838"/>
    <n v="-0.9295046164844244"/>
    <m/>
    <x v="6"/>
  </r>
  <r>
    <s v="008"/>
    <x v="8"/>
    <x v="4"/>
    <n v="40000"/>
    <n v="450107"/>
    <n v="248443.22025675679"/>
    <n v="1551772.881027027"/>
    <n v="-0.83899741776546977"/>
    <m/>
    <x v="6"/>
  </r>
  <r>
    <s v="008"/>
    <x v="8"/>
    <x v="5"/>
    <n v="46921"/>
    <n v="456861"/>
    <n v="56000"/>
    <n v="458000"/>
    <n v="-0.16212499999999999"/>
    <m/>
    <x v="6"/>
  </r>
  <r>
    <s v="008"/>
    <x v="8"/>
    <x v="6"/>
    <n v="39"/>
    <n v="418"/>
    <n v="98"/>
    <n v="686"/>
    <n v="-0.60204081632653061"/>
    <m/>
    <x v="6"/>
  </r>
  <r>
    <s v="008"/>
    <x v="8"/>
    <x v="7"/>
    <n v="183.89836000000037"/>
    <n v="2129.0721800000001"/>
    <n v="826.19169730445992"/>
    <n v="4415.2396561424712"/>
    <n v="-0.77741441774349862"/>
    <m/>
    <x v="6"/>
  </r>
  <r>
    <s v="008"/>
    <x v="8"/>
    <x v="8"/>
    <n v="-1457.1522705610712"/>
    <n v="-7039.93132365779"/>
    <n v="4483.0964379053512"/>
    <n v="7128.342627890429"/>
    <n v="-1.3250325507701772"/>
    <m/>
    <x v="6"/>
  </r>
  <r>
    <s v="009"/>
    <x v="9"/>
    <x v="0"/>
    <n v="1009.1589300000051"/>
    <n v="11493.993009999984"/>
    <n v="2867.6228070175425"/>
    <n v="78001.371228070187"/>
    <n v="-0.64808519184237623"/>
    <m/>
    <x v="6"/>
  </r>
  <r>
    <s v="009"/>
    <x v="9"/>
    <x v="1"/>
    <m/>
    <n v="50567.000479999995"/>
    <m/>
    <n v="60141.533555087728"/>
    <n v="0"/>
    <m/>
    <x v="6"/>
  </r>
  <r>
    <s v="009"/>
    <x v="9"/>
    <x v="2"/>
    <n v="0"/>
    <n v="207593.63388999997"/>
    <m/>
    <n v="185575.70429591803"/>
    <n v="0"/>
    <m/>
    <x v="6"/>
  </r>
  <r>
    <s v="009"/>
    <x v="9"/>
    <x v="3"/>
    <n v="6241.5526"/>
    <n v="32128.74985"/>
    <n v="5136.719134502925"/>
    <n v="88710.476538011717"/>
    <n v="0.21508543421733892"/>
    <m/>
    <x v="6"/>
  </r>
  <r>
    <s v="009"/>
    <x v="9"/>
    <x v="4"/>
    <n v="16914"/>
    <n v="299962"/>
    <n v="0"/>
    <n v="102000"/>
    <n v="0"/>
    <m/>
    <x v="6"/>
  </r>
  <r>
    <s v="009"/>
    <x v="9"/>
    <x v="5"/>
    <n v="1178"/>
    <n v="8959"/>
    <n v="0"/>
    <n v="6000"/>
    <n v="0"/>
    <m/>
    <x v="6"/>
  </r>
  <r>
    <s v="009"/>
    <x v="9"/>
    <x v="6"/>
    <n v="46"/>
    <n v="316"/>
    <n v="73"/>
    <n v="511"/>
    <n v="-0.36986301369863012"/>
    <m/>
    <x v="6"/>
  </r>
  <r>
    <s v="009"/>
    <x v="9"/>
    <x v="7"/>
    <n v="306.78146999999967"/>
    <n v="2042.5651599999999"/>
    <n v="325.34340487493887"/>
    <n v="2294.9142660091811"/>
    <n v="-5.7053361453797892E-2"/>
    <m/>
    <x v="6"/>
  </r>
  <r>
    <s v="009"/>
    <x v="9"/>
    <x v="8"/>
    <n v="-1060.3941276763164"/>
    <n v="2484.2258872974485"/>
    <n v="1631.7611336245882"/>
    <n v="11093.567778933249"/>
    <n v="-1.6498464179747256"/>
    <m/>
    <x v="6"/>
  </r>
  <r>
    <s v="010"/>
    <x v="10"/>
    <x v="0"/>
    <n v="4524.0557299999637"/>
    <n v="-32740.194529999979"/>
    <n v="2986.0037593985198"/>
    <n v="94074.895037594048"/>
    <n v="0.51508708445539886"/>
    <m/>
    <x v="6"/>
  </r>
  <r>
    <s v="010"/>
    <x v="10"/>
    <x v="1"/>
    <m/>
    <n v="190265.05695999999"/>
    <m/>
    <n v="236582.85566699249"/>
    <n v="0"/>
    <m/>
    <x v="6"/>
  </r>
  <r>
    <s v="010"/>
    <x v="10"/>
    <x v="2"/>
    <n v="0"/>
    <n v="145057.62513"/>
    <m/>
    <n v="106966.16080724102"/>
    <n v="0"/>
    <m/>
    <x v="6"/>
  </r>
  <r>
    <s v="010"/>
    <x v="10"/>
    <x v="3"/>
    <n v="1513.604"/>
    <n v="30229.918849999998"/>
    <n v="5348.7727218045111"/>
    <n v="109058.69088721802"/>
    <n v="-0.71701844914259938"/>
    <m/>
    <x v="6"/>
  </r>
  <r>
    <s v="010"/>
    <x v="10"/>
    <x v="4"/>
    <n v="908840.19"/>
    <n v="5600587.1899999995"/>
    <n v="62110.805064189197"/>
    <n v="2732443.220256757"/>
    <n v="13.63256174285211"/>
    <m/>
    <x v="6"/>
  </r>
  <r>
    <s v="010"/>
    <x v="10"/>
    <x v="5"/>
    <n v="1308"/>
    <n v="18960"/>
    <n v="14000"/>
    <n v="233000"/>
    <n v="-0.90657142857142858"/>
    <m/>
    <x v="6"/>
  </r>
  <r>
    <s v="010"/>
    <x v="10"/>
    <x v="6"/>
    <n v="50"/>
    <n v="428"/>
    <n v="91"/>
    <n v="637"/>
    <n v="-0.45054945054945056"/>
    <m/>
    <x v="6"/>
  </r>
  <r>
    <s v="010"/>
    <x v="10"/>
    <x v="7"/>
    <n v="1121.6698699999997"/>
    <n v="7826.68228"/>
    <n v="481.68869562313239"/>
    <n v="4540.9339645073605"/>
    <n v="1.3286198746037858"/>
    <m/>
    <x v="6"/>
  </r>
  <r>
    <s v="010"/>
    <x v="10"/>
    <x v="8"/>
    <n v="557.09354367915455"/>
    <n v="134.08145522071084"/>
    <n v="-44.518997329371814"/>
    <n v="-5097.2991188261058"/>
    <n v="13.513613897400313"/>
    <m/>
    <x v="6"/>
  </r>
  <r>
    <s v="011"/>
    <x v="11"/>
    <x v="0"/>
    <n v="859.53439000000071"/>
    <n v="-6786.4567599999973"/>
    <n v="2986.0037593984976"/>
    <n v="56809.455037594009"/>
    <n v="-0.71214557674463685"/>
    <m/>
    <x v="6"/>
  </r>
  <r>
    <s v="011"/>
    <x v="11"/>
    <x v="1"/>
    <m/>
    <n v="31121.20937"/>
    <m/>
    <n v="44602.379476992472"/>
    <n v="0"/>
    <m/>
    <x v="6"/>
  </r>
  <r>
    <s v="011"/>
    <x v="11"/>
    <x v="2"/>
    <n v="0"/>
    <n v="71617.280420000025"/>
    <m/>
    <n v="94252.802720220076"/>
    <n v="0"/>
    <m/>
    <x v="6"/>
  </r>
  <r>
    <s v="011"/>
    <x v="11"/>
    <x v="3"/>
    <n v="1791.6739"/>
    <n v="16272.57475"/>
    <n v="10544.085610693401"/>
    <n v="83258.14244277362"/>
    <n v="-0.83007783072408348"/>
    <m/>
    <x v="6"/>
  </r>
  <r>
    <s v="011"/>
    <x v="11"/>
    <x v="4"/>
    <n v="32970"/>
    <n v="368299.14"/>
    <n v="62110.805064189197"/>
    <n v="602443.22025675687"/>
    <n v="-0.46917448637275372"/>
    <m/>
    <x v="6"/>
  </r>
  <r>
    <s v="011"/>
    <x v="11"/>
    <x v="5"/>
    <n v="395"/>
    <n v="4080"/>
    <n v="14000"/>
    <n v="134000"/>
    <n v="-0.97178571428571425"/>
    <m/>
    <x v="6"/>
  </r>
  <r>
    <s v="011"/>
    <x v="11"/>
    <x v="6"/>
    <n v="45"/>
    <n v="344"/>
    <n v="58"/>
    <n v="406"/>
    <n v="-0.22413793103448276"/>
    <m/>
    <x v="6"/>
  </r>
  <r>
    <s v="011"/>
    <x v="11"/>
    <x v="7"/>
    <n v="199.08481999999981"/>
    <n v="1456.2241799999999"/>
    <n v="522.6201863936858"/>
    <n v="2744.0184718523442"/>
    <n v="-0.6190640446290937"/>
    <m/>
    <x v="6"/>
  </r>
  <r>
    <s v="011"/>
    <x v="11"/>
    <x v="8"/>
    <n v="-352.15088405438536"/>
    <n v="-2361.1585013296049"/>
    <n v="725.64028375753037"/>
    <n v="2748.6623707254835"/>
    <n v="-1.4852967674711608"/>
    <m/>
    <x v="6"/>
  </r>
  <r>
    <s v="012"/>
    <x v="12"/>
    <x v="0"/>
    <n v="33394.378080000286"/>
    <n v="165641.48097999999"/>
    <n v="6444.9472117794749"/>
    <n v="105910.66884711792"/>
    <n v="4.1814820172561147"/>
    <m/>
    <x v="6"/>
  </r>
  <r>
    <s v="012"/>
    <x v="12"/>
    <x v="1"/>
    <m/>
    <n v="870801.72499999998"/>
    <m/>
    <n v="716696.74792889715"/>
    <n v="0"/>
    <m/>
    <x v="6"/>
  </r>
  <r>
    <s v="012"/>
    <x v="12"/>
    <x v="2"/>
    <n v="0"/>
    <n v="398371.34654000006"/>
    <m/>
    <n v="298586.69610323728"/>
    <n v="0"/>
    <m/>
    <x v="6"/>
  </r>
  <r>
    <s v="012"/>
    <x v="12"/>
    <x v="3"/>
    <n v="2025.7564499999999"/>
    <n v="34874.026400000002"/>
    <n v="11173.619697994987"/>
    <n v="129858.07879197996"/>
    <n v="-0.81870186163902603"/>
    <m/>
    <x v="6"/>
  </r>
  <r>
    <s v="012"/>
    <x v="12"/>
    <x v="4"/>
    <n v="4592933.9700000007"/>
    <n v="27823258.299999997"/>
    <n v="2812732.172192568"/>
    <n v="27906928.688770264"/>
    <n v="0.63290839256115095"/>
    <m/>
    <x v="6"/>
  </r>
  <r>
    <s v="012"/>
    <x v="12"/>
    <x v="5"/>
    <n v="1132854"/>
    <n v="2162739"/>
    <n v="56000"/>
    <n v="683000"/>
    <n v="19.229535714285714"/>
    <m/>
    <x v="6"/>
  </r>
  <r>
    <s v="012"/>
    <x v="12"/>
    <x v="6"/>
    <n v="33"/>
    <n v="316"/>
    <n v="98"/>
    <n v="686"/>
    <n v="-0.66326530612244894"/>
    <m/>
    <x v="6"/>
  </r>
  <r>
    <s v="012"/>
    <x v="12"/>
    <x v="7"/>
    <n v="4798.8710300000021"/>
    <n v="29680.78484"/>
    <n v="3346.1038598779414"/>
    <n v="23226.63321652398"/>
    <n v="0.43416678948365173"/>
    <m/>
    <x v="6"/>
  </r>
  <r>
    <s v="012"/>
    <x v="12"/>
    <x v="8"/>
    <n v="14997.288387801089"/>
    <n v="40688.352890640817"/>
    <n v="1610.7263685158614"/>
    <n v="15720.622484051886"/>
    <n v="8.3108852508696014"/>
    <m/>
    <x v="6"/>
  </r>
  <r>
    <s v="013"/>
    <x v="13"/>
    <x v="0"/>
    <n v="3807.1088399999862"/>
    <n v="8441.5127300000022"/>
    <n v="6004.7180451127888"/>
    <n v="83092.792180451128"/>
    <n v="-0.36598041550034577"/>
    <m/>
    <x v="6"/>
  </r>
  <r>
    <s v="013"/>
    <x v="13"/>
    <x v="1"/>
    <m/>
    <n v="86896.521679999991"/>
    <m/>
    <n v="115140.18844556388"/>
    <n v="0"/>
    <m/>
    <x v="6"/>
  </r>
  <r>
    <s v="013"/>
    <x v="13"/>
    <x v="2"/>
    <n v="0"/>
    <n v="159759.35823999997"/>
    <m/>
    <n v="162169.77747771417"/>
    <n v="0"/>
    <m/>
    <x v="6"/>
  </r>
  <r>
    <s v="013"/>
    <x v="13"/>
    <x v="3"/>
    <n v="914.5"/>
    <n v="26926.513549999996"/>
    <n v="10756.139197994988"/>
    <n v="101866.95679197994"/>
    <n v="-0.91497878716831138"/>
    <m/>
    <x v="6"/>
  </r>
  <r>
    <s v="013"/>
    <x v="13"/>
    <x v="4"/>
    <n v="35800"/>
    <n v="229180"/>
    <n v="124221.61012837839"/>
    <n v="769886.44051351352"/>
    <n v="-0.71180537780019082"/>
    <m/>
    <x v="6"/>
  </r>
  <r>
    <s v="013"/>
    <x v="13"/>
    <x v="5"/>
    <n v="1156"/>
    <n v="51011"/>
    <n v="28000"/>
    <n v="187000"/>
    <n v="-0.95871428571428574"/>
    <m/>
    <x v="6"/>
  </r>
  <r>
    <s v="013"/>
    <x v="13"/>
    <x v="6"/>
    <n v="54"/>
    <n v="381"/>
    <n v="68"/>
    <n v="476"/>
    <n v="-0.20588235294117646"/>
    <m/>
    <x v="6"/>
  </r>
  <r>
    <s v="013"/>
    <x v="13"/>
    <x v="7"/>
    <n v="179.4681099999998"/>
    <n v="1617.9131399999999"/>
    <n v="663.49269522738268"/>
    <n v="3435.0701377782148"/>
    <n v="-0.72951004390712237"/>
    <m/>
    <x v="6"/>
  </r>
  <r>
    <s v="013"/>
    <x v="13"/>
    <x v="8"/>
    <n v="633.11376575601071"/>
    <n v="999.23075897300373"/>
    <n v="1613.3356238238193"/>
    <n v="6291.4155745357357"/>
    <n v="-0.60757466927095605"/>
    <m/>
    <x v="6"/>
  </r>
  <r>
    <s v="014"/>
    <x v="14"/>
    <x v="0"/>
    <n v="-84510.37156"/>
    <n v="-103380.19229000001"/>
    <n v="4358.4829260651468"/>
    <n v="86633.931704260729"/>
    <n v="-20.389859497808391"/>
    <m/>
    <x v="6"/>
  </r>
  <r>
    <s v="014"/>
    <x v="14"/>
    <x v="1"/>
    <m/>
    <n v="147757.57507000002"/>
    <m/>
    <n v="275020.39833032584"/>
    <n v="0"/>
    <m/>
    <x v="6"/>
  </r>
  <r>
    <s v="014"/>
    <x v="14"/>
    <x v="2"/>
    <n v="0"/>
    <n v="211855.16805000004"/>
    <m/>
    <n v="184518.82756460615"/>
    <n v="0"/>
    <m/>
    <x v="6"/>
  </r>
  <r>
    <s v="014"/>
    <x v="14"/>
    <x v="3"/>
    <n v="5258.5479999999998"/>
    <n v="27898.892999999996"/>
    <n v="7807.2689995822902"/>
    <n v="102729.07599832915"/>
    <n v="-0.32645487169952181"/>
    <m/>
    <x v="6"/>
  </r>
  <r>
    <s v="014"/>
    <x v="14"/>
    <x v="4"/>
    <n v="2794839.24"/>
    <n v="12401279.17"/>
    <n v="124221.61012837839"/>
    <n v="4129886.440513514"/>
    <n v="21.498816728519603"/>
    <m/>
    <x v="6"/>
  </r>
  <r>
    <s v="014"/>
    <x v="14"/>
    <x v="5"/>
    <n v="1560"/>
    <n v="38231"/>
    <n v="28000"/>
    <n v="148000"/>
    <n v="-0.94428571428571428"/>
    <m/>
    <x v="6"/>
  </r>
  <r>
    <s v="014"/>
    <x v="14"/>
    <x v="6"/>
    <n v="34"/>
    <n v="197"/>
    <n v="65"/>
    <n v="455"/>
    <n v="-0.47692307692307695"/>
    <m/>
    <x v="6"/>
  </r>
  <r>
    <s v="014"/>
    <x v="14"/>
    <x v="7"/>
    <n v="2929.9157899999991"/>
    <n v="13600.858319999998"/>
    <n v="471.50983052239917"/>
    <n v="8528.3906848390197"/>
    <n v="5.2139018114508069"/>
    <m/>
    <x v="6"/>
  </r>
  <r>
    <s v="014"/>
    <x v="14"/>
    <x v="8"/>
    <n v="2371.4952897354979"/>
    <n v="-1987.7439230411367"/>
    <n v="749.51111250653469"/>
    <n v="811.97428547768277"/>
    <n v="2.1640562096600293"/>
    <m/>
    <x v="6"/>
  </r>
  <r>
    <s v="015"/>
    <x v="15"/>
    <x v="0"/>
    <n v="-4445.9658100000161"/>
    <n v="12112.039209999992"/>
    <n v="2986.0037593984976"/>
    <n v="71274.895037594004"/>
    <n v="-2.4889351013059726"/>
    <m/>
    <x v="6"/>
  </r>
  <r>
    <s v="015"/>
    <x v="15"/>
    <x v="1"/>
    <m/>
    <n v="40406.574059999992"/>
    <m/>
    <n v="52235.222386992471"/>
    <n v="0"/>
    <m/>
    <x v="6"/>
  </r>
  <r>
    <s v="015"/>
    <x v="15"/>
    <x v="2"/>
    <n v="0"/>
    <n v="149824.70967000001"/>
    <m/>
    <n v="113680.05292932376"/>
    <n v="0"/>
    <m/>
    <x v="6"/>
  </r>
  <r>
    <s v="015"/>
    <x v="15"/>
    <x v="3"/>
    <n v="832.93700000000001"/>
    <n v="14694.737999999999"/>
    <n v="5348.7727218045111"/>
    <n v="80558.69088721805"/>
    <n v="-0.84427511817720446"/>
    <m/>
    <x v="6"/>
  </r>
  <r>
    <s v="015"/>
    <x v="15"/>
    <x v="4"/>
    <n v="0"/>
    <n v="168120"/>
    <n v="62110.805064189197"/>
    <n v="422443.22025675676"/>
    <n v="-1"/>
    <m/>
    <x v="6"/>
  </r>
  <r>
    <s v="015"/>
    <x v="15"/>
    <x v="5"/>
    <n v="4185"/>
    <n v="17625"/>
    <n v="14000"/>
    <n v="62000"/>
    <n v="-0.70107142857142857"/>
    <m/>
    <x v="6"/>
  </r>
  <r>
    <s v="015"/>
    <x v="15"/>
    <x v="6"/>
    <n v="18"/>
    <n v="212"/>
    <n v="61"/>
    <n v="427"/>
    <n v="-0.70491803278688525"/>
    <m/>
    <x v="6"/>
  </r>
  <r>
    <s v="015"/>
    <x v="15"/>
    <x v="7"/>
    <n v="103.95722000000001"/>
    <n v="1140.47605"/>
    <n v="357.96895445905261"/>
    <n v="1949.5649492297287"/>
    <n v="-0.70959151986491198"/>
    <m/>
    <x v="6"/>
  </r>
  <r>
    <s v="015"/>
    <x v="15"/>
    <x v="8"/>
    <n v="-134.13320161294192"/>
    <n v="-2839.2461898411452"/>
    <n v="854.98740189024147"/>
    <n v="3096.0970849598075"/>
    <n v="-1.1568832491758296"/>
    <m/>
    <x v="6"/>
  </r>
  <r>
    <s v="016"/>
    <x v="16"/>
    <x v="0"/>
    <n v="417.1205300000147"/>
    <n v="-14774.54442000002"/>
    <n v="8812.5662593984907"/>
    <n v="102515.70503759402"/>
    <n v="-0.9526675297839422"/>
    <m/>
    <x v="6"/>
  </r>
  <r>
    <s v="016"/>
    <x v="16"/>
    <x v="1"/>
    <m/>
    <n v="142117.18552"/>
    <m/>
    <n v="188863.64392699243"/>
    <n v="0"/>
    <m/>
    <x v="6"/>
  </r>
  <r>
    <s v="016"/>
    <x v="16"/>
    <x v="2"/>
    <n v="0"/>
    <n v="160111.37570097009"/>
    <m/>
    <n v="167630.91096383287"/>
    <n v="0"/>
    <m/>
    <x v="6"/>
  </r>
  <r>
    <s v="016"/>
    <x v="16"/>
    <x v="3"/>
    <n v="2087.9859000000001"/>
    <n v="26760.50805"/>
    <n v="8116.5138143971044"/>
    <n v="101547.8552575884"/>
    <n v="-0.74274843267113977"/>
    <m/>
    <x v="6"/>
  </r>
  <r>
    <s v="016"/>
    <x v="16"/>
    <x v="4"/>
    <n v="414555"/>
    <n v="1707585"/>
    <n v="1656288.1350450451"/>
    <n v="8119152.5401801802"/>
    <n v="-0.74970840445661613"/>
    <m/>
    <x v="6"/>
  </r>
  <r>
    <s v="016"/>
    <x v="16"/>
    <x v="5"/>
    <n v="23022"/>
    <n v="346229"/>
    <n v="83666"/>
    <n v="1201664"/>
    <n v="-0.72483446083235725"/>
    <m/>
    <x v="6"/>
  </r>
  <r>
    <s v="016"/>
    <x v="16"/>
    <x v="6"/>
    <n v="44"/>
    <n v="337"/>
    <n v="56"/>
    <n v="392"/>
    <n v="-0.21428571428571427"/>
    <m/>
    <x v="6"/>
  </r>
  <r>
    <s v="016"/>
    <x v="16"/>
    <x v="7"/>
    <n v="585.20710000000054"/>
    <n v="3368.8893599999997"/>
    <n v="2123.4790553681341"/>
    <n v="11980.980320717612"/>
    <n v="-0.72441117395502308"/>
    <m/>
    <x v="6"/>
  </r>
  <r>
    <s v="016"/>
    <x v="16"/>
    <x v="8"/>
    <n v="1994.405910905866"/>
    <n v="10878.630297655105"/>
    <n v="2985.7367099927251"/>
    <n v="16933.421008194684"/>
    <n v="-0.33202217589014221"/>
    <m/>
    <x v="6"/>
  </r>
  <r>
    <s v="017"/>
    <x v="17"/>
    <x v="0"/>
    <n v="-10827.017260000008"/>
    <n v="6096.1736099999689"/>
    <n v="4462.0662593985053"/>
    <n v="72713.705037594002"/>
    <n v="-3.4264581990899234"/>
    <m/>
    <x v="6"/>
  </r>
  <r>
    <s v="017"/>
    <x v="17"/>
    <x v="1"/>
    <m/>
    <n v="87945.795299999983"/>
    <m/>
    <n v="90637.749256992494"/>
    <n v="0"/>
    <m/>
    <x v="6"/>
  </r>
  <r>
    <s v="017"/>
    <x v="17"/>
    <x v="2"/>
    <n v="0"/>
    <n v="162811.74414000002"/>
    <m/>
    <n v="134947.19395471018"/>
    <n v="0"/>
    <m/>
    <x v="6"/>
  </r>
  <r>
    <s v="017"/>
    <x v="17"/>
    <x v="3"/>
    <n v="1649.7611499999998"/>
    <n v="24056.22595"/>
    <n v="8116.5138143971044"/>
    <n v="86047.855257588395"/>
    <n v="-0.79674017839116518"/>
    <m/>
    <x v="6"/>
  </r>
  <r>
    <s v="017"/>
    <x v="17"/>
    <x v="4"/>
    <n v="2394754.25"/>
    <n v="5336509.99"/>
    <n v="1437421.4886283781"/>
    <n v="6241685.9545135126"/>
    <n v="0.6660069916480319"/>
    <m/>
    <x v="6"/>
  </r>
  <r>
    <s v="017"/>
    <x v="17"/>
    <x v="5"/>
    <n v="0"/>
    <n v="505138"/>
    <n v="42000"/>
    <n v="174000"/>
    <n v="-1"/>
    <m/>
    <x v="6"/>
  </r>
  <r>
    <s v="017"/>
    <x v="17"/>
    <x v="6"/>
    <n v="15"/>
    <n v="179"/>
    <n v="48"/>
    <n v="336"/>
    <n v="-0.6875"/>
    <m/>
    <x v="6"/>
  </r>
  <r>
    <s v="017"/>
    <x v="17"/>
    <x v="7"/>
    <n v="2542.7175700000007"/>
    <n v="6643.90967"/>
    <n v="1829.5827951702995"/>
    <n v="10218.600346551049"/>
    <n v="0.38977999613475917"/>
    <m/>
    <x v="6"/>
  </r>
  <r>
    <s v="017"/>
    <x v="17"/>
    <x v="8"/>
    <n v="2644.6908231809252"/>
    <n v="1758.2372131505942"/>
    <n v="1617.0966325246436"/>
    <n v="6502.6205107839669"/>
    <n v="0.63545626772593111"/>
    <m/>
    <x v="6"/>
  </r>
  <r>
    <s v="018"/>
    <x v="18"/>
    <x v="0"/>
    <n v="1902.5908999999956"/>
    <n v="16120.095189999989"/>
    <n v="7998.697211779453"/>
    <n v="102925.66884711781"/>
    <n v="-0.76213740192614066"/>
    <m/>
    <x v="6"/>
  </r>
  <r>
    <s v="018"/>
    <x v="18"/>
    <x v="1"/>
    <m/>
    <n v="48625.474949999996"/>
    <m/>
    <n v="72203.365078897259"/>
    <n v="0"/>
    <m/>
    <x v="6"/>
  </r>
  <r>
    <s v="018"/>
    <x v="18"/>
    <x v="2"/>
    <n v="0"/>
    <n v="173212.40981000001"/>
    <m/>
    <n v="182611.69821533526"/>
    <n v="0"/>
    <m/>
    <x v="6"/>
  </r>
  <r>
    <s v="018"/>
    <x v="18"/>
    <x v="3"/>
    <n v="3653.8420000000001"/>
    <n v="27179.398950000003"/>
    <n v="13214.635475772764"/>
    <n v="126522.14190309108"/>
    <n v="-0.72350035635119692"/>
    <m/>
    <x v="6"/>
  </r>
  <r>
    <s v="018"/>
    <x v="18"/>
    <x v="4"/>
    <n v="101783.4"/>
    <n v="969969.55"/>
    <n v="1499532.2936925676"/>
    <n v="6838129.1747702695"/>
    <n v="-0.93212323573948486"/>
    <m/>
    <x v="6"/>
  </r>
  <r>
    <s v="018"/>
    <x v="18"/>
    <x v="5"/>
    <n v="2358"/>
    <n v="30652"/>
    <n v="56000"/>
    <n v="245000"/>
    <n v="-0.9578928571428571"/>
    <m/>
    <x v="6"/>
  </r>
  <r>
    <s v="018"/>
    <x v="18"/>
    <x v="6"/>
    <n v="64"/>
    <n v="578"/>
    <n v="108"/>
    <n v="756"/>
    <n v="-0.40740740740740738"/>
    <m/>
    <x v="6"/>
  </r>
  <r>
    <s v="018"/>
    <x v="18"/>
    <x v="7"/>
    <n v="369.02829999999949"/>
    <n v="2808.3774199999998"/>
    <n v="2071.1625608285212"/>
    <n v="11505.915775769197"/>
    <n v="-0.82182552592473568"/>
    <m/>
    <x v="6"/>
  </r>
  <r>
    <s v="018"/>
    <x v="18"/>
    <x v="8"/>
    <n v="311.83086301068681"/>
    <n v="-8369.0758431842296"/>
    <n v="3583.9021330047726"/>
    <n v="16906.255742413352"/>
    <n v="-0.91299124489505934"/>
    <m/>
    <x v="6"/>
  </r>
  <r>
    <s v="019"/>
    <x v="19"/>
    <x v="0"/>
    <n v="-0.4014399999998659"/>
    <n v="-11.495749999999816"/>
    <n v="0"/>
    <n v="0"/>
    <n v="0"/>
    <m/>
    <x v="6"/>
  </r>
  <r>
    <s v="019"/>
    <x v="19"/>
    <x v="1"/>
    <m/>
    <n v="603.68931000000009"/>
    <m/>
    <n v="620.50470999999993"/>
    <n v="0"/>
    <m/>
    <x v="6"/>
  </r>
  <r>
    <s v="019"/>
    <x v="19"/>
    <x v="2"/>
    <n v="0"/>
    <n v="0"/>
    <m/>
    <n v="-15.040850000000001"/>
    <n v="0"/>
    <m/>
    <x v="6"/>
  </r>
  <r>
    <s v="019"/>
    <x v="19"/>
    <x v="3"/>
    <n v="0"/>
    <n v="0"/>
    <n v="0"/>
    <n v="0"/>
    <n v="0"/>
    <m/>
    <x v="6"/>
  </r>
  <r>
    <s v="019"/>
    <x v="19"/>
    <x v="4"/>
    <n v="0"/>
    <n v="0"/>
    <n v="0"/>
    <n v="0"/>
    <n v="0"/>
    <m/>
    <x v="6"/>
  </r>
  <r>
    <s v="019"/>
    <x v="19"/>
    <x v="5"/>
    <n v="0"/>
    <n v="0"/>
    <n v="0"/>
    <n v="0"/>
    <n v="0"/>
    <m/>
    <x v="6"/>
  </r>
  <r>
    <s v="019"/>
    <x v="19"/>
    <x v="6"/>
    <n v="0"/>
    <n v="0"/>
    <n v="0"/>
    <n v="0"/>
    <n v="0"/>
    <m/>
    <x v="6"/>
  </r>
  <r>
    <s v="019"/>
    <x v="19"/>
    <x v="7"/>
    <n v="0"/>
    <n v="0.12869999999999998"/>
    <n v="0.83649983369877701"/>
    <n v="3.2015595217981017"/>
    <n v="-1"/>
    <m/>
    <x v="6"/>
  </r>
  <r>
    <s v="019"/>
    <x v="19"/>
    <x v="8"/>
    <n v="6.3795949730753305"/>
    <n v="24.574867627215355"/>
    <n v="-0.80148959643915152"/>
    <n v="-4.4647470647357999"/>
    <n v="8.9596728409433126"/>
    <m/>
    <x v="6"/>
  </r>
  <r>
    <s v="020"/>
    <x v="20"/>
    <x v="0"/>
    <n v="52.017259999993257"/>
    <n v="5763.2893200000108"/>
    <n v="11650.009711779445"/>
    <n v="137804.83884711782"/>
    <n v="-0.99553500286378316"/>
    <m/>
    <x v="6"/>
  </r>
  <r>
    <s v="020"/>
    <x v="20"/>
    <x v="1"/>
    <m/>
    <n v="224221.54874999999"/>
    <m/>
    <n v="287437.03012889728"/>
    <n v="0"/>
    <m/>
    <x v="6"/>
  </r>
  <r>
    <s v="020"/>
    <x v="20"/>
    <x v="2"/>
    <n v="0"/>
    <n v="131874.74236999999"/>
    <m/>
    <n v="183358.8347606356"/>
    <n v="0"/>
    <m/>
    <x v="6"/>
  </r>
  <r>
    <s v="020"/>
    <x v="20"/>
    <x v="3"/>
    <n v="762.76499999999999"/>
    <n v="12205.440999999999"/>
    <n v="20868.444642439434"/>
    <n v="182479.77856975771"/>
    <n v="-0.96344888116631411"/>
    <m/>
    <x v="6"/>
  </r>
  <r>
    <s v="020"/>
    <x v="20"/>
    <x v="4"/>
    <n v="9700"/>
    <n v="71400"/>
    <n v="248443.22025675679"/>
    <n v="1182772.881027027"/>
    <n v="-0.96095687380812644"/>
    <m/>
    <x v="6"/>
  </r>
  <r>
    <s v="020"/>
    <x v="20"/>
    <x v="5"/>
    <n v="44727"/>
    <n v="818808"/>
    <n v="56000"/>
    <n v="521000"/>
    <n v="-0.20130357142857142"/>
    <m/>
    <x v="6"/>
  </r>
  <r>
    <s v="020"/>
    <x v="20"/>
    <x v="6"/>
    <n v="78"/>
    <n v="823"/>
    <n v="178"/>
    <n v="1246"/>
    <n v="-0.5617977528089888"/>
    <m/>
    <x v="6"/>
  </r>
  <r>
    <s v="020"/>
    <x v="20"/>
    <x v="7"/>
    <n v="137.66662000000019"/>
    <n v="1746.9517000000001"/>
    <n v="1070.2568231113255"/>
    <n v="5129.7212183373049"/>
    <n v="-0.8713704813394304"/>
    <m/>
    <x v="6"/>
  </r>
  <r>
    <s v="020"/>
    <x v="20"/>
    <x v="8"/>
    <n v="355.92624291341752"/>
    <n v="-8345.822184287952"/>
    <n v="-826.79746759572117"/>
    <n v="-9877.9576447744948"/>
    <n v="1.4304878242412018"/>
    <m/>
    <x v="6"/>
  </r>
  <r>
    <s v="000"/>
    <x v="0"/>
    <x v="0"/>
    <n v="0"/>
    <n v="0"/>
    <n v="0"/>
    <n v="0"/>
    <n v="0"/>
    <m/>
    <x v="7"/>
  </r>
  <r>
    <s v="000"/>
    <x v="0"/>
    <x v="1"/>
    <m/>
    <n v="0"/>
    <m/>
    <n v="0"/>
    <n v="0"/>
    <m/>
    <x v="7"/>
  </r>
  <r>
    <s v="000"/>
    <x v="0"/>
    <x v="2"/>
    <n v="0"/>
    <n v="0"/>
    <m/>
    <n v="0"/>
    <n v="0"/>
    <m/>
    <x v="7"/>
  </r>
  <r>
    <s v="000"/>
    <x v="0"/>
    <x v="3"/>
    <n v="0"/>
    <n v="0"/>
    <n v="0"/>
    <n v="0"/>
    <n v="0"/>
    <m/>
    <x v="7"/>
  </r>
  <r>
    <s v="000"/>
    <x v="0"/>
    <x v="4"/>
    <n v="0"/>
    <n v="0"/>
    <n v="0"/>
    <n v="0"/>
    <n v="0"/>
    <m/>
    <x v="7"/>
  </r>
  <r>
    <s v="000"/>
    <x v="0"/>
    <x v="5"/>
    <n v="4"/>
    <n v="243624"/>
    <n v="0"/>
    <n v="99000"/>
    <n v="0"/>
    <m/>
    <x v="7"/>
  </r>
  <r>
    <s v="000"/>
    <x v="0"/>
    <x v="6"/>
    <n v="0"/>
    <n v="0"/>
    <n v="0"/>
    <n v="0"/>
    <n v="0"/>
    <m/>
    <x v="7"/>
  </r>
  <r>
    <s v="000"/>
    <x v="0"/>
    <x v="7"/>
    <n v="82.136170000000106"/>
    <n v="901.90836000000002"/>
    <n v="4.6471160216611906E-2"/>
    <n v="117.68424167958743"/>
    <n v="1766.4654477561146"/>
    <m/>
    <x v="7"/>
  </r>
  <r>
    <s v="000"/>
    <x v="0"/>
    <x v="8"/>
    <n v="-37627.097292403072"/>
    <n v="-228702.669585"/>
    <n v="-18978.688375871367"/>
    <n v="-201171.36465719307"/>
    <n v="-0.98259735062832043"/>
    <m/>
    <x v="7"/>
  </r>
  <r>
    <s v="001"/>
    <x v="1"/>
    <x v="0"/>
    <n v="-4255.7760099999723"/>
    <n v="28941.408510000096"/>
    <n v="7465.9829260652068"/>
    <n v="95395.354630326023"/>
    <n v="-1.570022199641286"/>
    <m/>
    <x v="7"/>
  </r>
  <r>
    <s v="001"/>
    <x v="1"/>
    <x v="1"/>
    <m/>
    <n v="507564.98164000007"/>
    <m/>
    <n v="530973.80766639102"/>
    <n v="0"/>
    <m/>
    <x v="7"/>
  </r>
  <r>
    <s v="001"/>
    <x v="1"/>
    <x v="2"/>
    <n v="0"/>
    <n v="676022.37401999999"/>
    <m/>
    <n v="538700.1520884796"/>
    <n v="0"/>
    <m/>
    <x v="7"/>
  </r>
  <r>
    <s v="001"/>
    <x v="1"/>
    <x v="3"/>
    <n v="9433.8192099999997"/>
    <n v="75475.767509999991"/>
    <n v="21166.644999582291"/>
    <n v="163415.02499791145"/>
    <n v="-0.55430729762859587"/>
    <m/>
    <x v="7"/>
  </r>
  <r>
    <s v="001"/>
    <x v="1"/>
    <x v="4"/>
    <n v="2972157"/>
    <n v="19544526.140000001"/>
    <n v="124221.61012837839"/>
    <n v="4671108.0506418925"/>
    <n v="22.926247590321736"/>
    <m/>
    <x v="7"/>
  </r>
  <r>
    <s v="001"/>
    <x v="1"/>
    <x v="5"/>
    <n v="74347"/>
    <n v="604269"/>
    <n v="28000"/>
    <n v="146000"/>
    <n v="1.6552500000000001"/>
    <m/>
    <x v="7"/>
  </r>
  <r>
    <s v="001"/>
    <x v="1"/>
    <x v="6"/>
    <n v="58"/>
    <n v="394"/>
    <n v="85"/>
    <n v="680"/>
    <n v="-0.31764705882352939"/>
    <m/>
    <x v="7"/>
  </r>
  <r>
    <s v="001"/>
    <x v="1"/>
    <x v="7"/>
    <n v="3197.6560599999975"/>
    <n v="21997.871620000002"/>
    <n v="1010.9170825115925"/>
    <n v="12229.631040477147"/>
    <n v="2.1631239745751638"/>
    <m/>
    <x v="7"/>
  </r>
  <r>
    <s v="001"/>
    <x v="1"/>
    <x v="8"/>
    <n v="473.28483218416943"/>
    <n v="-4930.6575600000178"/>
    <n v="5269.5993396534577"/>
    <n v="26011.141445116937"/>
    <n v="-0.91018580319328535"/>
    <m/>
    <x v="7"/>
  </r>
  <r>
    <s v="002"/>
    <x v="2"/>
    <x v="0"/>
    <n v="-8810.9618900000423"/>
    <n v="-22892.740570000031"/>
    <n v="2986.0037593984976"/>
    <n v="74195.458796992505"/>
    <n v="-3.9507537833023116"/>
    <m/>
    <x v="7"/>
  </r>
  <r>
    <s v="002"/>
    <x v="2"/>
    <x v="1"/>
    <m/>
    <n v="50240.302539999968"/>
    <m/>
    <n v="67028.311356390972"/>
    <n v="0"/>
    <m/>
    <x v="7"/>
  </r>
  <r>
    <s v="002"/>
    <x v="2"/>
    <x v="2"/>
    <n v="0"/>
    <n v="89653.750450000007"/>
    <m/>
    <n v="87715.137654904524"/>
    <n v="0"/>
    <m/>
    <x v="7"/>
  </r>
  <r>
    <s v="002"/>
    <x v="2"/>
    <x v="3"/>
    <n v="1589.7090000000001"/>
    <n v="14483.349850000001"/>
    <n v="5348.7727218045111"/>
    <n v="85825.663609022537"/>
    <n v="-0.70278995151177759"/>
    <m/>
    <x v="7"/>
  </r>
  <r>
    <s v="002"/>
    <x v="2"/>
    <x v="4"/>
    <n v="107638.13"/>
    <n v="184138.13"/>
    <n v="62110.805064189197"/>
    <n v="400554.02532094595"/>
    <n v="0.73300168768960594"/>
    <m/>
    <x v="7"/>
  </r>
  <r>
    <s v="002"/>
    <x v="2"/>
    <x v="5"/>
    <n v="67485"/>
    <n v="344955"/>
    <n v="14000"/>
    <n v="289000"/>
    <n v="3.820357142857143"/>
    <m/>
    <x v="7"/>
  </r>
  <r>
    <s v="002"/>
    <x v="2"/>
    <x v="6"/>
    <n v="65"/>
    <n v="521"/>
    <n v="73"/>
    <n v="584"/>
    <n v="-0.1095890410958904"/>
    <m/>
    <x v="7"/>
  </r>
  <r>
    <s v="002"/>
    <x v="2"/>
    <x v="7"/>
    <n v="278.90791999999965"/>
    <n v="1416.9882199999997"/>
    <n v="399.93078953184568"/>
    <n v="2476.1235061673624"/>
    <n v="-0.30260953319826661"/>
    <m/>
    <x v="7"/>
  </r>
  <r>
    <s v="002"/>
    <x v="2"/>
    <x v="8"/>
    <n v="-583.98888009101154"/>
    <n v="-9174.6182599999993"/>
    <n v="295.32183379033495"/>
    <n v="-1906.6074906128638"/>
    <n v="-2.9774659820974057"/>
    <m/>
    <x v="7"/>
  </r>
  <r>
    <s v="003"/>
    <x v="3"/>
    <x v="0"/>
    <n v="6500.2048400000058"/>
    <n v="3978.3833200000081"/>
    <n v="2986.0037593984976"/>
    <n v="66260.898796992493"/>
    <n v="1.1768910436031772"/>
    <m/>
    <x v="7"/>
  </r>
  <r>
    <s v="003"/>
    <x v="3"/>
    <x v="1"/>
    <m/>
    <n v="44263.251540000005"/>
    <m/>
    <n v="64490.083046390966"/>
    <n v="0"/>
    <m/>
    <x v="7"/>
  </r>
  <r>
    <s v="003"/>
    <x v="3"/>
    <x v="2"/>
    <n v="0"/>
    <n v="101560.37172"/>
    <m/>
    <n v="95864.794467922256"/>
    <n v="0"/>
    <m/>
    <x v="7"/>
  </r>
  <r>
    <s v="003"/>
    <x v="3"/>
    <x v="3"/>
    <n v="6877.2950000000001"/>
    <n v="14180.404850000001"/>
    <n v="5348.7727218045111"/>
    <n v="75907.463609022554"/>
    <n v="0.28577065388559131"/>
    <m/>
    <x v="7"/>
  </r>
  <r>
    <s v="003"/>
    <x v="3"/>
    <x v="4"/>
    <n v="26000"/>
    <n v="67000"/>
    <n v="62110.805064189197"/>
    <n v="346554.02532094595"/>
    <n v="-0.58139328619022135"/>
    <m/>
    <x v="7"/>
  </r>
  <r>
    <s v="003"/>
    <x v="3"/>
    <x v="5"/>
    <n v="2438"/>
    <n v="2438"/>
    <n v="14000"/>
    <n v="73000"/>
    <n v="-0.82585714285714285"/>
    <m/>
    <x v="7"/>
  </r>
  <r>
    <s v="003"/>
    <x v="3"/>
    <x v="6"/>
    <n v="25"/>
    <n v="183"/>
    <n v="66"/>
    <n v="528"/>
    <n v="-0.62121212121212122"/>
    <m/>
    <x v="7"/>
  </r>
  <r>
    <s v="003"/>
    <x v="3"/>
    <x v="7"/>
    <n v="269.37171000000001"/>
    <n v="826.78126000000009"/>
    <n v="416.41564005413056"/>
    <n v="2267.6128253706156"/>
    <n v="-0.35311817307105964"/>
    <m/>
    <x v="7"/>
  </r>
  <r>
    <s v="003"/>
    <x v="3"/>
    <x v="8"/>
    <n v="-820.75467189255448"/>
    <n v="-6263.4783199999956"/>
    <n v="642.59127024997224"/>
    <n v="542.92360134224134"/>
    <n v="-2.2772577373690055"/>
    <m/>
    <x v="7"/>
  </r>
  <r>
    <s v="004"/>
    <x v="4"/>
    <x v="0"/>
    <n v="-326.01374999999825"/>
    <n v="4116.5093600000146"/>
    <n v="4554.5513784461173"/>
    <n v="95769.076892230631"/>
    <n v="-1.071579772168741"/>
    <m/>
    <x v="7"/>
  </r>
  <r>
    <s v="004"/>
    <x v="4"/>
    <x v="1"/>
    <m/>
    <n v="26996.22868"/>
    <m/>
    <n v="51631.42450067668"/>
    <n v="0"/>
    <m/>
    <x v="7"/>
  </r>
  <r>
    <s v="004"/>
    <x v="4"/>
    <x v="2"/>
    <n v="0"/>
    <n v="110282.84515934787"/>
    <m/>
    <n v="106338.4422856178"/>
    <n v="0"/>
    <m/>
    <x v="7"/>
  </r>
  <r>
    <s v="004"/>
    <x v="4"/>
    <x v="3"/>
    <n v="1047.5999999999999"/>
    <n v="17052.72652"/>
    <n v="8158.4827535505428"/>
    <n v="117037.81376775273"/>
    <n v="-0.87159377158159845"/>
    <m/>
    <x v="7"/>
  </r>
  <r>
    <s v="004"/>
    <x v="4"/>
    <x v="4"/>
    <n v="8000"/>
    <n v="49000"/>
    <n v="124221.61012837839"/>
    <n v="882108.0506418919"/>
    <n v="-0.93559896710618784"/>
    <m/>
    <x v="7"/>
  </r>
  <r>
    <s v="004"/>
    <x v="4"/>
    <x v="5"/>
    <n v="1875"/>
    <n v="30387"/>
    <n v="28000"/>
    <n v="143000"/>
    <n v="-0.9330357142857143"/>
    <m/>
    <x v="7"/>
  </r>
  <r>
    <s v="004"/>
    <x v="4"/>
    <x v="6"/>
    <n v="23"/>
    <n v="153"/>
    <n v="101"/>
    <n v="808"/>
    <n v="-0.7722772277227723"/>
    <m/>
    <x v="7"/>
  </r>
  <r>
    <s v="004"/>
    <x v="4"/>
    <x v="7"/>
    <n v="67.522709999999961"/>
    <n v="813.39351999999997"/>
    <n v="431.48602859983157"/>
    <n v="2575.2361866406468"/>
    <n v="-0.84351124828048185"/>
    <m/>
    <x v="7"/>
  </r>
  <r>
    <s v="004"/>
    <x v="4"/>
    <x v="8"/>
    <n v="1281.804213740131"/>
    <n v="-400.85772000000554"/>
    <n v="729.15842528493931"/>
    <n v="4371.3789136373898"/>
    <n v="0.75792279056397061"/>
    <m/>
    <x v="7"/>
  </r>
  <r>
    <s v="005"/>
    <x v="5"/>
    <x v="0"/>
    <n v="-3466.5494199999957"/>
    <n v="1844.4675199999474"/>
    <n v="8734.8787593984907"/>
    <n v="143339.83379699243"/>
    <n v="-1.3968629119517066"/>
    <m/>
    <x v="7"/>
  </r>
  <r>
    <s v="005"/>
    <x v="5"/>
    <x v="1"/>
    <m/>
    <n v="144158.0594"/>
    <m/>
    <n v="207908.66083639103"/>
    <n v="0"/>
    <m/>
    <x v="7"/>
  </r>
  <r>
    <s v="005"/>
    <x v="5"/>
    <x v="2"/>
    <n v="0"/>
    <n v="260566.99004"/>
    <m/>
    <n v="222248.10914227154"/>
    <n v="0"/>
    <m/>
    <x v="7"/>
  </r>
  <r>
    <s v="005"/>
    <x v="5"/>
    <x v="3"/>
    <n v="1725.7429999999999"/>
    <n v="23731.335359999994"/>
    <n v="10575.010092174882"/>
    <n v="162456.85046087438"/>
    <n v="-0.8368093283166711"/>
    <m/>
    <x v="7"/>
  </r>
  <r>
    <s v="005"/>
    <x v="5"/>
    <x v="4"/>
    <n v="963998.36"/>
    <n v="6004736.0500000007"/>
    <n v="1608965.6169009011"/>
    <n v="12607828.084504504"/>
    <n v="-0.40085832172299657"/>
    <m/>
    <x v="7"/>
  </r>
  <r>
    <s v="005"/>
    <x v="5"/>
    <x v="5"/>
    <n v="54151"/>
    <n v="406038"/>
    <n v="97666"/>
    <n v="749330"/>
    <n v="-0.44554911637622102"/>
    <m/>
    <x v="7"/>
  </r>
  <r>
    <s v="005"/>
    <x v="5"/>
    <x v="6"/>
    <n v="17"/>
    <n v="281"/>
    <n v="68"/>
    <n v="544"/>
    <n v="-0.75"/>
    <m/>
    <x v="7"/>
  </r>
  <r>
    <s v="005"/>
    <x v="5"/>
    <x v="7"/>
    <n v="1152.1150899999984"/>
    <n v="7649.6933300000001"/>
    <n v="2237.2430358688471"/>
    <n v="16267.417856876502"/>
    <n v="-0.48502908645659615"/>
    <m/>
    <x v="7"/>
  </r>
  <r>
    <s v="005"/>
    <x v="5"/>
    <x v="8"/>
    <n v="-558.19449236131459"/>
    <n v="4980.0660400000133"/>
    <n v="4150.0920129429287"/>
    <n v="25244.045797266717"/>
    <n v="-1.1345017148102905"/>
    <m/>
    <x v="7"/>
  </r>
  <r>
    <s v="006"/>
    <x v="6"/>
    <x v="0"/>
    <n v="857.39939000000595"/>
    <n v="5279.2813400000014"/>
    <n v="5601.4829260651622"/>
    <n v="95272.854630325819"/>
    <n v="-0.84693349933991535"/>
    <m/>
    <x v="7"/>
  </r>
  <r>
    <s v="006"/>
    <x v="6"/>
    <x v="1"/>
    <m/>
    <n v="83224.405250000011"/>
    <m/>
    <n v="103514.57635639097"/>
    <n v="0"/>
    <m/>
    <x v="7"/>
  </r>
  <r>
    <s v="006"/>
    <x v="6"/>
    <x v="2"/>
    <n v="0"/>
    <n v="173373.01925000001"/>
    <m/>
    <n v="165930.08053555255"/>
    <n v="0"/>
    <m/>
    <x v="7"/>
  </r>
  <r>
    <s v="006"/>
    <x v="6"/>
    <x v="3"/>
    <n v="2813.80285"/>
    <n v="18394.72795"/>
    <n v="11147.112999582288"/>
    <n v="124817.36499791143"/>
    <n v="-0.74757564132475907"/>
    <m/>
    <x v="7"/>
  </r>
  <r>
    <s v="006"/>
    <x v="6"/>
    <x v="4"/>
    <n v="110700.87"/>
    <n v="444878.18"/>
    <n v="124221.61012837839"/>
    <n v="1092108.050641892"/>
    <n v="-0.10884370371954782"/>
    <m/>
    <x v="7"/>
  </r>
  <r>
    <s v="006"/>
    <x v="6"/>
    <x v="5"/>
    <n v="2644"/>
    <n v="336532"/>
    <n v="28000"/>
    <n v="242000"/>
    <n v="-0.90557142857142858"/>
    <m/>
    <x v="7"/>
  </r>
  <r>
    <s v="006"/>
    <x v="6"/>
    <x v="6"/>
    <n v="37"/>
    <n v="386"/>
    <n v="66"/>
    <n v="528"/>
    <n v="-0.43939393939393939"/>
    <m/>
    <x v="7"/>
  </r>
  <r>
    <s v="006"/>
    <x v="6"/>
    <x v="7"/>
    <n v="302.70795999999973"/>
    <n v="1727.48875"/>
    <n v="776.73681717020327"/>
    <n v="4566.2160330515135"/>
    <n v="-0.61028246207921344"/>
    <m/>
    <x v="7"/>
  </r>
  <r>
    <s v="006"/>
    <x v="6"/>
    <x v="8"/>
    <n v="599.27730079040441"/>
    <n v="3426.5667799999965"/>
    <n v="1494.7940783632366"/>
    <n v="12366.661245241477"/>
    <n v="-0.59909039682134779"/>
    <m/>
    <x v="7"/>
  </r>
  <r>
    <s v="007"/>
    <x v="7"/>
    <x v="0"/>
    <n v="-884.65073999998276"/>
    <n v="-27706.567089999939"/>
    <n v="2789.9353070175348"/>
    <n v="92480.556535087613"/>
    <n v="-1.317086470705904"/>
    <m/>
    <x v="7"/>
  </r>
  <r>
    <s v="007"/>
    <x v="7"/>
    <x v="1"/>
    <m/>
    <n v="167382.84175000002"/>
    <m/>
    <n v="219517.31376210519"/>
    <n v="0"/>
    <m/>
    <x v="7"/>
  </r>
  <r>
    <s v="007"/>
    <x v="7"/>
    <x v="2"/>
    <n v="0"/>
    <n v="120667.94548999998"/>
    <m/>
    <n v="137662.81141692499"/>
    <n v="0"/>
    <m/>
    <x v="7"/>
  </r>
  <r>
    <s v="007"/>
    <x v="7"/>
    <x v="3"/>
    <n v="440.6"/>
    <n v="14697.28211"/>
    <n v="4997.5589678362567"/>
    <n v="108151.3948391813"/>
    <n v="-0.91183695823587996"/>
    <m/>
    <x v="7"/>
  </r>
  <r>
    <s v="007"/>
    <x v="7"/>
    <x v="4"/>
    <n v="28000"/>
    <n v="275792"/>
    <n v="62110.805064189197"/>
    <n v="1090554.0253209462"/>
    <n v="-0.54919276974331521"/>
    <m/>
    <x v="7"/>
  </r>
  <r>
    <s v="007"/>
    <x v="7"/>
    <x v="5"/>
    <n v="3625"/>
    <n v="9041"/>
    <n v="14000"/>
    <n v="124000"/>
    <n v="-0.7410714285714286"/>
    <m/>
    <x v="7"/>
  </r>
  <r>
    <s v="007"/>
    <x v="7"/>
    <x v="6"/>
    <n v="9"/>
    <n v="175"/>
    <n v="76"/>
    <n v="608"/>
    <n v="-0.88157894736842102"/>
    <m/>
    <x v="7"/>
  </r>
  <r>
    <s v="007"/>
    <x v="7"/>
    <x v="7"/>
    <n v="121.16863999999987"/>
    <n v="1407.03757"/>
    <n v="396.26032414769043"/>
    <n v="2549.1511458580489"/>
    <n v="-0.69421960106498315"/>
    <m/>
    <x v="7"/>
  </r>
  <r>
    <s v="007"/>
    <x v="7"/>
    <x v="8"/>
    <n v="-1092.0473353149118"/>
    <n v="-5304.3594799999983"/>
    <n v="312.09764311868543"/>
    <n v="-488.54379787326576"/>
    <n v="-4.499056655482736"/>
    <m/>
    <x v="7"/>
  </r>
  <r>
    <s v="008"/>
    <x v="8"/>
    <x v="0"/>
    <n v="-3076.8930200000759"/>
    <n v="16331.926089999964"/>
    <n v="6907.3728070175648"/>
    <n v="110733.18403508798"/>
    <n v="-1.4454505505876412"/>
    <m/>
    <x v="7"/>
  </r>
  <r>
    <s v="008"/>
    <x v="8"/>
    <x v="1"/>
    <m/>
    <n v="350927.51501999999"/>
    <m/>
    <n v="376103.91902210534"/>
    <n v="0"/>
    <m/>
    <x v="7"/>
  </r>
  <r>
    <s v="008"/>
    <x v="8"/>
    <x v="2"/>
    <n v="0"/>
    <n v="331758.0411610122"/>
    <m/>
    <n v="232201.11362279236"/>
    <n v="0"/>
    <m/>
    <x v="7"/>
  </r>
  <r>
    <s v="008"/>
    <x v="8"/>
    <x v="3"/>
    <n v="7526.68"/>
    <n v="35535.761599999998"/>
    <n v="12373.04780116959"/>
    <n v="142110.63900584797"/>
    <n v="-0.39168747094886969"/>
    <m/>
    <x v="7"/>
  </r>
  <r>
    <s v="008"/>
    <x v="8"/>
    <x v="4"/>
    <n v="114000"/>
    <n v="564107"/>
    <n v="248443.22025675679"/>
    <n v="1800216.1012837838"/>
    <n v="-0.54114264063158879"/>
    <m/>
    <x v="7"/>
  </r>
  <r>
    <s v="008"/>
    <x v="8"/>
    <x v="5"/>
    <n v="49071"/>
    <n v="505932"/>
    <n v="56000"/>
    <n v="514000"/>
    <n v="-0.12373214285714286"/>
    <m/>
    <x v="7"/>
  </r>
  <r>
    <s v="008"/>
    <x v="8"/>
    <x v="6"/>
    <n v="69"/>
    <n v="487"/>
    <n v="98"/>
    <n v="784"/>
    <n v="-0.29591836734693877"/>
    <m/>
    <x v="7"/>
  </r>
  <r>
    <s v="008"/>
    <x v="8"/>
    <x v="7"/>
    <n v="351.57211000000052"/>
    <n v="2480.6442900000006"/>
    <n v="841.65651031077232"/>
    <n v="5256.8961664532435"/>
    <n v="-0.58228552183338256"/>
    <m/>
    <x v="7"/>
  </r>
  <r>
    <s v="008"/>
    <x v="8"/>
    <x v="8"/>
    <n v="-1241.9474963421915"/>
    <n v="-8281.8788199999817"/>
    <n v="3025.1849889535324"/>
    <n v="10153.527616843961"/>
    <n v="-1.4105360501513675"/>
    <m/>
    <x v="7"/>
  </r>
  <r>
    <s v="009"/>
    <x v="9"/>
    <x v="0"/>
    <n v="1497.1442099999986"/>
    <n v="12991.137219999982"/>
    <n v="2867.6228070175425"/>
    <n v="80868.99403508773"/>
    <n v="-0.47791452685609781"/>
    <m/>
    <x v="7"/>
  </r>
  <r>
    <s v="009"/>
    <x v="9"/>
    <x v="1"/>
    <m/>
    <n v="52064.144689999994"/>
    <m/>
    <n v="63009.156362105277"/>
    <n v="0"/>
    <m/>
    <x v="7"/>
  </r>
  <r>
    <s v="009"/>
    <x v="9"/>
    <x v="2"/>
    <n v="0"/>
    <n v="207763.93825999997"/>
    <m/>
    <n v="185411.43073494575"/>
    <n v="0"/>
    <m/>
    <x v="7"/>
  </r>
  <r>
    <s v="009"/>
    <x v="9"/>
    <x v="3"/>
    <n v="2395.0622999999996"/>
    <n v="34523.812149999998"/>
    <n v="5136.719134502925"/>
    <n v="93847.195672514645"/>
    <n v="-0.53373695596620019"/>
    <m/>
    <x v="7"/>
  </r>
  <r>
    <s v="009"/>
    <x v="9"/>
    <x v="4"/>
    <n v="6000"/>
    <n v="305962"/>
    <n v="0"/>
    <n v="102000"/>
    <n v="0"/>
    <m/>
    <x v="7"/>
  </r>
  <r>
    <s v="009"/>
    <x v="9"/>
    <x v="5"/>
    <n v="700"/>
    <n v="9659"/>
    <n v="0"/>
    <n v="6000"/>
    <n v="0"/>
    <m/>
    <x v="7"/>
  </r>
  <r>
    <s v="009"/>
    <x v="9"/>
    <x v="6"/>
    <n v="43"/>
    <n v="359"/>
    <n v="73"/>
    <n v="584"/>
    <n v="-0.41095890410958902"/>
    <m/>
    <x v="7"/>
  </r>
  <r>
    <s v="009"/>
    <x v="9"/>
    <x v="7"/>
    <n v="166.87913000000003"/>
    <n v="2209.4442899999999"/>
    <n v="339.6525289741694"/>
    <n v="2634.5667949833505"/>
    <n v="-0.50867691018225514"/>
    <m/>
    <x v="7"/>
  </r>
  <r>
    <s v="009"/>
    <x v="9"/>
    <x v="8"/>
    <n v="754.47743270255444"/>
    <n v="3238.7033200000033"/>
    <n v="1672.2500631627627"/>
    <n v="12765.817842096012"/>
    <n v="-0.54882499374788785"/>
    <m/>
    <x v="7"/>
  </r>
  <r>
    <s v="010"/>
    <x v="10"/>
    <x v="0"/>
    <n v="-25707.974129999959"/>
    <n v="-58448.168659999938"/>
    <n v="2986.0037593985198"/>
    <n v="97060.898796992566"/>
    <n v="-9.609491548389208"/>
    <m/>
    <x v="7"/>
  </r>
  <r>
    <s v="010"/>
    <x v="10"/>
    <x v="1"/>
    <m/>
    <n v="164557.08283000003"/>
    <m/>
    <n v="239568.85942639093"/>
    <n v="0"/>
    <m/>
    <x v="7"/>
  </r>
  <r>
    <s v="010"/>
    <x v="10"/>
    <x v="2"/>
    <n v="0"/>
    <n v="135200.70376"/>
    <m/>
    <n v="108566.873034378"/>
    <n v="0"/>
    <m/>
    <x v="7"/>
  </r>
  <r>
    <s v="010"/>
    <x v="10"/>
    <x v="3"/>
    <n v="1550.3679999999999"/>
    <n v="31780.286849999997"/>
    <n v="5348.7727218045111"/>
    <n v="114407.46360902252"/>
    <n v="-0.71014509670978254"/>
    <m/>
    <x v="7"/>
  </r>
  <r>
    <s v="010"/>
    <x v="10"/>
    <x v="4"/>
    <n v="1667513"/>
    <n v="7268100.1899999995"/>
    <n v="62110.805064189197"/>
    <n v="2794554.0253209462"/>
    <n v="25.847389890964827"/>
    <m/>
    <x v="7"/>
  </r>
  <r>
    <s v="010"/>
    <x v="10"/>
    <x v="5"/>
    <n v="2240"/>
    <n v="21200"/>
    <n v="14000"/>
    <n v="247000"/>
    <n v="-0.84"/>
    <m/>
    <x v="7"/>
  </r>
  <r>
    <s v="010"/>
    <x v="10"/>
    <x v="6"/>
    <n v="48"/>
    <n v="476"/>
    <n v="91"/>
    <n v="728"/>
    <n v="-0.47252747252747251"/>
    <m/>
    <x v="7"/>
  </r>
  <r>
    <s v="010"/>
    <x v="10"/>
    <x v="7"/>
    <n v="1890.703889999998"/>
    <n v="9717.3861699999979"/>
    <n v="514.51264544765763"/>
    <n v="5055.4466099550182"/>
    <n v="2.674747174299223"/>
    <m/>
    <x v="7"/>
  </r>
  <r>
    <s v="010"/>
    <x v="10"/>
    <x v="8"/>
    <n v="650.17006477928771"/>
    <n v="784.25151999999855"/>
    <n v="21.549256558277193"/>
    <n v="-5075.7498622678286"/>
    <n v="29.171345494958789"/>
    <m/>
    <x v="7"/>
  </r>
  <r>
    <s v="011"/>
    <x v="11"/>
    <x v="0"/>
    <n v="-295.9004200000054"/>
    <n v="-7082.3571800000027"/>
    <n v="2986.0037593984976"/>
    <n v="59795.458796992505"/>
    <n v="-1.0990957962020824"/>
    <m/>
    <x v="7"/>
  </r>
  <r>
    <s v="011"/>
    <x v="11"/>
    <x v="1"/>
    <m/>
    <n v="30825.308949999995"/>
    <m/>
    <n v="47588.383236390968"/>
    <n v="0"/>
    <m/>
    <x v="7"/>
  </r>
  <r>
    <s v="011"/>
    <x v="11"/>
    <x v="2"/>
    <n v="0"/>
    <n v="71345.580720000013"/>
    <m/>
    <n v="102702.51143166266"/>
    <n v="0"/>
    <m/>
    <x v="7"/>
  </r>
  <r>
    <s v="011"/>
    <x v="11"/>
    <x v="3"/>
    <n v="1849.29775"/>
    <n v="18121.872500000001"/>
    <n v="10544.085610693401"/>
    <n v="93802.228053467028"/>
    <n v="-0.82461279068860049"/>
    <m/>
    <x v="7"/>
  </r>
  <r>
    <s v="011"/>
    <x v="11"/>
    <x v="4"/>
    <n v="42680"/>
    <n v="410979.14"/>
    <n v="62110.805064189197"/>
    <n v="664554.02532094612"/>
    <n v="-0.31284097902302482"/>
    <m/>
    <x v="7"/>
  </r>
  <r>
    <s v="011"/>
    <x v="11"/>
    <x v="5"/>
    <n v="4698"/>
    <n v="8778"/>
    <n v="14000"/>
    <n v="148000"/>
    <n v="-0.66442857142857148"/>
    <m/>
    <x v="7"/>
  </r>
  <r>
    <s v="011"/>
    <x v="11"/>
    <x v="6"/>
    <n v="29"/>
    <n v="373"/>
    <n v="58"/>
    <n v="464"/>
    <n v="-0.5"/>
    <m/>
    <x v="7"/>
  </r>
  <r>
    <s v="011"/>
    <x v="11"/>
    <x v="7"/>
    <n v="182.07906999999977"/>
    <n v="1638.3032499999997"/>
    <n v="533.95561181342146"/>
    <n v="3277.9740836657656"/>
    <n v="-0.65899961350415937"/>
    <m/>
    <x v="7"/>
  </r>
  <r>
    <s v="011"/>
    <x v="11"/>
    <x v="8"/>
    <n v="-55.19943867039494"/>
    <n v="-2416.3579399999999"/>
    <n v="896.85371274195631"/>
    <n v="3645.5160834674398"/>
    <n v="-1.0615478732887589"/>
    <m/>
    <x v="7"/>
  </r>
  <r>
    <s v="012"/>
    <x v="12"/>
    <x v="0"/>
    <n v="21635.191630000016"/>
    <n v="187276.67261000001"/>
    <n v="6444.9472117794749"/>
    <n v="112355.6160588974"/>
    <n v="2.3569230156698917"/>
    <m/>
    <x v="7"/>
  </r>
  <r>
    <s v="012"/>
    <x v="12"/>
    <x v="1"/>
    <m/>
    <n v="892436.91662999999"/>
    <m/>
    <n v="723141.69514067646"/>
    <n v="0"/>
    <m/>
    <x v="7"/>
  </r>
  <r>
    <s v="012"/>
    <x v="12"/>
    <x v="2"/>
    <n v="0"/>
    <n v="393627.59528000007"/>
    <m/>
    <n v="302062.58497546706"/>
    <n v="0"/>
    <m/>
    <x v="7"/>
  </r>
  <r>
    <s v="012"/>
    <x v="12"/>
    <x v="3"/>
    <n v="3720.4727000000003"/>
    <n v="38594.499100000001"/>
    <n v="11173.619697994987"/>
    <n v="141031.69848997495"/>
    <n v="-0.66703066682432299"/>
    <m/>
    <x v="7"/>
  </r>
  <r>
    <s v="012"/>
    <x v="12"/>
    <x v="4"/>
    <n v="3016129.41"/>
    <n v="30839387.709999997"/>
    <n v="2812732.172192568"/>
    <n v="30719660.86096283"/>
    <n v="7.2313048436773456E-2"/>
    <m/>
    <x v="7"/>
  </r>
  <r>
    <s v="012"/>
    <x v="12"/>
    <x v="5"/>
    <n v="8888"/>
    <n v="2171627"/>
    <n v="56000"/>
    <n v="739000"/>
    <n v="-0.8412857142857143"/>
    <m/>
    <x v="7"/>
  </r>
  <r>
    <s v="012"/>
    <x v="12"/>
    <x v="6"/>
    <n v="29"/>
    <n v="345"/>
    <n v="98"/>
    <n v="784"/>
    <n v="-0.70408163265306123"/>
    <m/>
    <x v="7"/>
  </r>
  <r>
    <s v="012"/>
    <x v="12"/>
    <x v="7"/>
    <n v="3237.2811000000002"/>
    <n v="32918.06594"/>
    <n v="3359.2694013572509"/>
    <n v="26585.902617881231"/>
    <n v="-3.6313938175950883E-2"/>
    <m/>
    <x v="7"/>
  </r>
  <r>
    <s v="012"/>
    <x v="12"/>
    <x v="8"/>
    <n v="326.73369935919345"/>
    <n v="41015.086590000014"/>
    <n v="1559.9703218008526"/>
    <n v="17280.592805852739"/>
    <n v="-0.79055133627029051"/>
    <m/>
    <x v="7"/>
  </r>
  <r>
    <s v="013"/>
    <x v="13"/>
    <x v="0"/>
    <n v="256.79485999999451"/>
    <n v="8698.3075899999967"/>
    <n v="6004.7180451127888"/>
    <n v="89097.510225563921"/>
    <n v="-0.95723448493822305"/>
    <m/>
    <x v="7"/>
  </r>
  <r>
    <s v="013"/>
    <x v="13"/>
    <x v="1"/>
    <m/>
    <n v="87153.316539999985"/>
    <m/>
    <n v="121144.90649067667"/>
    <n v="0"/>
    <m/>
    <x v="7"/>
  </r>
  <r>
    <s v="013"/>
    <x v="13"/>
    <x v="2"/>
    <n v="0"/>
    <n v="156856.94180999999"/>
    <m/>
    <n v="170105.21018820637"/>
    <n v="0"/>
    <m/>
    <x v="7"/>
  </r>
  <r>
    <s v="013"/>
    <x v="13"/>
    <x v="3"/>
    <n v="2393.3339999999998"/>
    <n v="29319.847549999995"/>
    <n v="10756.139197994988"/>
    <n v="112623.09598997493"/>
    <n v="-0.77749135113032641"/>
    <m/>
    <x v="7"/>
  </r>
  <r>
    <s v="013"/>
    <x v="13"/>
    <x v="4"/>
    <n v="20300"/>
    <n v="249480"/>
    <n v="124221.61012837839"/>
    <n v="894108.0506418919"/>
    <n v="-0.83658237903195176"/>
    <m/>
    <x v="7"/>
  </r>
  <r>
    <s v="013"/>
    <x v="13"/>
    <x v="5"/>
    <n v="2193"/>
    <n v="53204"/>
    <n v="28000"/>
    <n v="215000"/>
    <n v="-0.92167857142857146"/>
    <m/>
    <x v="7"/>
  </r>
  <r>
    <s v="013"/>
    <x v="13"/>
    <x v="6"/>
    <n v="48"/>
    <n v="429"/>
    <n v="68"/>
    <n v="544"/>
    <n v="-0.29411764705882354"/>
    <m/>
    <x v="7"/>
  </r>
  <r>
    <s v="013"/>
    <x v="13"/>
    <x v="7"/>
    <n v="199.86208000000033"/>
    <n v="1817.7752200000002"/>
    <n v="681.86611645509629"/>
    <n v="4116.936254233311"/>
    <n v="-0.70688955620929128"/>
    <m/>
    <x v="7"/>
  </r>
  <r>
    <s v="013"/>
    <x v="13"/>
    <x v="8"/>
    <n v="529.38095102700163"/>
    <n v="1528.6117100000054"/>
    <n v="1816.1778494748278"/>
    <n v="8107.5934240105635"/>
    <n v="-0.70851921182714606"/>
    <m/>
    <x v="7"/>
  </r>
  <r>
    <s v="014"/>
    <x v="14"/>
    <x v="0"/>
    <n v="3166.0975399999588"/>
    <n v="-100214.09475000005"/>
    <n v="4358.4829260651468"/>
    <n v="90992.414630325875"/>
    <n v="-0.27357807895365038"/>
    <m/>
    <x v="7"/>
  </r>
  <r>
    <s v="014"/>
    <x v="14"/>
    <x v="1"/>
    <m/>
    <n v="150923.67260999998"/>
    <m/>
    <n v="279378.881256391"/>
    <n v="0"/>
    <m/>
    <x v="7"/>
  </r>
  <r>
    <s v="014"/>
    <x v="14"/>
    <x v="2"/>
    <n v="0"/>
    <n v="211891.69296000004"/>
    <m/>
    <n v="188137.12613081708"/>
    <n v="0"/>
    <m/>
    <x v="7"/>
  </r>
  <r>
    <s v="014"/>
    <x v="14"/>
    <x v="3"/>
    <n v="1146.3671000000002"/>
    <n v="29045.260099999996"/>
    <n v="7807.2689995822902"/>
    <n v="110536.34499791144"/>
    <n v="-0.85316669631066455"/>
    <m/>
    <x v="7"/>
  </r>
  <r>
    <s v="014"/>
    <x v="14"/>
    <x v="4"/>
    <n v="2649894.58"/>
    <n v="15051173.75"/>
    <n v="124221.61012837839"/>
    <n v="4254108.0506418925"/>
    <n v="20.3319935014643"/>
    <m/>
    <x v="7"/>
  </r>
  <r>
    <s v="014"/>
    <x v="14"/>
    <x v="5"/>
    <n v="1998"/>
    <n v="40229"/>
    <n v="28000"/>
    <n v="176000"/>
    <n v="-0.9286428571428571"/>
    <m/>
    <x v="7"/>
  </r>
  <r>
    <s v="014"/>
    <x v="14"/>
    <x v="6"/>
    <n v="33"/>
    <n v="230"/>
    <n v="65"/>
    <n v="520"/>
    <n v="-0.49230769230769234"/>
    <m/>
    <x v="7"/>
  </r>
  <r>
    <s v="014"/>
    <x v="14"/>
    <x v="7"/>
    <n v="2752.2493900000009"/>
    <n v="16353.107709999998"/>
    <n v="489.35741507288913"/>
    <n v="9017.7480999119089"/>
    <n v="4.6242110678757307"/>
    <m/>
    <x v="7"/>
  </r>
  <r>
    <s v="014"/>
    <x v="14"/>
    <x v="8"/>
    <n v="2348.8973930411316"/>
    <n v="361.15346999999485"/>
    <n v="911.52749081745242"/>
    <n v="1723.5017762951352"/>
    <n v="1.5768804744820746"/>
    <m/>
    <x v="7"/>
  </r>
  <r>
    <s v="015"/>
    <x v="15"/>
    <x v="0"/>
    <n v="1219.9558100000067"/>
    <n v="13331.995019999998"/>
    <n v="2986.0037593984976"/>
    <n v="74260.898796992507"/>
    <n v="-0.59144197117630037"/>
    <m/>
    <x v="7"/>
  </r>
  <r>
    <s v="015"/>
    <x v="15"/>
    <x v="1"/>
    <m/>
    <n v="41626.529869999998"/>
    <m/>
    <n v="55221.226146390974"/>
    <n v="0"/>
    <m/>
    <x v="7"/>
  </r>
  <r>
    <s v="015"/>
    <x v="15"/>
    <x v="2"/>
    <n v="0"/>
    <n v="137376.55793000007"/>
    <m/>
    <n v="114173.97547221155"/>
    <n v="0"/>
    <m/>
    <x v="7"/>
  </r>
  <r>
    <s v="015"/>
    <x v="15"/>
    <x v="3"/>
    <n v="1264.5640000000001"/>
    <n v="15959.302"/>
    <n v="5348.7727218045111"/>
    <n v="85907.463609022554"/>
    <n v="-0.76357866266312857"/>
    <m/>
    <x v="7"/>
  </r>
  <r>
    <s v="015"/>
    <x v="15"/>
    <x v="4"/>
    <n v="65000"/>
    <n v="233120"/>
    <n v="62110.805064189197"/>
    <n v="484554.02532094595"/>
    <n v="4.6516784524446721E-2"/>
    <m/>
    <x v="7"/>
  </r>
  <r>
    <s v="015"/>
    <x v="15"/>
    <x v="5"/>
    <n v="6510"/>
    <n v="24135"/>
    <n v="14000"/>
    <n v="76000"/>
    <n v="-0.53500000000000003"/>
    <m/>
    <x v="7"/>
  </r>
  <r>
    <s v="015"/>
    <x v="15"/>
    <x v="6"/>
    <n v="40"/>
    <n v="252"/>
    <n v="61"/>
    <n v="488"/>
    <n v="-0.34426229508196721"/>
    <m/>
    <x v="7"/>
  </r>
  <r>
    <s v="015"/>
    <x v="15"/>
    <x v="7"/>
    <n v="188.47539000000006"/>
    <n v="1328.95144"/>
    <n v="366.67331065710664"/>
    <n v="2316.2382598868353"/>
    <n v="-0.48598552301983"/>
    <m/>
    <x v="7"/>
  </r>
  <r>
    <s v="015"/>
    <x v="15"/>
    <x v="8"/>
    <n v="-19.491020158855711"/>
    <n v="-2858.7372100000007"/>
    <n v="887.47369870749299"/>
    <n v="3983.5707836673005"/>
    <n v="-1.0219623637153892"/>
    <m/>
    <x v="7"/>
  </r>
  <r>
    <s v="016"/>
    <x v="16"/>
    <x v="0"/>
    <n v="3577.840269999986"/>
    <n v="-11196.704150000034"/>
    <n v="8812.5662593984907"/>
    <n v="111328.27129699251"/>
    <n v="-0.59400699357190478"/>
    <m/>
    <x v="7"/>
  </r>
  <r>
    <s v="016"/>
    <x v="16"/>
    <x v="1"/>
    <m/>
    <n v="145695.02578999999"/>
    <m/>
    <n v="197676.2101863909"/>
    <n v="0"/>
    <m/>
    <x v="7"/>
  </r>
  <r>
    <s v="016"/>
    <x v="16"/>
    <x v="2"/>
    <n v="0"/>
    <n v="155935.85093999997"/>
    <m/>
    <n v="170821.01562437363"/>
    <n v="0"/>
    <m/>
    <x v="7"/>
  </r>
  <r>
    <s v="016"/>
    <x v="16"/>
    <x v="3"/>
    <n v="3372.7460000000001"/>
    <n v="30133.25405"/>
    <n v="8116.5138143971044"/>
    <n v="109664.36907198549"/>
    <n v="-0.5844587864783265"/>
    <m/>
    <x v="7"/>
  </r>
  <r>
    <s v="016"/>
    <x v="16"/>
    <x v="4"/>
    <n v="238500"/>
    <n v="1946085"/>
    <n v="1656288.1350450451"/>
    <n v="9775440.6752252243"/>
    <n v="-0.856003315513992"/>
    <m/>
    <x v="7"/>
  </r>
  <r>
    <s v="016"/>
    <x v="16"/>
    <x v="5"/>
    <n v="34305"/>
    <n v="380534"/>
    <n v="83666"/>
    <n v="1285330"/>
    <n v="-0.5899768125642435"/>
    <m/>
    <x v="7"/>
  </r>
  <r>
    <s v="016"/>
    <x v="16"/>
    <x v="6"/>
    <n v="48"/>
    <n v="385"/>
    <n v="56"/>
    <n v="448"/>
    <n v="-0.14285714285714285"/>
    <m/>
    <x v="7"/>
  </r>
  <r>
    <s v="016"/>
    <x v="16"/>
    <x v="7"/>
    <n v="434.95698000000039"/>
    <n v="3803.8463400000001"/>
    <n v="2142.1472774053709"/>
    <n v="14123.127598122983"/>
    <n v="-0.79695281244768912"/>
    <m/>
    <x v="7"/>
  </r>
  <r>
    <s v="016"/>
    <x v="16"/>
    <x v="8"/>
    <n v="424.17411234490385"/>
    <n v="11302.80441000001"/>
    <n v="3084.6387138648497"/>
    <n v="20018.059722059534"/>
    <n v="-0.86248823551415477"/>
    <m/>
    <x v="7"/>
  </r>
  <r>
    <s v="017"/>
    <x v="17"/>
    <x v="0"/>
    <n v="-3335.0135100000043"/>
    <n v="2761.1600999999646"/>
    <n v="4462.0662593985053"/>
    <n v="77175.771296992505"/>
    <n v="-1.7474146093136613"/>
    <m/>
    <x v="7"/>
  </r>
  <r>
    <s v="017"/>
    <x v="17"/>
    <x v="1"/>
    <m/>
    <n v="84610.781789999979"/>
    <m/>
    <n v="95099.815516390983"/>
    <n v="0"/>
    <m/>
    <x v="7"/>
  </r>
  <r>
    <s v="017"/>
    <x v="17"/>
    <x v="2"/>
    <n v="0"/>
    <n v="162132.67430000004"/>
    <m/>
    <n v="139514.60543910653"/>
    <n v="0"/>
    <m/>
    <x v="7"/>
  </r>
  <r>
    <s v="017"/>
    <x v="17"/>
    <x v="3"/>
    <n v="216"/>
    <n v="24272.22595"/>
    <n v="8116.5138143971044"/>
    <n v="94164.369071985493"/>
    <n v="-0.97338758918676904"/>
    <m/>
    <x v="7"/>
  </r>
  <r>
    <s v="017"/>
    <x v="17"/>
    <x v="4"/>
    <n v="1678469.7"/>
    <n v="7014979.6900000004"/>
    <n v="1437421.4886283781"/>
    <n v="7679107.4431418907"/>
    <n v="0.16769487118328513"/>
    <m/>
    <x v="7"/>
  </r>
  <r>
    <s v="017"/>
    <x v="17"/>
    <x v="5"/>
    <n v="175205"/>
    <n v="680343"/>
    <n v="42000"/>
    <n v="216000"/>
    <n v="3.1715476190476188"/>
    <m/>
    <x v="7"/>
  </r>
  <r>
    <s v="017"/>
    <x v="17"/>
    <x v="6"/>
    <n v="22"/>
    <n v="201"/>
    <n v="48"/>
    <n v="384"/>
    <n v="-0.54166666666666663"/>
    <m/>
    <x v="7"/>
  </r>
  <r>
    <s v="017"/>
    <x v="17"/>
    <x v="7"/>
    <n v="1762.5458100000005"/>
    <n v="8406.4554800000005"/>
    <n v="1857.9176313761782"/>
    <n v="12076.517977927228"/>
    <n v="-5.1332642397895104E-2"/>
    <m/>
    <x v="7"/>
  </r>
  <r>
    <s v="017"/>
    <x v="17"/>
    <x v="8"/>
    <n v="2286.040106849407"/>
    <n v="4044.2773200000011"/>
    <n v="1727.7022285194053"/>
    <n v="8230.3227393033721"/>
    <n v="0.32316788686930298"/>
    <m/>
    <x v="7"/>
  </r>
  <r>
    <s v="018"/>
    <x v="18"/>
    <x v="0"/>
    <n v="-498.3159300000043"/>
    <n v="15621.779259999985"/>
    <n v="7998.697211779453"/>
    <n v="110924.36605889726"/>
    <n v="-1.0622996366540978"/>
    <m/>
    <x v="7"/>
  </r>
  <r>
    <s v="018"/>
    <x v="18"/>
    <x v="1"/>
    <m/>
    <n v="48127.159019999992"/>
    <m/>
    <n v="80202.062290676709"/>
    <n v="0"/>
    <m/>
    <x v="7"/>
  </r>
  <r>
    <s v="018"/>
    <x v="18"/>
    <x v="2"/>
    <n v="0"/>
    <n v="174420.84773999994"/>
    <m/>
    <n v="192025.74154235816"/>
    <n v="0"/>
    <m/>
    <x v="7"/>
  </r>
  <r>
    <s v="018"/>
    <x v="18"/>
    <x v="3"/>
    <n v="2728.6350000000002"/>
    <n v="29908.033950000005"/>
    <n v="13214.635475772764"/>
    <n v="139736.77737886383"/>
    <n v="-0.79351416805990738"/>
    <m/>
    <x v="7"/>
  </r>
  <r>
    <s v="018"/>
    <x v="18"/>
    <x v="4"/>
    <n v="153000"/>
    <n v="1122969.55"/>
    <n v="1499532.2936925676"/>
    <n v="8337661.4684628369"/>
    <n v="-0.89796818605137163"/>
    <m/>
    <x v="7"/>
  </r>
  <r>
    <s v="018"/>
    <x v="18"/>
    <x v="5"/>
    <n v="500"/>
    <n v="31152"/>
    <n v="56000"/>
    <n v="301000"/>
    <n v="-0.9910714285714286"/>
    <m/>
    <x v="7"/>
  </r>
  <r>
    <s v="018"/>
    <x v="18"/>
    <x v="6"/>
    <n v="96"/>
    <n v="674"/>
    <n v="108"/>
    <n v="864"/>
    <n v="-0.1111111111111111"/>
    <m/>
    <x v="7"/>
  </r>
  <r>
    <s v="018"/>
    <x v="18"/>
    <x v="7"/>
    <n v="388.77116000000024"/>
    <n v="3197.14858"/>
    <n v="2090.9204428146058"/>
    <n v="13596.836218583803"/>
    <n v="-0.81406697641892478"/>
    <m/>
    <x v="7"/>
  </r>
  <r>
    <s v="018"/>
    <x v="18"/>
    <x v="8"/>
    <n v="206.86570318423398"/>
    <n v="-8162.2101399999956"/>
    <n v="3790.9567873872329"/>
    <n v="20697.212529800585"/>
    <n v="-0.94543179603827454"/>
    <m/>
    <x v="7"/>
  </r>
  <r>
    <s v="019"/>
    <x v="19"/>
    <x v="0"/>
    <n v="7.1901199999998653"/>
    <n v="-4.305629999999951"/>
    <n v="0"/>
    <n v="0"/>
    <n v="0"/>
    <m/>
    <x v="7"/>
  </r>
  <r>
    <s v="019"/>
    <x v="19"/>
    <x v="1"/>
    <m/>
    <n v="610.87942999999996"/>
    <m/>
    <n v="620.50470999999993"/>
    <n v="0"/>
    <m/>
    <x v="7"/>
  </r>
  <r>
    <s v="019"/>
    <x v="19"/>
    <x v="2"/>
    <n v="0"/>
    <n v="0"/>
    <m/>
    <n v="-15.040850000000001"/>
    <n v="0"/>
    <m/>
    <x v="7"/>
  </r>
  <r>
    <s v="019"/>
    <x v="19"/>
    <x v="3"/>
    <n v="0"/>
    <n v="0"/>
    <n v="0"/>
    <n v="0"/>
    <n v="0"/>
    <m/>
    <x v="7"/>
  </r>
  <r>
    <s v="019"/>
    <x v="19"/>
    <x v="4"/>
    <n v="0"/>
    <n v="0"/>
    <n v="0"/>
    <n v="0"/>
    <n v="0"/>
    <m/>
    <x v="7"/>
  </r>
  <r>
    <s v="019"/>
    <x v="19"/>
    <x v="5"/>
    <n v="0"/>
    <n v="0"/>
    <n v="0"/>
    <n v="0"/>
    <n v="0"/>
    <m/>
    <x v="7"/>
  </r>
  <r>
    <s v="019"/>
    <x v="19"/>
    <x v="6"/>
    <n v="0"/>
    <n v="0"/>
    <n v="0"/>
    <n v="0"/>
    <n v="0"/>
    <m/>
    <x v="7"/>
  </r>
  <r>
    <s v="019"/>
    <x v="19"/>
    <x v="7"/>
    <n v="8.0000000000000071E-3"/>
    <n v="0.13669999999999999"/>
    <n v="0.85197127063788392"/>
    <n v="4.0535307924359856"/>
    <n v="-0.99061001200896093"/>
    <m/>
    <x v="7"/>
  </r>
  <r>
    <s v="019"/>
    <x v="19"/>
    <x v="8"/>
    <n v="-1.9939976272153581"/>
    <n v="22.580869999999994"/>
    <n v="-0.79426175526610177"/>
    <n v="-5.2590088200019016"/>
    <n v="-1.5105043947977936"/>
    <m/>
    <x v="7"/>
  </r>
  <r>
    <s v="020"/>
    <x v="20"/>
    <x v="0"/>
    <n v="-11609.882409999962"/>
    <n v="-5846.5930899999512"/>
    <n v="11650.009711779445"/>
    <n v="149454.84855889727"/>
    <n v="-1.9965555992851309"/>
    <m/>
    <x v="7"/>
  </r>
  <r>
    <s v="020"/>
    <x v="20"/>
    <x v="1"/>
    <m/>
    <n v="212611.66634000003"/>
    <m/>
    <n v="299087.03984067676"/>
    <n v="0"/>
    <m/>
    <x v="7"/>
  </r>
  <r>
    <s v="020"/>
    <x v="20"/>
    <x v="2"/>
    <n v="0"/>
    <n v="127775.79931999998"/>
    <m/>
    <n v="200608.01794420165"/>
    <n v="0"/>
    <m/>
    <x v="7"/>
  </r>
  <r>
    <s v="020"/>
    <x v="20"/>
    <x v="3"/>
    <n v="1016.756"/>
    <n v="13222.196999999998"/>
    <n v="20868.444642439434"/>
    <n v="203348.22321219713"/>
    <n v="-0.95127782556768703"/>
    <m/>
    <x v="7"/>
  </r>
  <r>
    <s v="020"/>
    <x v="20"/>
    <x v="4"/>
    <n v="74900"/>
    <n v="146300"/>
    <n v="248443.22025675679"/>
    <n v="1431216.1012837838"/>
    <n v="-0.69852266476584213"/>
    <m/>
    <x v="7"/>
  </r>
  <r>
    <s v="020"/>
    <x v="20"/>
    <x v="5"/>
    <n v="61495"/>
    <n v="880303"/>
    <n v="56000"/>
    <n v="577000"/>
    <n v="9.8125000000000004E-2"/>
    <m/>
    <x v="7"/>
  </r>
  <r>
    <s v="020"/>
    <x v="20"/>
    <x v="6"/>
    <n v="74"/>
    <n v="897"/>
    <n v="178"/>
    <n v="1424"/>
    <n v="-0.5842696629213483"/>
    <m/>
    <x v="7"/>
  </r>
  <r>
    <s v="020"/>
    <x v="20"/>
    <x v="7"/>
    <n v="228.56294000000003"/>
    <n v="1975.5146400000001"/>
    <n v="1069.8016152559539"/>
    <n v="6199.5228335932588"/>
    <n v="-0.78635016367467769"/>
    <m/>
    <x v="7"/>
  </r>
  <r>
    <s v="020"/>
    <x v="20"/>
    <x v="8"/>
    <n v="-2234.8122757120468"/>
    <n v="-10580.634459999999"/>
    <n v="-551.64586953600519"/>
    <n v="-10429.6035143105"/>
    <n v="-3.0511719549205898"/>
    <m/>
    <x v="7"/>
  </r>
  <r>
    <s v="000"/>
    <x v="0"/>
    <x v="0"/>
    <n v="0"/>
    <n v="0"/>
    <n v="0"/>
    <n v="0"/>
    <n v="0"/>
    <m/>
    <x v="8"/>
  </r>
  <r>
    <s v="000"/>
    <x v="0"/>
    <x v="1"/>
    <m/>
    <n v="0"/>
    <m/>
    <n v="0"/>
    <n v="0"/>
    <m/>
    <x v="8"/>
  </r>
  <r>
    <s v="000"/>
    <x v="0"/>
    <x v="2"/>
    <m/>
    <n v="0"/>
    <m/>
    <n v="0"/>
    <n v="0"/>
    <m/>
    <x v="8"/>
  </r>
  <r>
    <s v="000"/>
    <x v="0"/>
    <x v="3"/>
    <n v="0"/>
    <n v="0"/>
    <n v="0"/>
    <n v="0"/>
    <n v="0"/>
    <m/>
    <x v="8"/>
  </r>
  <r>
    <s v="000"/>
    <x v="0"/>
    <x v="4"/>
    <n v="0"/>
    <n v="0"/>
    <n v="0"/>
    <n v="0"/>
    <n v="0"/>
    <m/>
    <x v="8"/>
  </r>
  <r>
    <s v="000"/>
    <x v="0"/>
    <x v="5"/>
    <n v="-12395"/>
    <n v="231229"/>
    <n v="0"/>
    <n v="209869.92"/>
    <n v="0"/>
    <m/>
    <x v="8"/>
  </r>
  <r>
    <s v="000"/>
    <x v="0"/>
    <x v="6"/>
    <n v="0"/>
    <n v="0"/>
    <n v="0"/>
    <n v="0"/>
    <n v="0"/>
    <m/>
    <x v="8"/>
  </r>
  <r>
    <s v="000"/>
    <x v="0"/>
    <x v="7"/>
    <n v="9.9999999747524271E-6"/>
    <n v="901.90836999999999"/>
    <n v="117.68424167958743"/>
    <n v="117.68424167958743"/>
    <n v="0"/>
    <m/>
    <x v="8"/>
  </r>
  <r>
    <s v="000"/>
    <x v="0"/>
    <x v="8"/>
    <n v="-31485.338986013463"/>
    <n v="-263648.79542000004"/>
    <n v="-21931.175783694125"/>
    <n v="-225738.16942088713"/>
    <n v="1.350066110942767"/>
    <m/>
    <x v="8"/>
  </r>
  <r>
    <s v="001"/>
    <x v="1"/>
    <x v="0"/>
    <n v="21791.207050000026"/>
    <n v="50732.615560000122"/>
    <n v="7465.9829260651468"/>
    <n v="102861.33755639117"/>
    <n v="-0.29896060145981423"/>
    <m/>
    <x v="8"/>
  </r>
  <r>
    <s v="001"/>
    <x v="1"/>
    <x v="1"/>
    <m/>
    <n v="529356.1886900001"/>
    <m/>
    <n v="538439.79059245624"/>
    <n v="0"/>
    <m/>
    <x v="8"/>
  </r>
  <r>
    <s v="001"/>
    <x v="1"/>
    <x v="2"/>
    <m/>
    <n v="676633.67795000016"/>
    <m/>
    <n v="545194.48484311544"/>
    <n v="0"/>
    <m/>
    <x v="8"/>
  </r>
  <r>
    <s v="001"/>
    <x v="1"/>
    <x v="3"/>
    <n v="8740.643399999999"/>
    <n v="84216.410909999977"/>
    <n v="21166.644999582291"/>
    <n v="184581.66999749374"/>
    <n v="-0.79430555952131665"/>
    <m/>
    <x v="8"/>
  </r>
  <r>
    <s v="001"/>
    <x v="1"/>
    <x v="4"/>
    <n v="3407770"/>
    <n v="22952296.140000001"/>
    <n v="124221.61012837839"/>
    <n v="4795329.660770271"/>
    <n v="10.250675293579404"/>
    <m/>
    <x v="8"/>
  </r>
  <r>
    <s v="001"/>
    <x v="1"/>
    <x v="5"/>
    <n v="2345"/>
    <n v="606614"/>
    <n v="28000"/>
    <n v="400755.81"/>
    <n v="-1"/>
    <m/>
    <x v="8"/>
  </r>
  <r>
    <s v="001"/>
    <x v="1"/>
    <x v="6"/>
    <n v="21"/>
    <n v="415"/>
    <n v="85"/>
    <n v="765"/>
    <n v="-0.82352941176470584"/>
    <m/>
    <x v="8"/>
  </r>
  <r>
    <s v="001"/>
    <x v="1"/>
    <x v="7"/>
    <n v="3533.5904599999958"/>
    <n v="25531.462079999998"/>
    <n v="1018.5078765615326"/>
    <n v="13248.138917038679"/>
    <n v="0"/>
    <m/>
    <x v="8"/>
  </r>
  <r>
    <s v="001"/>
    <x v="1"/>
    <x v="8"/>
    <n v="8135.4749502262912"/>
    <n v="-12044.209059999992"/>
    <n v="5553.9570918260306"/>
    <n v="31565.09853694298"/>
    <n v="0.45946206389127131"/>
    <m/>
    <x v="8"/>
  </r>
  <r>
    <s v="002"/>
    <x v="2"/>
    <x v="0"/>
    <n v="12647.119370000015"/>
    <n v="-10245.621200000016"/>
    <n v="2986.0037593984903"/>
    <n v="77181.462556390994"/>
    <n v="4.9186008505093435"/>
    <m/>
    <x v="8"/>
  </r>
  <r>
    <s v="002"/>
    <x v="2"/>
    <x v="1"/>
    <m/>
    <n v="62887.421909999983"/>
    <m/>
    <n v="70014.315115789475"/>
    <n v="0"/>
    <m/>
    <x v="8"/>
  </r>
  <r>
    <s v="002"/>
    <x v="2"/>
    <x v="2"/>
    <m/>
    <n v="85658.53439999999"/>
    <m/>
    <n v="90660.364104775756"/>
    <n v="0"/>
    <m/>
    <x v="8"/>
  </r>
  <r>
    <s v="002"/>
    <x v="2"/>
    <x v="3"/>
    <n v="1523.71"/>
    <n v="16007.059850000001"/>
    <n v="5348.7727218045111"/>
    <n v="91174.43633082704"/>
    <n v="-0.79984810428833786"/>
    <m/>
    <x v="8"/>
  </r>
  <r>
    <s v="002"/>
    <x v="2"/>
    <x v="4"/>
    <n v="292254.69999999995"/>
    <n v="476392.82999999996"/>
    <n v="62110.805064189197"/>
    <n v="462664.83038513514"/>
    <n v="3.6731756205708908"/>
    <m/>
    <x v="8"/>
  </r>
  <r>
    <s v="002"/>
    <x v="2"/>
    <x v="5"/>
    <n v="74494"/>
    <n v="419449"/>
    <n v="14000"/>
    <n v="202313.7"/>
    <n v="4.3209999999999997"/>
    <m/>
    <x v="8"/>
  </r>
  <r>
    <s v="002"/>
    <x v="2"/>
    <x v="6"/>
    <n v="55"/>
    <n v="576"/>
    <n v="73"/>
    <n v="657"/>
    <n v="-0.52054794520547942"/>
    <m/>
    <x v="8"/>
  </r>
  <r>
    <s v="002"/>
    <x v="2"/>
    <x v="7"/>
    <n v="447.41494999999986"/>
    <n v="1864.4031699999996"/>
    <n v="407.75085076004689"/>
    <n v="2883.8743569274093"/>
    <n v="0"/>
    <m/>
    <x v="8"/>
  </r>
  <r>
    <s v="002"/>
    <x v="2"/>
    <x v="8"/>
    <n v="-71.079585991383283"/>
    <n v="-8075.2019700000037"/>
    <n v="336.26810244799964"/>
    <n v="-1570.3393881648585"/>
    <n v="2.2171341620702409"/>
    <m/>
    <x v="8"/>
  </r>
  <r>
    <s v="003"/>
    <x v="3"/>
    <x v="0"/>
    <n v="-7877.7839299999978"/>
    <n v="-3899.4006099999897"/>
    <n v="2986.0037593984976"/>
    <n v="69246.902556390996"/>
    <n v="-3.1734659976809083"/>
    <m/>
    <x v="8"/>
  </r>
  <r>
    <s v="003"/>
    <x v="3"/>
    <x v="1"/>
    <m/>
    <n v="36385.467610000007"/>
    <m/>
    <n v="67476.08680578947"/>
    <n v="0"/>
    <m/>
    <x v="8"/>
  </r>
  <r>
    <s v="003"/>
    <x v="3"/>
    <x v="2"/>
    <m/>
    <n v="100515.87258000001"/>
    <m/>
    <n v="99154.905725252072"/>
    <n v="0"/>
    <m/>
    <x v="8"/>
  </r>
  <r>
    <s v="003"/>
    <x v="3"/>
    <x v="3"/>
    <n v="547.26499999999999"/>
    <n v="14727.66985"/>
    <n v="5348.7727218045111"/>
    <n v="81256.236330827058"/>
    <n v="-0.90940632081362349"/>
    <m/>
    <x v="8"/>
  </r>
  <r>
    <s v="003"/>
    <x v="3"/>
    <x v="4"/>
    <n v="14000"/>
    <n v="81000"/>
    <n v="62110.805064189197"/>
    <n v="408664.83038513514"/>
    <n v="-0.83899741776546977"/>
    <m/>
    <x v="8"/>
  </r>
  <r>
    <s v="003"/>
    <x v="3"/>
    <x v="5"/>
    <n v="0"/>
    <n v="2438"/>
    <n v="14000"/>
    <n v="84000"/>
    <n v="-1"/>
    <m/>
    <x v="8"/>
  </r>
  <r>
    <s v="003"/>
    <x v="3"/>
    <x v="6"/>
    <n v="11"/>
    <n v="194"/>
    <n v="66"/>
    <n v="594"/>
    <n v="-0.90909090909090906"/>
    <m/>
    <x v="8"/>
  </r>
  <r>
    <s v="003"/>
    <x v="3"/>
    <x v="7"/>
    <n v="48.283849999999916"/>
    <n v="875.06511"/>
    <n v="416.99674353260571"/>
    <n v="2684.6095689032213"/>
    <n v="0"/>
    <m/>
    <x v="8"/>
  </r>
  <r>
    <s v="003"/>
    <x v="3"/>
    <x v="8"/>
    <n v="-304.21945351075101"/>
    <n v="-7215.9383099999932"/>
    <n v="669.01705098410025"/>
    <n v="1211.9406523263467"/>
    <n v="-0.21106928556811463"/>
    <m/>
    <x v="8"/>
  </r>
  <r>
    <s v="004"/>
    <x v="4"/>
    <x v="0"/>
    <n v="-461.41438000000198"/>
    <n v="3655.0949800000126"/>
    <n v="4554.5513784461173"/>
    <n v="100323.62827067675"/>
    <n v="-1.1309631839532572"/>
    <m/>
    <x v="8"/>
  </r>
  <r>
    <s v="004"/>
    <x v="4"/>
    <x v="1"/>
    <m/>
    <n v="26534.814299999998"/>
    <m/>
    <n v="56185.975879122787"/>
    <n v="0"/>
    <m/>
    <x v="8"/>
  </r>
  <r>
    <s v="004"/>
    <x v="4"/>
    <x v="2"/>
    <m/>
    <n v="111018.57127934785"/>
    <m/>
    <n v="110875.60786483395"/>
    <n v="0"/>
    <m/>
    <x v="8"/>
  </r>
  <r>
    <s v="004"/>
    <x v="4"/>
    <x v="3"/>
    <n v="2656.9"/>
    <n v="19709.626520000002"/>
    <n v="8158.4827535505428"/>
    <n v="125196.29652130327"/>
    <n v="-0.7492793621326459"/>
    <m/>
    <x v="8"/>
  </r>
  <r>
    <s v="004"/>
    <x v="4"/>
    <x v="4"/>
    <n v="14000"/>
    <n v="63000"/>
    <n v="124221.61012837839"/>
    <n v="1006329.6607702703"/>
    <n v="-0.88729819243582886"/>
    <m/>
    <x v="8"/>
  </r>
  <r>
    <s v="004"/>
    <x v="4"/>
    <x v="5"/>
    <n v="875"/>
    <n v="31262"/>
    <n v="28000"/>
    <n v="195984"/>
    <n v="-0.98703571428571424"/>
    <m/>
    <x v="8"/>
  </r>
  <r>
    <s v="004"/>
    <x v="4"/>
    <x v="6"/>
    <n v="25"/>
    <n v="178"/>
    <n v="101"/>
    <n v="909"/>
    <n v="-0.86138613861386137"/>
    <m/>
    <x v="8"/>
  </r>
  <r>
    <s v="004"/>
    <x v="4"/>
    <x v="7"/>
    <n v="123.52645000000018"/>
    <n v="936.91997000000015"/>
    <n v="433.93977816563711"/>
    <n v="3009.1759648062839"/>
    <n v="0"/>
    <m/>
    <x v="8"/>
  </r>
  <r>
    <s v="004"/>
    <x v="4"/>
    <x v="8"/>
    <n v="-851.97544084122296"/>
    <n v="-1370.0164500000012"/>
    <n v="1752.4295655537348"/>
    <n v="6123.808479191126"/>
    <n v="-0.95700166130431541"/>
    <m/>
    <x v="8"/>
  </r>
  <r>
    <s v="005"/>
    <x v="5"/>
    <x v="0"/>
    <n v="-6548.3276699999697"/>
    <n v="-4703.8601500000223"/>
    <n v="8734.8787593984907"/>
    <n v="152074.71255639094"/>
    <n v="-1.0701219440900565"/>
    <m/>
    <x v="8"/>
  </r>
  <r>
    <s v="005"/>
    <x v="5"/>
    <x v="1"/>
    <m/>
    <n v="137609.73173000003"/>
    <m/>
    <n v="216643.53959578951"/>
    <n v="0"/>
    <m/>
    <x v="8"/>
  </r>
  <r>
    <s v="005"/>
    <x v="5"/>
    <x v="2"/>
    <m/>
    <n v="260467.22664000007"/>
    <m/>
    <n v="221241.50604463759"/>
    <n v="0"/>
    <m/>
    <x v="8"/>
  </r>
  <r>
    <s v="005"/>
    <x v="5"/>
    <x v="3"/>
    <n v="1075.3000999999999"/>
    <n v="24806.635459999998"/>
    <n v="10575.010092174882"/>
    <n v="173031.86055304925"/>
    <n v="-0.93175419278946769"/>
    <m/>
    <x v="8"/>
  </r>
  <r>
    <s v="005"/>
    <x v="5"/>
    <x v="4"/>
    <n v="730586.90999999992"/>
    <n v="6776355.3400000008"/>
    <n v="1608965.6169009011"/>
    <n v="14216793.701405404"/>
    <n v="-0.63143364670388447"/>
    <m/>
    <x v="8"/>
  </r>
  <r>
    <s v="005"/>
    <x v="5"/>
    <x v="5"/>
    <n v="16512"/>
    <n v="422550"/>
    <n v="97666"/>
    <n v="768278.45"/>
    <n v="-0.86421067720598777"/>
    <m/>
    <x v="8"/>
  </r>
  <r>
    <s v="005"/>
    <x v="5"/>
    <x v="6"/>
    <n v="37"/>
    <n v="318"/>
    <n v="68"/>
    <n v="612"/>
    <n v="-0.77941176470588236"/>
    <m/>
    <x v="8"/>
  </r>
  <r>
    <s v="005"/>
    <x v="5"/>
    <x v="7"/>
    <n v="886.66119000000072"/>
    <n v="8536.3545200000008"/>
    <n v="2234.9442266878068"/>
    <n v="18502.362083564309"/>
    <n v="0"/>
    <m/>
    <x v="8"/>
  </r>
  <r>
    <s v="005"/>
    <x v="5"/>
    <x v="8"/>
    <n v="-1114.9367746516309"/>
    <n v="3592.4297099999876"/>
    <n v="4008.7320762681611"/>
    <n v="29252.77787353488"/>
    <n v="-0.74426266697415255"/>
    <m/>
    <x v="8"/>
  </r>
  <r>
    <s v="006"/>
    <x v="6"/>
    <x v="0"/>
    <n v="15272.935440000001"/>
    <n v="20552.216780000002"/>
    <n v="5601.4829260651768"/>
    <n v="100874.33755639099"/>
    <n v="-0.962601083897767"/>
    <m/>
    <x v="8"/>
  </r>
  <r>
    <s v="006"/>
    <x v="6"/>
    <x v="1"/>
    <m/>
    <n v="98497.340690000012"/>
    <m/>
    <n v="109116.05928245613"/>
    <n v="0"/>
    <m/>
    <x v="8"/>
  </r>
  <r>
    <s v="006"/>
    <x v="6"/>
    <x v="2"/>
    <m/>
    <n v="169138.76613"/>
    <m/>
    <n v="179998.95138947575"/>
    <n v="0"/>
    <m/>
    <x v="8"/>
  </r>
  <r>
    <s v="006"/>
    <x v="6"/>
    <x v="3"/>
    <n v="712.69500000000005"/>
    <n v="19107.42295"/>
    <n v="11147.112999582288"/>
    <n v="135964.47799749373"/>
    <n v="-0.93606461152527065"/>
    <m/>
    <x v="8"/>
  </r>
  <r>
    <s v="006"/>
    <x v="6"/>
    <x v="4"/>
    <n v="136739"/>
    <n v="581617.17999999993"/>
    <n v="124221.61012837839"/>
    <n v="1216329.6607702705"/>
    <n v="-0.30978998008968051"/>
    <m/>
    <x v="8"/>
  </r>
  <r>
    <s v="006"/>
    <x v="6"/>
    <x v="5"/>
    <n v="7943"/>
    <n v="344475"/>
    <n v="28000"/>
    <n v="474478.26"/>
    <n v="-0.82353571428571426"/>
    <m/>
    <x v="8"/>
  </r>
  <r>
    <s v="006"/>
    <x v="6"/>
    <x v="6"/>
    <n v="17"/>
    <n v="403"/>
    <n v="66"/>
    <n v="594"/>
    <n v="-0.86363636363636365"/>
    <m/>
    <x v="8"/>
  </r>
  <r>
    <s v="006"/>
    <x v="6"/>
    <x v="7"/>
    <n v="248.43295000000035"/>
    <n v="1975.9217000000003"/>
    <n v="780.57831409124447"/>
    <n v="5346.7943471427579"/>
    <n v="0"/>
    <m/>
    <x v="8"/>
  </r>
  <r>
    <s v="006"/>
    <x v="6"/>
    <x v="8"/>
    <n v="-543.29090298386564"/>
    <n v="2765.4453900000053"/>
    <n v="1981.0426402841006"/>
    <n v="14347.703885525563"/>
    <n v="-0.57189293013987319"/>
    <m/>
    <x v="8"/>
  </r>
  <r>
    <s v="007"/>
    <x v="7"/>
    <x v="0"/>
    <n v="3137.0867699999944"/>
    <n v="-24569.480319999944"/>
    <n v="2789.9353070175348"/>
    <n v="95270.491842105141"/>
    <n v="0.86112160627505874"/>
    <m/>
    <x v="8"/>
  </r>
  <r>
    <s v="007"/>
    <x v="7"/>
    <x v="1"/>
    <m/>
    <n v="170519.92852000002"/>
    <m/>
    <n v="222307.24906912274"/>
    <n v="0"/>
    <m/>
    <x v="8"/>
  </r>
  <r>
    <s v="007"/>
    <x v="7"/>
    <x v="2"/>
    <m/>
    <n v="119126.21129999998"/>
    <m/>
    <n v="139021.86514560535"/>
    <n v="0"/>
    <m/>
    <x v="8"/>
  </r>
  <r>
    <s v="007"/>
    <x v="7"/>
    <x v="3"/>
    <n v="356.62099999999998"/>
    <n v="15053.903109999999"/>
    <n v="4997.5589678362567"/>
    <n v="113148.95380701756"/>
    <n v="-0.93864584650758909"/>
    <m/>
    <x v="8"/>
  </r>
  <r>
    <s v="007"/>
    <x v="7"/>
    <x v="4"/>
    <n v="20000"/>
    <n v="295792"/>
    <n v="62110.805064189197"/>
    <n v="1152664.8303851355"/>
    <n v="-0.74239586842475158"/>
    <m/>
    <x v="8"/>
  </r>
  <r>
    <s v="007"/>
    <x v="7"/>
    <x v="5"/>
    <n v="186"/>
    <n v="9227"/>
    <n v="14000"/>
    <n v="86302"/>
    <n v="-0.98671428571428577"/>
    <m/>
    <x v="8"/>
  </r>
  <r>
    <s v="007"/>
    <x v="7"/>
    <x v="6"/>
    <n v="21"/>
    <n v="196"/>
    <n v="76"/>
    <n v="684"/>
    <n v="-0.89473684210526316"/>
    <m/>
    <x v="8"/>
  </r>
  <r>
    <s v="007"/>
    <x v="7"/>
    <x v="7"/>
    <n v="111.66228000000024"/>
    <n v="1518.6998500000002"/>
    <n v="402.36733828298065"/>
    <n v="2951.5184841410296"/>
    <n v="0"/>
    <m/>
    <x v="8"/>
  </r>
  <r>
    <s v="007"/>
    <x v="7"/>
    <x v="8"/>
    <n v="-812.44920031207857"/>
    <n v="-5266.977479999995"/>
    <n v="334.13376445647407"/>
    <n v="-154.41003341679078"/>
    <n v="0.13322845602251709"/>
    <m/>
    <x v="8"/>
  </r>
  <r>
    <s v="008"/>
    <x v="8"/>
    <x v="0"/>
    <n v="-10221.02078999998"/>
    <n v="6110.905299999984"/>
    <n v="6907.3728070175648"/>
    <n v="117640.55684210555"/>
    <n v="-2.2663650876224963"/>
    <m/>
    <x v="8"/>
  </r>
  <r>
    <s v="008"/>
    <x v="8"/>
    <x v="1"/>
    <m/>
    <n v="340706.49423000001"/>
    <m/>
    <n v="383011.29182912281"/>
    <n v="0"/>
    <m/>
    <x v="8"/>
  </r>
  <r>
    <s v="008"/>
    <x v="8"/>
    <x v="2"/>
    <m/>
    <n v="325119.14138734137"/>
    <m/>
    <n v="257946.38948632334"/>
    <n v="0"/>
    <m/>
    <x v="8"/>
  </r>
  <r>
    <s v="008"/>
    <x v="8"/>
    <x v="3"/>
    <n v="1050.5"/>
    <n v="36586.261599999998"/>
    <n v="12373.04780116959"/>
    <n v="154483.68680701757"/>
    <n v="-0.93451896307040738"/>
    <m/>
    <x v="8"/>
  </r>
  <r>
    <s v="008"/>
    <x v="8"/>
    <x v="4"/>
    <n v="42600"/>
    <n v="606707"/>
    <n v="248443.22025675679"/>
    <n v="2048659.3215405405"/>
    <n v="-0.95974935444136744"/>
    <m/>
    <x v="8"/>
  </r>
  <r>
    <s v="008"/>
    <x v="8"/>
    <x v="5"/>
    <n v="37656"/>
    <n v="543588"/>
    <n v="56000"/>
    <n v="563382.89"/>
    <n v="-0.63830357142857141"/>
    <m/>
    <x v="8"/>
  </r>
  <r>
    <s v="008"/>
    <x v="8"/>
    <x v="6"/>
    <n v="39"/>
    <n v="526"/>
    <n v="98"/>
    <n v="882"/>
    <n v="-0.69387755102040816"/>
    <m/>
    <x v="8"/>
  </r>
  <r>
    <s v="008"/>
    <x v="8"/>
    <x v="7"/>
    <n v="170.48258999999916"/>
    <n v="2651.1268799999998"/>
    <n v="846.22887005580469"/>
    <n v="6103.1250365090482"/>
    <n v="0"/>
    <m/>
    <x v="8"/>
  </r>
  <r>
    <s v="008"/>
    <x v="8"/>
    <x v="8"/>
    <n v="-1682.2283728009879"/>
    <n v="-7737.0892699999958"/>
    <n v="3877.2261649134348"/>
    <n v="14030.753781757396"/>
    <n v="-1.1926452386913227"/>
    <m/>
    <x v="8"/>
  </r>
  <r>
    <s v="009"/>
    <x v="9"/>
    <x v="0"/>
    <n v="-2652.0436299999928"/>
    <n v="10339.093589999989"/>
    <n v="2867.6228070175498"/>
    <n v="83736.616842105286"/>
    <n v="-1.5415116124058943"/>
    <m/>
    <x v="8"/>
  </r>
  <r>
    <s v="009"/>
    <x v="9"/>
    <x v="1"/>
    <m/>
    <n v="49412.101060000001"/>
    <m/>
    <n v="65876.779169122834"/>
    <n v="0"/>
    <m/>
    <x v="8"/>
  </r>
  <r>
    <s v="009"/>
    <x v="9"/>
    <x v="2"/>
    <m/>
    <n v="210146.67785000007"/>
    <m/>
    <n v="187019.91768942148"/>
    <n v="0"/>
    <m/>
    <x v="8"/>
  </r>
  <r>
    <s v="009"/>
    <x v="9"/>
    <x v="3"/>
    <n v="3820.2202499999999"/>
    <n v="38344.032400000004"/>
    <n v="5136.719134502925"/>
    <n v="98983.914807017572"/>
    <n v="-0.33823026702647446"/>
    <m/>
    <x v="8"/>
  </r>
  <r>
    <s v="009"/>
    <x v="9"/>
    <x v="4"/>
    <n v="51388"/>
    <n v="357350"/>
    <n v="0"/>
    <n v="102000"/>
    <n v="0"/>
    <m/>
    <x v="8"/>
  </r>
  <r>
    <s v="009"/>
    <x v="9"/>
    <x v="5"/>
    <n v="0"/>
    <n v="9659"/>
    <n v="0"/>
    <n v="7780.5"/>
    <n v="0"/>
    <m/>
    <x v="8"/>
  </r>
  <r>
    <s v="009"/>
    <x v="9"/>
    <x v="6"/>
    <n v="23"/>
    <n v="382"/>
    <n v="73"/>
    <n v="657"/>
    <n v="-0.79452054794520544"/>
    <m/>
    <x v="8"/>
  </r>
  <r>
    <s v="009"/>
    <x v="9"/>
    <x v="7"/>
    <n v="264.87014000000045"/>
    <n v="2474.3144300000004"/>
    <n v="339.6155079819132"/>
    <n v="2974.1823029652637"/>
    <n v="0"/>
    <m/>
    <x v="8"/>
  </r>
  <r>
    <s v="009"/>
    <x v="9"/>
    <x v="8"/>
    <n v="593.44644836058615"/>
    <n v="1819.8338999999985"/>
    <n v="1796.8019350989996"/>
    <n v="14562.619777195003"/>
    <n v="-0.22096303846485477"/>
    <m/>
    <x v="8"/>
  </r>
  <r>
    <s v="010"/>
    <x v="10"/>
    <x v="0"/>
    <n v="4118.7527300000074"/>
    <n v="-54329.41592999993"/>
    <n v="2986.0037593985198"/>
    <n v="100046.90255639108"/>
    <n v="-0.21686366849348185"/>
    <m/>
    <x v="8"/>
  </r>
  <r>
    <s v="010"/>
    <x v="10"/>
    <x v="1"/>
    <m/>
    <n v="168675.83556000004"/>
    <m/>
    <n v="242554.86318578947"/>
    <n v="0"/>
    <m/>
    <x v="8"/>
  </r>
  <r>
    <s v="010"/>
    <x v="10"/>
    <x v="2"/>
    <m/>
    <n v="133750.09337999998"/>
    <m/>
    <n v="110199.77955294662"/>
    <n v="0"/>
    <m/>
    <x v="8"/>
  </r>
  <r>
    <s v="010"/>
    <x v="10"/>
    <x v="3"/>
    <n v="1678.3040000000001"/>
    <n v="33458.590850000001"/>
    <n v="5348.7727218045111"/>
    <n v="119756.23633082703"/>
    <n v="-0.82214069479492657"/>
    <m/>
    <x v="8"/>
  </r>
  <r>
    <s v="010"/>
    <x v="10"/>
    <x v="4"/>
    <n v="782557"/>
    <n v="8044657.1899999995"/>
    <n v="62110.805064189197"/>
    <n v="2856664.8303851355"/>
    <n v="6.849793598652087"/>
    <m/>
    <x v="8"/>
  </r>
  <r>
    <s v="010"/>
    <x v="10"/>
    <x v="5"/>
    <n v="3058"/>
    <n v="24258"/>
    <n v="14000"/>
    <n v="87354.45"/>
    <n v="-0.97250000000000003"/>
    <m/>
    <x v="8"/>
  </r>
  <r>
    <s v="010"/>
    <x v="10"/>
    <x v="6"/>
    <n v="49"/>
    <n v="525"/>
    <n v="91"/>
    <n v="819"/>
    <n v="-0.65934065934065933"/>
    <m/>
    <x v="8"/>
  </r>
  <r>
    <s v="010"/>
    <x v="10"/>
    <x v="7"/>
    <n v="994.79280000000472"/>
    <n v="10712.178970000003"/>
    <n v="519.31611060884825"/>
    <n v="5574.7627205638664"/>
    <n v="0"/>
    <m/>
    <x v="8"/>
  </r>
  <r>
    <s v="010"/>
    <x v="10"/>
    <x v="8"/>
    <n v="-674.7140522570246"/>
    <n v="629.21660000000497"/>
    <n v="74.917559098503489"/>
    <n v="-5000.8323031693226"/>
    <n v="6.6207751142736209"/>
    <m/>
    <x v="8"/>
  </r>
  <r>
    <s v="011"/>
    <x v="11"/>
    <x v="0"/>
    <n v="-1631.8735099999976"/>
    <n v="-8714.2306900000003"/>
    <n v="2986.0037593984903"/>
    <n v="62781.462556390994"/>
    <n v="-2.036521709076307"/>
    <m/>
    <x v="8"/>
  </r>
  <r>
    <s v="011"/>
    <x v="11"/>
    <x v="1"/>
    <m/>
    <n v="29193.435439999997"/>
    <m/>
    <n v="50574.386995789471"/>
    <n v="0"/>
    <m/>
    <x v="8"/>
  </r>
  <r>
    <s v="011"/>
    <x v="11"/>
    <x v="2"/>
    <m/>
    <n v="67478.5383"/>
    <m/>
    <n v="111218.56575355132"/>
    <n v="0"/>
    <m/>
    <x v="8"/>
  </r>
  <r>
    <s v="011"/>
    <x v="11"/>
    <x v="3"/>
    <n v="1094.3168999999998"/>
    <n v="19216.189400000003"/>
    <n v="10544.085610693401"/>
    <n v="104346.31366416044"/>
    <n v="-0.89853867471305116"/>
    <m/>
    <x v="8"/>
  </r>
  <r>
    <s v="011"/>
    <x v="11"/>
    <x v="4"/>
    <n v="5000"/>
    <n v="415979.14"/>
    <n v="62110.805064189197"/>
    <n v="726664.83038513537"/>
    <n v="-1"/>
    <m/>
    <x v="8"/>
  </r>
  <r>
    <s v="011"/>
    <x v="11"/>
    <x v="5"/>
    <n v="3424"/>
    <n v="12202"/>
    <n v="14000"/>
    <n v="84790"/>
    <n v="-0.84792857142857148"/>
    <m/>
    <x v="8"/>
  </r>
  <r>
    <s v="011"/>
    <x v="11"/>
    <x v="6"/>
    <n v="25"/>
    <n v="398"/>
    <n v="58"/>
    <n v="522"/>
    <n v="-0.65517241379310343"/>
    <m/>
    <x v="8"/>
  </r>
  <r>
    <s v="011"/>
    <x v="11"/>
    <x v="7"/>
    <n v="132.37232000000017"/>
    <n v="1770.6755699999999"/>
    <n v="533.94731923539848"/>
    <n v="3811.9214029011641"/>
    <n v="0"/>
    <m/>
    <x v="8"/>
  </r>
  <r>
    <s v="011"/>
    <x v="11"/>
    <x v="8"/>
    <n v="-286.06493798785209"/>
    <n v="-2148.3923299999992"/>
    <n v="1008.0789240550741"/>
    <n v="4653.5950075225182"/>
    <n v="-0.6172657013322087"/>
    <m/>
    <x v="8"/>
  </r>
  <r>
    <s v="012"/>
    <x v="12"/>
    <x v="0"/>
    <n v="-31812.598769999924"/>
    <n v="155464.07384000008"/>
    <n v="6444.9472117793557"/>
    <n v="118800.56327067676"/>
    <n v="-6.9478593944009486"/>
    <m/>
    <x v="8"/>
  </r>
  <r>
    <s v="012"/>
    <x v="12"/>
    <x v="1"/>
    <m/>
    <n v="860624.31786000007"/>
    <m/>
    <n v="729586.64235245599"/>
    <n v="0"/>
    <m/>
    <x v="8"/>
  </r>
  <r>
    <s v="012"/>
    <x v="12"/>
    <x v="2"/>
    <m/>
    <n v="389518.14689999976"/>
    <m/>
    <n v="320336.99823163223"/>
    <n v="0"/>
    <m/>
    <x v="8"/>
  </r>
  <r>
    <s v="012"/>
    <x v="12"/>
    <x v="3"/>
    <n v="19926.91245"/>
    <n v="58521.41154999999"/>
    <n v="11173.619697994987"/>
    <n v="152205.31818796994"/>
    <n v="-0.85887183449755644"/>
    <m/>
    <x v="8"/>
  </r>
  <r>
    <s v="012"/>
    <x v="12"/>
    <x v="4"/>
    <n v="3326517.8"/>
    <n v="34165905.509999998"/>
    <n v="2812732.172192568"/>
    <n v="33532393.033155397"/>
    <n v="-0.36973590392785133"/>
    <m/>
    <x v="8"/>
  </r>
  <r>
    <s v="012"/>
    <x v="12"/>
    <x v="5"/>
    <n v="303646"/>
    <n v="2475273"/>
    <n v="56000"/>
    <n v="1169325.1299999999"/>
    <n v="2.6436964285714284"/>
    <m/>
    <x v="8"/>
  </r>
  <r>
    <s v="012"/>
    <x v="12"/>
    <x v="6"/>
    <n v="31"/>
    <n v="376"/>
    <n v="98"/>
    <n v="882"/>
    <n v="-0.86734693877551017"/>
    <m/>
    <x v="8"/>
  </r>
  <r>
    <s v="012"/>
    <x v="12"/>
    <x v="7"/>
    <n v="4036.3089200000031"/>
    <n v="36954.374860000004"/>
    <n v="3365.0943004140609"/>
    <n v="29950.996918295292"/>
    <n v="0"/>
    <m/>
    <x v="8"/>
  </r>
  <r>
    <s v="012"/>
    <x v="12"/>
    <x v="8"/>
    <n v="7518.2316909299116"/>
    <n v="49680.063820000076"/>
    <n v="2949.826432996073"/>
    <n v="20230.419238848815"/>
    <n v="1.3057352235778188"/>
    <m/>
    <x v="8"/>
  </r>
  <r>
    <s v="013"/>
    <x v="13"/>
    <x v="0"/>
    <n v="-4032.9673199999816"/>
    <n v="4665.3402700000152"/>
    <n v="6004.7180451127733"/>
    <n v="95102.2282706767"/>
    <n v="-1.5949762025725374"/>
    <m/>
    <x v="8"/>
  </r>
  <r>
    <s v="013"/>
    <x v="13"/>
    <x v="1"/>
    <m/>
    <n v="83120.349220000004"/>
    <m/>
    <n v="127149.62453578947"/>
    <n v="0"/>
    <m/>
    <x v="8"/>
  </r>
  <r>
    <s v="013"/>
    <x v="13"/>
    <x v="2"/>
    <m/>
    <n v="152512.62695000001"/>
    <m/>
    <n v="176954.83925680714"/>
    <n v="0"/>
    <m/>
    <x v="8"/>
  </r>
  <r>
    <s v="013"/>
    <x v="13"/>
    <x v="3"/>
    <n v="198.55500000000001"/>
    <n v="29518.402549999999"/>
    <n v="10756.139197994988"/>
    <n v="123379.23518796991"/>
    <n v="-0.99302723787602332"/>
    <m/>
    <x v="8"/>
  </r>
  <r>
    <s v="013"/>
    <x v="13"/>
    <x v="4"/>
    <n v="23900"/>
    <n v="273380"/>
    <n v="124221.61012837839"/>
    <n v="1018329.6607702703"/>
    <n v="-0.82933726283139797"/>
    <m/>
    <x v="8"/>
  </r>
  <r>
    <s v="013"/>
    <x v="13"/>
    <x v="5"/>
    <n v="1494"/>
    <n v="54698"/>
    <n v="28000"/>
    <n v="185213.4"/>
    <n v="-0.99017857142857146"/>
    <m/>
    <x v="8"/>
  </r>
  <r>
    <s v="013"/>
    <x v="13"/>
    <x v="6"/>
    <n v="38"/>
    <n v="467"/>
    <n v="68"/>
    <n v="612"/>
    <n v="-0.6470588235294118"/>
    <m/>
    <x v="8"/>
  </r>
  <r>
    <s v="013"/>
    <x v="13"/>
    <x v="7"/>
    <n v="134.24491999999987"/>
    <n v="1952.0201400000001"/>
    <n v="685.812550581697"/>
    <n v="4802.748804815008"/>
    <n v="0"/>
    <m/>
    <x v="8"/>
  </r>
  <r>
    <s v="013"/>
    <x v="13"/>
    <x v="8"/>
    <n v="245.66368761967215"/>
    <n v="1537.1807500000032"/>
    <n v="1852.0452938848425"/>
    <n v="9959.6387178954028"/>
    <n v="-0.66886195384910085"/>
    <m/>
    <x v="8"/>
  </r>
  <r>
    <s v="014"/>
    <x v="14"/>
    <x v="0"/>
    <n v="-9523.4543399999966"/>
    <n v="-109737.54909000004"/>
    <n v="4358.4829260651468"/>
    <n v="95350.897556391021"/>
    <n v="-3.4672495825762555"/>
    <m/>
    <x v="8"/>
  </r>
  <r>
    <s v="014"/>
    <x v="14"/>
    <x v="1"/>
    <m/>
    <n v="141400.21826999998"/>
    <m/>
    <n v="283737.36418245616"/>
    <n v="0"/>
    <m/>
    <x v="8"/>
  </r>
  <r>
    <s v="014"/>
    <x v="14"/>
    <x v="2"/>
    <m/>
    <n v="208847.40095999997"/>
    <m/>
    <n v="189452.96408461803"/>
    <n v="0"/>
    <m/>
    <x v="8"/>
  </r>
  <r>
    <s v="014"/>
    <x v="14"/>
    <x v="3"/>
    <n v="327.72699999999998"/>
    <n v="29372.987099999998"/>
    <n v="7807.2689995822902"/>
    <n v="118343.61399749373"/>
    <n v="-0.9580228374329699"/>
    <m/>
    <x v="8"/>
  </r>
  <r>
    <s v="014"/>
    <x v="14"/>
    <x v="4"/>
    <n v="671672.78"/>
    <n v="15722846.529999999"/>
    <n v="124221.61012837839"/>
    <n v="4378329.660770271"/>
    <n v="2.122370573036005"/>
    <m/>
    <x v="8"/>
  </r>
  <r>
    <s v="014"/>
    <x v="14"/>
    <x v="5"/>
    <n v="3003"/>
    <n v="43232"/>
    <n v="28000"/>
    <n v="194746"/>
    <n v="-0.97650000000000003"/>
    <m/>
    <x v="8"/>
  </r>
  <r>
    <s v="014"/>
    <x v="14"/>
    <x v="6"/>
    <n v="24"/>
    <n v="254"/>
    <n v="65"/>
    <n v="585"/>
    <n v="-0.7384615384615385"/>
    <m/>
    <x v="8"/>
  </r>
  <r>
    <s v="014"/>
    <x v="14"/>
    <x v="7"/>
    <n v="724.65543000000071"/>
    <n v="17077.763139999999"/>
    <n v="490.40834192176226"/>
    <n v="9508.1564418336711"/>
    <n v="0"/>
    <m/>
    <x v="8"/>
  </r>
  <r>
    <s v="014"/>
    <x v="14"/>
    <x v="8"/>
    <n v="1274.8239946146614"/>
    <n v="3604.1273499999866"/>
    <n v="1090.2060689439393"/>
    <n v="2813.7078452390842"/>
    <n v="-0.17042096373937335"/>
    <m/>
    <x v="8"/>
  </r>
  <r>
    <s v="015"/>
    <x v="15"/>
    <x v="0"/>
    <n v="-292.4953300000052"/>
    <n v="13039.499689999993"/>
    <n v="2986.0037593984903"/>
    <n v="77246.902556390996"/>
    <n v="-1.0458581371738112"/>
    <m/>
    <x v="8"/>
  </r>
  <r>
    <s v="015"/>
    <x v="15"/>
    <x v="1"/>
    <m/>
    <n v="41334.034539999993"/>
    <m/>
    <n v="58207.229905789463"/>
    <n v="0"/>
    <m/>
    <x v="8"/>
  </r>
  <r>
    <s v="015"/>
    <x v="15"/>
    <x v="2"/>
    <m/>
    <n v="135219.94361000002"/>
    <m/>
    <n v="114919.81597085026"/>
    <n v="0"/>
    <m/>
    <x v="8"/>
  </r>
  <r>
    <s v="015"/>
    <x v="15"/>
    <x v="3"/>
    <n v="3187.5360000000001"/>
    <n v="19146.838"/>
    <n v="5348.7727218045111"/>
    <n v="91256.236330827058"/>
    <n v="-0.79434534664077228"/>
    <m/>
    <x v="8"/>
  </r>
  <r>
    <s v="015"/>
    <x v="15"/>
    <x v="4"/>
    <n v="23000"/>
    <n v="256120"/>
    <n v="62110.805064189197"/>
    <n v="546664.83038513514"/>
    <n v="-0.90339845065928182"/>
    <m/>
    <x v="8"/>
  </r>
  <r>
    <s v="015"/>
    <x v="15"/>
    <x v="5"/>
    <n v="2944"/>
    <n v="27079"/>
    <n v="14000"/>
    <n v="90036"/>
    <n v="-0.9415"/>
    <m/>
    <x v="8"/>
  </r>
  <r>
    <s v="015"/>
    <x v="15"/>
    <x v="6"/>
    <n v="28"/>
    <n v="280"/>
    <n v="61"/>
    <n v="549"/>
    <n v="-0.78688524590163933"/>
    <m/>
    <x v="8"/>
  </r>
  <r>
    <s v="015"/>
    <x v="15"/>
    <x v="7"/>
    <n v="151.16138999999998"/>
    <n v="1480.11283"/>
    <n v="366.98137017030649"/>
    <n v="2683.2196300571418"/>
    <n v="0"/>
    <m/>
    <x v="8"/>
  </r>
  <r>
    <s v="015"/>
    <x v="15"/>
    <x v="8"/>
    <n v="270.00973770790188"/>
    <n v="-2841.4684099999981"/>
    <n v="868.6876121309466"/>
    <n v="4852.2583957982461"/>
    <n v="-0.37326708428076633"/>
    <m/>
    <x v="8"/>
  </r>
  <r>
    <s v="016"/>
    <x v="16"/>
    <x v="0"/>
    <n v="4768.4350000000268"/>
    <n v="-6428.2691500000074"/>
    <n v="8812.5662593984907"/>
    <n v="120140.83755639099"/>
    <n v="-0.58960888990275884"/>
    <m/>
    <x v="8"/>
  </r>
  <r>
    <s v="016"/>
    <x v="16"/>
    <x v="1"/>
    <m/>
    <n v="150463.46079000001"/>
    <m/>
    <n v="206488.77644578941"/>
    <n v="0"/>
    <m/>
    <x v="8"/>
  </r>
  <r>
    <s v="016"/>
    <x v="16"/>
    <x v="2"/>
    <m/>
    <n v="159540.38125000001"/>
    <m/>
    <n v="174082.71396983496"/>
    <n v="0"/>
    <m/>
    <x v="8"/>
  </r>
  <r>
    <s v="016"/>
    <x v="16"/>
    <x v="3"/>
    <n v="7229.9560000000001"/>
    <n v="37363.210050000002"/>
    <n v="8116.5138143971044"/>
    <n v="117780.88288638259"/>
    <n v="-0.57851645691382214"/>
    <m/>
    <x v="8"/>
  </r>
  <r>
    <s v="016"/>
    <x v="16"/>
    <x v="4"/>
    <n v="344987"/>
    <n v="2291072"/>
    <n v="1656288.1350450451"/>
    <n v="11431728.810270268"/>
    <n v="-0.94898230675443318"/>
    <m/>
    <x v="8"/>
  </r>
  <r>
    <s v="016"/>
    <x v="16"/>
    <x v="5"/>
    <n v="56295"/>
    <n v="436829"/>
    <n v="83666"/>
    <n v="745826.65"/>
    <n v="-0.83658833934931753"/>
    <m/>
    <x v="8"/>
  </r>
  <r>
    <s v="016"/>
    <x v="16"/>
    <x v="6"/>
    <n v="46"/>
    <n v="431"/>
    <n v="56"/>
    <n v="504"/>
    <n v="-0.5535714285714286"/>
    <m/>
    <x v="8"/>
  </r>
  <r>
    <s v="016"/>
    <x v="16"/>
    <x v="7"/>
    <n v="680.7220699999998"/>
    <n v="4484.5684099999999"/>
    <n v="2141.6750339339724"/>
    <n v="16264.802632056955"/>
    <n v="0"/>
    <m/>
    <x v="8"/>
  </r>
  <r>
    <s v="016"/>
    <x v="16"/>
    <x v="8"/>
    <n v="675.59352178954214"/>
    <n v="18529.849160000005"/>
    <n v="3100.9628288613872"/>
    <n v="23119.022550920916"/>
    <n v="-0.59645019335511373"/>
    <m/>
    <x v="8"/>
  </r>
  <r>
    <s v="017"/>
    <x v="17"/>
    <x v="0"/>
    <n v="17732.650240000032"/>
    <n v="20493.810339999996"/>
    <n v="4462.0662593984898"/>
    <n v="81637.837556390994"/>
    <n v="-1.5463522969577395"/>
    <m/>
    <x v="8"/>
  </r>
  <r>
    <s v="017"/>
    <x v="17"/>
    <x v="1"/>
    <m/>
    <n v="102343.43203000001"/>
    <m/>
    <n v="99561.881775789487"/>
    <n v="0"/>
    <m/>
    <x v="8"/>
  </r>
  <r>
    <s v="017"/>
    <x v="17"/>
    <x v="2"/>
    <m/>
    <n v="163409.85819000003"/>
    <m/>
    <n v="144109.94729350033"/>
    <n v="0"/>
    <m/>
    <x v="8"/>
  </r>
  <r>
    <s v="017"/>
    <x v="17"/>
    <x v="3"/>
    <n v="1459.5"/>
    <n v="25731.72595"/>
    <n v="8116.5138143971044"/>
    <n v="102280.88288638259"/>
    <n v="-0.82018141860226579"/>
    <m/>
    <x v="8"/>
  </r>
  <r>
    <s v="017"/>
    <x v="17"/>
    <x v="4"/>
    <n v="597956.24"/>
    <n v="7612935.9300000006"/>
    <n v="1437421.4886283781"/>
    <n v="9116528.9317702688"/>
    <n v="-0.79757669389119257"/>
    <m/>
    <x v="8"/>
  </r>
  <r>
    <s v="017"/>
    <x v="17"/>
    <x v="5"/>
    <n v="23398"/>
    <n v="703741"/>
    <n v="42000"/>
    <n v="253000"/>
    <n v="-0.48135714285714287"/>
    <m/>
    <x v="8"/>
  </r>
  <r>
    <s v="017"/>
    <x v="17"/>
    <x v="6"/>
    <n v="28"/>
    <n v="229"/>
    <n v="48"/>
    <n v="432"/>
    <n v="-0.625"/>
    <m/>
    <x v="8"/>
  </r>
  <r>
    <s v="017"/>
    <x v="17"/>
    <x v="7"/>
    <n v="715.28704000000107"/>
    <n v="9121.7425200000016"/>
    <n v="1861.3139535748796"/>
    <n v="13937.831931502107"/>
    <n v="0"/>
    <m/>
    <x v="8"/>
  </r>
  <r>
    <s v="017"/>
    <x v="17"/>
    <x v="8"/>
    <n v="134.28942453707077"/>
    <n v="5931.0800299999937"/>
    <n v="1796.9581053186071"/>
    <n v="10027.280844621968"/>
    <n v="-0.46528078358864194"/>
    <m/>
    <x v="8"/>
  </r>
  <r>
    <s v="018"/>
    <x v="18"/>
    <x v="0"/>
    <n v="-47.836220000011963"/>
    <n v="15573.943039999973"/>
    <n v="7998.6972117794458"/>
    <n v="118923.06327067671"/>
    <n v="-0.92576680498349473"/>
    <m/>
    <x v="8"/>
  </r>
  <r>
    <s v="018"/>
    <x v="18"/>
    <x v="1"/>
    <m/>
    <n v="48079.32279999998"/>
    <m/>
    <n v="88200.759502456145"/>
    <n v="0"/>
    <m/>
    <x v="8"/>
  </r>
  <r>
    <s v="018"/>
    <x v="18"/>
    <x v="2"/>
    <m/>
    <n v="176105.30009999996"/>
    <m/>
    <n v="201495.62103668126"/>
    <n v="0"/>
    <m/>
    <x v="8"/>
  </r>
  <r>
    <s v="018"/>
    <x v="18"/>
    <x v="3"/>
    <n v="3925.86445"/>
    <n v="33833.898400000005"/>
    <n v="13214.635475772764"/>
    <n v="152951.41285463658"/>
    <n v="-0.80776114069454164"/>
    <m/>
    <x v="8"/>
  </r>
  <r>
    <s v="018"/>
    <x v="18"/>
    <x v="4"/>
    <n v="141578"/>
    <n v="1264547.55"/>
    <n v="1499532.2936925676"/>
    <n v="9837193.7621554043"/>
    <n v="-0.926925214974753"/>
    <m/>
    <x v="8"/>
  </r>
  <r>
    <s v="018"/>
    <x v="18"/>
    <x v="5"/>
    <n v="0"/>
    <n v="31152"/>
    <n v="56000"/>
    <n v="361862"/>
    <n v="-1"/>
    <m/>
    <x v="8"/>
  </r>
  <r>
    <s v="018"/>
    <x v="18"/>
    <x v="6"/>
    <n v="41"/>
    <n v="715"/>
    <n v="108"/>
    <n v="972"/>
    <n v="-0.70370370370370372"/>
    <m/>
    <x v="8"/>
  </r>
  <r>
    <s v="018"/>
    <x v="18"/>
    <x v="7"/>
    <n v="420.07106999999996"/>
    <n v="3617.21965"/>
    <n v="2094.4344981658796"/>
    <n v="15691.270716749683"/>
    <n v="0"/>
    <m/>
    <x v="8"/>
  </r>
  <r>
    <s v="018"/>
    <x v="18"/>
    <x v="8"/>
    <n v="408.58534282631626"/>
    <n v="-3617.5238899999922"/>
    <n v="3907.6583743343826"/>
    <n v="24604.870904134979"/>
    <n v="-0.68537533934004335"/>
    <m/>
    <x v="8"/>
  </r>
  <r>
    <s v="019"/>
    <x v="19"/>
    <x v="0"/>
    <n v="0"/>
    <n v="-4.305629999999951"/>
    <n v="0"/>
    <n v="0"/>
    <n v="0"/>
    <m/>
    <x v="8"/>
  </r>
  <r>
    <s v="019"/>
    <x v="19"/>
    <x v="1"/>
    <m/>
    <n v="610.87942999999996"/>
    <m/>
    <n v="620.50470999999993"/>
    <n v="0"/>
    <m/>
    <x v="8"/>
  </r>
  <r>
    <s v="019"/>
    <x v="19"/>
    <x v="2"/>
    <m/>
    <n v="0"/>
    <m/>
    <n v="0"/>
    <n v="0"/>
    <m/>
    <x v="8"/>
  </r>
  <r>
    <s v="019"/>
    <x v="19"/>
    <x v="3"/>
    <n v="0"/>
    <n v="0"/>
    <n v="0"/>
    <n v="0"/>
    <n v="0"/>
    <m/>
    <x v="8"/>
  </r>
  <r>
    <s v="019"/>
    <x v="19"/>
    <x v="4"/>
    <n v="0"/>
    <n v="0"/>
    <n v="0"/>
    <n v="0"/>
    <n v="0"/>
    <m/>
    <x v="8"/>
  </r>
  <r>
    <s v="019"/>
    <x v="19"/>
    <x v="5"/>
    <n v="0"/>
    <n v="0"/>
    <n v="0"/>
    <n v="0"/>
    <n v="0"/>
    <m/>
    <x v="8"/>
  </r>
  <r>
    <s v="019"/>
    <x v="19"/>
    <x v="6"/>
    <n v="0"/>
    <n v="0"/>
    <n v="0"/>
    <n v="0"/>
    <n v="0"/>
    <m/>
    <x v="8"/>
  </r>
  <r>
    <s v="019"/>
    <x v="19"/>
    <x v="7"/>
    <n v="0"/>
    <n v="0.13669999999999999"/>
    <n v="0.83944240752935073"/>
    <n v="4.8929731999653363"/>
    <n v="0"/>
    <m/>
    <x v="8"/>
  </r>
  <r>
    <s v="019"/>
    <x v="19"/>
    <x v="8"/>
    <n v="-1.9862157639190094"/>
    <n v="28.726589999999991"/>
    <n v="-0.76573918176428968"/>
    <n v="-6.0247480017661932"/>
    <n v="-0.5092606301498277"/>
    <m/>
    <x v="8"/>
  </r>
  <r>
    <s v="020"/>
    <x v="20"/>
    <x v="0"/>
    <n v="-2080.8415899999673"/>
    <n v="-7927.4346799999475"/>
    <n v="11650.009711779476"/>
    <n v="161104.85827067675"/>
    <n v="-0.99439785273878323"/>
    <m/>
    <x v="8"/>
  </r>
  <r>
    <s v="020"/>
    <x v="20"/>
    <x v="1"/>
    <m/>
    <n v="210530.82475000003"/>
    <m/>
    <n v="310737.04955245618"/>
    <n v="0"/>
    <m/>
    <x v="8"/>
  </r>
  <r>
    <s v="020"/>
    <x v="20"/>
    <x v="2"/>
    <m/>
    <n v="127682.53033000001"/>
    <m/>
    <n v="217970.01402968139"/>
    <n v="0"/>
    <m/>
    <x v="8"/>
  </r>
  <r>
    <s v="020"/>
    <x v="20"/>
    <x v="3"/>
    <n v="880.69299999999998"/>
    <n v="14102.89"/>
    <n v="20868.444642439434"/>
    <n v="224216.66785463656"/>
    <n v="-0.98359278777759573"/>
    <m/>
    <x v="8"/>
  </r>
  <r>
    <s v="020"/>
    <x v="20"/>
    <x v="4"/>
    <n v="21900"/>
    <n v="168200"/>
    <n v="248443.22025675679"/>
    <n v="1679659.3215405405"/>
    <n v="-0.94606413495143238"/>
    <m/>
    <x v="8"/>
  </r>
  <r>
    <s v="020"/>
    <x v="20"/>
    <x v="5"/>
    <n v="32608"/>
    <n v="912911"/>
    <n v="56000"/>
    <n v="616536.37"/>
    <n v="-0.85405357142857141"/>
    <m/>
    <x v="8"/>
  </r>
  <r>
    <s v="020"/>
    <x v="20"/>
    <x v="6"/>
    <n v="45"/>
    <n v="942"/>
    <n v="178"/>
    <n v="1602"/>
    <n v="-0.8146067415730337"/>
    <m/>
    <x v="8"/>
  </r>
  <r>
    <s v="020"/>
    <x v="20"/>
    <x v="7"/>
    <n v="165.13244000000009"/>
    <n v="2140.6470800000002"/>
    <n v="1059.2493929117636"/>
    <n v="7258.7722265050224"/>
    <n v="0"/>
    <m/>
    <x v="8"/>
  </r>
  <r>
    <s v="020"/>
    <x v="20"/>
    <x v="8"/>
    <n v="-2770.8852460899561"/>
    <n v="-11867.748549999997"/>
    <n v="-338.82033085188283"/>
    <n v="-10768.423845162382"/>
    <n v="0.51958806724867523"/>
    <m/>
    <x v="8"/>
  </r>
  <r>
    <s v="000"/>
    <x v="0"/>
    <x v="0"/>
    <m/>
    <m/>
    <m/>
    <m/>
    <n v="0"/>
    <m/>
    <x v="9"/>
  </r>
  <r>
    <s v="000"/>
    <x v="0"/>
    <x v="1"/>
    <m/>
    <m/>
    <m/>
    <m/>
    <n v="0"/>
    <m/>
    <x v="9"/>
  </r>
  <r>
    <s v="000"/>
    <x v="0"/>
    <x v="2"/>
    <m/>
    <m/>
    <m/>
    <m/>
    <n v="0"/>
    <m/>
    <x v="9"/>
  </r>
  <r>
    <s v="000"/>
    <x v="0"/>
    <x v="3"/>
    <m/>
    <m/>
    <m/>
    <m/>
    <n v="0"/>
    <m/>
    <x v="9"/>
  </r>
  <r>
    <s v="000"/>
    <x v="0"/>
    <x v="4"/>
    <m/>
    <m/>
    <m/>
    <m/>
    <n v="0"/>
    <m/>
    <x v="9"/>
  </r>
  <r>
    <s v="000"/>
    <x v="0"/>
    <x v="5"/>
    <m/>
    <m/>
    <m/>
    <m/>
    <n v="0"/>
    <m/>
    <x v="9"/>
  </r>
  <r>
    <s v="000"/>
    <x v="0"/>
    <x v="6"/>
    <m/>
    <m/>
    <m/>
    <m/>
    <n v="0"/>
    <m/>
    <x v="9"/>
  </r>
  <r>
    <s v="000"/>
    <x v="0"/>
    <x v="7"/>
    <m/>
    <m/>
    <m/>
    <m/>
    <n v="0"/>
    <m/>
    <x v="9"/>
  </r>
  <r>
    <s v="000"/>
    <x v="0"/>
    <x v="8"/>
    <m/>
    <m/>
    <m/>
    <m/>
    <n v="0"/>
    <m/>
    <x v="9"/>
  </r>
  <r>
    <s v="001"/>
    <x v="1"/>
    <x v="0"/>
    <m/>
    <m/>
    <m/>
    <m/>
    <n v="0"/>
    <m/>
    <x v="9"/>
  </r>
  <r>
    <s v="001"/>
    <x v="1"/>
    <x v="1"/>
    <m/>
    <m/>
    <m/>
    <m/>
    <n v="0"/>
    <m/>
    <x v="9"/>
  </r>
  <r>
    <s v="001"/>
    <x v="1"/>
    <x v="2"/>
    <m/>
    <m/>
    <m/>
    <m/>
    <n v="0"/>
    <m/>
    <x v="9"/>
  </r>
  <r>
    <s v="001"/>
    <x v="1"/>
    <x v="3"/>
    <m/>
    <m/>
    <m/>
    <m/>
    <n v="0"/>
    <m/>
    <x v="9"/>
  </r>
  <r>
    <s v="001"/>
    <x v="1"/>
    <x v="4"/>
    <m/>
    <m/>
    <m/>
    <m/>
    <n v="0"/>
    <m/>
    <x v="9"/>
  </r>
  <r>
    <s v="001"/>
    <x v="1"/>
    <x v="5"/>
    <m/>
    <m/>
    <m/>
    <m/>
    <n v="0"/>
    <m/>
    <x v="9"/>
  </r>
  <r>
    <s v="001"/>
    <x v="1"/>
    <x v="6"/>
    <m/>
    <m/>
    <m/>
    <m/>
    <n v="0"/>
    <m/>
    <x v="9"/>
  </r>
  <r>
    <s v="001"/>
    <x v="1"/>
    <x v="7"/>
    <m/>
    <m/>
    <m/>
    <m/>
    <n v="0"/>
    <m/>
    <x v="9"/>
  </r>
  <r>
    <s v="001"/>
    <x v="1"/>
    <x v="8"/>
    <m/>
    <m/>
    <m/>
    <m/>
    <n v="0"/>
    <m/>
    <x v="9"/>
  </r>
  <r>
    <s v="002"/>
    <x v="2"/>
    <x v="0"/>
    <m/>
    <m/>
    <m/>
    <m/>
    <n v="0"/>
    <m/>
    <x v="9"/>
  </r>
  <r>
    <s v="002"/>
    <x v="2"/>
    <x v="1"/>
    <m/>
    <m/>
    <m/>
    <m/>
    <n v="0"/>
    <m/>
    <x v="9"/>
  </r>
  <r>
    <s v="002"/>
    <x v="2"/>
    <x v="2"/>
    <m/>
    <m/>
    <m/>
    <m/>
    <n v="0"/>
    <m/>
    <x v="9"/>
  </r>
  <r>
    <s v="002"/>
    <x v="2"/>
    <x v="3"/>
    <m/>
    <m/>
    <m/>
    <m/>
    <n v="0"/>
    <m/>
    <x v="9"/>
  </r>
  <r>
    <s v="002"/>
    <x v="2"/>
    <x v="4"/>
    <m/>
    <m/>
    <m/>
    <m/>
    <n v="0"/>
    <m/>
    <x v="9"/>
  </r>
  <r>
    <s v="002"/>
    <x v="2"/>
    <x v="5"/>
    <m/>
    <m/>
    <m/>
    <m/>
    <n v="0"/>
    <m/>
    <x v="9"/>
  </r>
  <r>
    <s v="002"/>
    <x v="2"/>
    <x v="6"/>
    <m/>
    <m/>
    <m/>
    <m/>
    <n v="0"/>
    <m/>
    <x v="9"/>
  </r>
  <r>
    <s v="002"/>
    <x v="2"/>
    <x v="7"/>
    <m/>
    <m/>
    <m/>
    <m/>
    <n v="0"/>
    <m/>
    <x v="9"/>
  </r>
  <r>
    <s v="002"/>
    <x v="2"/>
    <x v="8"/>
    <m/>
    <m/>
    <m/>
    <m/>
    <n v="0"/>
    <m/>
    <x v="9"/>
  </r>
  <r>
    <s v="003"/>
    <x v="3"/>
    <x v="0"/>
    <m/>
    <m/>
    <m/>
    <m/>
    <n v="0"/>
    <m/>
    <x v="9"/>
  </r>
  <r>
    <s v="003"/>
    <x v="3"/>
    <x v="1"/>
    <m/>
    <m/>
    <m/>
    <m/>
    <n v="0"/>
    <m/>
    <x v="9"/>
  </r>
  <r>
    <s v="003"/>
    <x v="3"/>
    <x v="2"/>
    <m/>
    <m/>
    <m/>
    <m/>
    <n v="0"/>
    <m/>
    <x v="9"/>
  </r>
  <r>
    <s v="003"/>
    <x v="3"/>
    <x v="3"/>
    <m/>
    <m/>
    <m/>
    <m/>
    <n v="0"/>
    <m/>
    <x v="9"/>
  </r>
  <r>
    <s v="003"/>
    <x v="3"/>
    <x v="4"/>
    <m/>
    <m/>
    <m/>
    <m/>
    <n v="0"/>
    <m/>
    <x v="9"/>
  </r>
  <r>
    <s v="003"/>
    <x v="3"/>
    <x v="5"/>
    <m/>
    <m/>
    <m/>
    <m/>
    <n v="0"/>
    <m/>
    <x v="9"/>
  </r>
  <r>
    <s v="003"/>
    <x v="3"/>
    <x v="6"/>
    <m/>
    <m/>
    <m/>
    <m/>
    <n v="0"/>
    <m/>
    <x v="9"/>
  </r>
  <r>
    <s v="003"/>
    <x v="3"/>
    <x v="7"/>
    <m/>
    <m/>
    <m/>
    <m/>
    <n v="0"/>
    <m/>
    <x v="9"/>
  </r>
  <r>
    <s v="003"/>
    <x v="3"/>
    <x v="8"/>
    <m/>
    <m/>
    <m/>
    <m/>
    <n v="0"/>
    <m/>
    <x v="9"/>
  </r>
  <r>
    <s v="004"/>
    <x v="4"/>
    <x v="0"/>
    <m/>
    <m/>
    <m/>
    <m/>
    <n v="0"/>
    <m/>
    <x v="9"/>
  </r>
  <r>
    <s v="004"/>
    <x v="4"/>
    <x v="1"/>
    <m/>
    <m/>
    <m/>
    <m/>
    <n v="0"/>
    <m/>
    <x v="9"/>
  </r>
  <r>
    <s v="004"/>
    <x v="4"/>
    <x v="2"/>
    <m/>
    <m/>
    <m/>
    <m/>
    <n v="0"/>
    <m/>
    <x v="9"/>
  </r>
  <r>
    <s v="004"/>
    <x v="4"/>
    <x v="3"/>
    <m/>
    <m/>
    <m/>
    <m/>
    <n v="0"/>
    <m/>
    <x v="9"/>
  </r>
  <r>
    <s v="004"/>
    <x v="4"/>
    <x v="4"/>
    <m/>
    <m/>
    <m/>
    <m/>
    <n v="0"/>
    <m/>
    <x v="9"/>
  </r>
  <r>
    <s v="004"/>
    <x v="4"/>
    <x v="5"/>
    <m/>
    <m/>
    <m/>
    <m/>
    <n v="0"/>
    <m/>
    <x v="9"/>
  </r>
  <r>
    <s v="004"/>
    <x v="4"/>
    <x v="6"/>
    <m/>
    <m/>
    <m/>
    <m/>
    <n v="0"/>
    <m/>
    <x v="9"/>
  </r>
  <r>
    <s v="004"/>
    <x v="4"/>
    <x v="7"/>
    <m/>
    <m/>
    <m/>
    <m/>
    <n v="0"/>
    <m/>
    <x v="9"/>
  </r>
  <r>
    <s v="004"/>
    <x v="4"/>
    <x v="8"/>
    <m/>
    <m/>
    <m/>
    <m/>
    <n v="0"/>
    <m/>
    <x v="9"/>
  </r>
  <r>
    <s v="005"/>
    <x v="5"/>
    <x v="0"/>
    <m/>
    <m/>
    <m/>
    <m/>
    <n v="0"/>
    <m/>
    <x v="9"/>
  </r>
  <r>
    <s v="005"/>
    <x v="5"/>
    <x v="1"/>
    <m/>
    <m/>
    <m/>
    <m/>
    <n v="0"/>
    <m/>
    <x v="9"/>
  </r>
  <r>
    <s v="005"/>
    <x v="5"/>
    <x v="2"/>
    <m/>
    <m/>
    <m/>
    <m/>
    <n v="0"/>
    <m/>
    <x v="9"/>
  </r>
  <r>
    <s v="005"/>
    <x v="5"/>
    <x v="3"/>
    <m/>
    <m/>
    <m/>
    <m/>
    <n v="0"/>
    <m/>
    <x v="9"/>
  </r>
  <r>
    <s v="005"/>
    <x v="5"/>
    <x v="4"/>
    <m/>
    <m/>
    <m/>
    <m/>
    <n v="0"/>
    <m/>
    <x v="9"/>
  </r>
  <r>
    <s v="005"/>
    <x v="5"/>
    <x v="5"/>
    <m/>
    <m/>
    <m/>
    <m/>
    <n v="0"/>
    <m/>
    <x v="9"/>
  </r>
  <r>
    <s v="005"/>
    <x v="5"/>
    <x v="6"/>
    <m/>
    <m/>
    <m/>
    <m/>
    <n v="0"/>
    <m/>
    <x v="9"/>
  </r>
  <r>
    <s v="005"/>
    <x v="5"/>
    <x v="7"/>
    <m/>
    <m/>
    <m/>
    <m/>
    <n v="0"/>
    <m/>
    <x v="9"/>
  </r>
  <r>
    <s v="005"/>
    <x v="5"/>
    <x v="8"/>
    <m/>
    <m/>
    <m/>
    <m/>
    <n v="0"/>
    <m/>
    <x v="9"/>
  </r>
  <r>
    <s v="006"/>
    <x v="6"/>
    <x v="0"/>
    <m/>
    <m/>
    <m/>
    <m/>
    <n v="0"/>
    <m/>
    <x v="9"/>
  </r>
  <r>
    <s v="006"/>
    <x v="6"/>
    <x v="1"/>
    <m/>
    <m/>
    <m/>
    <m/>
    <n v="0"/>
    <m/>
    <x v="9"/>
  </r>
  <r>
    <s v="006"/>
    <x v="6"/>
    <x v="2"/>
    <m/>
    <m/>
    <m/>
    <m/>
    <n v="0"/>
    <m/>
    <x v="9"/>
  </r>
  <r>
    <s v="006"/>
    <x v="6"/>
    <x v="3"/>
    <m/>
    <m/>
    <m/>
    <m/>
    <n v="0"/>
    <m/>
    <x v="9"/>
  </r>
  <r>
    <s v="006"/>
    <x v="6"/>
    <x v="4"/>
    <m/>
    <m/>
    <m/>
    <m/>
    <n v="0"/>
    <m/>
    <x v="9"/>
  </r>
  <r>
    <s v="006"/>
    <x v="6"/>
    <x v="5"/>
    <m/>
    <m/>
    <m/>
    <m/>
    <n v="0"/>
    <m/>
    <x v="9"/>
  </r>
  <r>
    <s v="006"/>
    <x v="6"/>
    <x v="6"/>
    <m/>
    <m/>
    <m/>
    <m/>
    <n v="0"/>
    <m/>
    <x v="9"/>
  </r>
  <r>
    <s v="006"/>
    <x v="6"/>
    <x v="7"/>
    <m/>
    <m/>
    <m/>
    <m/>
    <n v="0"/>
    <m/>
    <x v="9"/>
  </r>
  <r>
    <s v="006"/>
    <x v="6"/>
    <x v="8"/>
    <m/>
    <m/>
    <m/>
    <m/>
    <n v="0"/>
    <m/>
    <x v="9"/>
  </r>
  <r>
    <s v="007"/>
    <x v="7"/>
    <x v="0"/>
    <m/>
    <m/>
    <m/>
    <m/>
    <n v="0"/>
    <m/>
    <x v="9"/>
  </r>
  <r>
    <s v="007"/>
    <x v="7"/>
    <x v="1"/>
    <m/>
    <m/>
    <m/>
    <m/>
    <n v="0"/>
    <m/>
    <x v="9"/>
  </r>
  <r>
    <s v="007"/>
    <x v="7"/>
    <x v="2"/>
    <m/>
    <m/>
    <m/>
    <m/>
    <n v="0"/>
    <m/>
    <x v="9"/>
  </r>
  <r>
    <s v="007"/>
    <x v="7"/>
    <x v="3"/>
    <m/>
    <m/>
    <m/>
    <m/>
    <n v="0"/>
    <m/>
    <x v="9"/>
  </r>
  <r>
    <s v="007"/>
    <x v="7"/>
    <x v="4"/>
    <m/>
    <m/>
    <m/>
    <m/>
    <n v="0"/>
    <m/>
    <x v="9"/>
  </r>
  <r>
    <s v="007"/>
    <x v="7"/>
    <x v="5"/>
    <m/>
    <m/>
    <m/>
    <m/>
    <n v="0"/>
    <m/>
    <x v="9"/>
  </r>
  <r>
    <s v="007"/>
    <x v="7"/>
    <x v="6"/>
    <m/>
    <m/>
    <m/>
    <m/>
    <n v="0"/>
    <m/>
    <x v="9"/>
  </r>
  <r>
    <s v="007"/>
    <x v="7"/>
    <x v="7"/>
    <m/>
    <m/>
    <m/>
    <m/>
    <n v="0"/>
    <m/>
    <x v="9"/>
  </r>
  <r>
    <s v="007"/>
    <x v="7"/>
    <x v="8"/>
    <m/>
    <m/>
    <m/>
    <m/>
    <n v="0"/>
    <m/>
    <x v="9"/>
  </r>
  <r>
    <s v="008"/>
    <x v="8"/>
    <x v="0"/>
    <m/>
    <m/>
    <m/>
    <m/>
    <n v="0"/>
    <m/>
    <x v="9"/>
  </r>
  <r>
    <s v="008"/>
    <x v="8"/>
    <x v="1"/>
    <m/>
    <m/>
    <m/>
    <m/>
    <n v="0"/>
    <m/>
    <x v="9"/>
  </r>
  <r>
    <s v="008"/>
    <x v="8"/>
    <x v="2"/>
    <m/>
    <m/>
    <m/>
    <m/>
    <n v="0"/>
    <m/>
    <x v="9"/>
  </r>
  <r>
    <s v="008"/>
    <x v="8"/>
    <x v="3"/>
    <m/>
    <m/>
    <m/>
    <m/>
    <n v="0"/>
    <m/>
    <x v="9"/>
  </r>
  <r>
    <s v="008"/>
    <x v="8"/>
    <x v="4"/>
    <m/>
    <m/>
    <m/>
    <m/>
    <n v="0"/>
    <m/>
    <x v="9"/>
  </r>
  <r>
    <s v="008"/>
    <x v="8"/>
    <x v="5"/>
    <m/>
    <m/>
    <m/>
    <m/>
    <n v="0"/>
    <m/>
    <x v="9"/>
  </r>
  <r>
    <s v="008"/>
    <x v="8"/>
    <x v="6"/>
    <m/>
    <m/>
    <m/>
    <m/>
    <n v="0"/>
    <m/>
    <x v="9"/>
  </r>
  <r>
    <s v="008"/>
    <x v="8"/>
    <x v="7"/>
    <m/>
    <m/>
    <m/>
    <m/>
    <n v="0"/>
    <m/>
    <x v="9"/>
  </r>
  <r>
    <s v="008"/>
    <x v="8"/>
    <x v="8"/>
    <m/>
    <m/>
    <m/>
    <m/>
    <n v="0"/>
    <m/>
    <x v="9"/>
  </r>
  <r>
    <s v="009"/>
    <x v="9"/>
    <x v="0"/>
    <m/>
    <m/>
    <m/>
    <m/>
    <n v="0"/>
    <m/>
    <x v="9"/>
  </r>
  <r>
    <s v="009"/>
    <x v="9"/>
    <x v="1"/>
    <m/>
    <m/>
    <m/>
    <m/>
    <n v="0"/>
    <m/>
    <x v="9"/>
  </r>
  <r>
    <s v="009"/>
    <x v="9"/>
    <x v="2"/>
    <m/>
    <m/>
    <m/>
    <m/>
    <n v="0"/>
    <m/>
    <x v="9"/>
  </r>
  <r>
    <s v="009"/>
    <x v="9"/>
    <x v="3"/>
    <m/>
    <m/>
    <m/>
    <m/>
    <n v="0"/>
    <m/>
    <x v="9"/>
  </r>
  <r>
    <s v="009"/>
    <x v="9"/>
    <x v="4"/>
    <m/>
    <m/>
    <m/>
    <m/>
    <n v="0"/>
    <m/>
    <x v="9"/>
  </r>
  <r>
    <s v="009"/>
    <x v="9"/>
    <x v="5"/>
    <m/>
    <m/>
    <m/>
    <m/>
    <n v="0"/>
    <m/>
    <x v="9"/>
  </r>
  <r>
    <s v="009"/>
    <x v="9"/>
    <x v="6"/>
    <m/>
    <m/>
    <m/>
    <m/>
    <n v="0"/>
    <m/>
    <x v="9"/>
  </r>
  <r>
    <s v="009"/>
    <x v="9"/>
    <x v="7"/>
    <m/>
    <m/>
    <m/>
    <m/>
    <n v="0"/>
    <m/>
    <x v="9"/>
  </r>
  <r>
    <s v="009"/>
    <x v="9"/>
    <x v="8"/>
    <m/>
    <m/>
    <m/>
    <m/>
    <n v="0"/>
    <m/>
    <x v="9"/>
  </r>
  <r>
    <s v="010"/>
    <x v="10"/>
    <x v="0"/>
    <m/>
    <m/>
    <m/>
    <m/>
    <n v="0"/>
    <m/>
    <x v="9"/>
  </r>
  <r>
    <s v="010"/>
    <x v="10"/>
    <x v="1"/>
    <m/>
    <m/>
    <m/>
    <m/>
    <n v="0"/>
    <m/>
    <x v="9"/>
  </r>
  <r>
    <s v="010"/>
    <x v="10"/>
    <x v="2"/>
    <m/>
    <m/>
    <m/>
    <m/>
    <n v="0"/>
    <m/>
    <x v="9"/>
  </r>
  <r>
    <s v="010"/>
    <x v="10"/>
    <x v="3"/>
    <m/>
    <m/>
    <m/>
    <m/>
    <n v="0"/>
    <m/>
    <x v="9"/>
  </r>
  <r>
    <s v="010"/>
    <x v="10"/>
    <x v="4"/>
    <m/>
    <m/>
    <m/>
    <m/>
    <n v="0"/>
    <m/>
    <x v="9"/>
  </r>
  <r>
    <s v="010"/>
    <x v="10"/>
    <x v="5"/>
    <m/>
    <m/>
    <m/>
    <m/>
    <n v="0"/>
    <m/>
    <x v="9"/>
  </r>
  <r>
    <s v="010"/>
    <x v="10"/>
    <x v="6"/>
    <m/>
    <m/>
    <m/>
    <m/>
    <n v="0"/>
    <m/>
    <x v="9"/>
  </r>
  <r>
    <s v="010"/>
    <x v="10"/>
    <x v="7"/>
    <m/>
    <m/>
    <m/>
    <m/>
    <n v="0"/>
    <m/>
    <x v="9"/>
  </r>
  <r>
    <s v="010"/>
    <x v="10"/>
    <x v="8"/>
    <m/>
    <m/>
    <m/>
    <m/>
    <n v="0"/>
    <m/>
    <x v="9"/>
  </r>
  <r>
    <s v="011"/>
    <x v="11"/>
    <x v="0"/>
    <m/>
    <m/>
    <m/>
    <m/>
    <n v="0"/>
    <m/>
    <x v="9"/>
  </r>
  <r>
    <s v="011"/>
    <x v="11"/>
    <x v="1"/>
    <m/>
    <m/>
    <m/>
    <m/>
    <n v="0"/>
    <m/>
    <x v="9"/>
  </r>
  <r>
    <s v="011"/>
    <x v="11"/>
    <x v="2"/>
    <m/>
    <m/>
    <m/>
    <m/>
    <n v="0"/>
    <m/>
    <x v="9"/>
  </r>
  <r>
    <s v="011"/>
    <x v="11"/>
    <x v="3"/>
    <m/>
    <m/>
    <m/>
    <m/>
    <n v="0"/>
    <m/>
    <x v="9"/>
  </r>
  <r>
    <s v="011"/>
    <x v="11"/>
    <x v="4"/>
    <m/>
    <m/>
    <m/>
    <m/>
    <n v="0"/>
    <m/>
    <x v="9"/>
  </r>
  <r>
    <s v="011"/>
    <x v="11"/>
    <x v="5"/>
    <m/>
    <m/>
    <m/>
    <m/>
    <n v="0"/>
    <m/>
    <x v="9"/>
  </r>
  <r>
    <s v="011"/>
    <x v="11"/>
    <x v="6"/>
    <m/>
    <m/>
    <m/>
    <m/>
    <n v="0"/>
    <m/>
    <x v="9"/>
  </r>
  <r>
    <s v="011"/>
    <x v="11"/>
    <x v="7"/>
    <m/>
    <m/>
    <m/>
    <m/>
    <n v="0"/>
    <m/>
    <x v="9"/>
  </r>
  <r>
    <s v="011"/>
    <x v="11"/>
    <x v="8"/>
    <m/>
    <m/>
    <m/>
    <m/>
    <n v="0"/>
    <m/>
    <x v="9"/>
  </r>
  <r>
    <s v="012"/>
    <x v="12"/>
    <x v="0"/>
    <m/>
    <m/>
    <m/>
    <m/>
    <n v="0"/>
    <m/>
    <x v="9"/>
  </r>
  <r>
    <s v="012"/>
    <x v="12"/>
    <x v="1"/>
    <m/>
    <m/>
    <m/>
    <m/>
    <n v="0"/>
    <m/>
    <x v="9"/>
  </r>
  <r>
    <s v="012"/>
    <x v="12"/>
    <x v="2"/>
    <m/>
    <m/>
    <m/>
    <m/>
    <n v="0"/>
    <m/>
    <x v="9"/>
  </r>
  <r>
    <s v="012"/>
    <x v="12"/>
    <x v="3"/>
    <m/>
    <m/>
    <m/>
    <m/>
    <n v="0"/>
    <m/>
    <x v="9"/>
  </r>
  <r>
    <s v="012"/>
    <x v="12"/>
    <x v="4"/>
    <m/>
    <m/>
    <m/>
    <m/>
    <n v="0"/>
    <m/>
    <x v="9"/>
  </r>
  <r>
    <s v="012"/>
    <x v="12"/>
    <x v="5"/>
    <m/>
    <m/>
    <m/>
    <m/>
    <n v="0"/>
    <m/>
    <x v="9"/>
  </r>
  <r>
    <s v="012"/>
    <x v="12"/>
    <x v="6"/>
    <m/>
    <m/>
    <m/>
    <m/>
    <n v="0"/>
    <m/>
    <x v="9"/>
  </r>
  <r>
    <s v="012"/>
    <x v="12"/>
    <x v="7"/>
    <m/>
    <m/>
    <m/>
    <m/>
    <n v="0"/>
    <m/>
    <x v="9"/>
  </r>
  <r>
    <s v="012"/>
    <x v="12"/>
    <x v="8"/>
    <m/>
    <m/>
    <m/>
    <m/>
    <n v="0"/>
    <m/>
    <x v="9"/>
  </r>
  <r>
    <s v="013"/>
    <x v="13"/>
    <x v="0"/>
    <m/>
    <m/>
    <m/>
    <m/>
    <n v="0"/>
    <m/>
    <x v="9"/>
  </r>
  <r>
    <s v="013"/>
    <x v="13"/>
    <x v="1"/>
    <m/>
    <m/>
    <m/>
    <m/>
    <n v="0"/>
    <m/>
    <x v="9"/>
  </r>
  <r>
    <s v="013"/>
    <x v="13"/>
    <x v="2"/>
    <m/>
    <m/>
    <m/>
    <m/>
    <n v="0"/>
    <m/>
    <x v="9"/>
  </r>
  <r>
    <s v="013"/>
    <x v="13"/>
    <x v="3"/>
    <m/>
    <m/>
    <m/>
    <m/>
    <n v="0"/>
    <m/>
    <x v="9"/>
  </r>
  <r>
    <s v="013"/>
    <x v="13"/>
    <x v="4"/>
    <m/>
    <m/>
    <m/>
    <m/>
    <n v="0"/>
    <m/>
    <x v="9"/>
  </r>
  <r>
    <s v="013"/>
    <x v="13"/>
    <x v="5"/>
    <m/>
    <m/>
    <m/>
    <m/>
    <n v="0"/>
    <m/>
    <x v="9"/>
  </r>
  <r>
    <s v="013"/>
    <x v="13"/>
    <x v="6"/>
    <m/>
    <m/>
    <m/>
    <m/>
    <n v="0"/>
    <m/>
    <x v="9"/>
  </r>
  <r>
    <s v="013"/>
    <x v="13"/>
    <x v="7"/>
    <m/>
    <m/>
    <m/>
    <m/>
    <n v="0"/>
    <m/>
    <x v="9"/>
  </r>
  <r>
    <s v="013"/>
    <x v="13"/>
    <x v="8"/>
    <m/>
    <m/>
    <m/>
    <m/>
    <n v="0"/>
    <m/>
    <x v="9"/>
  </r>
  <r>
    <s v="014"/>
    <x v="14"/>
    <x v="0"/>
    <m/>
    <m/>
    <m/>
    <m/>
    <n v="0"/>
    <m/>
    <x v="9"/>
  </r>
  <r>
    <s v="014"/>
    <x v="14"/>
    <x v="1"/>
    <m/>
    <m/>
    <m/>
    <m/>
    <n v="0"/>
    <m/>
    <x v="9"/>
  </r>
  <r>
    <s v="014"/>
    <x v="14"/>
    <x v="2"/>
    <m/>
    <m/>
    <m/>
    <m/>
    <n v="0"/>
    <m/>
    <x v="9"/>
  </r>
  <r>
    <s v="014"/>
    <x v="14"/>
    <x v="3"/>
    <m/>
    <m/>
    <m/>
    <m/>
    <n v="0"/>
    <m/>
    <x v="9"/>
  </r>
  <r>
    <s v="014"/>
    <x v="14"/>
    <x v="4"/>
    <m/>
    <m/>
    <m/>
    <m/>
    <n v="0"/>
    <m/>
    <x v="9"/>
  </r>
  <r>
    <s v="014"/>
    <x v="14"/>
    <x v="5"/>
    <m/>
    <m/>
    <m/>
    <m/>
    <n v="0"/>
    <m/>
    <x v="9"/>
  </r>
  <r>
    <s v="014"/>
    <x v="14"/>
    <x v="6"/>
    <m/>
    <m/>
    <m/>
    <m/>
    <n v="0"/>
    <m/>
    <x v="9"/>
  </r>
  <r>
    <s v="014"/>
    <x v="14"/>
    <x v="7"/>
    <m/>
    <m/>
    <m/>
    <m/>
    <n v="0"/>
    <m/>
    <x v="9"/>
  </r>
  <r>
    <s v="014"/>
    <x v="14"/>
    <x v="8"/>
    <m/>
    <m/>
    <m/>
    <m/>
    <n v="0"/>
    <m/>
    <x v="9"/>
  </r>
  <r>
    <s v="015"/>
    <x v="15"/>
    <x v="0"/>
    <m/>
    <m/>
    <m/>
    <m/>
    <n v="0"/>
    <m/>
    <x v="9"/>
  </r>
  <r>
    <s v="015"/>
    <x v="15"/>
    <x v="1"/>
    <m/>
    <m/>
    <m/>
    <m/>
    <n v="0"/>
    <m/>
    <x v="9"/>
  </r>
  <r>
    <s v="015"/>
    <x v="15"/>
    <x v="2"/>
    <m/>
    <m/>
    <m/>
    <m/>
    <n v="0"/>
    <m/>
    <x v="9"/>
  </r>
  <r>
    <s v="015"/>
    <x v="15"/>
    <x v="3"/>
    <m/>
    <m/>
    <m/>
    <m/>
    <n v="0"/>
    <m/>
    <x v="9"/>
  </r>
  <r>
    <s v="015"/>
    <x v="15"/>
    <x v="4"/>
    <m/>
    <m/>
    <m/>
    <m/>
    <n v="0"/>
    <m/>
    <x v="9"/>
  </r>
  <r>
    <s v="015"/>
    <x v="15"/>
    <x v="5"/>
    <m/>
    <m/>
    <m/>
    <m/>
    <n v="0"/>
    <m/>
    <x v="9"/>
  </r>
  <r>
    <s v="015"/>
    <x v="15"/>
    <x v="6"/>
    <m/>
    <m/>
    <m/>
    <m/>
    <n v="0"/>
    <m/>
    <x v="9"/>
  </r>
  <r>
    <s v="015"/>
    <x v="15"/>
    <x v="7"/>
    <m/>
    <m/>
    <m/>
    <m/>
    <n v="0"/>
    <m/>
    <x v="9"/>
  </r>
  <r>
    <s v="015"/>
    <x v="15"/>
    <x v="8"/>
    <m/>
    <m/>
    <m/>
    <m/>
    <n v="0"/>
    <m/>
    <x v="9"/>
  </r>
  <r>
    <s v="016"/>
    <x v="16"/>
    <x v="0"/>
    <m/>
    <m/>
    <m/>
    <m/>
    <n v="0"/>
    <m/>
    <x v="9"/>
  </r>
  <r>
    <s v="016"/>
    <x v="16"/>
    <x v="1"/>
    <m/>
    <m/>
    <m/>
    <m/>
    <n v="0"/>
    <m/>
    <x v="9"/>
  </r>
  <r>
    <s v="016"/>
    <x v="16"/>
    <x v="2"/>
    <m/>
    <m/>
    <m/>
    <m/>
    <n v="0"/>
    <m/>
    <x v="9"/>
  </r>
  <r>
    <s v="016"/>
    <x v="16"/>
    <x v="3"/>
    <m/>
    <m/>
    <m/>
    <m/>
    <n v="0"/>
    <m/>
    <x v="9"/>
  </r>
  <r>
    <s v="016"/>
    <x v="16"/>
    <x v="4"/>
    <m/>
    <m/>
    <m/>
    <m/>
    <n v="0"/>
    <m/>
    <x v="9"/>
  </r>
  <r>
    <s v="016"/>
    <x v="16"/>
    <x v="5"/>
    <m/>
    <m/>
    <m/>
    <m/>
    <n v="0"/>
    <m/>
    <x v="9"/>
  </r>
  <r>
    <s v="016"/>
    <x v="16"/>
    <x v="6"/>
    <m/>
    <m/>
    <m/>
    <m/>
    <n v="0"/>
    <m/>
    <x v="9"/>
  </r>
  <r>
    <s v="016"/>
    <x v="16"/>
    <x v="7"/>
    <m/>
    <m/>
    <m/>
    <m/>
    <n v="0"/>
    <m/>
    <x v="9"/>
  </r>
  <r>
    <s v="016"/>
    <x v="16"/>
    <x v="8"/>
    <m/>
    <m/>
    <m/>
    <m/>
    <n v="0"/>
    <m/>
    <x v="9"/>
  </r>
  <r>
    <s v="017"/>
    <x v="17"/>
    <x v="0"/>
    <m/>
    <m/>
    <m/>
    <m/>
    <n v="0"/>
    <m/>
    <x v="9"/>
  </r>
  <r>
    <s v="017"/>
    <x v="17"/>
    <x v="1"/>
    <m/>
    <m/>
    <m/>
    <m/>
    <n v="0"/>
    <m/>
    <x v="9"/>
  </r>
  <r>
    <s v="017"/>
    <x v="17"/>
    <x v="2"/>
    <m/>
    <m/>
    <m/>
    <m/>
    <n v="0"/>
    <m/>
    <x v="9"/>
  </r>
  <r>
    <s v="017"/>
    <x v="17"/>
    <x v="3"/>
    <m/>
    <m/>
    <m/>
    <m/>
    <n v="0"/>
    <m/>
    <x v="9"/>
  </r>
  <r>
    <s v="017"/>
    <x v="17"/>
    <x v="4"/>
    <m/>
    <m/>
    <m/>
    <m/>
    <n v="0"/>
    <m/>
    <x v="9"/>
  </r>
  <r>
    <s v="017"/>
    <x v="17"/>
    <x v="5"/>
    <m/>
    <m/>
    <m/>
    <m/>
    <n v="0"/>
    <m/>
    <x v="9"/>
  </r>
  <r>
    <s v="017"/>
    <x v="17"/>
    <x v="6"/>
    <m/>
    <m/>
    <m/>
    <m/>
    <n v="0"/>
    <m/>
    <x v="9"/>
  </r>
  <r>
    <s v="017"/>
    <x v="17"/>
    <x v="7"/>
    <m/>
    <m/>
    <m/>
    <m/>
    <n v="0"/>
    <m/>
    <x v="9"/>
  </r>
  <r>
    <s v="017"/>
    <x v="17"/>
    <x v="8"/>
    <m/>
    <m/>
    <m/>
    <m/>
    <n v="0"/>
    <m/>
    <x v="9"/>
  </r>
  <r>
    <s v="018"/>
    <x v="18"/>
    <x v="0"/>
    <m/>
    <m/>
    <m/>
    <m/>
    <n v="0"/>
    <m/>
    <x v="9"/>
  </r>
  <r>
    <s v="018"/>
    <x v="18"/>
    <x v="1"/>
    <m/>
    <m/>
    <m/>
    <m/>
    <n v="0"/>
    <m/>
    <x v="9"/>
  </r>
  <r>
    <s v="018"/>
    <x v="18"/>
    <x v="2"/>
    <m/>
    <m/>
    <m/>
    <m/>
    <n v="0"/>
    <m/>
    <x v="9"/>
  </r>
  <r>
    <s v="018"/>
    <x v="18"/>
    <x v="3"/>
    <m/>
    <m/>
    <m/>
    <m/>
    <n v="0"/>
    <m/>
    <x v="9"/>
  </r>
  <r>
    <s v="018"/>
    <x v="18"/>
    <x v="4"/>
    <m/>
    <m/>
    <m/>
    <m/>
    <n v="0"/>
    <m/>
    <x v="9"/>
  </r>
  <r>
    <s v="018"/>
    <x v="18"/>
    <x v="5"/>
    <m/>
    <m/>
    <m/>
    <m/>
    <n v="0"/>
    <m/>
    <x v="9"/>
  </r>
  <r>
    <s v="018"/>
    <x v="18"/>
    <x v="6"/>
    <m/>
    <m/>
    <m/>
    <m/>
    <n v="0"/>
    <m/>
    <x v="9"/>
  </r>
  <r>
    <s v="018"/>
    <x v="18"/>
    <x v="7"/>
    <m/>
    <m/>
    <m/>
    <m/>
    <n v="0"/>
    <m/>
    <x v="9"/>
  </r>
  <r>
    <s v="018"/>
    <x v="18"/>
    <x v="8"/>
    <m/>
    <m/>
    <m/>
    <m/>
    <n v="0"/>
    <m/>
    <x v="9"/>
  </r>
  <r>
    <s v="019"/>
    <x v="19"/>
    <x v="0"/>
    <m/>
    <m/>
    <m/>
    <m/>
    <n v="0"/>
    <m/>
    <x v="9"/>
  </r>
  <r>
    <s v="019"/>
    <x v="19"/>
    <x v="1"/>
    <m/>
    <m/>
    <m/>
    <m/>
    <n v="0"/>
    <m/>
    <x v="9"/>
  </r>
  <r>
    <s v="019"/>
    <x v="19"/>
    <x v="2"/>
    <m/>
    <m/>
    <m/>
    <m/>
    <n v="0"/>
    <m/>
    <x v="9"/>
  </r>
  <r>
    <s v="019"/>
    <x v="19"/>
    <x v="3"/>
    <m/>
    <m/>
    <m/>
    <m/>
    <n v="0"/>
    <m/>
    <x v="9"/>
  </r>
  <r>
    <s v="019"/>
    <x v="19"/>
    <x v="4"/>
    <m/>
    <m/>
    <m/>
    <m/>
    <n v="0"/>
    <m/>
    <x v="9"/>
  </r>
  <r>
    <s v="019"/>
    <x v="19"/>
    <x v="5"/>
    <m/>
    <m/>
    <m/>
    <m/>
    <n v="0"/>
    <m/>
    <x v="9"/>
  </r>
  <r>
    <s v="019"/>
    <x v="19"/>
    <x v="6"/>
    <m/>
    <m/>
    <m/>
    <m/>
    <n v="0"/>
    <m/>
    <x v="9"/>
  </r>
  <r>
    <s v="019"/>
    <x v="19"/>
    <x v="7"/>
    <m/>
    <m/>
    <m/>
    <m/>
    <n v="0"/>
    <m/>
    <x v="9"/>
  </r>
  <r>
    <s v="019"/>
    <x v="19"/>
    <x v="8"/>
    <m/>
    <m/>
    <m/>
    <m/>
    <n v="0"/>
    <m/>
    <x v="9"/>
  </r>
  <r>
    <s v="020"/>
    <x v="20"/>
    <x v="0"/>
    <m/>
    <m/>
    <m/>
    <m/>
    <n v="0"/>
    <m/>
    <x v="9"/>
  </r>
  <r>
    <s v="020"/>
    <x v="20"/>
    <x v="1"/>
    <m/>
    <m/>
    <m/>
    <m/>
    <n v="0"/>
    <m/>
    <x v="9"/>
  </r>
  <r>
    <s v="020"/>
    <x v="20"/>
    <x v="2"/>
    <m/>
    <m/>
    <m/>
    <m/>
    <n v="0"/>
    <m/>
    <x v="9"/>
  </r>
  <r>
    <s v="020"/>
    <x v="20"/>
    <x v="3"/>
    <m/>
    <m/>
    <m/>
    <m/>
    <n v="0"/>
    <m/>
    <x v="9"/>
  </r>
  <r>
    <s v="020"/>
    <x v="20"/>
    <x v="4"/>
    <m/>
    <m/>
    <m/>
    <m/>
    <n v="0"/>
    <m/>
    <x v="9"/>
  </r>
  <r>
    <s v="020"/>
    <x v="20"/>
    <x v="5"/>
    <m/>
    <m/>
    <m/>
    <m/>
    <n v="0"/>
    <m/>
    <x v="9"/>
  </r>
  <r>
    <s v="020"/>
    <x v="20"/>
    <x v="6"/>
    <m/>
    <m/>
    <m/>
    <m/>
    <n v="0"/>
    <m/>
    <x v="9"/>
  </r>
  <r>
    <s v="020"/>
    <x v="20"/>
    <x v="7"/>
    <m/>
    <m/>
    <m/>
    <m/>
    <n v="0"/>
    <m/>
    <x v="9"/>
  </r>
  <r>
    <s v="020"/>
    <x v="20"/>
    <x v="8"/>
    <m/>
    <m/>
    <m/>
    <m/>
    <n v="0"/>
    <m/>
    <x v="9"/>
  </r>
  <r>
    <s v="000"/>
    <x v="0"/>
    <x v="0"/>
    <m/>
    <m/>
    <m/>
    <m/>
    <n v="0"/>
    <m/>
    <x v="10"/>
  </r>
  <r>
    <s v="000"/>
    <x v="0"/>
    <x v="1"/>
    <m/>
    <m/>
    <m/>
    <m/>
    <n v="0"/>
    <m/>
    <x v="10"/>
  </r>
  <r>
    <s v="000"/>
    <x v="0"/>
    <x v="2"/>
    <m/>
    <m/>
    <m/>
    <m/>
    <n v="0"/>
    <m/>
    <x v="10"/>
  </r>
  <r>
    <s v="000"/>
    <x v="0"/>
    <x v="3"/>
    <m/>
    <m/>
    <m/>
    <m/>
    <n v="0"/>
    <m/>
    <x v="10"/>
  </r>
  <r>
    <s v="000"/>
    <x v="0"/>
    <x v="4"/>
    <m/>
    <m/>
    <m/>
    <m/>
    <n v="0"/>
    <m/>
    <x v="10"/>
  </r>
  <r>
    <s v="000"/>
    <x v="0"/>
    <x v="5"/>
    <m/>
    <m/>
    <m/>
    <m/>
    <n v="0"/>
    <m/>
    <x v="10"/>
  </r>
  <r>
    <s v="000"/>
    <x v="0"/>
    <x v="6"/>
    <m/>
    <m/>
    <m/>
    <m/>
    <n v="0"/>
    <m/>
    <x v="10"/>
  </r>
  <r>
    <s v="000"/>
    <x v="0"/>
    <x v="7"/>
    <m/>
    <m/>
    <m/>
    <m/>
    <n v="0"/>
    <m/>
    <x v="10"/>
  </r>
  <r>
    <s v="000"/>
    <x v="0"/>
    <x v="8"/>
    <m/>
    <m/>
    <m/>
    <m/>
    <n v="0"/>
    <m/>
    <x v="10"/>
  </r>
  <r>
    <s v="001"/>
    <x v="1"/>
    <x v="0"/>
    <m/>
    <m/>
    <m/>
    <m/>
    <n v="0"/>
    <m/>
    <x v="10"/>
  </r>
  <r>
    <s v="001"/>
    <x v="1"/>
    <x v="1"/>
    <m/>
    <m/>
    <m/>
    <m/>
    <n v="0"/>
    <m/>
    <x v="10"/>
  </r>
  <r>
    <s v="001"/>
    <x v="1"/>
    <x v="2"/>
    <m/>
    <m/>
    <m/>
    <m/>
    <n v="0"/>
    <m/>
    <x v="10"/>
  </r>
  <r>
    <s v="001"/>
    <x v="1"/>
    <x v="3"/>
    <m/>
    <m/>
    <m/>
    <m/>
    <n v="0"/>
    <m/>
    <x v="10"/>
  </r>
  <r>
    <s v="001"/>
    <x v="1"/>
    <x v="4"/>
    <m/>
    <m/>
    <m/>
    <m/>
    <n v="0"/>
    <m/>
    <x v="10"/>
  </r>
  <r>
    <s v="001"/>
    <x v="1"/>
    <x v="5"/>
    <m/>
    <m/>
    <m/>
    <m/>
    <n v="0"/>
    <m/>
    <x v="10"/>
  </r>
  <r>
    <s v="001"/>
    <x v="1"/>
    <x v="6"/>
    <m/>
    <m/>
    <m/>
    <m/>
    <n v="0"/>
    <m/>
    <x v="10"/>
  </r>
  <r>
    <s v="001"/>
    <x v="1"/>
    <x v="7"/>
    <m/>
    <m/>
    <m/>
    <m/>
    <n v="0"/>
    <m/>
    <x v="10"/>
  </r>
  <r>
    <s v="001"/>
    <x v="1"/>
    <x v="8"/>
    <m/>
    <m/>
    <m/>
    <m/>
    <n v="0"/>
    <m/>
    <x v="10"/>
  </r>
  <r>
    <s v="002"/>
    <x v="2"/>
    <x v="0"/>
    <m/>
    <m/>
    <m/>
    <m/>
    <n v="0"/>
    <m/>
    <x v="10"/>
  </r>
  <r>
    <s v="002"/>
    <x v="2"/>
    <x v="1"/>
    <m/>
    <m/>
    <m/>
    <m/>
    <n v="0"/>
    <m/>
    <x v="10"/>
  </r>
  <r>
    <s v="002"/>
    <x v="2"/>
    <x v="2"/>
    <m/>
    <m/>
    <m/>
    <m/>
    <n v="0"/>
    <m/>
    <x v="10"/>
  </r>
  <r>
    <s v="002"/>
    <x v="2"/>
    <x v="3"/>
    <m/>
    <m/>
    <m/>
    <m/>
    <n v="0"/>
    <m/>
    <x v="10"/>
  </r>
  <r>
    <s v="002"/>
    <x v="2"/>
    <x v="4"/>
    <m/>
    <m/>
    <m/>
    <m/>
    <n v="0"/>
    <m/>
    <x v="10"/>
  </r>
  <r>
    <s v="002"/>
    <x v="2"/>
    <x v="5"/>
    <m/>
    <m/>
    <m/>
    <m/>
    <n v="0"/>
    <m/>
    <x v="10"/>
  </r>
  <r>
    <s v="002"/>
    <x v="2"/>
    <x v="6"/>
    <m/>
    <m/>
    <m/>
    <m/>
    <n v="0"/>
    <m/>
    <x v="10"/>
  </r>
  <r>
    <s v="002"/>
    <x v="2"/>
    <x v="7"/>
    <m/>
    <m/>
    <m/>
    <m/>
    <n v="0"/>
    <m/>
    <x v="10"/>
  </r>
  <r>
    <s v="002"/>
    <x v="2"/>
    <x v="8"/>
    <m/>
    <m/>
    <m/>
    <m/>
    <n v="0"/>
    <m/>
    <x v="10"/>
  </r>
  <r>
    <s v="003"/>
    <x v="3"/>
    <x v="0"/>
    <m/>
    <m/>
    <m/>
    <m/>
    <n v="0"/>
    <m/>
    <x v="10"/>
  </r>
  <r>
    <s v="003"/>
    <x v="3"/>
    <x v="1"/>
    <m/>
    <m/>
    <m/>
    <m/>
    <n v="0"/>
    <m/>
    <x v="10"/>
  </r>
  <r>
    <s v="003"/>
    <x v="3"/>
    <x v="2"/>
    <m/>
    <m/>
    <m/>
    <m/>
    <n v="0"/>
    <m/>
    <x v="10"/>
  </r>
  <r>
    <s v="003"/>
    <x v="3"/>
    <x v="3"/>
    <m/>
    <m/>
    <m/>
    <m/>
    <n v="0"/>
    <m/>
    <x v="10"/>
  </r>
  <r>
    <s v="003"/>
    <x v="3"/>
    <x v="4"/>
    <m/>
    <m/>
    <m/>
    <m/>
    <n v="0"/>
    <m/>
    <x v="10"/>
  </r>
  <r>
    <s v="003"/>
    <x v="3"/>
    <x v="5"/>
    <m/>
    <m/>
    <m/>
    <m/>
    <n v="0"/>
    <m/>
    <x v="10"/>
  </r>
  <r>
    <s v="003"/>
    <x v="3"/>
    <x v="6"/>
    <m/>
    <m/>
    <m/>
    <m/>
    <n v="0"/>
    <m/>
    <x v="10"/>
  </r>
  <r>
    <s v="003"/>
    <x v="3"/>
    <x v="7"/>
    <m/>
    <m/>
    <m/>
    <m/>
    <n v="0"/>
    <m/>
    <x v="10"/>
  </r>
  <r>
    <s v="003"/>
    <x v="3"/>
    <x v="8"/>
    <m/>
    <m/>
    <m/>
    <m/>
    <n v="0"/>
    <m/>
    <x v="10"/>
  </r>
  <r>
    <s v="004"/>
    <x v="4"/>
    <x v="0"/>
    <m/>
    <m/>
    <m/>
    <m/>
    <n v="0"/>
    <m/>
    <x v="10"/>
  </r>
  <r>
    <s v="004"/>
    <x v="4"/>
    <x v="1"/>
    <m/>
    <m/>
    <m/>
    <m/>
    <n v="0"/>
    <m/>
    <x v="10"/>
  </r>
  <r>
    <s v="004"/>
    <x v="4"/>
    <x v="2"/>
    <m/>
    <m/>
    <m/>
    <m/>
    <n v="0"/>
    <m/>
    <x v="10"/>
  </r>
  <r>
    <s v="004"/>
    <x v="4"/>
    <x v="3"/>
    <m/>
    <m/>
    <m/>
    <m/>
    <n v="0"/>
    <m/>
    <x v="10"/>
  </r>
  <r>
    <s v="004"/>
    <x v="4"/>
    <x v="4"/>
    <m/>
    <m/>
    <m/>
    <m/>
    <n v="0"/>
    <m/>
    <x v="10"/>
  </r>
  <r>
    <s v="004"/>
    <x v="4"/>
    <x v="5"/>
    <m/>
    <m/>
    <m/>
    <m/>
    <n v="0"/>
    <m/>
    <x v="10"/>
  </r>
  <r>
    <s v="004"/>
    <x v="4"/>
    <x v="6"/>
    <m/>
    <m/>
    <m/>
    <m/>
    <n v="0"/>
    <m/>
    <x v="10"/>
  </r>
  <r>
    <s v="004"/>
    <x v="4"/>
    <x v="7"/>
    <m/>
    <m/>
    <m/>
    <m/>
    <n v="0"/>
    <m/>
    <x v="10"/>
  </r>
  <r>
    <s v="004"/>
    <x v="4"/>
    <x v="8"/>
    <m/>
    <m/>
    <m/>
    <m/>
    <n v="0"/>
    <m/>
    <x v="10"/>
  </r>
  <r>
    <s v="005"/>
    <x v="5"/>
    <x v="0"/>
    <m/>
    <m/>
    <m/>
    <m/>
    <n v="0"/>
    <m/>
    <x v="10"/>
  </r>
  <r>
    <s v="005"/>
    <x v="5"/>
    <x v="1"/>
    <m/>
    <m/>
    <m/>
    <m/>
    <n v="0"/>
    <m/>
    <x v="10"/>
  </r>
  <r>
    <s v="005"/>
    <x v="5"/>
    <x v="2"/>
    <m/>
    <m/>
    <m/>
    <m/>
    <n v="0"/>
    <m/>
    <x v="10"/>
  </r>
  <r>
    <s v="005"/>
    <x v="5"/>
    <x v="3"/>
    <m/>
    <m/>
    <m/>
    <m/>
    <n v="0"/>
    <m/>
    <x v="10"/>
  </r>
  <r>
    <s v="005"/>
    <x v="5"/>
    <x v="4"/>
    <m/>
    <m/>
    <m/>
    <m/>
    <n v="0"/>
    <m/>
    <x v="10"/>
  </r>
  <r>
    <s v="005"/>
    <x v="5"/>
    <x v="5"/>
    <m/>
    <m/>
    <m/>
    <m/>
    <n v="0"/>
    <m/>
    <x v="10"/>
  </r>
  <r>
    <s v="005"/>
    <x v="5"/>
    <x v="6"/>
    <m/>
    <m/>
    <m/>
    <m/>
    <n v="0"/>
    <m/>
    <x v="10"/>
  </r>
  <r>
    <s v="005"/>
    <x v="5"/>
    <x v="7"/>
    <m/>
    <m/>
    <m/>
    <m/>
    <n v="0"/>
    <m/>
    <x v="10"/>
  </r>
  <r>
    <s v="005"/>
    <x v="5"/>
    <x v="8"/>
    <m/>
    <m/>
    <m/>
    <m/>
    <n v="0"/>
    <m/>
    <x v="10"/>
  </r>
  <r>
    <s v="006"/>
    <x v="6"/>
    <x v="0"/>
    <m/>
    <m/>
    <m/>
    <m/>
    <n v="0"/>
    <m/>
    <x v="10"/>
  </r>
  <r>
    <s v="006"/>
    <x v="6"/>
    <x v="1"/>
    <m/>
    <m/>
    <m/>
    <m/>
    <n v="0"/>
    <m/>
    <x v="10"/>
  </r>
  <r>
    <s v="006"/>
    <x v="6"/>
    <x v="2"/>
    <m/>
    <m/>
    <m/>
    <m/>
    <n v="0"/>
    <m/>
    <x v="10"/>
  </r>
  <r>
    <s v="006"/>
    <x v="6"/>
    <x v="3"/>
    <m/>
    <m/>
    <m/>
    <m/>
    <n v="0"/>
    <m/>
    <x v="10"/>
  </r>
  <r>
    <s v="006"/>
    <x v="6"/>
    <x v="4"/>
    <m/>
    <m/>
    <m/>
    <m/>
    <n v="0"/>
    <m/>
    <x v="10"/>
  </r>
  <r>
    <s v="006"/>
    <x v="6"/>
    <x v="5"/>
    <m/>
    <m/>
    <m/>
    <m/>
    <n v="0"/>
    <m/>
    <x v="10"/>
  </r>
  <r>
    <s v="006"/>
    <x v="6"/>
    <x v="6"/>
    <m/>
    <m/>
    <m/>
    <m/>
    <n v="0"/>
    <m/>
    <x v="10"/>
  </r>
  <r>
    <s v="006"/>
    <x v="6"/>
    <x v="7"/>
    <m/>
    <m/>
    <m/>
    <m/>
    <n v="0"/>
    <m/>
    <x v="10"/>
  </r>
  <r>
    <s v="006"/>
    <x v="6"/>
    <x v="8"/>
    <m/>
    <m/>
    <m/>
    <m/>
    <n v="0"/>
    <m/>
    <x v="10"/>
  </r>
  <r>
    <s v="007"/>
    <x v="7"/>
    <x v="0"/>
    <m/>
    <m/>
    <m/>
    <m/>
    <n v="0"/>
    <m/>
    <x v="10"/>
  </r>
  <r>
    <s v="007"/>
    <x v="7"/>
    <x v="1"/>
    <m/>
    <m/>
    <m/>
    <m/>
    <n v="0"/>
    <m/>
    <x v="10"/>
  </r>
  <r>
    <s v="007"/>
    <x v="7"/>
    <x v="2"/>
    <m/>
    <m/>
    <m/>
    <m/>
    <n v="0"/>
    <m/>
    <x v="10"/>
  </r>
  <r>
    <s v="007"/>
    <x v="7"/>
    <x v="3"/>
    <m/>
    <m/>
    <m/>
    <m/>
    <n v="0"/>
    <m/>
    <x v="10"/>
  </r>
  <r>
    <s v="007"/>
    <x v="7"/>
    <x v="4"/>
    <m/>
    <m/>
    <m/>
    <m/>
    <n v="0"/>
    <m/>
    <x v="10"/>
  </r>
  <r>
    <s v="007"/>
    <x v="7"/>
    <x v="5"/>
    <m/>
    <m/>
    <m/>
    <m/>
    <n v="0"/>
    <m/>
    <x v="10"/>
  </r>
  <r>
    <s v="007"/>
    <x v="7"/>
    <x v="6"/>
    <m/>
    <m/>
    <m/>
    <m/>
    <n v="0"/>
    <m/>
    <x v="10"/>
  </r>
  <r>
    <s v="007"/>
    <x v="7"/>
    <x v="7"/>
    <m/>
    <m/>
    <m/>
    <m/>
    <n v="0"/>
    <m/>
    <x v="10"/>
  </r>
  <r>
    <s v="007"/>
    <x v="7"/>
    <x v="8"/>
    <m/>
    <m/>
    <m/>
    <m/>
    <n v="0"/>
    <m/>
    <x v="10"/>
  </r>
  <r>
    <s v="008"/>
    <x v="8"/>
    <x v="0"/>
    <m/>
    <m/>
    <m/>
    <m/>
    <n v="0"/>
    <m/>
    <x v="10"/>
  </r>
  <r>
    <s v="008"/>
    <x v="8"/>
    <x v="1"/>
    <m/>
    <m/>
    <m/>
    <m/>
    <n v="0"/>
    <m/>
    <x v="10"/>
  </r>
  <r>
    <s v="008"/>
    <x v="8"/>
    <x v="2"/>
    <m/>
    <m/>
    <m/>
    <m/>
    <n v="0"/>
    <m/>
    <x v="10"/>
  </r>
  <r>
    <s v="008"/>
    <x v="8"/>
    <x v="3"/>
    <m/>
    <m/>
    <m/>
    <m/>
    <n v="0"/>
    <m/>
    <x v="10"/>
  </r>
  <r>
    <s v="008"/>
    <x v="8"/>
    <x v="4"/>
    <m/>
    <m/>
    <m/>
    <m/>
    <n v="0"/>
    <m/>
    <x v="10"/>
  </r>
  <r>
    <s v="008"/>
    <x v="8"/>
    <x v="5"/>
    <m/>
    <m/>
    <m/>
    <m/>
    <n v="0"/>
    <m/>
    <x v="10"/>
  </r>
  <r>
    <s v="008"/>
    <x v="8"/>
    <x v="6"/>
    <m/>
    <m/>
    <m/>
    <m/>
    <n v="0"/>
    <m/>
    <x v="10"/>
  </r>
  <r>
    <s v="008"/>
    <x v="8"/>
    <x v="7"/>
    <m/>
    <m/>
    <m/>
    <m/>
    <n v="0"/>
    <m/>
    <x v="10"/>
  </r>
  <r>
    <s v="008"/>
    <x v="8"/>
    <x v="8"/>
    <m/>
    <m/>
    <m/>
    <m/>
    <n v="0"/>
    <m/>
    <x v="10"/>
  </r>
  <r>
    <s v="009"/>
    <x v="9"/>
    <x v="0"/>
    <m/>
    <m/>
    <m/>
    <m/>
    <n v="0"/>
    <m/>
    <x v="10"/>
  </r>
  <r>
    <s v="009"/>
    <x v="9"/>
    <x v="1"/>
    <m/>
    <m/>
    <m/>
    <m/>
    <n v="0"/>
    <m/>
    <x v="10"/>
  </r>
  <r>
    <s v="009"/>
    <x v="9"/>
    <x v="2"/>
    <m/>
    <m/>
    <m/>
    <m/>
    <n v="0"/>
    <m/>
    <x v="10"/>
  </r>
  <r>
    <s v="009"/>
    <x v="9"/>
    <x v="3"/>
    <m/>
    <m/>
    <m/>
    <m/>
    <n v="0"/>
    <m/>
    <x v="10"/>
  </r>
  <r>
    <s v="009"/>
    <x v="9"/>
    <x v="4"/>
    <m/>
    <m/>
    <m/>
    <m/>
    <n v="0"/>
    <m/>
    <x v="10"/>
  </r>
  <r>
    <s v="009"/>
    <x v="9"/>
    <x v="5"/>
    <m/>
    <m/>
    <m/>
    <m/>
    <n v="0"/>
    <m/>
    <x v="10"/>
  </r>
  <r>
    <s v="009"/>
    <x v="9"/>
    <x v="6"/>
    <m/>
    <m/>
    <m/>
    <m/>
    <n v="0"/>
    <m/>
    <x v="10"/>
  </r>
  <r>
    <s v="009"/>
    <x v="9"/>
    <x v="7"/>
    <m/>
    <m/>
    <m/>
    <m/>
    <n v="0"/>
    <m/>
    <x v="10"/>
  </r>
  <r>
    <s v="009"/>
    <x v="9"/>
    <x v="8"/>
    <m/>
    <m/>
    <m/>
    <m/>
    <n v="0"/>
    <m/>
    <x v="10"/>
  </r>
  <r>
    <s v="010"/>
    <x v="10"/>
    <x v="0"/>
    <m/>
    <m/>
    <m/>
    <m/>
    <n v="0"/>
    <m/>
    <x v="10"/>
  </r>
  <r>
    <s v="010"/>
    <x v="10"/>
    <x v="1"/>
    <m/>
    <m/>
    <m/>
    <m/>
    <n v="0"/>
    <m/>
    <x v="10"/>
  </r>
  <r>
    <s v="010"/>
    <x v="10"/>
    <x v="2"/>
    <m/>
    <m/>
    <m/>
    <m/>
    <n v="0"/>
    <m/>
    <x v="10"/>
  </r>
  <r>
    <s v="010"/>
    <x v="10"/>
    <x v="3"/>
    <m/>
    <m/>
    <m/>
    <m/>
    <n v="0"/>
    <m/>
    <x v="10"/>
  </r>
  <r>
    <s v="010"/>
    <x v="10"/>
    <x v="4"/>
    <m/>
    <m/>
    <m/>
    <m/>
    <n v="0"/>
    <m/>
    <x v="10"/>
  </r>
  <r>
    <s v="010"/>
    <x v="10"/>
    <x v="5"/>
    <m/>
    <m/>
    <m/>
    <m/>
    <n v="0"/>
    <m/>
    <x v="10"/>
  </r>
  <r>
    <s v="010"/>
    <x v="10"/>
    <x v="6"/>
    <m/>
    <m/>
    <m/>
    <m/>
    <n v="0"/>
    <m/>
    <x v="10"/>
  </r>
  <r>
    <s v="010"/>
    <x v="10"/>
    <x v="7"/>
    <m/>
    <m/>
    <m/>
    <m/>
    <n v="0"/>
    <m/>
    <x v="10"/>
  </r>
  <r>
    <s v="010"/>
    <x v="10"/>
    <x v="8"/>
    <m/>
    <m/>
    <m/>
    <m/>
    <n v="0"/>
    <m/>
    <x v="10"/>
  </r>
  <r>
    <s v="011"/>
    <x v="11"/>
    <x v="0"/>
    <m/>
    <m/>
    <m/>
    <m/>
    <n v="0"/>
    <m/>
    <x v="10"/>
  </r>
  <r>
    <s v="011"/>
    <x v="11"/>
    <x v="1"/>
    <m/>
    <m/>
    <m/>
    <m/>
    <n v="0"/>
    <m/>
    <x v="10"/>
  </r>
  <r>
    <s v="011"/>
    <x v="11"/>
    <x v="2"/>
    <m/>
    <m/>
    <m/>
    <m/>
    <n v="0"/>
    <m/>
    <x v="10"/>
  </r>
  <r>
    <s v="011"/>
    <x v="11"/>
    <x v="3"/>
    <m/>
    <m/>
    <m/>
    <m/>
    <n v="0"/>
    <m/>
    <x v="10"/>
  </r>
  <r>
    <s v="011"/>
    <x v="11"/>
    <x v="4"/>
    <m/>
    <m/>
    <m/>
    <m/>
    <n v="0"/>
    <m/>
    <x v="10"/>
  </r>
  <r>
    <s v="011"/>
    <x v="11"/>
    <x v="5"/>
    <m/>
    <m/>
    <m/>
    <m/>
    <n v="0"/>
    <m/>
    <x v="10"/>
  </r>
  <r>
    <s v="011"/>
    <x v="11"/>
    <x v="6"/>
    <m/>
    <m/>
    <m/>
    <m/>
    <n v="0"/>
    <m/>
    <x v="10"/>
  </r>
  <r>
    <s v="011"/>
    <x v="11"/>
    <x v="7"/>
    <m/>
    <m/>
    <m/>
    <m/>
    <n v="0"/>
    <m/>
    <x v="10"/>
  </r>
  <r>
    <s v="011"/>
    <x v="11"/>
    <x v="8"/>
    <m/>
    <m/>
    <m/>
    <m/>
    <n v="0"/>
    <m/>
    <x v="10"/>
  </r>
  <r>
    <s v="012"/>
    <x v="12"/>
    <x v="0"/>
    <m/>
    <m/>
    <m/>
    <m/>
    <n v="0"/>
    <m/>
    <x v="10"/>
  </r>
  <r>
    <s v="012"/>
    <x v="12"/>
    <x v="1"/>
    <m/>
    <m/>
    <m/>
    <m/>
    <n v="0"/>
    <m/>
    <x v="10"/>
  </r>
  <r>
    <s v="012"/>
    <x v="12"/>
    <x v="2"/>
    <m/>
    <m/>
    <m/>
    <m/>
    <n v="0"/>
    <m/>
    <x v="10"/>
  </r>
  <r>
    <s v="012"/>
    <x v="12"/>
    <x v="3"/>
    <m/>
    <m/>
    <m/>
    <m/>
    <n v="0"/>
    <m/>
    <x v="10"/>
  </r>
  <r>
    <s v="012"/>
    <x v="12"/>
    <x v="4"/>
    <m/>
    <m/>
    <m/>
    <m/>
    <n v="0"/>
    <m/>
    <x v="10"/>
  </r>
  <r>
    <s v="012"/>
    <x v="12"/>
    <x v="5"/>
    <m/>
    <m/>
    <m/>
    <m/>
    <n v="0"/>
    <m/>
    <x v="10"/>
  </r>
  <r>
    <s v="012"/>
    <x v="12"/>
    <x v="6"/>
    <m/>
    <m/>
    <m/>
    <m/>
    <n v="0"/>
    <m/>
    <x v="10"/>
  </r>
  <r>
    <s v="012"/>
    <x v="12"/>
    <x v="7"/>
    <m/>
    <m/>
    <m/>
    <m/>
    <n v="0"/>
    <m/>
    <x v="10"/>
  </r>
  <r>
    <s v="012"/>
    <x v="12"/>
    <x v="8"/>
    <m/>
    <m/>
    <m/>
    <m/>
    <n v="0"/>
    <m/>
    <x v="10"/>
  </r>
  <r>
    <s v="013"/>
    <x v="13"/>
    <x v="0"/>
    <m/>
    <m/>
    <m/>
    <m/>
    <n v="0"/>
    <m/>
    <x v="10"/>
  </r>
  <r>
    <s v="013"/>
    <x v="13"/>
    <x v="1"/>
    <m/>
    <m/>
    <m/>
    <m/>
    <n v="0"/>
    <m/>
    <x v="10"/>
  </r>
  <r>
    <s v="013"/>
    <x v="13"/>
    <x v="2"/>
    <m/>
    <m/>
    <m/>
    <m/>
    <n v="0"/>
    <m/>
    <x v="10"/>
  </r>
  <r>
    <s v="013"/>
    <x v="13"/>
    <x v="3"/>
    <m/>
    <m/>
    <m/>
    <m/>
    <n v="0"/>
    <m/>
    <x v="10"/>
  </r>
  <r>
    <s v="013"/>
    <x v="13"/>
    <x v="4"/>
    <m/>
    <m/>
    <m/>
    <m/>
    <n v="0"/>
    <m/>
    <x v="10"/>
  </r>
  <r>
    <s v="013"/>
    <x v="13"/>
    <x v="5"/>
    <m/>
    <m/>
    <m/>
    <m/>
    <n v="0"/>
    <m/>
    <x v="10"/>
  </r>
  <r>
    <s v="013"/>
    <x v="13"/>
    <x v="6"/>
    <m/>
    <m/>
    <m/>
    <m/>
    <n v="0"/>
    <m/>
    <x v="10"/>
  </r>
  <r>
    <s v="013"/>
    <x v="13"/>
    <x v="7"/>
    <m/>
    <m/>
    <m/>
    <m/>
    <n v="0"/>
    <m/>
    <x v="10"/>
  </r>
  <r>
    <s v="013"/>
    <x v="13"/>
    <x v="8"/>
    <m/>
    <m/>
    <m/>
    <m/>
    <n v="0"/>
    <m/>
    <x v="10"/>
  </r>
  <r>
    <s v="014"/>
    <x v="14"/>
    <x v="0"/>
    <m/>
    <m/>
    <m/>
    <m/>
    <n v="0"/>
    <m/>
    <x v="10"/>
  </r>
  <r>
    <s v="014"/>
    <x v="14"/>
    <x v="1"/>
    <m/>
    <m/>
    <m/>
    <m/>
    <n v="0"/>
    <m/>
    <x v="10"/>
  </r>
  <r>
    <s v="014"/>
    <x v="14"/>
    <x v="2"/>
    <m/>
    <m/>
    <m/>
    <m/>
    <n v="0"/>
    <m/>
    <x v="10"/>
  </r>
  <r>
    <s v="014"/>
    <x v="14"/>
    <x v="3"/>
    <m/>
    <m/>
    <m/>
    <m/>
    <n v="0"/>
    <m/>
    <x v="10"/>
  </r>
  <r>
    <s v="014"/>
    <x v="14"/>
    <x v="4"/>
    <m/>
    <m/>
    <m/>
    <m/>
    <n v="0"/>
    <m/>
    <x v="10"/>
  </r>
  <r>
    <s v="014"/>
    <x v="14"/>
    <x v="5"/>
    <m/>
    <m/>
    <m/>
    <m/>
    <n v="0"/>
    <m/>
    <x v="10"/>
  </r>
  <r>
    <s v="014"/>
    <x v="14"/>
    <x v="6"/>
    <m/>
    <m/>
    <m/>
    <m/>
    <n v="0"/>
    <m/>
    <x v="10"/>
  </r>
  <r>
    <s v="014"/>
    <x v="14"/>
    <x v="7"/>
    <m/>
    <m/>
    <m/>
    <m/>
    <n v="0"/>
    <m/>
    <x v="10"/>
  </r>
  <r>
    <s v="014"/>
    <x v="14"/>
    <x v="8"/>
    <m/>
    <m/>
    <m/>
    <m/>
    <n v="0"/>
    <m/>
    <x v="10"/>
  </r>
  <r>
    <s v="015"/>
    <x v="15"/>
    <x v="0"/>
    <m/>
    <m/>
    <m/>
    <m/>
    <n v="0"/>
    <m/>
    <x v="10"/>
  </r>
  <r>
    <s v="015"/>
    <x v="15"/>
    <x v="1"/>
    <m/>
    <m/>
    <m/>
    <m/>
    <n v="0"/>
    <m/>
    <x v="10"/>
  </r>
  <r>
    <s v="015"/>
    <x v="15"/>
    <x v="2"/>
    <m/>
    <m/>
    <m/>
    <m/>
    <n v="0"/>
    <m/>
    <x v="10"/>
  </r>
  <r>
    <s v="015"/>
    <x v="15"/>
    <x v="3"/>
    <m/>
    <m/>
    <m/>
    <m/>
    <n v="0"/>
    <m/>
    <x v="10"/>
  </r>
  <r>
    <s v="015"/>
    <x v="15"/>
    <x v="4"/>
    <m/>
    <m/>
    <m/>
    <m/>
    <n v="0"/>
    <m/>
    <x v="10"/>
  </r>
  <r>
    <s v="015"/>
    <x v="15"/>
    <x v="5"/>
    <m/>
    <m/>
    <m/>
    <m/>
    <n v="0"/>
    <m/>
    <x v="10"/>
  </r>
  <r>
    <s v="015"/>
    <x v="15"/>
    <x v="6"/>
    <m/>
    <m/>
    <m/>
    <m/>
    <n v="0"/>
    <m/>
    <x v="10"/>
  </r>
  <r>
    <s v="015"/>
    <x v="15"/>
    <x v="7"/>
    <m/>
    <m/>
    <m/>
    <m/>
    <n v="0"/>
    <m/>
    <x v="10"/>
  </r>
  <r>
    <s v="015"/>
    <x v="15"/>
    <x v="8"/>
    <m/>
    <m/>
    <m/>
    <m/>
    <n v="0"/>
    <m/>
    <x v="10"/>
  </r>
  <r>
    <s v="016"/>
    <x v="16"/>
    <x v="0"/>
    <m/>
    <m/>
    <m/>
    <m/>
    <n v="0"/>
    <m/>
    <x v="10"/>
  </r>
  <r>
    <s v="016"/>
    <x v="16"/>
    <x v="1"/>
    <m/>
    <m/>
    <m/>
    <m/>
    <n v="0"/>
    <m/>
    <x v="10"/>
  </r>
  <r>
    <s v="016"/>
    <x v="16"/>
    <x v="2"/>
    <m/>
    <m/>
    <m/>
    <m/>
    <n v="0"/>
    <m/>
    <x v="10"/>
  </r>
  <r>
    <s v="016"/>
    <x v="16"/>
    <x v="3"/>
    <m/>
    <m/>
    <m/>
    <m/>
    <n v="0"/>
    <m/>
    <x v="10"/>
  </r>
  <r>
    <s v="016"/>
    <x v="16"/>
    <x v="4"/>
    <m/>
    <m/>
    <m/>
    <m/>
    <n v="0"/>
    <m/>
    <x v="10"/>
  </r>
  <r>
    <s v="016"/>
    <x v="16"/>
    <x v="5"/>
    <m/>
    <m/>
    <m/>
    <m/>
    <n v="0"/>
    <m/>
    <x v="10"/>
  </r>
  <r>
    <s v="016"/>
    <x v="16"/>
    <x v="6"/>
    <m/>
    <m/>
    <m/>
    <m/>
    <n v="0"/>
    <m/>
    <x v="10"/>
  </r>
  <r>
    <s v="016"/>
    <x v="16"/>
    <x v="7"/>
    <m/>
    <m/>
    <m/>
    <m/>
    <n v="0"/>
    <m/>
    <x v="10"/>
  </r>
  <r>
    <s v="016"/>
    <x v="16"/>
    <x v="8"/>
    <m/>
    <m/>
    <m/>
    <m/>
    <n v="0"/>
    <m/>
    <x v="10"/>
  </r>
  <r>
    <s v="017"/>
    <x v="17"/>
    <x v="0"/>
    <m/>
    <m/>
    <m/>
    <m/>
    <n v="0"/>
    <m/>
    <x v="10"/>
  </r>
  <r>
    <s v="017"/>
    <x v="17"/>
    <x v="1"/>
    <m/>
    <m/>
    <m/>
    <m/>
    <n v="0"/>
    <m/>
    <x v="10"/>
  </r>
  <r>
    <s v="017"/>
    <x v="17"/>
    <x v="2"/>
    <m/>
    <m/>
    <m/>
    <m/>
    <n v="0"/>
    <m/>
    <x v="10"/>
  </r>
  <r>
    <s v="017"/>
    <x v="17"/>
    <x v="3"/>
    <m/>
    <m/>
    <m/>
    <m/>
    <n v="0"/>
    <m/>
    <x v="10"/>
  </r>
  <r>
    <s v="017"/>
    <x v="17"/>
    <x v="4"/>
    <m/>
    <m/>
    <m/>
    <m/>
    <n v="0"/>
    <m/>
    <x v="10"/>
  </r>
  <r>
    <s v="017"/>
    <x v="17"/>
    <x v="5"/>
    <m/>
    <m/>
    <m/>
    <m/>
    <n v="0"/>
    <m/>
    <x v="10"/>
  </r>
  <r>
    <s v="017"/>
    <x v="17"/>
    <x v="6"/>
    <m/>
    <m/>
    <m/>
    <m/>
    <n v="0"/>
    <m/>
    <x v="10"/>
  </r>
  <r>
    <s v="017"/>
    <x v="17"/>
    <x v="7"/>
    <m/>
    <m/>
    <m/>
    <m/>
    <n v="0"/>
    <m/>
    <x v="10"/>
  </r>
  <r>
    <s v="017"/>
    <x v="17"/>
    <x v="8"/>
    <m/>
    <m/>
    <m/>
    <m/>
    <n v="0"/>
    <m/>
    <x v="10"/>
  </r>
  <r>
    <s v="018"/>
    <x v="18"/>
    <x v="0"/>
    <m/>
    <m/>
    <m/>
    <m/>
    <n v="0"/>
    <m/>
    <x v="10"/>
  </r>
  <r>
    <s v="018"/>
    <x v="18"/>
    <x v="1"/>
    <m/>
    <m/>
    <m/>
    <m/>
    <n v="0"/>
    <m/>
    <x v="10"/>
  </r>
  <r>
    <s v="018"/>
    <x v="18"/>
    <x v="2"/>
    <m/>
    <m/>
    <m/>
    <m/>
    <n v="0"/>
    <m/>
    <x v="10"/>
  </r>
  <r>
    <s v="018"/>
    <x v="18"/>
    <x v="3"/>
    <m/>
    <m/>
    <m/>
    <m/>
    <n v="0"/>
    <m/>
    <x v="10"/>
  </r>
  <r>
    <s v="018"/>
    <x v="18"/>
    <x v="4"/>
    <m/>
    <m/>
    <m/>
    <m/>
    <n v="0"/>
    <m/>
    <x v="10"/>
  </r>
  <r>
    <s v="018"/>
    <x v="18"/>
    <x v="5"/>
    <m/>
    <m/>
    <m/>
    <m/>
    <n v="0"/>
    <m/>
    <x v="10"/>
  </r>
  <r>
    <s v="018"/>
    <x v="18"/>
    <x v="6"/>
    <m/>
    <m/>
    <m/>
    <m/>
    <n v="0"/>
    <m/>
    <x v="10"/>
  </r>
  <r>
    <s v="018"/>
    <x v="18"/>
    <x v="7"/>
    <m/>
    <m/>
    <m/>
    <m/>
    <n v="0"/>
    <m/>
    <x v="10"/>
  </r>
  <r>
    <s v="018"/>
    <x v="18"/>
    <x v="8"/>
    <m/>
    <m/>
    <m/>
    <m/>
    <n v="0"/>
    <m/>
    <x v="10"/>
  </r>
  <r>
    <s v="019"/>
    <x v="19"/>
    <x v="0"/>
    <m/>
    <m/>
    <m/>
    <m/>
    <n v="0"/>
    <m/>
    <x v="10"/>
  </r>
  <r>
    <s v="019"/>
    <x v="19"/>
    <x v="1"/>
    <m/>
    <m/>
    <m/>
    <m/>
    <n v="0"/>
    <m/>
    <x v="10"/>
  </r>
  <r>
    <s v="019"/>
    <x v="19"/>
    <x v="2"/>
    <m/>
    <m/>
    <m/>
    <m/>
    <n v="0"/>
    <m/>
    <x v="10"/>
  </r>
  <r>
    <s v="019"/>
    <x v="19"/>
    <x v="3"/>
    <m/>
    <m/>
    <m/>
    <m/>
    <n v="0"/>
    <m/>
    <x v="10"/>
  </r>
  <r>
    <s v="019"/>
    <x v="19"/>
    <x v="4"/>
    <m/>
    <m/>
    <m/>
    <m/>
    <n v="0"/>
    <m/>
    <x v="10"/>
  </r>
  <r>
    <s v="019"/>
    <x v="19"/>
    <x v="5"/>
    <m/>
    <m/>
    <m/>
    <m/>
    <n v="0"/>
    <m/>
    <x v="10"/>
  </r>
  <r>
    <s v="019"/>
    <x v="19"/>
    <x v="6"/>
    <m/>
    <m/>
    <m/>
    <m/>
    <n v="0"/>
    <m/>
    <x v="10"/>
  </r>
  <r>
    <s v="019"/>
    <x v="19"/>
    <x v="7"/>
    <m/>
    <m/>
    <m/>
    <m/>
    <n v="0"/>
    <m/>
    <x v="10"/>
  </r>
  <r>
    <s v="019"/>
    <x v="19"/>
    <x v="8"/>
    <m/>
    <m/>
    <m/>
    <m/>
    <n v="0"/>
    <m/>
    <x v="10"/>
  </r>
  <r>
    <s v="020"/>
    <x v="20"/>
    <x v="0"/>
    <m/>
    <m/>
    <m/>
    <m/>
    <n v="0"/>
    <m/>
    <x v="10"/>
  </r>
  <r>
    <s v="020"/>
    <x v="20"/>
    <x v="1"/>
    <m/>
    <m/>
    <m/>
    <m/>
    <n v="0"/>
    <m/>
    <x v="10"/>
  </r>
  <r>
    <s v="020"/>
    <x v="20"/>
    <x v="2"/>
    <m/>
    <m/>
    <m/>
    <m/>
    <n v="0"/>
    <m/>
    <x v="10"/>
  </r>
  <r>
    <s v="020"/>
    <x v="20"/>
    <x v="3"/>
    <m/>
    <m/>
    <m/>
    <m/>
    <n v="0"/>
    <m/>
    <x v="10"/>
  </r>
  <r>
    <s v="020"/>
    <x v="20"/>
    <x v="4"/>
    <m/>
    <m/>
    <m/>
    <m/>
    <n v="0"/>
    <m/>
    <x v="10"/>
  </r>
  <r>
    <s v="020"/>
    <x v="20"/>
    <x v="5"/>
    <m/>
    <m/>
    <m/>
    <m/>
    <n v="0"/>
    <m/>
    <x v="10"/>
  </r>
  <r>
    <s v="020"/>
    <x v="20"/>
    <x v="6"/>
    <m/>
    <m/>
    <m/>
    <m/>
    <n v="0"/>
    <m/>
    <x v="10"/>
  </r>
  <r>
    <s v="020"/>
    <x v="20"/>
    <x v="7"/>
    <m/>
    <m/>
    <m/>
    <m/>
    <n v="0"/>
    <m/>
    <x v="10"/>
  </r>
  <r>
    <s v="020"/>
    <x v="20"/>
    <x v="8"/>
    <m/>
    <m/>
    <m/>
    <m/>
    <n v="0"/>
    <m/>
    <x v="10"/>
  </r>
  <r>
    <s v="000"/>
    <x v="0"/>
    <x v="0"/>
    <m/>
    <m/>
    <m/>
    <m/>
    <n v="0"/>
    <m/>
    <x v="11"/>
  </r>
  <r>
    <s v="000"/>
    <x v="0"/>
    <x v="1"/>
    <m/>
    <m/>
    <m/>
    <m/>
    <n v="0"/>
    <m/>
    <x v="11"/>
  </r>
  <r>
    <s v="000"/>
    <x v="0"/>
    <x v="2"/>
    <m/>
    <m/>
    <m/>
    <m/>
    <n v="0"/>
    <m/>
    <x v="11"/>
  </r>
  <r>
    <s v="000"/>
    <x v="0"/>
    <x v="3"/>
    <m/>
    <m/>
    <m/>
    <m/>
    <n v="0"/>
    <m/>
    <x v="11"/>
  </r>
  <r>
    <s v="000"/>
    <x v="0"/>
    <x v="4"/>
    <m/>
    <m/>
    <m/>
    <m/>
    <n v="0"/>
    <m/>
    <x v="11"/>
  </r>
  <r>
    <s v="000"/>
    <x v="0"/>
    <x v="5"/>
    <m/>
    <m/>
    <m/>
    <m/>
    <n v="0"/>
    <m/>
    <x v="11"/>
  </r>
  <r>
    <s v="000"/>
    <x v="0"/>
    <x v="6"/>
    <m/>
    <m/>
    <m/>
    <m/>
    <n v="0"/>
    <m/>
    <x v="11"/>
  </r>
  <r>
    <s v="000"/>
    <x v="0"/>
    <x v="7"/>
    <m/>
    <m/>
    <m/>
    <m/>
    <n v="0"/>
    <m/>
    <x v="11"/>
  </r>
  <r>
    <s v="000"/>
    <x v="0"/>
    <x v="8"/>
    <m/>
    <m/>
    <m/>
    <m/>
    <n v="0"/>
    <m/>
    <x v="11"/>
  </r>
  <r>
    <s v="001"/>
    <x v="1"/>
    <x v="0"/>
    <m/>
    <m/>
    <m/>
    <m/>
    <n v="0"/>
    <m/>
    <x v="11"/>
  </r>
  <r>
    <s v="001"/>
    <x v="1"/>
    <x v="1"/>
    <m/>
    <m/>
    <m/>
    <m/>
    <n v="0"/>
    <m/>
    <x v="11"/>
  </r>
  <r>
    <s v="001"/>
    <x v="1"/>
    <x v="2"/>
    <m/>
    <m/>
    <m/>
    <m/>
    <n v="0"/>
    <m/>
    <x v="11"/>
  </r>
  <r>
    <s v="001"/>
    <x v="1"/>
    <x v="3"/>
    <m/>
    <m/>
    <m/>
    <m/>
    <n v="0"/>
    <m/>
    <x v="11"/>
  </r>
  <r>
    <s v="001"/>
    <x v="1"/>
    <x v="4"/>
    <m/>
    <m/>
    <m/>
    <m/>
    <n v="0"/>
    <m/>
    <x v="11"/>
  </r>
  <r>
    <s v="001"/>
    <x v="1"/>
    <x v="5"/>
    <m/>
    <m/>
    <m/>
    <m/>
    <n v="0"/>
    <m/>
    <x v="11"/>
  </r>
  <r>
    <s v="001"/>
    <x v="1"/>
    <x v="6"/>
    <m/>
    <m/>
    <m/>
    <m/>
    <n v="0"/>
    <m/>
    <x v="11"/>
  </r>
  <r>
    <s v="001"/>
    <x v="1"/>
    <x v="7"/>
    <m/>
    <m/>
    <m/>
    <m/>
    <n v="0"/>
    <m/>
    <x v="11"/>
  </r>
  <r>
    <s v="001"/>
    <x v="1"/>
    <x v="8"/>
    <m/>
    <m/>
    <m/>
    <m/>
    <n v="0"/>
    <m/>
    <x v="11"/>
  </r>
  <r>
    <s v="002"/>
    <x v="2"/>
    <x v="0"/>
    <m/>
    <m/>
    <m/>
    <m/>
    <n v="0"/>
    <m/>
    <x v="11"/>
  </r>
  <r>
    <s v="002"/>
    <x v="2"/>
    <x v="1"/>
    <m/>
    <m/>
    <m/>
    <m/>
    <n v="0"/>
    <m/>
    <x v="11"/>
  </r>
  <r>
    <s v="002"/>
    <x v="2"/>
    <x v="2"/>
    <m/>
    <m/>
    <m/>
    <m/>
    <n v="0"/>
    <m/>
    <x v="11"/>
  </r>
  <r>
    <s v="002"/>
    <x v="2"/>
    <x v="3"/>
    <m/>
    <m/>
    <m/>
    <m/>
    <n v="0"/>
    <m/>
    <x v="11"/>
  </r>
  <r>
    <s v="002"/>
    <x v="2"/>
    <x v="4"/>
    <m/>
    <m/>
    <m/>
    <m/>
    <n v="0"/>
    <m/>
    <x v="11"/>
  </r>
  <r>
    <s v="002"/>
    <x v="2"/>
    <x v="5"/>
    <m/>
    <m/>
    <m/>
    <m/>
    <n v="0"/>
    <m/>
    <x v="11"/>
  </r>
  <r>
    <s v="002"/>
    <x v="2"/>
    <x v="6"/>
    <m/>
    <m/>
    <m/>
    <m/>
    <n v="0"/>
    <m/>
    <x v="11"/>
  </r>
  <r>
    <s v="002"/>
    <x v="2"/>
    <x v="7"/>
    <m/>
    <m/>
    <m/>
    <m/>
    <n v="0"/>
    <m/>
    <x v="11"/>
  </r>
  <r>
    <s v="002"/>
    <x v="2"/>
    <x v="8"/>
    <m/>
    <m/>
    <m/>
    <m/>
    <n v="0"/>
    <m/>
    <x v="11"/>
  </r>
  <r>
    <s v="003"/>
    <x v="3"/>
    <x v="0"/>
    <m/>
    <m/>
    <m/>
    <m/>
    <n v="0"/>
    <m/>
    <x v="11"/>
  </r>
  <r>
    <s v="003"/>
    <x v="3"/>
    <x v="1"/>
    <m/>
    <m/>
    <m/>
    <m/>
    <n v="0"/>
    <m/>
    <x v="11"/>
  </r>
  <r>
    <s v="003"/>
    <x v="3"/>
    <x v="2"/>
    <m/>
    <m/>
    <m/>
    <m/>
    <n v="0"/>
    <m/>
    <x v="11"/>
  </r>
  <r>
    <s v="003"/>
    <x v="3"/>
    <x v="3"/>
    <m/>
    <m/>
    <m/>
    <m/>
    <n v="0"/>
    <m/>
    <x v="11"/>
  </r>
  <r>
    <s v="003"/>
    <x v="3"/>
    <x v="4"/>
    <m/>
    <m/>
    <m/>
    <m/>
    <n v="0"/>
    <m/>
    <x v="11"/>
  </r>
  <r>
    <s v="003"/>
    <x v="3"/>
    <x v="5"/>
    <m/>
    <m/>
    <m/>
    <m/>
    <n v="0"/>
    <m/>
    <x v="11"/>
  </r>
  <r>
    <s v="003"/>
    <x v="3"/>
    <x v="6"/>
    <m/>
    <m/>
    <m/>
    <m/>
    <n v="0"/>
    <m/>
    <x v="11"/>
  </r>
  <r>
    <s v="003"/>
    <x v="3"/>
    <x v="7"/>
    <m/>
    <m/>
    <m/>
    <m/>
    <n v="0"/>
    <m/>
    <x v="11"/>
  </r>
  <r>
    <s v="003"/>
    <x v="3"/>
    <x v="8"/>
    <m/>
    <m/>
    <m/>
    <m/>
    <n v="0"/>
    <m/>
    <x v="11"/>
  </r>
  <r>
    <s v="004"/>
    <x v="4"/>
    <x v="0"/>
    <m/>
    <m/>
    <m/>
    <m/>
    <n v="0"/>
    <m/>
    <x v="11"/>
  </r>
  <r>
    <s v="004"/>
    <x v="4"/>
    <x v="1"/>
    <m/>
    <m/>
    <m/>
    <m/>
    <n v="0"/>
    <m/>
    <x v="11"/>
  </r>
  <r>
    <s v="004"/>
    <x v="4"/>
    <x v="2"/>
    <m/>
    <m/>
    <m/>
    <m/>
    <n v="0"/>
    <m/>
    <x v="11"/>
  </r>
  <r>
    <s v="004"/>
    <x v="4"/>
    <x v="3"/>
    <m/>
    <m/>
    <m/>
    <m/>
    <n v="0"/>
    <m/>
    <x v="11"/>
  </r>
  <r>
    <s v="004"/>
    <x v="4"/>
    <x v="4"/>
    <m/>
    <m/>
    <m/>
    <m/>
    <n v="0"/>
    <m/>
    <x v="11"/>
  </r>
  <r>
    <s v="004"/>
    <x v="4"/>
    <x v="5"/>
    <m/>
    <m/>
    <m/>
    <m/>
    <n v="0"/>
    <m/>
    <x v="11"/>
  </r>
  <r>
    <s v="004"/>
    <x v="4"/>
    <x v="6"/>
    <m/>
    <m/>
    <m/>
    <m/>
    <n v="0"/>
    <m/>
    <x v="11"/>
  </r>
  <r>
    <s v="004"/>
    <x v="4"/>
    <x v="7"/>
    <m/>
    <m/>
    <m/>
    <m/>
    <n v="0"/>
    <m/>
    <x v="11"/>
  </r>
  <r>
    <s v="004"/>
    <x v="4"/>
    <x v="8"/>
    <m/>
    <m/>
    <m/>
    <m/>
    <n v="0"/>
    <m/>
    <x v="11"/>
  </r>
  <r>
    <s v="005"/>
    <x v="5"/>
    <x v="0"/>
    <m/>
    <m/>
    <m/>
    <m/>
    <n v="0"/>
    <m/>
    <x v="11"/>
  </r>
  <r>
    <s v="005"/>
    <x v="5"/>
    <x v="1"/>
    <m/>
    <m/>
    <m/>
    <m/>
    <n v="0"/>
    <m/>
    <x v="11"/>
  </r>
  <r>
    <s v="005"/>
    <x v="5"/>
    <x v="2"/>
    <m/>
    <m/>
    <m/>
    <m/>
    <n v="0"/>
    <m/>
    <x v="11"/>
  </r>
  <r>
    <s v="005"/>
    <x v="5"/>
    <x v="3"/>
    <m/>
    <m/>
    <m/>
    <m/>
    <n v="0"/>
    <m/>
    <x v="11"/>
  </r>
  <r>
    <s v="005"/>
    <x v="5"/>
    <x v="4"/>
    <m/>
    <m/>
    <m/>
    <m/>
    <n v="0"/>
    <m/>
    <x v="11"/>
  </r>
  <r>
    <s v="005"/>
    <x v="5"/>
    <x v="5"/>
    <m/>
    <m/>
    <m/>
    <m/>
    <n v="0"/>
    <m/>
    <x v="11"/>
  </r>
  <r>
    <s v="005"/>
    <x v="5"/>
    <x v="6"/>
    <m/>
    <m/>
    <m/>
    <m/>
    <n v="0"/>
    <m/>
    <x v="11"/>
  </r>
  <r>
    <s v="005"/>
    <x v="5"/>
    <x v="7"/>
    <m/>
    <m/>
    <m/>
    <m/>
    <n v="0"/>
    <m/>
    <x v="11"/>
  </r>
  <r>
    <s v="005"/>
    <x v="5"/>
    <x v="8"/>
    <m/>
    <m/>
    <m/>
    <m/>
    <n v="0"/>
    <m/>
    <x v="11"/>
  </r>
  <r>
    <s v="006"/>
    <x v="6"/>
    <x v="0"/>
    <m/>
    <m/>
    <m/>
    <m/>
    <n v="0"/>
    <m/>
    <x v="11"/>
  </r>
  <r>
    <s v="006"/>
    <x v="6"/>
    <x v="1"/>
    <m/>
    <m/>
    <m/>
    <m/>
    <n v="0"/>
    <m/>
    <x v="11"/>
  </r>
  <r>
    <s v="006"/>
    <x v="6"/>
    <x v="2"/>
    <m/>
    <m/>
    <m/>
    <m/>
    <n v="0"/>
    <m/>
    <x v="11"/>
  </r>
  <r>
    <s v="006"/>
    <x v="6"/>
    <x v="3"/>
    <m/>
    <m/>
    <m/>
    <m/>
    <n v="0"/>
    <m/>
    <x v="11"/>
  </r>
  <r>
    <s v="006"/>
    <x v="6"/>
    <x v="4"/>
    <m/>
    <m/>
    <m/>
    <m/>
    <n v="0"/>
    <m/>
    <x v="11"/>
  </r>
  <r>
    <s v="006"/>
    <x v="6"/>
    <x v="5"/>
    <m/>
    <m/>
    <m/>
    <m/>
    <n v="0"/>
    <m/>
    <x v="11"/>
  </r>
  <r>
    <s v="006"/>
    <x v="6"/>
    <x v="6"/>
    <m/>
    <m/>
    <m/>
    <m/>
    <n v="0"/>
    <m/>
    <x v="11"/>
  </r>
  <r>
    <s v="006"/>
    <x v="6"/>
    <x v="7"/>
    <m/>
    <m/>
    <m/>
    <m/>
    <n v="0"/>
    <m/>
    <x v="11"/>
  </r>
  <r>
    <s v="006"/>
    <x v="6"/>
    <x v="8"/>
    <m/>
    <m/>
    <m/>
    <m/>
    <n v="0"/>
    <m/>
    <x v="11"/>
  </r>
  <r>
    <s v="007"/>
    <x v="7"/>
    <x v="0"/>
    <m/>
    <m/>
    <m/>
    <m/>
    <n v="0"/>
    <m/>
    <x v="11"/>
  </r>
  <r>
    <s v="007"/>
    <x v="7"/>
    <x v="1"/>
    <m/>
    <m/>
    <m/>
    <m/>
    <n v="0"/>
    <m/>
    <x v="11"/>
  </r>
  <r>
    <s v="007"/>
    <x v="7"/>
    <x v="2"/>
    <m/>
    <m/>
    <m/>
    <m/>
    <n v="0"/>
    <m/>
    <x v="11"/>
  </r>
  <r>
    <s v="007"/>
    <x v="7"/>
    <x v="3"/>
    <m/>
    <m/>
    <m/>
    <m/>
    <n v="0"/>
    <m/>
    <x v="11"/>
  </r>
  <r>
    <s v="007"/>
    <x v="7"/>
    <x v="4"/>
    <m/>
    <m/>
    <m/>
    <m/>
    <n v="0"/>
    <m/>
    <x v="11"/>
  </r>
  <r>
    <s v="007"/>
    <x v="7"/>
    <x v="5"/>
    <m/>
    <m/>
    <m/>
    <m/>
    <n v="0"/>
    <m/>
    <x v="11"/>
  </r>
  <r>
    <s v="007"/>
    <x v="7"/>
    <x v="6"/>
    <m/>
    <m/>
    <m/>
    <m/>
    <n v="0"/>
    <m/>
    <x v="11"/>
  </r>
  <r>
    <s v="007"/>
    <x v="7"/>
    <x v="7"/>
    <m/>
    <m/>
    <m/>
    <m/>
    <n v="0"/>
    <m/>
    <x v="11"/>
  </r>
  <r>
    <s v="007"/>
    <x v="7"/>
    <x v="8"/>
    <m/>
    <m/>
    <m/>
    <m/>
    <n v="0"/>
    <m/>
    <x v="11"/>
  </r>
  <r>
    <s v="008"/>
    <x v="8"/>
    <x v="0"/>
    <m/>
    <m/>
    <m/>
    <m/>
    <n v="0"/>
    <m/>
    <x v="11"/>
  </r>
  <r>
    <s v="008"/>
    <x v="8"/>
    <x v="1"/>
    <m/>
    <m/>
    <m/>
    <m/>
    <n v="0"/>
    <m/>
    <x v="11"/>
  </r>
  <r>
    <s v="008"/>
    <x v="8"/>
    <x v="2"/>
    <m/>
    <m/>
    <m/>
    <m/>
    <n v="0"/>
    <m/>
    <x v="11"/>
  </r>
  <r>
    <s v="008"/>
    <x v="8"/>
    <x v="3"/>
    <m/>
    <m/>
    <m/>
    <m/>
    <n v="0"/>
    <m/>
    <x v="11"/>
  </r>
  <r>
    <s v="008"/>
    <x v="8"/>
    <x v="4"/>
    <m/>
    <m/>
    <m/>
    <m/>
    <n v="0"/>
    <m/>
    <x v="11"/>
  </r>
  <r>
    <s v="008"/>
    <x v="8"/>
    <x v="5"/>
    <m/>
    <m/>
    <m/>
    <m/>
    <n v="0"/>
    <m/>
    <x v="11"/>
  </r>
  <r>
    <s v="008"/>
    <x v="8"/>
    <x v="6"/>
    <m/>
    <m/>
    <m/>
    <m/>
    <n v="0"/>
    <m/>
    <x v="11"/>
  </r>
  <r>
    <s v="008"/>
    <x v="8"/>
    <x v="7"/>
    <m/>
    <m/>
    <m/>
    <m/>
    <n v="0"/>
    <m/>
    <x v="11"/>
  </r>
  <r>
    <s v="008"/>
    <x v="8"/>
    <x v="8"/>
    <m/>
    <m/>
    <m/>
    <m/>
    <n v="0"/>
    <m/>
    <x v="11"/>
  </r>
  <r>
    <s v="009"/>
    <x v="9"/>
    <x v="0"/>
    <m/>
    <m/>
    <m/>
    <m/>
    <n v="0"/>
    <m/>
    <x v="11"/>
  </r>
  <r>
    <s v="009"/>
    <x v="9"/>
    <x v="1"/>
    <m/>
    <m/>
    <m/>
    <m/>
    <n v="0"/>
    <m/>
    <x v="11"/>
  </r>
  <r>
    <s v="009"/>
    <x v="9"/>
    <x v="2"/>
    <m/>
    <m/>
    <m/>
    <m/>
    <n v="0"/>
    <m/>
    <x v="11"/>
  </r>
  <r>
    <s v="009"/>
    <x v="9"/>
    <x v="3"/>
    <m/>
    <m/>
    <m/>
    <m/>
    <n v="0"/>
    <m/>
    <x v="11"/>
  </r>
  <r>
    <s v="009"/>
    <x v="9"/>
    <x v="4"/>
    <m/>
    <m/>
    <m/>
    <m/>
    <n v="0"/>
    <m/>
    <x v="11"/>
  </r>
  <r>
    <s v="009"/>
    <x v="9"/>
    <x v="5"/>
    <m/>
    <m/>
    <m/>
    <m/>
    <n v="0"/>
    <m/>
    <x v="11"/>
  </r>
  <r>
    <s v="009"/>
    <x v="9"/>
    <x v="6"/>
    <m/>
    <m/>
    <m/>
    <m/>
    <n v="0"/>
    <m/>
    <x v="11"/>
  </r>
  <r>
    <s v="009"/>
    <x v="9"/>
    <x v="7"/>
    <m/>
    <m/>
    <m/>
    <m/>
    <n v="0"/>
    <m/>
    <x v="11"/>
  </r>
  <r>
    <s v="009"/>
    <x v="9"/>
    <x v="8"/>
    <m/>
    <m/>
    <m/>
    <m/>
    <n v="0"/>
    <m/>
    <x v="11"/>
  </r>
  <r>
    <s v="010"/>
    <x v="10"/>
    <x v="0"/>
    <m/>
    <m/>
    <m/>
    <m/>
    <n v="0"/>
    <m/>
    <x v="11"/>
  </r>
  <r>
    <s v="010"/>
    <x v="10"/>
    <x v="1"/>
    <m/>
    <m/>
    <m/>
    <m/>
    <n v="0"/>
    <m/>
    <x v="11"/>
  </r>
  <r>
    <s v="010"/>
    <x v="10"/>
    <x v="2"/>
    <m/>
    <m/>
    <m/>
    <m/>
    <n v="0"/>
    <m/>
    <x v="11"/>
  </r>
  <r>
    <s v="010"/>
    <x v="10"/>
    <x v="3"/>
    <m/>
    <m/>
    <m/>
    <m/>
    <n v="0"/>
    <m/>
    <x v="11"/>
  </r>
  <r>
    <s v="010"/>
    <x v="10"/>
    <x v="4"/>
    <m/>
    <m/>
    <m/>
    <m/>
    <n v="0"/>
    <m/>
    <x v="11"/>
  </r>
  <r>
    <s v="010"/>
    <x v="10"/>
    <x v="5"/>
    <m/>
    <m/>
    <m/>
    <m/>
    <n v="0"/>
    <m/>
    <x v="11"/>
  </r>
  <r>
    <s v="010"/>
    <x v="10"/>
    <x v="6"/>
    <m/>
    <m/>
    <m/>
    <m/>
    <n v="0"/>
    <m/>
    <x v="11"/>
  </r>
  <r>
    <s v="010"/>
    <x v="10"/>
    <x v="7"/>
    <m/>
    <m/>
    <m/>
    <m/>
    <n v="0"/>
    <m/>
    <x v="11"/>
  </r>
  <r>
    <s v="010"/>
    <x v="10"/>
    <x v="8"/>
    <m/>
    <m/>
    <m/>
    <m/>
    <n v="0"/>
    <m/>
    <x v="11"/>
  </r>
  <r>
    <s v="011"/>
    <x v="11"/>
    <x v="0"/>
    <m/>
    <m/>
    <m/>
    <m/>
    <n v="0"/>
    <m/>
    <x v="11"/>
  </r>
  <r>
    <s v="011"/>
    <x v="11"/>
    <x v="1"/>
    <m/>
    <m/>
    <m/>
    <m/>
    <n v="0"/>
    <m/>
    <x v="11"/>
  </r>
  <r>
    <s v="011"/>
    <x v="11"/>
    <x v="2"/>
    <m/>
    <m/>
    <m/>
    <m/>
    <n v="0"/>
    <m/>
    <x v="11"/>
  </r>
  <r>
    <s v="011"/>
    <x v="11"/>
    <x v="3"/>
    <m/>
    <m/>
    <m/>
    <m/>
    <n v="0"/>
    <m/>
    <x v="11"/>
  </r>
  <r>
    <s v="011"/>
    <x v="11"/>
    <x v="4"/>
    <m/>
    <m/>
    <m/>
    <m/>
    <n v="0"/>
    <m/>
    <x v="11"/>
  </r>
  <r>
    <s v="011"/>
    <x v="11"/>
    <x v="5"/>
    <m/>
    <m/>
    <m/>
    <m/>
    <n v="0"/>
    <m/>
    <x v="11"/>
  </r>
  <r>
    <s v="011"/>
    <x v="11"/>
    <x v="6"/>
    <m/>
    <m/>
    <m/>
    <m/>
    <n v="0"/>
    <m/>
    <x v="11"/>
  </r>
  <r>
    <s v="011"/>
    <x v="11"/>
    <x v="7"/>
    <m/>
    <m/>
    <m/>
    <m/>
    <n v="0"/>
    <m/>
    <x v="11"/>
  </r>
  <r>
    <s v="011"/>
    <x v="11"/>
    <x v="8"/>
    <m/>
    <m/>
    <m/>
    <m/>
    <n v="0"/>
    <m/>
    <x v="11"/>
  </r>
  <r>
    <s v="012"/>
    <x v="12"/>
    <x v="0"/>
    <m/>
    <m/>
    <m/>
    <m/>
    <n v="0"/>
    <m/>
    <x v="11"/>
  </r>
  <r>
    <s v="012"/>
    <x v="12"/>
    <x v="1"/>
    <m/>
    <m/>
    <m/>
    <m/>
    <n v="0"/>
    <m/>
    <x v="11"/>
  </r>
  <r>
    <s v="012"/>
    <x v="12"/>
    <x v="2"/>
    <m/>
    <m/>
    <m/>
    <m/>
    <n v="0"/>
    <m/>
    <x v="11"/>
  </r>
  <r>
    <s v="012"/>
    <x v="12"/>
    <x v="3"/>
    <m/>
    <m/>
    <m/>
    <m/>
    <n v="0"/>
    <m/>
    <x v="11"/>
  </r>
  <r>
    <s v="012"/>
    <x v="12"/>
    <x v="4"/>
    <m/>
    <m/>
    <m/>
    <m/>
    <n v="0"/>
    <m/>
    <x v="11"/>
  </r>
  <r>
    <s v="012"/>
    <x v="12"/>
    <x v="5"/>
    <m/>
    <m/>
    <m/>
    <m/>
    <n v="0"/>
    <m/>
    <x v="11"/>
  </r>
  <r>
    <s v="012"/>
    <x v="12"/>
    <x v="6"/>
    <m/>
    <m/>
    <m/>
    <m/>
    <n v="0"/>
    <m/>
    <x v="11"/>
  </r>
  <r>
    <s v="012"/>
    <x v="12"/>
    <x v="7"/>
    <m/>
    <m/>
    <m/>
    <m/>
    <n v="0"/>
    <m/>
    <x v="11"/>
  </r>
  <r>
    <s v="012"/>
    <x v="12"/>
    <x v="8"/>
    <m/>
    <m/>
    <m/>
    <m/>
    <n v="0"/>
    <m/>
    <x v="11"/>
  </r>
  <r>
    <s v="013"/>
    <x v="13"/>
    <x v="0"/>
    <m/>
    <m/>
    <m/>
    <m/>
    <n v="0"/>
    <m/>
    <x v="11"/>
  </r>
  <r>
    <s v="013"/>
    <x v="13"/>
    <x v="1"/>
    <m/>
    <m/>
    <m/>
    <m/>
    <n v="0"/>
    <m/>
    <x v="11"/>
  </r>
  <r>
    <s v="013"/>
    <x v="13"/>
    <x v="2"/>
    <m/>
    <m/>
    <m/>
    <m/>
    <n v="0"/>
    <m/>
    <x v="11"/>
  </r>
  <r>
    <s v="013"/>
    <x v="13"/>
    <x v="3"/>
    <m/>
    <m/>
    <m/>
    <m/>
    <n v="0"/>
    <m/>
    <x v="11"/>
  </r>
  <r>
    <s v="013"/>
    <x v="13"/>
    <x v="4"/>
    <m/>
    <m/>
    <m/>
    <m/>
    <n v="0"/>
    <m/>
    <x v="11"/>
  </r>
  <r>
    <s v="013"/>
    <x v="13"/>
    <x v="5"/>
    <m/>
    <m/>
    <m/>
    <m/>
    <n v="0"/>
    <m/>
    <x v="11"/>
  </r>
  <r>
    <s v="013"/>
    <x v="13"/>
    <x v="6"/>
    <m/>
    <m/>
    <m/>
    <m/>
    <n v="0"/>
    <m/>
    <x v="11"/>
  </r>
  <r>
    <s v="013"/>
    <x v="13"/>
    <x v="7"/>
    <m/>
    <m/>
    <m/>
    <m/>
    <n v="0"/>
    <m/>
    <x v="11"/>
  </r>
  <r>
    <s v="013"/>
    <x v="13"/>
    <x v="8"/>
    <m/>
    <m/>
    <m/>
    <m/>
    <n v="0"/>
    <m/>
    <x v="11"/>
  </r>
  <r>
    <s v="014"/>
    <x v="14"/>
    <x v="0"/>
    <m/>
    <m/>
    <m/>
    <m/>
    <n v="0"/>
    <m/>
    <x v="11"/>
  </r>
  <r>
    <s v="014"/>
    <x v="14"/>
    <x v="1"/>
    <m/>
    <m/>
    <m/>
    <m/>
    <n v="0"/>
    <m/>
    <x v="11"/>
  </r>
  <r>
    <s v="014"/>
    <x v="14"/>
    <x v="2"/>
    <m/>
    <m/>
    <m/>
    <m/>
    <n v="0"/>
    <m/>
    <x v="11"/>
  </r>
  <r>
    <s v="014"/>
    <x v="14"/>
    <x v="3"/>
    <m/>
    <m/>
    <m/>
    <m/>
    <n v="0"/>
    <m/>
    <x v="11"/>
  </r>
  <r>
    <s v="014"/>
    <x v="14"/>
    <x v="4"/>
    <m/>
    <m/>
    <m/>
    <m/>
    <n v="0"/>
    <m/>
    <x v="11"/>
  </r>
  <r>
    <s v="014"/>
    <x v="14"/>
    <x v="5"/>
    <m/>
    <m/>
    <m/>
    <m/>
    <n v="0"/>
    <m/>
    <x v="11"/>
  </r>
  <r>
    <s v="014"/>
    <x v="14"/>
    <x v="6"/>
    <m/>
    <m/>
    <m/>
    <m/>
    <n v="0"/>
    <m/>
    <x v="11"/>
  </r>
  <r>
    <s v="014"/>
    <x v="14"/>
    <x v="7"/>
    <m/>
    <m/>
    <m/>
    <m/>
    <n v="0"/>
    <m/>
    <x v="11"/>
  </r>
  <r>
    <s v="014"/>
    <x v="14"/>
    <x v="8"/>
    <m/>
    <m/>
    <m/>
    <m/>
    <n v="0"/>
    <m/>
    <x v="11"/>
  </r>
  <r>
    <s v="015"/>
    <x v="15"/>
    <x v="0"/>
    <m/>
    <m/>
    <m/>
    <m/>
    <n v="0"/>
    <m/>
    <x v="11"/>
  </r>
  <r>
    <s v="015"/>
    <x v="15"/>
    <x v="1"/>
    <m/>
    <m/>
    <m/>
    <m/>
    <n v="0"/>
    <m/>
    <x v="11"/>
  </r>
  <r>
    <s v="015"/>
    <x v="15"/>
    <x v="2"/>
    <m/>
    <m/>
    <m/>
    <m/>
    <n v="0"/>
    <m/>
    <x v="11"/>
  </r>
  <r>
    <s v="015"/>
    <x v="15"/>
    <x v="3"/>
    <m/>
    <m/>
    <m/>
    <m/>
    <n v="0"/>
    <m/>
    <x v="11"/>
  </r>
  <r>
    <s v="015"/>
    <x v="15"/>
    <x v="4"/>
    <m/>
    <m/>
    <m/>
    <m/>
    <n v="0"/>
    <m/>
    <x v="11"/>
  </r>
  <r>
    <s v="015"/>
    <x v="15"/>
    <x v="5"/>
    <m/>
    <m/>
    <m/>
    <m/>
    <n v="0"/>
    <m/>
    <x v="11"/>
  </r>
  <r>
    <s v="015"/>
    <x v="15"/>
    <x v="6"/>
    <m/>
    <m/>
    <m/>
    <m/>
    <n v="0"/>
    <m/>
    <x v="11"/>
  </r>
  <r>
    <s v="015"/>
    <x v="15"/>
    <x v="7"/>
    <m/>
    <m/>
    <m/>
    <m/>
    <n v="0"/>
    <m/>
    <x v="11"/>
  </r>
  <r>
    <s v="015"/>
    <x v="15"/>
    <x v="8"/>
    <m/>
    <m/>
    <m/>
    <m/>
    <n v="0"/>
    <m/>
    <x v="11"/>
  </r>
  <r>
    <s v="016"/>
    <x v="16"/>
    <x v="0"/>
    <m/>
    <m/>
    <m/>
    <m/>
    <n v="0"/>
    <m/>
    <x v="11"/>
  </r>
  <r>
    <s v="016"/>
    <x v="16"/>
    <x v="1"/>
    <m/>
    <m/>
    <m/>
    <m/>
    <n v="0"/>
    <m/>
    <x v="11"/>
  </r>
  <r>
    <s v="016"/>
    <x v="16"/>
    <x v="2"/>
    <m/>
    <m/>
    <m/>
    <m/>
    <n v="0"/>
    <m/>
    <x v="11"/>
  </r>
  <r>
    <s v="016"/>
    <x v="16"/>
    <x v="3"/>
    <m/>
    <m/>
    <m/>
    <m/>
    <n v="0"/>
    <m/>
    <x v="11"/>
  </r>
  <r>
    <s v="016"/>
    <x v="16"/>
    <x v="4"/>
    <m/>
    <m/>
    <m/>
    <m/>
    <n v="0"/>
    <m/>
    <x v="11"/>
  </r>
  <r>
    <s v="016"/>
    <x v="16"/>
    <x v="5"/>
    <m/>
    <m/>
    <m/>
    <m/>
    <n v="0"/>
    <m/>
    <x v="11"/>
  </r>
  <r>
    <s v="016"/>
    <x v="16"/>
    <x v="6"/>
    <m/>
    <m/>
    <m/>
    <m/>
    <n v="0"/>
    <m/>
    <x v="11"/>
  </r>
  <r>
    <s v="016"/>
    <x v="16"/>
    <x v="7"/>
    <m/>
    <m/>
    <m/>
    <m/>
    <n v="0"/>
    <m/>
    <x v="11"/>
  </r>
  <r>
    <s v="016"/>
    <x v="16"/>
    <x v="8"/>
    <m/>
    <m/>
    <m/>
    <m/>
    <n v="0"/>
    <m/>
    <x v="11"/>
  </r>
  <r>
    <s v="017"/>
    <x v="17"/>
    <x v="0"/>
    <m/>
    <m/>
    <m/>
    <m/>
    <n v="0"/>
    <m/>
    <x v="11"/>
  </r>
  <r>
    <s v="017"/>
    <x v="17"/>
    <x v="1"/>
    <m/>
    <m/>
    <m/>
    <m/>
    <n v="0"/>
    <m/>
    <x v="11"/>
  </r>
  <r>
    <s v="017"/>
    <x v="17"/>
    <x v="2"/>
    <m/>
    <m/>
    <m/>
    <m/>
    <n v="0"/>
    <m/>
    <x v="11"/>
  </r>
  <r>
    <s v="017"/>
    <x v="17"/>
    <x v="3"/>
    <m/>
    <m/>
    <m/>
    <m/>
    <n v="0"/>
    <m/>
    <x v="11"/>
  </r>
  <r>
    <s v="017"/>
    <x v="17"/>
    <x v="4"/>
    <m/>
    <m/>
    <m/>
    <m/>
    <n v="0"/>
    <m/>
    <x v="11"/>
  </r>
  <r>
    <s v="017"/>
    <x v="17"/>
    <x v="5"/>
    <m/>
    <m/>
    <m/>
    <m/>
    <n v="0"/>
    <m/>
    <x v="11"/>
  </r>
  <r>
    <s v="017"/>
    <x v="17"/>
    <x v="6"/>
    <m/>
    <m/>
    <m/>
    <m/>
    <n v="0"/>
    <m/>
    <x v="11"/>
  </r>
  <r>
    <s v="017"/>
    <x v="17"/>
    <x v="7"/>
    <m/>
    <m/>
    <m/>
    <m/>
    <n v="0"/>
    <m/>
    <x v="11"/>
  </r>
  <r>
    <s v="017"/>
    <x v="17"/>
    <x v="8"/>
    <m/>
    <m/>
    <m/>
    <m/>
    <n v="0"/>
    <m/>
    <x v="11"/>
  </r>
  <r>
    <s v="018"/>
    <x v="18"/>
    <x v="0"/>
    <m/>
    <m/>
    <m/>
    <m/>
    <n v="0"/>
    <m/>
    <x v="11"/>
  </r>
  <r>
    <s v="018"/>
    <x v="18"/>
    <x v="1"/>
    <m/>
    <m/>
    <m/>
    <m/>
    <n v="0"/>
    <m/>
    <x v="11"/>
  </r>
  <r>
    <s v="018"/>
    <x v="18"/>
    <x v="2"/>
    <m/>
    <m/>
    <m/>
    <m/>
    <n v="0"/>
    <m/>
    <x v="11"/>
  </r>
  <r>
    <s v="018"/>
    <x v="18"/>
    <x v="3"/>
    <m/>
    <m/>
    <m/>
    <m/>
    <n v="0"/>
    <m/>
    <x v="11"/>
  </r>
  <r>
    <s v="018"/>
    <x v="18"/>
    <x v="4"/>
    <m/>
    <m/>
    <m/>
    <m/>
    <n v="0"/>
    <m/>
    <x v="11"/>
  </r>
  <r>
    <s v="018"/>
    <x v="18"/>
    <x v="5"/>
    <m/>
    <m/>
    <m/>
    <m/>
    <n v="0"/>
    <m/>
    <x v="11"/>
  </r>
  <r>
    <s v="018"/>
    <x v="18"/>
    <x v="6"/>
    <m/>
    <m/>
    <m/>
    <m/>
    <n v="0"/>
    <m/>
    <x v="11"/>
  </r>
  <r>
    <s v="018"/>
    <x v="18"/>
    <x v="7"/>
    <m/>
    <m/>
    <m/>
    <m/>
    <n v="0"/>
    <m/>
    <x v="11"/>
  </r>
  <r>
    <s v="018"/>
    <x v="18"/>
    <x v="8"/>
    <m/>
    <m/>
    <m/>
    <m/>
    <n v="0"/>
    <m/>
    <x v="11"/>
  </r>
  <r>
    <s v="019"/>
    <x v="19"/>
    <x v="0"/>
    <m/>
    <m/>
    <m/>
    <m/>
    <n v="0"/>
    <m/>
    <x v="11"/>
  </r>
  <r>
    <s v="019"/>
    <x v="19"/>
    <x v="1"/>
    <m/>
    <m/>
    <m/>
    <m/>
    <n v="0"/>
    <m/>
    <x v="11"/>
  </r>
  <r>
    <s v="019"/>
    <x v="19"/>
    <x v="2"/>
    <m/>
    <m/>
    <m/>
    <m/>
    <n v="0"/>
    <m/>
    <x v="11"/>
  </r>
  <r>
    <s v="019"/>
    <x v="19"/>
    <x v="3"/>
    <m/>
    <m/>
    <m/>
    <m/>
    <n v="0"/>
    <m/>
    <x v="11"/>
  </r>
  <r>
    <s v="019"/>
    <x v="19"/>
    <x v="4"/>
    <m/>
    <m/>
    <m/>
    <m/>
    <n v="0"/>
    <m/>
    <x v="11"/>
  </r>
  <r>
    <s v="019"/>
    <x v="19"/>
    <x v="5"/>
    <m/>
    <m/>
    <m/>
    <m/>
    <n v="0"/>
    <m/>
    <x v="11"/>
  </r>
  <r>
    <s v="019"/>
    <x v="19"/>
    <x v="6"/>
    <m/>
    <m/>
    <m/>
    <m/>
    <n v="0"/>
    <m/>
    <x v="11"/>
  </r>
  <r>
    <s v="019"/>
    <x v="19"/>
    <x v="7"/>
    <m/>
    <m/>
    <m/>
    <m/>
    <n v="0"/>
    <m/>
    <x v="11"/>
  </r>
  <r>
    <s v="019"/>
    <x v="19"/>
    <x v="8"/>
    <m/>
    <m/>
    <m/>
    <m/>
    <n v="0"/>
    <m/>
    <x v="11"/>
  </r>
  <r>
    <s v="020"/>
    <x v="20"/>
    <x v="0"/>
    <m/>
    <m/>
    <m/>
    <m/>
    <n v="0"/>
    <m/>
    <x v="11"/>
  </r>
  <r>
    <s v="020"/>
    <x v="20"/>
    <x v="1"/>
    <m/>
    <m/>
    <m/>
    <m/>
    <n v="0"/>
    <m/>
    <x v="11"/>
  </r>
  <r>
    <s v="020"/>
    <x v="20"/>
    <x v="2"/>
    <m/>
    <m/>
    <m/>
    <m/>
    <n v="0"/>
    <m/>
    <x v="11"/>
  </r>
  <r>
    <s v="020"/>
    <x v="20"/>
    <x v="3"/>
    <m/>
    <m/>
    <m/>
    <m/>
    <n v="0"/>
    <m/>
    <x v="11"/>
  </r>
  <r>
    <s v="020"/>
    <x v="20"/>
    <x v="4"/>
    <m/>
    <m/>
    <m/>
    <m/>
    <n v="0"/>
    <m/>
    <x v="11"/>
  </r>
  <r>
    <s v="020"/>
    <x v="20"/>
    <x v="5"/>
    <m/>
    <m/>
    <m/>
    <m/>
    <n v="0"/>
    <m/>
    <x v="11"/>
  </r>
  <r>
    <s v="020"/>
    <x v="20"/>
    <x v="6"/>
    <m/>
    <m/>
    <m/>
    <m/>
    <n v="0"/>
    <m/>
    <x v="11"/>
  </r>
  <r>
    <s v="020"/>
    <x v="20"/>
    <x v="7"/>
    <m/>
    <m/>
    <m/>
    <m/>
    <m/>
    <m/>
    <x v="11"/>
  </r>
  <r>
    <s v="020"/>
    <x v="20"/>
    <x v="8"/>
    <m/>
    <m/>
    <m/>
    <m/>
    <m/>
    <m/>
    <x v="11"/>
  </r>
  <r>
    <m/>
    <x v="21"/>
    <x v="9"/>
    <m/>
    <m/>
    <m/>
    <m/>
    <m/>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KPI PIVOT" cacheId="3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O6" firstHeaderRow="0" firstDataRow="0" firstDataCol="0" rowPageCount="2" colPageCount="1"/>
  <pivotFields count="11">
    <pivotField showAll="0"/>
    <pivotField showAll="0"/>
    <pivotField axis="axisPage" multipleItemSelectionAllowed="1" showAll="0">
      <items count="12">
        <item h="1" x="1"/>
        <item h="1" x="3"/>
        <item h="1" x="5"/>
        <item h="1" x="2"/>
        <item m="1" x="10"/>
        <item h="1" x="6"/>
        <item h="1" x="7"/>
        <item h="1" x="8"/>
        <item h="1" x="4"/>
        <item h="1" x="9"/>
        <item x="0"/>
        <item t="default"/>
      </items>
    </pivotField>
    <pivotField showAll="0" defaultSubtotal="0"/>
    <pivotField showAll="0" defaultSubtotal="0"/>
    <pivotField showAll="0" defaultSubtotal="0"/>
    <pivotField showAll="0" defaultSubtotal="0"/>
    <pivotField showAll="0" defaultSubtotal="0"/>
    <pivotField showAll="0" defaultSubtotal="0"/>
    <pivotField axis="axisPage" multipleItemSelectionAllowed="1" showAll="0">
      <items count="16">
        <item m="1" x="13"/>
        <item h="1" m="1" x="14"/>
        <item h="1" x="12"/>
        <item h="1" x="4"/>
        <item h="1" x="0"/>
        <item h="1" x="1"/>
        <item h="1" x="2"/>
        <item h="1" x="3"/>
        <item h="1" x="5"/>
        <item h="1" x="6"/>
        <item h="1" x="7"/>
        <item h="1" x="8"/>
        <item h="1" x="9"/>
        <item h="1" x="10"/>
        <item h="1" x="11"/>
        <item t="default"/>
      </items>
    </pivotField>
    <pivotField dragToRow="0" dragToCol="0" dragToPage="0" showAll="0" defaultSubtotal="0"/>
  </pivotFields>
  <pageFields count="2">
    <pageField fld="2" hier="-1"/>
    <pageField fld="9" hier="-1"/>
  </pageFields>
  <formats count="3">
    <format dxfId="63">
      <pivotArea outline="0" collapsedLevelsAreSubtotals="1" fieldPosition="0"/>
    </format>
    <format dxfId="62">
      <pivotArea outline="0" collapsedLevelsAreSubtotals="1" fieldPosition="0"/>
    </format>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5" firstHeaderRow="1" firstDataRow="1" firstDataCol="1"/>
  <pivotFields count="11">
    <pivotField showAll="0"/>
    <pivotField showAll="0"/>
    <pivotField showAll="0"/>
    <pivotField showAll="0"/>
    <pivotField showAll="0"/>
    <pivotField showAll="0"/>
    <pivotField showAll="0"/>
    <pivotField showAll="0"/>
    <pivotField showAll="0"/>
    <pivotField axis="axisRow" showAll="0">
      <items count="16">
        <item h="1" x="0"/>
        <item h="1" x="1"/>
        <item h="1" x="2"/>
        <item h="1" x="3"/>
        <item h="1" x="4"/>
        <item h="1" m="1" x="13"/>
        <item h="1" m="1" x="14"/>
        <item h="1" x="5"/>
        <item h="1" x="6"/>
        <item h="1" x="7"/>
        <item x="8"/>
        <item h="1" x="9"/>
        <item h="1" x="10"/>
        <item h="1" x="11"/>
        <item h="1" x="12"/>
        <item t="default"/>
      </items>
    </pivotField>
    <pivotField dragToRow="0" dragToCol="0" dragToPage="0" showAll="0" defaultSubtotal="0"/>
  </pivotFields>
  <rowFields count="1">
    <field x="9"/>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BRANCH PIVOT"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BRANCH">
  <location ref="C3:C26" firstHeaderRow="1" firstDataRow="1" firstDataCol="1"/>
  <pivotFields count="11">
    <pivotField showAll="0"/>
    <pivotField axis="axisRow" showAll="0">
      <items count="23">
        <item x="12"/>
        <item x="0"/>
        <item x="19"/>
        <item x="10"/>
        <item x="9"/>
        <item x="17"/>
        <item x="18"/>
        <item x="8"/>
        <item x="2"/>
        <item x="4"/>
        <item x="15"/>
        <item x="11"/>
        <item x="5"/>
        <item x="20"/>
        <item x="16"/>
        <item x="13"/>
        <item x="7"/>
        <item x="6"/>
        <item x="1"/>
        <item x="14"/>
        <item x="3"/>
        <item x="21"/>
        <item t="default"/>
      </items>
    </pivotField>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H16" firstHeaderRow="1" firstDataRow="1" firstDataCol="1"/>
  <pivotFields count="11">
    <pivotField showAll="0"/>
    <pivotField showAll="0"/>
    <pivotField showAll="0">
      <items count="12">
        <item x="1"/>
        <item h="1" x="3"/>
        <item h="1" x="5"/>
        <item h="1" x="2"/>
        <item h="1" m="1" x="10"/>
        <item h="1" x="6"/>
        <item h="1" x="0"/>
        <item h="1" x="7"/>
        <item h="1" x="8"/>
        <item h="1" x="4"/>
        <item h="1" x="9"/>
        <item t="default"/>
      </items>
    </pivotField>
    <pivotField showAll="0"/>
    <pivotField showAll="0"/>
    <pivotField showAll="0"/>
    <pivotField showAll="0"/>
    <pivotField showAll="0"/>
    <pivotField showAll="0"/>
    <pivotField axis="axisRow" showAll="0">
      <items count="16">
        <item x="0"/>
        <item x="1"/>
        <item x="2"/>
        <item x="3"/>
        <item x="4"/>
        <item m="1" x="13"/>
        <item m="1" x="14"/>
        <item x="5"/>
        <item x="6"/>
        <item x="7"/>
        <item x="8"/>
        <item x="9"/>
        <item x="10"/>
        <item x="11"/>
        <item x="12"/>
        <item t="default"/>
      </items>
    </pivotField>
    <pivotField dragToRow="0" dragToCol="0" dragToPage="0" showAll="0" defaultSubtotal="0"/>
  </pivotFields>
  <rowFields count="1">
    <field x="9"/>
  </rowFields>
  <rowItems count="13">
    <i>
      <x/>
    </i>
    <i>
      <x v="1"/>
    </i>
    <i>
      <x v="2"/>
    </i>
    <i>
      <x v="3"/>
    </i>
    <i>
      <x v="4"/>
    </i>
    <i>
      <x v="7"/>
    </i>
    <i>
      <x v="8"/>
    </i>
    <i>
      <x v="9"/>
    </i>
    <i>
      <x v="10"/>
    </i>
    <i>
      <x v="11"/>
    </i>
    <i>
      <x v="12"/>
    </i>
    <i>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C5" firstHeaderRow="0" firstDataRow="1" firstDataCol="1" rowPageCount="1" colPageCount="1"/>
  <pivotFields count="11">
    <pivotField showAll="0"/>
    <pivotField showAll="0"/>
    <pivotField axis="axisPage" multipleItemSelectionAllowed="1" showAll="0">
      <items count="12">
        <item h="1" x="1"/>
        <item h="1" x="3"/>
        <item h="1" x="5"/>
        <item h="1" x="2"/>
        <item m="1" x="10"/>
        <item h="1" x="6"/>
        <item h="1" x="0"/>
        <item h="1" x="7"/>
        <item x="8"/>
        <item h="1" x="4"/>
        <item h="1" x="9"/>
        <item t="default"/>
      </items>
    </pivotField>
    <pivotField dataField="1" showAll="0"/>
    <pivotField showAll="0"/>
    <pivotField dataField="1" showAll="0"/>
    <pivotField showAll="0"/>
    <pivotField showAll="0"/>
    <pivotField showAll="0"/>
    <pivotField axis="axisRow" showAll="0">
      <items count="16">
        <item h="1" x="0"/>
        <item h="1" x="1"/>
        <item h="1" x="2"/>
        <item h="1" x="3"/>
        <item h="1" x="4"/>
        <item h="1" m="1" x="13"/>
        <item h="1" m="1" x="14"/>
        <item h="1" x="5"/>
        <item h="1" x="6"/>
        <item h="1" x="7"/>
        <item x="8"/>
        <item h="1" x="9"/>
        <item h="1" x="10"/>
        <item h="1" x="11"/>
        <item h="1" x="12"/>
        <item t="default"/>
      </items>
    </pivotField>
    <pivotField dragToRow="0" dragToCol="0" dragToPage="0" showAll="0" defaultSubtotal="0"/>
  </pivotFields>
  <rowFields count="1">
    <field x="9"/>
  </rowFields>
  <rowItems count="2">
    <i>
      <x v="10"/>
    </i>
    <i t="grand">
      <x/>
    </i>
  </rowItems>
  <colFields count="1">
    <field x="-2"/>
  </colFields>
  <colItems count="2">
    <i>
      <x/>
    </i>
    <i i="1">
      <x v="1"/>
    </i>
  </colItems>
  <pageFields count="1">
    <pageField fld="2" hier="-1"/>
  </pageFields>
  <dataFields count="2">
    <dataField name="PBT ACTUAL (MONTH)" fld="3" baseField="9" baseItem="0"/>
    <dataField name="PBT BUDGET (MONTH)" fld="5" baseField="9" baseItem="0"/>
  </dataFields>
  <formats count="6">
    <format dxfId="10">
      <pivotArea type="all" dataOnly="0" outline="0" fieldPosition="0"/>
    </format>
    <format dxfId="9">
      <pivotArea outline="0" collapsedLevelsAreSubtotals="1" fieldPosition="0"/>
    </format>
    <format dxfId="8">
      <pivotArea field="9" type="button" dataOnly="0" labelOnly="1" outline="0" axis="axisRow" fieldPosition="0"/>
    </format>
    <format dxfId="7">
      <pivotArea dataOnly="0" labelOnly="1" fieldPosition="0">
        <references count="1">
          <reference field="9" count="12">
            <x v="0"/>
            <x v="1"/>
            <x v="2"/>
            <x v="3"/>
            <x v="4"/>
            <x v="7"/>
            <x v="8"/>
            <x v="9"/>
            <x v="10"/>
            <x v="11"/>
            <x v="12"/>
            <x v="13"/>
          </reference>
        </references>
      </pivotArea>
    </format>
    <format dxfId="6">
      <pivotArea dataOnly="0" labelOnly="1" grandRow="1" outline="0" fieldPosition="0"/>
    </format>
    <format dxfId="5">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A28" firstHeaderRow="1" firstDataRow="3" firstDataCol="1"/>
  <pivotFields count="11">
    <pivotField showAll="0"/>
    <pivotField axis="axisRow" showAll="0">
      <items count="23">
        <item x="12"/>
        <item x="0"/>
        <item x="19"/>
        <item x="10"/>
        <item x="9"/>
        <item x="17"/>
        <item x="18"/>
        <item x="8"/>
        <item x="2"/>
        <item x="4"/>
        <item x="15"/>
        <item x="11"/>
        <item x="5"/>
        <item x="20"/>
        <item x="16"/>
        <item x="13"/>
        <item x="7"/>
        <item x="6"/>
        <item x="1"/>
        <item x="14"/>
        <item x="3"/>
        <item x="21"/>
        <item t="default"/>
      </items>
    </pivotField>
    <pivotField axis="axisRow" multipleItemSelectionAllowed="1" showAll="0">
      <items count="12">
        <item x="1"/>
        <item h="1" x="3"/>
        <item h="1" x="5"/>
        <item h="1" x="2"/>
        <item h="1" m="1" x="10"/>
        <item h="1" x="6"/>
        <item h="1" x="0"/>
        <item h="1" x="7"/>
        <item h="1" x="8"/>
        <item h="1" x="4"/>
        <item h="1" x="9"/>
        <item t="default"/>
      </items>
    </pivotField>
    <pivotField dataField="1" showAll="0"/>
    <pivotField dataField="1" showAll="0"/>
    <pivotField dataField="1" showAll="0"/>
    <pivotField dataField="1" showAll="0"/>
    <pivotField showAll="0"/>
    <pivotField showAll="0"/>
    <pivotField axis="axisCol" showAll="0">
      <items count="16">
        <item x="0"/>
        <item x="1"/>
        <item x="2"/>
        <item x="3"/>
        <item x="4"/>
        <item m="1" x="13"/>
        <item m="1" x="14"/>
        <item x="5"/>
        <item x="6"/>
        <item x="7"/>
        <item x="8"/>
        <item x="9"/>
        <item x="10"/>
        <item x="11"/>
        <item x="12"/>
        <item t="default"/>
      </items>
    </pivotField>
    <pivotField dragToRow="0" dragToCol="0" dragToPage="0" showAll="0" defaultSubtotal="0"/>
  </pivotFields>
  <rowFields count="2">
    <field x="2"/>
    <field x="1"/>
  </rowFields>
  <rowItems count="23">
    <i>
      <x/>
    </i>
    <i r="1">
      <x/>
    </i>
    <i r="1">
      <x v="1"/>
    </i>
    <i r="1">
      <x v="2"/>
    </i>
    <i r="1">
      <x v="3"/>
    </i>
    <i r="1">
      <x v="4"/>
    </i>
    <i r="1">
      <x v="5"/>
    </i>
    <i r="1">
      <x v="6"/>
    </i>
    <i r="1">
      <x v="7"/>
    </i>
    <i r="1">
      <x v="8"/>
    </i>
    <i r="1">
      <x v="9"/>
    </i>
    <i r="1">
      <x v="10"/>
    </i>
    <i r="1">
      <x v="11"/>
    </i>
    <i r="1">
      <x v="12"/>
    </i>
    <i r="1">
      <x v="13"/>
    </i>
    <i r="1">
      <x v="14"/>
    </i>
    <i r="1">
      <x v="15"/>
    </i>
    <i r="1">
      <x v="16"/>
    </i>
    <i r="1">
      <x v="17"/>
    </i>
    <i r="1">
      <x v="18"/>
    </i>
    <i r="1">
      <x v="19"/>
    </i>
    <i r="1">
      <x v="20"/>
    </i>
    <i t="grand">
      <x/>
    </i>
  </rowItems>
  <colFields count="2">
    <field x="-2"/>
    <field x="9"/>
  </colFields>
  <colItems count="52">
    <i>
      <x/>
      <x/>
    </i>
    <i r="1">
      <x v="1"/>
    </i>
    <i r="1">
      <x v="2"/>
    </i>
    <i r="1">
      <x v="3"/>
    </i>
    <i r="1">
      <x v="4"/>
    </i>
    <i r="1">
      <x v="7"/>
    </i>
    <i r="1">
      <x v="8"/>
    </i>
    <i r="1">
      <x v="9"/>
    </i>
    <i r="1">
      <x v="10"/>
    </i>
    <i r="1">
      <x v="11"/>
    </i>
    <i r="1">
      <x v="12"/>
    </i>
    <i r="1">
      <x v="13"/>
    </i>
    <i i="1">
      <x v="1"/>
      <x/>
    </i>
    <i r="1" i="1">
      <x v="1"/>
    </i>
    <i r="1" i="1">
      <x v="2"/>
    </i>
    <i r="1" i="1">
      <x v="3"/>
    </i>
    <i r="1" i="1">
      <x v="4"/>
    </i>
    <i r="1" i="1">
      <x v="7"/>
    </i>
    <i r="1" i="1">
      <x v="8"/>
    </i>
    <i r="1" i="1">
      <x v="9"/>
    </i>
    <i r="1" i="1">
      <x v="10"/>
    </i>
    <i r="1" i="1">
      <x v="11"/>
    </i>
    <i r="1" i="1">
      <x v="12"/>
    </i>
    <i r="1" i="1">
      <x v="13"/>
    </i>
    <i i="2">
      <x v="2"/>
      <x/>
    </i>
    <i r="1" i="2">
      <x v="1"/>
    </i>
    <i r="1" i="2">
      <x v="2"/>
    </i>
    <i r="1" i="2">
      <x v="3"/>
    </i>
    <i r="1" i="2">
      <x v="4"/>
    </i>
    <i r="1" i="2">
      <x v="7"/>
    </i>
    <i r="1" i="2">
      <x v="8"/>
    </i>
    <i r="1" i="2">
      <x v="9"/>
    </i>
    <i r="1" i="2">
      <x v="10"/>
    </i>
    <i r="1" i="2">
      <x v="11"/>
    </i>
    <i r="1" i="2">
      <x v="12"/>
    </i>
    <i r="1" i="2">
      <x v="13"/>
    </i>
    <i i="3">
      <x v="3"/>
      <x/>
    </i>
    <i r="1" i="3">
      <x v="1"/>
    </i>
    <i r="1" i="3">
      <x v="2"/>
    </i>
    <i r="1" i="3">
      <x v="3"/>
    </i>
    <i r="1" i="3">
      <x v="4"/>
    </i>
    <i r="1" i="3">
      <x v="7"/>
    </i>
    <i r="1" i="3">
      <x v="8"/>
    </i>
    <i r="1" i="3">
      <x v="9"/>
    </i>
    <i r="1" i="3">
      <x v="10"/>
    </i>
    <i r="1" i="3">
      <x v="11"/>
    </i>
    <i r="1" i="3">
      <x v="12"/>
    </i>
    <i r="1" i="3">
      <x v="13"/>
    </i>
    <i t="grand">
      <x/>
    </i>
    <i t="grand" i="1">
      <x/>
    </i>
    <i t="grand" i="2">
      <x/>
    </i>
    <i t="grand" i="3">
      <x/>
    </i>
  </colItems>
  <dataFields count="4">
    <dataField name="Sum of ACTUAL (MONTH)" fld="3" baseField="0" baseItem="1"/>
    <dataField name="Sum of BUDGET (MONTH)" fld="5" baseField="0" baseItem="1"/>
    <dataField name="Sum of ACTUAL (YTD)" fld="4" baseField="1" baseItem="7"/>
    <dataField name="Sum of BUDGET (YTD)" fld="6" baseField="1" baseItem="7"/>
  </dataFields>
  <formats count="5">
    <format dxfId="4">
      <pivotArea type="all" dataOnly="0" outline="0" fieldPosition="0"/>
    </format>
    <format dxfId="3">
      <pivotArea outline="0" collapsedLevelsAreSubtotals="1" fieldPosition="0"/>
    </format>
    <format dxfId="2">
      <pivotArea field="1" type="button" dataOnly="0" labelOnly="1" outline="0" axis="axisRow" fieldPosition="1"/>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 SLICER PIVOT" cacheId="3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S4:T6" firstHeaderRow="1" firstDataRow="1" firstDataCol="1" rowPageCount="1" colPageCount="1"/>
  <pivotFields count="11">
    <pivotField showAll="0"/>
    <pivotField showAll="0"/>
    <pivotField axis="axisRow" showAll="0">
      <items count="12">
        <item x="1"/>
        <item x="3"/>
        <item x="5"/>
        <item x="2"/>
        <item m="1" x="10"/>
        <item x="6"/>
        <item x="7"/>
        <item x="8"/>
        <item x="4"/>
        <item x="9"/>
        <item x="0"/>
        <item t="default"/>
      </items>
    </pivotField>
    <pivotField showAll="0" defaultSubtotal="0"/>
    <pivotField showAll="0" defaultSubtotal="0"/>
    <pivotField showAll="0" defaultSubtotal="0"/>
    <pivotField showAll="0" defaultSubtotal="0"/>
    <pivotField showAll="0" defaultSubtotal="0"/>
    <pivotField showAll="0" defaultSubtotal="0"/>
    <pivotField axis="axisPage" multipleItemSelectionAllowed="1" showAll="0">
      <items count="16">
        <item h="1" m="1" x="13"/>
        <item h="1" m="1" x="14"/>
        <item x="12"/>
        <item h="1" x="4"/>
        <item h="1" x="0"/>
        <item h="1" x="1"/>
        <item h="1" x="2"/>
        <item h="1" x="3"/>
        <item h="1" x="5"/>
        <item h="1" x="6"/>
        <item h="1" x="7"/>
        <item h="1" x="8"/>
        <item h="1" x="9"/>
        <item h="1" x="10"/>
        <item h="1" x="11"/>
        <item t="default"/>
      </items>
    </pivotField>
    <pivotField dataField="1" dragToRow="0" dragToCol="0" dragToPage="0" showAll="0" defaultSubtotal="0"/>
  </pivotFields>
  <rowFields count="1">
    <field x="2"/>
  </rowFields>
  <rowItems count="2">
    <i>
      <x v="9"/>
    </i>
    <i t="grand">
      <x/>
    </i>
  </rowItems>
  <colItems count="1">
    <i/>
  </colItems>
  <pageFields count="1">
    <pageField fld="9" hier="-1"/>
  </pageFields>
  <dataFields count="1">
    <dataField name="Sum of % VARIANCE" fld="10" baseField="0" baseItem="0" numFmtId="9"/>
  </dataFields>
  <formats count="8">
    <format dxfId="71">
      <pivotArea collapsedLevelsAreSubtotals="1" fieldPosition="0">
        <references count="1">
          <reference field="2" count="9">
            <x v="0"/>
            <x v="1"/>
            <x v="2"/>
            <x v="3"/>
            <x v="4"/>
            <x v="5"/>
            <x v="6"/>
            <x v="7"/>
            <x v="8"/>
          </reference>
        </references>
      </pivotArea>
    </format>
    <format dxfId="70">
      <pivotArea collapsedLevelsAreSubtotals="1" fieldPosition="0">
        <references count="1">
          <reference field="2" count="9">
            <x v="0"/>
            <x v="1"/>
            <x v="2"/>
            <x v="3"/>
            <x v="4"/>
            <x v="5"/>
            <x v="6"/>
            <x v="7"/>
            <x v="8"/>
          </reference>
        </references>
      </pivotArea>
    </format>
    <format dxfId="69">
      <pivotArea collapsedLevelsAreSubtotals="1" fieldPosition="0">
        <references count="1">
          <reference field="2" count="9">
            <x v="0"/>
            <x v="1"/>
            <x v="2"/>
            <x v="3"/>
            <x v="4"/>
            <x v="5"/>
            <x v="6"/>
            <x v="7"/>
            <x v="8"/>
          </reference>
        </references>
      </pivotArea>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dataOnly="0" labelOnly="1" outline="0" fieldPosition="0">
        <references count="1">
          <reference field="4294967294" count="1">
            <x v="0"/>
          </reference>
        </references>
      </pivotArea>
    </format>
    <format dxfId="6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ER BRANCH PIVOT" cacheId="3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36:B47" firstHeaderRow="1" firstDataRow="1" firstDataCol="1"/>
  <pivotFields count="11">
    <pivotField showAll="0"/>
    <pivotField showAll="0"/>
    <pivotField axis="axisRow" showAll="0">
      <items count="12">
        <item x="1"/>
        <item x="3"/>
        <item x="5"/>
        <item x="2"/>
        <item m="1" x="10"/>
        <item x="6"/>
        <item x="7"/>
        <item x="8"/>
        <item x="4"/>
        <item x="9"/>
        <item x="0"/>
        <item t="default"/>
      </items>
    </pivotField>
    <pivotField showAll="0" defaultSubtotal="0"/>
    <pivotField showAll="0" defaultSubtotal="0"/>
    <pivotField showAll="0" defaultSubtotal="0"/>
    <pivotField showAll="0" defaultSubtotal="0"/>
    <pivotField showAll="0" defaultSubtotal="0"/>
    <pivotField showAll="0" defaultSubtotal="0"/>
    <pivotField showAll="0"/>
    <pivotField dataField="1" dragToRow="0" dragToCol="0" dragToPage="0" showAll="0" defaultSubtotal="0"/>
  </pivotFields>
  <rowFields count="1">
    <field x="2"/>
  </rowFields>
  <rowItems count="11">
    <i>
      <x/>
    </i>
    <i>
      <x v="1"/>
    </i>
    <i>
      <x v="2"/>
    </i>
    <i>
      <x v="3"/>
    </i>
    <i>
      <x v="5"/>
    </i>
    <i>
      <x v="6"/>
    </i>
    <i>
      <x v="7"/>
    </i>
    <i>
      <x v="8"/>
    </i>
    <i>
      <x v="9"/>
    </i>
    <i>
      <x v="10"/>
    </i>
    <i t="grand">
      <x/>
    </i>
  </rowItems>
  <colItems count="1">
    <i/>
  </colItems>
  <dataFields count="1">
    <dataField name="Sum of % VARIANCE" fld="10" baseField="0" baseItem="0" numFmtId="9"/>
  </dataFields>
  <formats count="8">
    <format dxfId="79">
      <pivotArea collapsedLevelsAreSubtotals="1" fieldPosition="0">
        <references count="1">
          <reference field="2" count="9">
            <x v="0"/>
            <x v="1"/>
            <x v="2"/>
            <x v="3"/>
            <x v="4"/>
            <x v="5"/>
            <x v="6"/>
            <x v="7"/>
            <x v="8"/>
          </reference>
        </references>
      </pivotArea>
    </format>
    <format dxfId="78">
      <pivotArea collapsedLevelsAreSubtotals="1" fieldPosition="0">
        <references count="1">
          <reference field="2" count="9">
            <x v="0"/>
            <x v="1"/>
            <x v="2"/>
            <x v="3"/>
            <x v="4"/>
            <x v="5"/>
            <x v="6"/>
            <x v="7"/>
            <x v="8"/>
          </reference>
        </references>
      </pivotArea>
    </format>
    <format dxfId="77">
      <pivotArea collapsedLevelsAreSubtotals="1" fieldPosition="0">
        <references count="1">
          <reference field="2" count="9">
            <x v="0"/>
            <x v="1"/>
            <x v="2"/>
            <x v="3"/>
            <x v="4"/>
            <x v="5"/>
            <x v="6"/>
            <x v="7"/>
            <x v="8"/>
          </reference>
        </references>
      </pivotArea>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dataOnly="0" labelOnly="1" outline="0" fieldPosition="0">
        <references count="1">
          <reference field="4294967294" count="1">
            <x v="0"/>
          </reference>
        </references>
      </pivotArea>
    </format>
    <format dxfId="7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OVERALL PERFOMANCE PIVOT" cacheId="3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6:B17" firstHeaderRow="1" firstDataRow="1" firstDataCol="1"/>
  <pivotFields count="11">
    <pivotField showAll="0"/>
    <pivotField showAll="0"/>
    <pivotField axis="axisRow" showAll="0">
      <items count="12">
        <item x="1"/>
        <item x="3"/>
        <item x="5"/>
        <item x="2"/>
        <item m="1" x="10"/>
        <item x="6"/>
        <item x="7"/>
        <item x="8"/>
        <item x="4"/>
        <item x="9"/>
        <item x="0"/>
        <item t="default"/>
      </items>
    </pivotField>
    <pivotField showAll="0" defaultSubtotal="0"/>
    <pivotField showAll="0" defaultSubtotal="0"/>
    <pivotField showAll="0" defaultSubtotal="0"/>
    <pivotField showAll="0" defaultSubtotal="0"/>
    <pivotField showAll="0" defaultSubtotal="0"/>
    <pivotField showAll="0" defaultSubtotal="0"/>
    <pivotField multipleItemSelectionAllowed="1" showAll="0"/>
    <pivotField dataField="1" dragToRow="0" dragToCol="0" dragToPage="0" showAll="0" defaultSubtotal="0"/>
  </pivotFields>
  <rowFields count="1">
    <field x="2"/>
  </rowFields>
  <rowItems count="11">
    <i>
      <x/>
    </i>
    <i>
      <x v="1"/>
    </i>
    <i>
      <x v="2"/>
    </i>
    <i>
      <x v="3"/>
    </i>
    <i>
      <x v="5"/>
    </i>
    <i>
      <x v="6"/>
    </i>
    <i>
      <x v="7"/>
    </i>
    <i>
      <x v="8"/>
    </i>
    <i>
      <x v="9"/>
    </i>
    <i>
      <x v="10"/>
    </i>
    <i t="grand">
      <x/>
    </i>
  </rowItems>
  <colItems count="1">
    <i/>
  </colItems>
  <dataFields count="1">
    <dataField name="Sum of % VARIANCE" fld="10" baseField="0" baseItem="0" numFmtId="9"/>
  </dataFields>
  <formats count="8">
    <format dxfId="87">
      <pivotArea collapsedLevelsAreSubtotals="1" fieldPosition="0">
        <references count="1">
          <reference field="2" count="9">
            <x v="0"/>
            <x v="1"/>
            <x v="2"/>
            <x v="3"/>
            <x v="4"/>
            <x v="5"/>
            <x v="6"/>
            <x v="7"/>
            <x v="8"/>
          </reference>
        </references>
      </pivotArea>
    </format>
    <format dxfId="86">
      <pivotArea collapsedLevelsAreSubtotals="1" fieldPosition="0">
        <references count="1">
          <reference field="2" count="9">
            <x v="0"/>
            <x v="1"/>
            <x v="2"/>
            <x v="3"/>
            <x v="4"/>
            <x v="5"/>
            <x v="6"/>
            <x v="7"/>
            <x v="8"/>
          </reference>
        </references>
      </pivotArea>
    </format>
    <format dxfId="85">
      <pivotArea collapsedLevelsAreSubtotals="1" fieldPosition="0">
        <references count="1">
          <reference field="2" count="9">
            <x v="0"/>
            <x v="1"/>
            <x v="2"/>
            <x v="3"/>
            <x v="4"/>
            <x v="5"/>
            <x v="6"/>
            <x v="7"/>
            <x v="8"/>
          </reference>
        </references>
      </pivotArea>
    </format>
    <format dxfId="84">
      <pivotArea outline="0" collapsedLevelsAreSubtotals="1" fieldPosition="0"/>
    </format>
    <format dxfId="83">
      <pivotArea outline="0" collapsedLevelsAreSubtotals="1" fieldPosition="0"/>
    </format>
    <format dxfId="82">
      <pivotArea outline="0" collapsedLevelsAreSubtotals="1" fieldPosition="0"/>
    </format>
    <format dxfId="81">
      <pivotArea dataOnly="0" labelOnly="1" outline="0" fieldPosition="0">
        <references count="1">
          <reference field="4294967294" count="1">
            <x v="0"/>
          </reference>
        </references>
      </pivotArea>
    </format>
    <format dxfId="8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93:M108" firstHeaderRow="1" firstDataRow="3" firstDataCol="1"/>
  <pivotFields count="11">
    <pivotField showAll="0"/>
    <pivotField showAll="0"/>
    <pivotField axis="axisCol" showAll="0">
      <items count="12">
        <item h="1" x="1"/>
        <item h="1" x="3"/>
        <item h="1" x="5"/>
        <item h="1" x="2"/>
        <item h="1" m="1" x="10"/>
        <item h="1" x="6"/>
        <item h="1" x="0"/>
        <item x="7"/>
        <item x="8"/>
        <item h="1" x="4"/>
        <item h="1" x="9"/>
        <item t="default"/>
      </items>
    </pivotField>
    <pivotField dataField="1" showAll="0"/>
    <pivotField dataField="1" showAll="0"/>
    <pivotField dataField="1" showAll="0"/>
    <pivotField dataField="1" showAll="0"/>
    <pivotField showAll="0"/>
    <pivotField showAll="0"/>
    <pivotField axis="axisRow" showAll="0">
      <items count="16">
        <item x="0"/>
        <item x="1"/>
        <item x="2"/>
        <item x="3"/>
        <item x="4"/>
        <item m="1" x="13"/>
        <item m="1" x="14"/>
        <item x="5"/>
        <item x="6"/>
        <item x="7"/>
        <item x="8"/>
        <item x="9"/>
        <item x="10"/>
        <item x="11"/>
        <item x="12"/>
        <item t="default"/>
      </items>
    </pivotField>
    <pivotField dragToRow="0" dragToCol="0" dragToPage="0" showAll="0" defaultSubtotal="0"/>
  </pivotFields>
  <rowFields count="1">
    <field x="9"/>
  </rowFields>
  <rowItems count="13">
    <i>
      <x/>
    </i>
    <i>
      <x v="1"/>
    </i>
    <i>
      <x v="2"/>
    </i>
    <i>
      <x v="3"/>
    </i>
    <i>
      <x v="4"/>
    </i>
    <i>
      <x v="7"/>
    </i>
    <i>
      <x v="8"/>
    </i>
    <i>
      <x v="9"/>
    </i>
    <i>
      <x v="10"/>
    </i>
    <i>
      <x v="11"/>
    </i>
    <i>
      <x v="12"/>
    </i>
    <i>
      <x v="13"/>
    </i>
    <i t="grand">
      <x/>
    </i>
  </rowItems>
  <colFields count="2">
    <field x="-2"/>
    <field x="2"/>
  </colFields>
  <colItems count="12">
    <i>
      <x/>
      <x v="7"/>
    </i>
    <i r="1">
      <x v="8"/>
    </i>
    <i i="1">
      <x v="1"/>
      <x v="7"/>
    </i>
    <i r="1" i="1">
      <x v="8"/>
    </i>
    <i i="2">
      <x v="2"/>
      <x v="7"/>
    </i>
    <i r="1" i="2">
      <x v="8"/>
    </i>
    <i i="3">
      <x v="3"/>
      <x v="7"/>
    </i>
    <i r="1" i="3">
      <x v="8"/>
    </i>
    <i t="grand">
      <x/>
    </i>
    <i t="grand" i="1">
      <x/>
    </i>
    <i t="grand" i="2">
      <x/>
    </i>
    <i t="grand" i="3">
      <x/>
    </i>
  </colItems>
  <dataFields count="4">
    <dataField name="Sum of ACTUAL (MONTH)" fld="3" baseField="9" baseItem="1"/>
    <dataField name="Sum of BUDGET (MONTH)" fld="5" baseField="9" baseItem="1"/>
    <dataField name="Sum of ACTUAL (YTD)" fld="4" baseField="9" baseItem="1"/>
    <dataField name="Sum of BUDGET (YTD)" fld="6" baseField="9" baseItem="1"/>
  </dataFields>
  <formats count="12">
    <format dxfId="22">
      <pivotArea outline="0" collapsedLevelsAreSubtotals="1" fieldPosition="0"/>
    </format>
    <format dxfId="21">
      <pivotArea field="9" type="button" dataOnly="0" labelOnly="1" outline="0" axis="axisRow" fieldPosition="0"/>
    </format>
    <format dxfId="20">
      <pivotArea dataOnly="0" labelOnly="1" fieldPosition="0">
        <references count="1">
          <reference field="9" count="12">
            <x v="0"/>
            <x v="1"/>
            <x v="2"/>
            <x v="3"/>
            <x v="4"/>
            <x v="7"/>
            <x v="8"/>
            <x v="9"/>
            <x v="10"/>
            <x v="11"/>
            <x v="12"/>
            <x v="13"/>
          </reference>
        </references>
      </pivotArea>
    </format>
    <format dxfId="19">
      <pivotArea dataOnly="0" labelOnly="1" grandRow="1" outline="0" fieldPosition="0"/>
    </format>
    <format dxfId="18">
      <pivotArea field="2" dataOnly="0" labelOnly="1" grandCol="1" outline="0" axis="axisCol" fieldPosition="1">
        <references count="1">
          <reference field="4294967294" count="1" selected="0">
            <x v="0"/>
          </reference>
        </references>
      </pivotArea>
    </format>
    <format dxfId="17">
      <pivotArea field="2" dataOnly="0" labelOnly="1" grandCol="1" outline="0" axis="axisCol" fieldPosition="1">
        <references count="1">
          <reference field="4294967294" count="1" selected="0">
            <x v="1"/>
          </reference>
        </references>
      </pivotArea>
    </format>
    <format dxfId="16">
      <pivotArea field="2" dataOnly="0" labelOnly="1" grandCol="1" outline="0" axis="axisCol" fieldPosition="1">
        <references count="1">
          <reference field="4294967294" count="1" selected="0">
            <x v="2"/>
          </reference>
        </references>
      </pivotArea>
    </format>
    <format dxfId="15">
      <pivotArea field="2" dataOnly="0" labelOnly="1" grandCol="1" outline="0" axis="axisCol" fieldPosition="1">
        <references count="1">
          <reference field="4294967294" count="1" selected="0">
            <x v="3"/>
          </reference>
        </references>
      </pivotArea>
    </format>
    <format dxfId="14">
      <pivotArea dataOnly="0" labelOnly="1" fieldPosition="0">
        <references count="2">
          <reference field="4294967294" count="1" selected="0">
            <x v="0"/>
          </reference>
          <reference field="2" count="0"/>
        </references>
      </pivotArea>
    </format>
    <format dxfId="13">
      <pivotArea dataOnly="0" labelOnly="1" fieldPosition="0">
        <references count="2">
          <reference field="4294967294" count="1" selected="0">
            <x v="1"/>
          </reference>
          <reference field="2" count="0"/>
        </references>
      </pivotArea>
    </format>
    <format dxfId="12">
      <pivotArea dataOnly="0" labelOnly="1" fieldPosition="0">
        <references count="2">
          <reference field="4294967294" count="1" selected="0">
            <x v="2"/>
          </reference>
          <reference field="2" count="0"/>
        </references>
      </pivotArea>
    </format>
    <format dxfId="11">
      <pivotArea dataOnly="0" labelOnly="1" fieldPosition="0">
        <references count="2">
          <reference field="4294967294" count="1" selected="0">
            <x v="3"/>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NFI,PBT"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6:M90" firstHeaderRow="1" firstDataRow="3" firstDataCol="1" rowPageCount="1" colPageCount="1"/>
  <pivotFields count="11">
    <pivotField showAll="0"/>
    <pivotField axis="axisRow" showAll="0">
      <items count="23">
        <item x="12"/>
        <item x="0"/>
        <item x="19"/>
        <item x="10"/>
        <item x="9"/>
        <item x="17"/>
        <item x="18"/>
        <item x="8"/>
        <item x="2"/>
        <item x="4"/>
        <item x="15"/>
        <item x="11"/>
        <item x="5"/>
        <item x="20"/>
        <item x="16"/>
        <item x="13"/>
        <item x="7"/>
        <item x="6"/>
        <item x="1"/>
        <item x="14"/>
        <item x="3"/>
        <item x="21"/>
        <item t="default"/>
      </items>
    </pivotField>
    <pivotField axis="axisCol" showAll="0">
      <items count="12">
        <item h="1" x="1"/>
        <item h="1" x="3"/>
        <item h="1" x="5"/>
        <item h="1" x="2"/>
        <item h="1" m="1" x="10"/>
        <item h="1" x="6"/>
        <item h="1" x="0"/>
        <item x="7"/>
        <item x="8"/>
        <item h="1" x="4"/>
        <item h="1" x="9"/>
        <item t="default"/>
      </items>
    </pivotField>
    <pivotField dataField="1" showAll="0"/>
    <pivotField dataField="1" showAll="0"/>
    <pivotField dataField="1" showAll="0"/>
    <pivotField dataField="1" showAll="0"/>
    <pivotField showAll="0"/>
    <pivotField showAll="0"/>
    <pivotField axis="axisPage" multipleItemSelectionAllowed="1" showAll="0">
      <items count="16">
        <item h="1" x="0"/>
        <item h="1" x="1"/>
        <item h="1" x="2"/>
        <item h="1" x="3"/>
        <item h="1" x="4"/>
        <item h="1" m="1" x="13"/>
        <item h="1" m="1" x="14"/>
        <item h="1" x="5"/>
        <item h="1" x="6"/>
        <item x="7"/>
        <item h="1" x="8"/>
        <item h="1" x="9"/>
        <item h="1" x="10"/>
        <item h="1" x="11"/>
        <item h="1" x="12"/>
        <item t="default"/>
      </items>
    </pivotField>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2">
    <field x="-2"/>
    <field x="2"/>
  </colFields>
  <colItems count="12">
    <i>
      <x/>
      <x v="7"/>
    </i>
    <i r="1">
      <x v="8"/>
    </i>
    <i i="1">
      <x v="1"/>
      <x v="7"/>
    </i>
    <i r="1" i="1">
      <x v="8"/>
    </i>
    <i i="2">
      <x v="2"/>
      <x v="7"/>
    </i>
    <i r="1" i="2">
      <x v="8"/>
    </i>
    <i i="3">
      <x v="3"/>
      <x v="7"/>
    </i>
    <i r="1" i="3">
      <x v="8"/>
    </i>
    <i t="grand">
      <x/>
    </i>
    <i t="grand" i="1">
      <x/>
    </i>
    <i t="grand" i="2">
      <x/>
    </i>
    <i t="grand" i="3">
      <x/>
    </i>
  </colItems>
  <pageFields count="1">
    <pageField fld="9" hier="-1"/>
  </pageFields>
  <dataFields count="4">
    <dataField name="Sum of ACTUAL (MONTH)" fld="3" baseField="1" baseItem="0"/>
    <dataField name="Sum of BUDGET (MONTH)" fld="5" baseField="1" baseItem="0"/>
    <dataField name="Sum of ACTUAL (YTD)" fld="4" baseField="1" baseItem="0"/>
    <dataField name="Sum of BUDGET (YTD)" fld="6" baseField="1" baseItem="0"/>
  </dataFields>
  <formats count="12">
    <format dxfId="34">
      <pivotArea outline="0" collapsedLevelsAreSubtotals="1" fieldPosition="0"/>
    </format>
    <format dxfId="33">
      <pivotArea field="1" type="button" dataOnly="0" labelOnly="1" outline="0" axis="axisRow" fieldPosition="0"/>
    </format>
    <format dxfId="32">
      <pivotArea dataOnly="0" labelOnly="1" fieldPosition="0">
        <references count="1">
          <reference field="1" count="21">
            <x v="0"/>
            <x v="1"/>
            <x v="2"/>
            <x v="3"/>
            <x v="4"/>
            <x v="5"/>
            <x v="6"/>
            <x v="7"/>
            <x v="8"/>
            <x v="9"/>
            <x v="10"/>
            <x v="11"/>
            <x v="12"/>
            <x v="13"/>
            <x v="14"/>
            <x v="15"/>
            <x v="16"/>
            <x v="17"/>
            <x v="18"/>
            <x v="19"/>
            <x v="20"/>
          </reference>
        </references>
      </pivotArea>
    </format>
    <format dxfId="31">
      <pivotArea dataOnly="0" labelOnly="1" grandRow="1" outline="0" fieldPosition="0"/>
    </format>
    <format dxfId="30">
      <pivotArea field="2" dataOnly="0" labelOnly="1" grandCol="1" outline="0" axis="axisCol" fieldPosition="1">
        <references count="1">
          <reference field="4294967294" count="1" selected="0">
            <x v="0"/>
          </reference>
        </references>
      </pivotArea>
    </format>
    <format dxfId="29">
      <pivotArea field="2" dataOnly="0" labelOnly="1" grandCol="1" outline="0" axis="axisCol" fieldPosition="1">
        <references count="1">
          <reference field="4294967294" count="1" selected="0">
            <x v="1"/>
          </reference>
        </references>
      </pivotArea>
    </format>
    <format dxfId="28">
      <pivotArea field="2" dataOnly="0" labelOnly="1" grandCol="1" outline="0" axis="axisCol" fieldPosition="1">
        <references count="1">
          <reference field="4294967294" count="1" selected="0">
            <x v="2"/>
          </reference>
        </references>
      </pivotArea>
    </format>
    <format dxfId="27">
      <pivotArea field="2" dataOnly="0" labelOnly="1" grandCol="1" outline="0" axis="axisCol" fieldPosition="1">
        <references count="1">
          <reference field="4294967294" count="1" selected="0">
            <x v="3"/>
          </reference>
        </references>
      </pivotArea>
    </format>
    <format dxfId="26">
      <pivotArea dataOnly="0" labelOnly="1" fieldPosition="0">
        <references count="2">
          <reference field="4294967294" count="1" selected="0">
            <x v="0"/>
          </reference>
          <reference field="2" count="0"/>
        </references>
      </pivotArea>
    </format>
    <format dxfId="25">
      <pivotArea dataOnly="0" labelOnly="1" fieldPosition="0">
        <references count="2">
          <reference field="4294967294" count="1" selected="0">
            <x v="1"/>
          </reference>
          <reference field="2" count="0"/>
        </references>
      </pivotArea>
    </format>
    <format dxfId="24">
      <pivotArea dataOnly="0" labelOnly="1" fieldPosition="0">
        <references count="2">
          <reference field="4294967294" count="1" selected="0">
            <x v="2"/>
          </reference>
          <reference field="2" count="0"/>
        </references>
      </pivotArea>
    </format>
    <format dxfId="23">
      <pivotArea dataOnly="0" labelOnly="1" fieldPosition="0">
        <references count="2">
          <reference field="4294967294" count="1" selected="0">
            <x v="3"/>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8:AO62" firstHeaderRow="1" firstDataRow="3" firstDataCol="1" rowPageCount="1" colPageCount="1"/>
  <pivotFields count="11">
    <pivotField showAll="0"/>
    <pivotField axis="axisRow" showAll="0">
      <items count="23">
        <item x="12"/>
        <item x="0"/>
        <item x="19"/>
        <item x="10"/>
        <item x="9"/>
        <item x="17"/>
        <item x="18"/>
        <item x="8"/>
        <item x="2"/>
        <item x="4"/>
        <item x="15"/>
        <item x="11"/>
        <item x="5"/>
        <item x="20"/>
        <item x="16"/>
        <item x="13"/>
        <item x="7"/>
        <item x="6"/>
        <item x="1"/>
        <item x="14"/>
        <item x="3"/>
        <item x="21"/>
        <item t="default"/>
      </items>
    </pivotField>
    <pivotField axis="axisCol" showAll="0">
      <items count="12">
        <item x="1"/>
        <item x="3"/>
        <item x="5"/>
        <item x="2"/>
        <item m="1" x="10"/>
        <item x="6"/>
        <item x="0"/>
        <item x="7"/>
        <item x="8"/>
        <item x="4"/>
        <item x="9"/>
        <item t="default"/>
      </items>
    </pivotField>
    <pivotField dataField="1" showAll="0"/>
    <pivotField dataField="1" showAll="0"/>
    <pivotField dataField="1" showAll="0"/>
    <pivotField dataField="1" showAll="0"/>
    <pivotField showAll="0"/>
    <pivotField showAll="0"/>
    <pivotField axis="axisPage" multipleItemSelectionAllowed="1" showAll="0">
      <items count="16">
        <item h="1" x="0"/>
        <item h="1" x="1"/>
        <item h="1" x="2"/>
        <item h="1" x="3"/>
        <item h="1" x="4"/>
        <item m="1" x="13"/>
        <item m="1" x="14"/>
        <item h="1" x="5"/>
        <item h="1" x="6"/>
        <item h="1" x="7"/>
        <item x="8"/>
        <item h="1" x="9"/>
        <item h="1" x="10"/>
        <item h="1" x="11"/>
        <item h="1" x="12"/>
        <item t="default"/>
      </items>
    </pivotField>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2">
    <field x="2"/>
    <field x="-2"/>
  </colFields>
  <colItems count="40">
    <i>
      <x/>
      <x/>
    </i>
    <i r="1" i="1">
      <x v="1"/>
    </i>
    <i r="1" i="2">
      <x v="2"/>
    </i>
    <i r="1" i="3">
      <x v="3"/>
    </i>
    <i>
      <x v="1"/>
      <x/>
    </i>
    <i r="1" i="1">
      <x v="1"/>
    </i>
    <i r="1" i="2">
      <x v="2"/>
    </i>
    <i r="1" i="3">
      <x v="3"/>
    </i>
    <i>
      <x v="2"/>
      <x/>
    </i>
    <i r="1" i="1">
      <x v="1"/>
    </i>
    <i r="1" i="2">
      <x v="2"/>
    </i>
    <i r="1" i="3">
      <x v="3"/>
    </i>
    <i>
      <x v="3"/>
      <x/>
    </i>
    <i r="1" i="1">
      <x v="1"/>
    </i>
    <i r="1" i="2">
      <x v="2"/>
    </i>
    <i r="1" i="3">
      <x v="3"/>
    </i>
    <i>
      <x v="5"/>
      <x/>
    </i>
    <i r="1" i="1">
      <x v="1"/>
    </i>
    <i r="1" i="2">
      <x v="2"/>
    </i>
    <i r="1" i="3">
      <x v="3"/>
    </i>
    <i>
      <x v="6"/>
      <x/>
    </i>
    <i r="1" i="1">
      <x v="1"/>
    </i>
    <i r="1" i="2">
      <x v="2"/>
    </i>
    <i r="1" i="3">
      <x v="3"/>
    </i>
    <i>
      <x v="7"/>
      <x/>
    </i>
    <i r="1" i="1">
      <x v="1"/>
    </i>
    <i r="1" i="2">
      <x v="2"/>
    </i>
    <i r="1" i="3">
      <x v="3"/>
    </i>
    <i>
      <x v="8"/>
      <x/>
    </i>
    <i r="1" i="1">
      <x v="1"/>
    </i>
    <i r="1" i="2">
      <x v="2"/>
    </i>
    <i r="1" i="3">
      <x v="3"/>
    </i>
    <i>
      <x v="9"/>
      <x/>
    </i>
    <i r="1" i="1">
      <x v="1"/>
    </i>
    <i r="1" i="2">
      <x v="2"/>
    </i>
    <i r="1" i="3">
      <x v="3"/>
    </i>
    <i t="grand">
      <x/>
    </i>
    <i t="grand" i="1">
      <x/>
    </i>
    <i t="grand" i="2">
      <x/>
    </i>
    <i t="grand" i="3">
      <x/>
    </i>
  </colItems>
  <pageFields count="1">
    <pageField fld="9" hier="-1"/>
  </pageFields>
  <dataFields count="4">
    <dataField name="Sum of ACTUAL (MONTH)" fld="3" baseField="1" baseItem="3"/>
    <dataField name="Sum of BUDGET (MONTH)" fld="5" baseField="1" baseItem="2"/>
    <dataField name="Sum of ACTUAL (YTD)" fld="4" baseField="1" baseItem="0"/>
    <dataField name="Sum of BUDGET (YTD)" fld="6" baseField="1" baseItem="0"/>
  </dataFields>
  <formats count="4">
    <format dxfId="38">
      <pivotArea type="all" dataOnly="0" outline="0" fieldPosition="0"/>
    </format>
    <format dxfId="37">
      <pivotArea outline="0" collapsedLevelsAreSubtotals="1" fieldPosition="0"/>
    </format>
    <format dxfId="36">
      <pivotArea dataOnly="0" labelOnly="1" fieldPosition="0">
        <references count="1">
          <reference field="1" count="0"/>
        </references>
      </pivotArea>
    </format>
    <format dxfId="3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OVERALL PIVOT"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O7" firstHeaderRow="1" firstDataRow="3" firstDataCol="1"/>
  <pivotFields count="11">
    <pivotField showAll="0"/>
    <pivotField showAll="0"/>
    <pivotField axis="axisCol" showAll="0">
      <items count="12">
        <item x="1"/>
        <item x="3"/>
        <item x="5"/>
        <item x="2"/>
        <item m="1" x="10"/>
        <item x="6"/>
        <item x="0"/>
        <item x="7"/>
        <item x="8"/>
        <item x="4"/>
        <item x="9"/>
        <item t="default"/>
      </items>
    </pivotField>
    <pivotField dataField="1" showAll="0"/>
    <pivotField dataField="1" showAll="0"/>
    <pivotField dataField="1" showAll="0"/>
    <pivotField dataField="1" showAll="0"/>
    <pivotField showAll="0"/>
    <pivotField showAll="0"/>
    <pivotField axis="axisRow" showAll="0">
      <items count="16">
        <item h="1" x="0"/>
        <item h="1" x="1"/>
        <item h="1" x="2"/>
        <item h="1" x="3"/>
        <item h="1" x="4"/>
        <item h="1" m="1" x="13"/>
        <item h="1" m="1" x="14"/>
        <item h="1" x="5"/>
        <item h="1" x="6"/>
        <item h="1" x="7"/>
        <item x="8"/>
        <item h="1" x="9"/>
        <item h="1" x="10"/>
        <item h="1" x="11"/>
        <item h="1" x="12"/>
        <item t="default"/>
      </items>
    </pivotField>
    <pivotField dragToRow="0" dragToCol="0" dragToPage="0" showAll="0" defaultSubtotal="0"/>
  </pivotFields>
  <rowFields count="1">
    <field x="9"/>
  </rowFields>
  <rowItems count="2">
    <i>
      <x v="10"/>
    </i>
    <i t="grand">
      <x/>
    </i>
  </rowItems>
  <colFields count="2">
    <field x="2"/>
    <field x="-2"/>
  </colFields>
  <colItems count="40">
    <i>
      <x/>
      <x/>
    </i>
    <i r="1" i="1">
      <x v="1"/>
    </i>
    <i r="1" i="2">
      <x v="2"/>
    </i>
    <i r="1" i="3">
      <x v="3"/>
    </i>
    <i>
      <x v="1"/>
      <x/>
    </i>
    <i r="1" i="1">
      <x v="1"/>
    </i>
    <i r="1" i="2">
      <x v="2"/>
    </i>
    <i r="1" i="3">
      <x v="3"/>
    </i>
    <i>
      <x v="2"/>
      <x/>
    </i>
    <i r="1" i="1">
      <x v="1"/>
    </i>
    <i r="1" i="2">
      <x v="2"/>
    </i>
    <i r="1" i="3">
      <x v="3"/>
    </i>
    <i>
      <x v="3"/>
      <x/>
    </i>
    <i r="1" i="1">
      <x v="1"/>
    </i>
    <i r="1" i="2">
      <x v="2"/>
    </i>
    <i r="1" i="3">
      <x v="3"/>
    </i>
    <i>
      <x v="5"/>
      <x/>
    </i>
    <i r="1" i="1">
      <x v="1"/>
    </i>
    <i r="1" i="2">
      <x v="2"/>
    </i>
    <i r="1" i="3">
      <x v="3"/>
    </i>
    <i>
      <x v="6"/>
      <x/>
    </i>
    <i r="1" i="1">
      <x v="1"/>
    </i>
    <i r="1" i="2">
      <x v="2"/>
    </i>
    <i r="1" i="3">
      <x v="3"/>
    </i>
    <i>
      <x v="7"/>
      <x/>
    </i>
    <i r="1" i="1">
      <x v="1"/>
    </i>
    <i r="1" i="2">
      <x v="2"/>
    </i>
    <i r="1" i="3">
      <x v="3"/>
    </i>
    <i>
      <x v="8"/>
      <x/>
    </i>
    <i r="1" i="1">
      <x v="1"/>
    </i>
    <i r="1" i="2">
      <x v="2"/>
    </i>
    <i r="1" i="3">
      <x v="3"/>
    </i>
    <i>
      <x v="9"/>
      <x/>
    </i>
    <i r="1" i="1">
      <x v="1"/>
    </i>
    <i r="1" i="2">
      <x v="2"/>
    </i>
    <i r="1" i="3">
      <x v="3"/>
    </i>
    <i t="grand">
      <x/>
    </i>
    <i t="grand" i="1">
      <x/>
    </i>
    <i t="grand" i="2">
      <x/>
    </i>
    <i t="grand" i="3">
      <x/>
    </i>
  </colItems>
  <dataFields count="4">
    <dataField name="Sum of ACTUAL (MONTH)" fld="3" baseField="9" baseItem="0"/>
    <dataField name="Sum of ACTUAL (YTD)" fld="4" baseField="9" baseItem="0"/>
    <dataField name="Sum of BUDGET (MONTH)" fld="5" baseField="9" baseItem="4"/>
    <dataField name="Sum of BUDGET (YTD)" fld="6" baseField="9" baseItem="4"/>
  </dataFields>
  <formats count="17">
    <format dxfId="55">
      <pivotArea outline="0" collapsedLevelsAreSubtotals="1" fieldPosition="0"/>
    </format>
    <format dxfId="54">
      <pivotArea collapsedLevelsAreSubtotals="1" fieldPosition="0">
        <references count="1">
          <reference field="9" count="0"/>
        </references>
      </pivotArea>
    </format>
    <format dxfId="53">
      <pivotArea dataOnly="0" labelOnly="1" fieldPosition="0">
        <references count="1">
          <reference field="2" count="0"/>
        </references>
      </pivotArea>
    </format>
    <format dxfId="52">
      <pivotArea field="2" dataOnly="0" labelOnly="1" grandCol="1" outline="0" axis="axisCol" fieldPosition="0">
        <references count="1">
          <reference field="4294967294" count="1" selected="0">
            <x v="0"/>
          </reference>
        </references>
      </pivotArea>
    </format>
    <format dxfId="51">
      <pivotArea field="2" dataOnly="0" labelOnly="1" grandCol="1" outline="0" axis="axisCol" fieldPosition="0">
        <references count="1">
          <reference field="4294967294" count="1" selected="0">
            <x v="1"/>
          </reference>
        </references>
      </pivotArea>
    </format>
    <format dxfId="50">
      <pivotArea field="2" dataOnly="0" labelOnly="1" grandCol="1" outline="0" axis="axisCol" fieldPosition="0">
        <references count="1">
          <reference field="4294967294" count="1" selected="0">
            <x v="2"/>
          </reference>
        </references>
      </pivotArea>
    </format>
    <format dxfId="49">
      <pivotArea field="2" dataOnly="0" labelOnly="1" grandCol="1" outline="0" axis="axisCol" fieldPosition="0">
        <references count="1">
          <reference field="4294967294" count="1" selected="0">
            <x v="3"/>
          </reference>
        </references>
      </pivotArea>
    </format>
    <format dxfId="48">
      <pivotArea dataOnly="0" labelOnly="1" outline="0" fieldPosition="0">
        <references count="2">
          <reference field="4294967294" count="4">
            <x v="0"/>
            <x v="1"/>
            <x v="2"/>
            <x v="3"/>
          </reference>
          <reference field="2" count="1" selected="0">
            <x v="0"/>
          </reference>
        </references>
      </pivotArea>
    </format>
    <format dxfId="47">
      <pivotArea dataOnly="0" labelOnly="1" outline="0" fieldPosition="0">
        <references count="2">
          <reference field="4294967294" count="4">
            <x v="0"/>
            <x v="1"/>
            <x v="2"/>
            <x v="3"/>
          </reference>
          <reference field="2" count="1" selected="0">
            <x v="1"/>
          </reference>
        </references>
      </pivotArea>
    </format>
    <format dxfId="46">
      <pivotArea dataOnly="0" labelOnly="1" outline="0" fieldPosition="0">
        <references count="2">
          <reference field="4294967294" count="4">
            <x v="0"/>
            <x v="1"/>
            <x v="2"/>
            <x v="3"/>
          </reference>
          <reference field="2" count="1" selected="0">
            <x v="2"/>
          </reference>
        </references>
      </pivotArea>
    </format>
    <format dxfId="45">
      <pivotArea dataOnly="0" labelOnly="1" outline="0" fieldPosition="0">
        <references count="2">
          <reference field="4294967294" count="4">
            <x v="0"/>
            <x v="1"/>
            <x v="2"/>
            <x v="3"/>
          </reference>
          <reference field="2" count="1" selected="0">
            <x v="3"/>
          </reference>
        </references>
      </pivotArea>
    </format>
    <format dxfId="44">
      <pivotArea dataOnly="0" labelOnly="1" outline="0" fieldPosition="0">
        <references count="2">
          <reference field="4294967294" count="4">
            <x v="0"/>
            <x v="1"/>
            <x v="2"/>
            <x v="3"/>
          </reference>
          <reference field="2" count="1" selected="0">
            <x v="5"/>
          </reference>
        </references>
      </pivotArea>
    </format>
    <format dxfId="43">
      <pivotArea dataOnly="0" labelOnly="1" outline="0" fieldPosition="0">
        <references count="2">
          <reference field="4294967294" count="4">
            <x v="0"/>
            <x v="1"/>
            <x v="2"/>
            <x v="3"/>
          </reference>
          <reference field="2" count="1" selected="0">
            <x v="6"/>
          </reference>
        </references>
      </pivotArea>
    </format>
    <format dxfId="42">
      <pivotArea dataOnly="0" labelOnly="1" outline="0" fieldPosition="0">
        <references count="2">
          <reference field="4294967294" count="4">
            <x v="0"/>
            <x v="1"/>
            <x v="2"/>
            <x v="3"/>
          </reference>
          <reference field="2" count="1" selected="0">
            <x v="7"/>
          </reference>
        </references>
      </pivotArea>
    </format>
    <format dxfId="41">
      <pivotArea dataOnly="0" labelOnly="1" outline="0" fieldPosition="0">
        <references count="2">
          <reference field="4294967294" count="4">
            <x v="0"/>
            <x v="1"/>
            <x v="2"/>
            <x v="3"/>
          </reference>
          <reference field="2" count="1" selected="0">
            <x v="8"/>
          </reference>
        </references>
      </pivotArea>
    </format>
    <format dxfId="40">
      <pivotArea dataOnly="0" labelOnly="1" outline="0" fieldPosition="0">
        <references count="2">
          <reference field="4294967294" count="4">
            <x v="0"/>
            <x v="1"/>
            <x v="2"/>
            <x v="3"/>
          </reference>
          <reference field="2" count="1" selected="0">
            <x v="9"/>
          </reference>
        </references>
      </pivotArea>
    </format>
    <format dxfId="39">
      <pivotArea dataOnly="0" labelOnly="1" outline="0" fieldPosition="0">
        <references count="2">
          <reference field="4294967294" count="4">
            <x v="0"/>
            <x v="1"/>
            <x v="2"/>
            <x v="3"/>
          </reference>
          <reference field="2" count="1" selected="0">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1:F3" firstHeaderRow="1" firstDataRow="1" firstDataCol="1"/>
  <pivotFields count="11">
    <pivotField showAll="0"/>
    <pivotField showAll="0"/>
    <pivotField axis="axisRow" showAll="0">
      <items count="12">
        <item x="1"/>
        <item h="1" x="3"/>
        <item h="1" x="5"/>
        <item h="1" x="2"/>
        <item h="1" m="1" x="10"/>
        <item h="1" x="6"/>
        <item h="1" x="0"/>
        <item h="1" x="7"/>
        <item h="1" x="8"/>
        <item h="1" x="4"/>
        <item h="1" x="9"/>
        <item t="default"/>
      </items>
    </pivotField>
    <pivotField showAll="0"/>
    <pivotField showAll="0"/>
    <pivotField showAll="0"/>
    <pivotField showAll="0"/>
    <pivotField showAll="0"/>
    <pivotField showAll="0"/>
    <pivotField showAll="0"/>
    <pivotField dragToRow="0" dragToCol="0" dragToPage="0" showAll="0" defaultSubtota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135" name="BRANCH PIVOT"/>
    <pivotTable tabId="133" name="NFI,PBT"/>
  </pivotTables>
  <data>
    <tabular pivotCacheId="1">
      <items count="22">
        <i x="12" s="1"/>
        <i x="0" s="1"/>
        <i x="19" s="1"/>
        <i x="10" s="1"/>
        <i x="9" s="1"/>
        <i x="17" s="1"/>
        <i x="18" s="1"/>
        <i x="8" s="1"/>
        <i x="2" s="1"/>
        <i x="4" s="1"/>
        <i x="15" s="1"/>
        <i x="11" s="1"/>
        <i x="5" s="1"/>
        <i x="20" s="1"/>
        <i x="16" s="1"/>
        <i x="13" s="1"/>
        <i x="7" s="1"/>
        <i x="6" s="1"/>
        <i x="1" s="1"/>
        <i x="14" s="1"/>
        <i x="3"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133" name="OVERALL PIVOT"/>
    <pivotTable tabId="135" name="PivotTable2"/>
    <pivotTable tabId="137" name="PivotTable4"/>
  </pivotTables>
  <data>
    <tabular pivotCacheId="1">
      <items count="15">
        <i x="0"/>
        <i x="1"/>
        <i x="2"/>
        <i x="3"/>
        <i x="4"/>
        <i x="5"/>
        <i x="6"/>
        <i x="7"/>
        <i x="8" s="1"/>
        <i x="9"/>
        <i x="10"/>
        <i x="11"/>
        <i x="12"/>
        <i x="13" nd="1"/>
        <i x="1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KPI" sourceName="KPI">
  <pivotTables>
    <pivotTable tabId="138" name="PivotTable1"/>
    <pivotTable tabId="135" name="PivotTable3"/>
    <pivotTable tabId="135" name="PivotTable4"/>
  </pivotTables>
  <data>
    <tabular pivotCacheId="1">
      <items count="11">
        <i x="1" s="1"/>
        <i x="3"/>
        <i x="5"/>
        <i x="2"/>
        <i x="6"/>
        <i x="0"/>
        <i x="7"/>
        <i x="8"/>
        <i x="4"/>
        <i x="9"/>
        <i x="1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2" cache="Slicer_MONTH1" caption="MON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CH 1" cache="Slicer_BRANCH" caption="BRANCH"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KPI 1" cache="Slicer_KPI" caption="AUGUST PERFORMANCE" columnCount="9" style="JUNE" rowHeight="396000"/>
</slicers>
</file>

<file path=xl/slicers/slicer5.xml><?xml version="1.0" encoding="utf-8"?>
<slicers xmlns="http://schemas.microsoft.com/office/spreadsheetml/2009/9/main" xmlns:mc="http://schemas.openxmlformats.org/markup-compatibility/2006" xmlns:x="http://schemas.openxmlformats.org/spreadsheetml/2006/main" mc:Ignorable="x">
  <slicer name="MONTH" cache="Slicer_MONTH1" caption="MONTH" startItem="7"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KPI" cache="Slicer_KPI" caption="KPI"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6"/>
  <sheetViews>
    <sheetView showGridLines="0" tabSelected="1" zoomScale="70" zoomScaleNormal="70" workbookViewId="0">
      <selection activeCell="N16" sqref="N16"/>
    </sheetView>
  </sheetViews>
  <sheetFormatPr defaultRowHeight="15" x14ac:dyDescent="0.25"/>
  <cols>
    <col min="1" max="1" width="11.5703125" customWidth="1"/>
    <col min="2" max="2" width="14" customWidth="1"/>
    <col min="3" max="3" width="5.42578125" style="15" customWidth="1"/>
    <col min="4" max="4" width="4.140625" style="15" customWidth="1"/>
    <col min="5" max="5" width="14.140625" style="15" customWidth="1"/>
    <col min="6" max="6" width="18.42578125" style="15" customWidth="1"/>
    <col min="7" max="7" width="24.7109375" style="15" customWidth="1"/>
    <col min="8" max="8" width="24.42578125" style="15" customWidth="1"/>
    <col min="9" max="9" width="20.140625" style="15" customWidth="1"/>
    <col min="10" max="10" width="9.140625" style="15"/>
    <col min="11" max="11" width="24.140625" style="15" customWidth="1"/>
    <col min="12" max="12" width="23.5703125" style="15" customWidth="1"/>
    <col min="13" max="13" width="21.85546875" style="15" bestFit="1" customWidth="1"/>
    <col min="14" max="14" width="22" style="15" customWidth="1"/>
    <col min="15" max="15" width="21.85546875" style="15" bestFit="1" customWidth="1"/>
    <col min="16" max="16" width="18.85546875" style="15" customWidth="1"/>
    <col min="17" max="17" width="17.140625" style="15" customWidth="1"/>
    <col min="18" max="18" width="20.5703125" style="15" customWidth="1"/>
  </cols>
  <sheetData>
    <row r="1" spans="1:18" x14ac:dyDescent="0.25">
      <c r="A1" s="6"/>
      <c r="B1" s="6"/>
      <c r="O1" s="40" t="str">
        <f>'HELPER CELL'!A4</f>
        <v>SEP</v>
      </c>
      <c r="P1" s="40" t="str">
        <f>IF(O1="SEP", "AUG", "")</f>
        <v>AUG</v>
      </c>
      <c r="Q1" s="40"/>
      <c r="R1" s="40"/>
    </row>
    <row r="2" spans="1:18" x14ac:dyDescent="0.25">
      <c r="A2" s="6"/>
      <c r="B2" s="6"/>
      <c r="O2" s="44"/>
      <c r="P2" s="44"/>
    </row>
    <row r="3" spans="1:18" x14ac:dyDescent="0.25">
      <c r="A3" s="6"/>
      <c r="B3" s="6"/>
    </row>
    <row r="4" spans="1:18" ht="20.45" customHeight="1" x14ac:dyDescent="0.25">
      <c r="A4" s="6"/>
      <c r="B4" s="6"/>
    </row>
    <row r="5" spans="1:18" x14ac:dyDescent="0.25">
      <c r="A5" s="6"/>
      <c r="B5" s="6"/>
    </row>
    <row r="6" spans="1:18" ht="6" customHeight="1" x14ac:dyDescent="0.25">
      <c r="A6" s="6"/>
      <c r="B6" s="6"/>
    </row>
    <row r="7" spans="1:18" ht="9" customHeight="1" x14ac:dyDescent="0.25">
      <c r="A7" s="6"/>
      <c r="B7" s="6"/>
    </row>
    <row r="8" spans="1:18" ht="12.75" customHeight="1" thickBot="1" x14ac:dyDescent="0.3">
      <c r="A8" s="6"/>
      <c r="B8" s="6"/>
    </row>
    <row r="9" spans="1:18" ht="25.5" customHeight="1" thickBot="1" x14ac:dyDescent="0.4">
      <c r="A9" s="6"/>
      <c r="B9" s="6"/>
      <c r="M9" s="98" t="s">
        <v>35</v>
      </c>
      <c r="N9" s="136" t="s">
        <v>20</v>
      </c>
      <c r="O9" s="97" t="s">
        <v>62</v>
      </c>
      <c r="R9" s="41"/>
    </row>
    <row r="10" spans="1:18" ht="27.75" customHeight="1" thickBot="1" x14ac:dyDescent="0.4">
      <c r="A10" s="6"/>
      <c r="B10" s="6"/>
      <c r="M10" s="83">
        <f>GETPIVOTDATA("Sum of ACTUAL (YTD)",'ANALYSIS TWO'!$A$3,"KPI","PBT","MONTH",$O$1)</f>
        <v>-237715.40783999994</v>
      </c>
      <c r="N10" s="84">
        <f>GETPIVOTDATA("Sum of BUDGET (YTD)",'ANALYSIS TWO'!$A$3,"KPI","PBT","MONTH",$O$1)</f>
        <v>-31882.703247347061</v>
      </c>
      <c r="O10" s="85">
        <f>IFERROR(IF((M10-N10)&lt;0,-ABS((M10-N10)/N10),ABS((M10-N10)/N10)),0)</f>
        <v>-6.4559364052601182</v>
      </c>
      <c r="R10" s="34"/>
    </row>
    <row r="11" spans="1:18" x14ac:dyDescent="0.25">
      <c r="A11" s="6"/>
      <c r="B11" s="6"/>
    </row>
    <row r="12" spans="1:18" x14ac:dyDescent="0.25">
      <c r="A12" s="6"/>
      <c r="B12" s="6"/>
    </row>
    <row r="13" spans="1:18" x14ac:dyDescent="0.25">
      <c r="A13" s="6"/>
      <c r="B13" s="6"/>
    </row>
    <row r="14" spans="1:18" x14ac:dyDescent="0.25">
      <c r="A14" s="6"/>
      <c r="B14" s="6"/>
    </row>
    <row r="15" spans="1:18" x14ac:dyDescent="0.25">
      <c r="A15" s="6"/>
      <c r="B15" s="6"/>
    </row>
    <row r="16" spans="1:18" x14ac:dyDescent="0.25">
      <c r="A16" s="6"/>
      <c r="B16" s="6"/>
    </row>
    <row r="17" spans="1:21" x14ac:dyDescent="0.25">
      <c r="A17" s="6"/>
      <c r="B17" s="6"/>
    </row>
    <row r="18" spans="1:21" x14ac:dyDescent="0.25">
      <c r="A18" s="6"/>
      <c r="B18" s="6"/>
    </row>
    <row r="19" spans="1:21" x14ac:dyDescent="0.25">
      <c r="A19" s="6"/>
      <c r="B19" s="6"/>
    </row>
    <row r="20" spans="1:21" x14ac:dyDescent="0.25">
      <c r="A20" s="6"/>
      <c r="B20" s="6"/>
    </row>
    <row r="21" spans="1:21" ht="21" customHeight="1" x14ac:dyDescent="0.25">
      <c r="A21" s="6"/>
      <c r="B21" s="6"/>
    </row>
    <row r="22" spans="1:21" ht="21" customHeight="1" thickBot="1" x14ac:dyDescent="0.3">
      <c r="A22" s="6"/>
      <c r="B22" s="6"/>
    </row>
    <row r="23" spans="1:21" ht="24" thickBot="1" x14ac:dyDescent="0.4">
      <c r="A23" s="6"/>
      <c r="B23" s="6"/>
      <c r="E23" s="107" t="s">
        <v>34</v>
      </c>
      <c r="F23" s="108"/>
      <c r="G23" s="109" t="s">
        <v>111</v>
      </c>
      <c r="H23" s="110" t="s">
        <v>116</v>
      </c>
      <c r="I23" s="111" t="s">
        <v>62</v>
      </c>
      <c r="J23" s="81"/>
      <c r="K23" s="98" t="s">
        <v>70</v>
      </c>
      <c r="L23" s="96" t="s">
        <v>115</v>
      </c>
      <c r="M23" s="97" t="s">
        <v>62</v>
      </c>
      <c r="N23" s="81"/>
      <c r="S23" s="15"/>
      <c r="T23" s="15"/>
      <c r="U23" s="15"/>
    </row>
    <row r="24" spans="1:21" ht="27.75" customHeight="1" x14ac:dyDescent="0.35">
      <c r="A24" s="6"/>
      <c r="B24" s="6"/>
      <c r="E24" s="112" t="s">
        <v>63</v>
      </c>
      <c r="F24" s="113"/>
      <c r="G24" s="114">
        <f>GETPIVOTDATA("Sum of ACTUAL (MONTH)",'ANALYSIS TWO'!$A$3,"KPI","NEW DEPOSITS","MONTH",$O$1)</f>
        <v>2285.5291200002757</v>
      </c>
      <c r="H24" s="114">
        <f>GETPIVOTDATA("Sum of BUDGET (MONTH)",'ANALYSIS TWO'!$A$3,"KPI","NEW DEPOSITS","MONTH",$O$1)</f>
        <v>103583.33333333324</v>
      </c>
      <c r="I24" s="115" t="str">
        <f>IFERROR(TEXT((G24-H24)/H24,"0.0%")&amp;" "&amp;IF(G24&gt;=H24,"▲","▼"),0)</f>
        <v>-97.8% ▼</v>
      </c>
      <c r="J24" s="82"/>
      <c r="K24" s="128">
        <f>GETPIVOTDATA("Sum of ACTUAL (YTD)",'ANALYSIS TWO'!$A$3,"KPI","NEW DEPOSITS","MONTH",'BANK PERFORMANCE '!$O$1)</f>
        <v>70067.025940000269</v>
      </c>
      <c r="L24" s="129">
        <f>GETPIVOTDATA("Sum of BUDGET (YTD)",'ANALYSIS TWO'!$A$3,"KPI","NEW DEPOSITS","MONTH",'BANK PERFORMANCE '!$O$1)</f>
        <v>1930345.600000001</v>
      </c>
      <c r="M24" s="130" t="str">
        <f>IFERROR(TEXT((K24-L24)/L24,"0.0%")&amp;" "&amp;IF(K24&gt;=L24,"▲","▼"),0)</f>
        <v>-96.4% ▼</v>
      </c>
      <c r="N24" s="33"/>
      <c r="O24" s="43"/>
      <c r="S24" s="15"/>
      <c r="T24" s="15"/>
      <c r="U24" s="15"/>
    </row>
    <row r="25" spans="1:21" ht="27.75" customHeight="1" x14ac:dyDescent="0.35">
      <c r="A25" s="6"/>
      <c r="B25" s="6"/>
      <c r="E25" s="112" t="s">
        <v>26</v>
      </c>
      <c r="F25" s="113"/>
      <c r="G25" s="116">
        <v>0</v>
      </c>
      <c r="H25" s="116">
        <v>0</v>
      </c>
      <c r="I25" s="138">
        <f t="shared" ref="I25:I32" si="0">IFERROR(TEXT((G25-H25)/H25,"0.0%")&amp;" "&amp;IF(G25&gt;=H25,"▲","▼"),0)</f>
        <v>0</v>
      </c>
      <c r="J25" s="82"/>
      <c r="K25" s="131">
        <f>GETPIVOTDATA("Sum of ACTUAL (YTD)",'ANALYSIS TWO'!$A$3,"KPI","CUMULATIVE DEPOSITS","MONTH",'BANK PERFORMANCE '!$O$1)</f>
        <v>3288285.5994300009</v>
      </c>
      <c r="L25" s="132">
        <f>GETPIVOTDATA("Sum of BUDGET (YTD)",'ANALYSIS TWO'!$A$3,"KPI","CUMULATIVE DEPOSITS","MONTH",'BANK PERFORMANCE '!$O$1)</f>
        <v>3926490.1704833326</v>
      </c>
      <c r="M25" s="130" t="str">
        <f t="shared" ref="M25:M31" si="1">IFERROR(TEXT((K25-L25)/L25,"0.0%")&amp;" "&amp;IF(K25&gt;=L25,"▲","▼"),0)</f>
        <v>-16.3% ▼</v>
      </c>
      <c r="N25" s="33"/>
      <c r="O25" s="43"/>
      <c r="S25" s="15"/>
      <c r="T25" s="15"/>
      <c r="U25" s="15"/>
    </row>
    <row r="26" spans="1:21" ht="27.75" customHeight="1" x14ac:dyDescent="0.35">
      <c r="A26" s="6"/>
      <c r="B26" s="6"/>
      <c r="E26" s="112" t="s">
        <v>27</v>
      </c>
      <c r="F26" s="113"/>
      <c r="G26" s="116">
        <v>0</v>
      </c>
      <c r="H26" s="116">
        <v>0</v>
      </c>
      <c r="I26" s="138">
        <f t="shared" si="0"/>
        <v>0</v>
      </c>
      <c r="J26" s="82"/>
      <c r="K26" s="131">
        <f>GETPIVOTDATA("Sum of ACTUAL (YTD)",'ANALYSIS TWO'!$A$3,"KPI","GROSS LOAN BOOK","MONTH",'BANK PERFORMANCE '!$O$1)</f>
        <v>3771889.4994866895</v>
      </c>
      <c r="L26" s="132">
        <f>GETPIVOTDATA("Sum of BUDGET (YTD)",'ANALYSIS TWO'!$A$3,"KPI","GROSS LOAN BOOK","MONTH",'BANK PERFORMANCE '!$O$1)</f>
        <v>3591855.2514735442</v>
      </c>
      <c r="M26" s="130" t="str">
        <f t="shared" si="1"/>
        <v>5.0% ▲</v>
      </c>
      <c r="N26" s="33"/>
      <c r="O26" s="43"/>
      <c r="S26" s="15"/>
      <c r="T26" s="15"/>
      <c r="U26" s="15"/>
    </row>
    <row r="27" spans="1:21" ht="27.75" customHeight="1" x14ac:dyDescent="0.35">
      <c r="A27" s="6"/>
      <c r="B27" s="6"/>
      <c r="E27" s="112" t="s">
        <v>21</v>
      </c>
      <c r="F27" s="113"/>
      <c r="G27" s="114">
        <f>GETPIVOTDATA("Sum of ACTUAL (MONTH)",'ANALYSIS TWO'!$A$3,"KPI","DISBURSEMENTS","MONTH",$O$1)</f>
        <v>60393.219549999994</v>
      </c>
      <c r="H27" s="114">
        <f>GETPIVOTDATA("Sum of BUDGET (MONTH)",'ANALYSIS TWO'!$A$3,"KPI","DISBURSEMENTS","MONTH",$O$1)</f>
        <v>185546.88888888888</v>
      </c>
      <c r="I27" s="115" t="str">
        <f t="shared" si="0"/>
        <v>-67.5% ▼</v>
      </c>
      <c r="J27" s="82"/>
      <c r="K27" s="131">
        <f>GETPIVOTDATA("Sum of ACTUAL (YTD)",'ANALYSIS TWO'!$A$3,"KPI","DISBURSEMENTS","MONTH",'BANK PERFORMANCE '!$O$1)</f>
        <v>568825.16650000005</v>
      </c>
      <c r="L27" s="132">
        <f>GETPIVOTDATA("Sum of BUDGET (YTD)",'ANALYSIS TWO'!$A$3,"KPI","DISBURSEMENTS","MONTH",$O$1)</f>
        <v>2464338.333333333</v>
      </c>
      <c r="M27" s="130" t="str">
        <f t="shared" si="1"/>
        <v>-76.9% ▼</v>
      </c>
      <c r="N27" s="33"/>
      <c r="O27" s="43"/>
      <c r="S27" s="15"/>
      <c r="T27" s="15"/>
      <c r="U27" s="15"/>
    </row>
    <row r="28" spans="1:21" ht="27.75" customHeight="1" x14ac:dyDescent="0.35">
      <c r="A28" s="6"/>
      <c r="B28" s="6"/>
      <c r="E28" s="117" t="s">
        <v>91</v>
      </c>
      <c r="F28" s="118"/>
      <c r="G28" s="114">
        <f>GETPIVOTDATA("Sum of ACTUAL (MONTH)",'ANALYSIS TWO'!$A$3,"KPI","TRADE FINANCE","MONTH",$O$1)</f>
        <v>10648407.43</v>
      </c>
      <c r="H28" s="114">
        <f>GETPIVOTDATA("Sum of BUDGET (MONTH)",'ANALYSIS TWO'!$A$3,"KPI","TRADE FINANCE","MONTH",$O$1)</f>
        <v>10505599.027999999</v>
      </c>
      <c r="I28" s="115" t="str">
        <f t="shared" si="0"/>
        <v>1.4% ▲</v>
      </c>
      <c r="J28" s="82"/>
      <c r="K28" s="131">
        <f>GETPIVOTDATA("Sum of ACTUAL (YTD)",'ANALYSIS TWO'!$A$3,"KPI","TRADE FINANCE","MONTH",'BANK PERFORMANCE '!$O$1)</f>
        <v>102406154.34</v>
      </c>
      <c r="L28" s="132">
        <f>GETPIVOTDATA("Sum of BUDGET (YTD)",'ANALYSIS TWO'!$A$3,"KPI","TRADE FINANCE","MONTH",'BANK PERFORMANCE '!$O$1)</f>
        <v>100533594.16799997</v>
      </c>
      <c r="M28" s="130" t="str">
        <f t="shared" si="1"/>
        <v>1.9% ▲</v>
      </c>
      <c r="N28" s="33"/>
      <c r="O28" s="43"/>
      <c r="S28" s="15"/>
      <c r="T28" s="15"/>
      <c r="U28" s="15"/>
    </row>
    <row r="29" spans="1:21" ht="27.75" customHeight="1" x14ac:dyDescent="0.35">
      <c r="A29" s="6"/>
      <c r="B29" s="6"/>
      <c r="E29" s="119" t="s">
        <v>29</v>
      </c>
      <c r="F29" s="120"/>
      <c r="G29" s="121">
        <f>GETPIVOTDATA("Sum of ACTUAL (MONTH)",'ANALYSIS TWO'!$A$3,"KPI","FX INCOME","MONTH",$O$1)</f>
        <v>557486</v>
      </c>
      <c r="H29" s="114">
        <f>GETPIVOTDATA("Sum of BUDGET (MONTH)",'ANALYSIS TWO'!$A$3,"KPI","FX INCOME","MONTH",$O$1)</f>
        <v>671332</v>
      </c>
      <c r="I29" s="115" t="str">
        <f t="shared" si="0"/>
        <v>-17.0% ▼</v>
      </c>
      <c r="J29" s="82"/>
      <c r="K29" s="131">
        <f>GETPIVOTDATA("Sum of ACTUAL (YTD)",'ANALYSIS TWO'!$A$3,"KPI","FX INCOME","MONTH",'BANK PERFORMANCE '!$O$1)</f>
        <v>7341866</v>
      </c>
      <c r="L29" s="132">
        <f>GETPIVOTDATA("Sum of BUDGET (YTD)",'ANALYSIS TWO'!$A$3,"KPI","FX INCOME","MONTH",'BANK PERFORMANCE '!$O$1)</f>
        <v>6781835.5299999993</v>
      </c>
      <c r="M29" s="130" t="str">
        <f t="shared" si="1"/>
        <v>8.3% ▲</v>
      </c>
      <c r="N29" s="33"/>
      <c r="O29" s="58"/>
      <c r="S29" s="15"/>
      <c r="T29" s="15"/>
      <c r="U29" s="15"/>
    </row>
    <row r="30" spans="1:21" ht="27.75" customHeight="1" x14ac:dyDescent="0.35">
      <c r="A30" s="6"/>
      <c r="B30" s="6"/>
      <c r="E30" s="122" t="s">
        <v>92</v>
      </c>
      <c r="F30" s="123"/>
      <c r="G30" s="114">
        <f>GETPIVOTDATA("Sum of ACTUAL (MONTH)",'ANALYSIS TWO'!$A$3,"KPI","NEW ACCOUNTS","MONTH",$O$1)</f>
        <v>604</v>
      </c>
      <c r="H30" s="114">
        <f>GETPIVOTDATA("Sum of BUDGET (MONTH)",'ANALYSIS TWO'!$A$3,"KPI","NEW ACCOUNTS","MONTH",$O$1)</f>
        <v>1537</v>
      </c>
      <c r="I30" s="115" t="str">
        <f t="shared" si="0"/>
        <v>-60.7% ▼</v>
      </c>
      <c r="J30" s="82"/>
      <c r="K30" s="131">
        <f>GETPIVOTDATA("Sum of ACTUAL (YTD)",'ANALYSIS TWO'!$A$3,"KPI","NEW ACCOUNTS","MONTH",'BANK PERFORMANCE '!$O$1)</f>
        <v>7805</v>
      </c>
      <c r="L30" s="132">
        <f>GETPIVOTDATA("Sum of BUDGET (YTD)",'ANALYSIS TWO'!$A$3,"KPI","NEW ACCOUNTS","MONTH",$O$1)</f>
        <v>13833</v>
      </c>
      <c r="M30" s="130" t="str">
        <f t="shared" si="1"/>
        <v>-43.6% ▼</v>
      </c>
      <c r="N30" s="33"/>
      <c r="O30" s="43"/>
      <c r="S30" s="15"/>
      <c r="T30" s="15"/>
      <c r="U30" s="15"/>
    </row>
    <row r="31" spans="1:21" ht="27.75" customHeight="1" x14ac:dyDescent="0.35">
      <c r="A31" s="6"/>
      <c r="B31" s="6"/>
      <c r="E31" s="117" t="s">
        <v>93</v>
      </c>
      <c r="F31" s="118"/>
      <c r="G31" s="114">
        <f>GETPIVOTDATA("Sum of ACTUAL (MONTH)",'ANALYSIS TWO'!$A$3,"KPI","NFI","MONTH",$O$1)</f>
        <v>13989.673270000007</v>
      </c>
      <c r="H31" s="114">
        <f>GETPIVOTDATA("Sum of BUDGET (MONTH)",'ANALYSIS TWO'!$A$3,"KPI","NFI","MONTH",'BANK PERFORMANCE '!$O$1)</f>
        <v>20117.686061725257</v>
      </c>
      <c r="I31" s="138" t="str">
        <f t="shared" si="0"/>
        <v>-30.5% ▼</v>
      </c>
      <c r="J31" s="82"/>
      <c r="K31" s="131">
        <f>GETPIVOTDATA("Sum of ACTUAL (YTD)",'ANALYSIS TWO'!$A$3,"KPI","NFI","MONTH",$O$1)</f>
        <v>136577.61595000004</v>
      </c>
      <c r="L31" s="132">
        <f>GETPIVOTDATA("Sum of BUDGET (YTD)",'ANALYSIS TWO'!$A$3,"KPI","NFI","MONTH",$O$1)</f>
        <v>167310.84170215749</v>
      </c>
      <c r="M31" s="130" t="str">
        <f t="shared" si="1"/>
        <v>-18.4% ▼</v>
      </c>
      <c r="N31" s="33"/>
      <c r="O31" s="43"/>
      <c r="S31" s="15"/>
      <c r="T31" s="15"/>
      <c r="U31" s="15"/>
    </row>
    <row r="32" spans="1:21" ht="27.75" customHeight="1" thickBot="1" x14ac:dyDescent="0.4">
      <c r="A32" s="6"/>
      <c r="B32" s="6"/>
      <c r="E32" s="124" t="s">
        <v>32</v>
      </c>
      <c r="F32" s="125"/>
      <c r="G32" s="126">
        <f>GETPIVOTDATA("Sum of ACTUAL (MONTH)",'ANALYSIS TWO'!$A$3,"KPI","PBT","MONTH",$O$1)</f>
        <v>-21343.05037059218</v>
      </c>
      <c r="H32" s="127">
        <f>GETPIVOTDATA("Sum of BUDGET (MONTH)",'ANALYSIS TWO'!$A$3,"KPI","PBT","MONTH",'BANK PERFORMANCE '!$O$1)</f>
        <v>14688.187737729022</v>
      </c>
      <c r="I32" s="139" t="str">
        <f t="shared" si="0"/>
        <v>-245.3% ▼</v>
      </c>
      <c r="J32" s="82"/>
      <c r="K32" s="133">
        <f>GETPIVOTDATA("Sum of ACTUAL (YTD)",'ANALYSIS TWO'!$A$3,"KPI","PBT","MONTH",$O$1)</f>
        <v>-237715.40783999994</v>
      </c>
      <c r="L32" s="134">
        <f>GETPIVOTDATA("Sum of BUDGET (YTD)",'ANALYSIS TWO'!$A$3,"KPI","PBT","MONTH",$O$1)</f>
        <v>-31882.703247347061</v>
      </c>
      <c r="M32" s="135">
        <f>IFERROR(IF((K32-L32)&lt;0,-ABS((K32-L32)/L32),ABS((K32-L32)/L32)),0)</f>
        <v>-6.4559364052601182</v>
      </c>
      <c r="N32" s="33"/>
      <c r="O32" s="43"/>
      <c r="S32" s="15"/>
      <c r="T32" s="15"/>
      <c r="U32" s="15"/>
    </row>
    <row r="33" spans="1:2" x14ac:dyDescent="0.25">
      <c r="A33" s="6"/>
      <c r="B33" s="6"/>
    </row>
    <row r="34" spans="1:2" x14ac:dyDescent="0.25">
      <c r="A34" s="6"/>
      <c r="B34" s="6"/>
    </row>
    <row r="35" spans="1:2" x14ac:dyDescent="0.25">
      <c r="A35" s="6"/>
      <c r="B35" s="6"/>
    </row>
    <row r="36" spans="1:2" x14ac:dyDescent="0.25">
      <c r="A36" s="6"/>
      <c r="B36" s="6"/>
    </row>
    <row r="37" spans="1:2" x14ac:dyDescent="0.25">
      <c r="A37" s="6"/>
      <c r="B37" s="6"/>
    </row>
    <row r="38" spans="1:2" x14ac:dyDescent="0.25">
      <c r="A38" s="6"/>
      <c r="B38" s="6"/>
    </row>
    <row r="39" spans="1:2" x14ac:dyDescent="0.25">
      <c r="A39" s="6"/>
      <c r="B39" s="6"/>
    </row>
    <row r="40" spans="1:2" x14ac:dyDescent="0.25">
      <c r="A40" s="6"/>
      <c r="B40" s="6"/>
    </row>
    <row r="41" spans="1:2" x14ac:dyDescent="0.25">
      <c r="A41" s="6"/>
      <c r="B41" s="6"/>
    </row>
    <row r="42" spans="1:2" x14ac:dyDescent="0.25">
      <c r="A42" s="6"/>
      <c r="B42" s="6"/>
    </row>
    <row r="43" spans="1:2" x14ac:dyDescent="0.25">
      <c r="A43" s="6"/>
      <c r="B43" s="6"/>
    </row>
    <row r="44" spans="1:2" x14ac:dyDescent="0.25">
      <c r="A44" s="6"/>
      <c r="B44" s="6"/>
    </row>
    <row r="45" spans="1:2" x14ac:dyDescent="0.25">
      <c r="A45" s="6"/>
      <c r="B45" s="6"/>
    </row>
    <row r="46" spans="1:2" x14ac:dyDescent="0.25">
      <c r="A46" s="6"/>
      <c r="B46" s="6"/>
    </row>
  </sheetData>
  <conditionalFormatting sqref="O10">
    <cfRule type="expression" dxfId="120" priority="19">
      <formula>IFERROR(IF((M10-N10)&lt;0,-ABS((M10-N10)/N10),ABS((M10-N10)/N10)),0)&gt;=0</formula>
    </cfRule>
    <cfRule type="expression" dxfId="119" priority="20">
      <formula>IFERROR(IF((M10-N10)&lt;0,-ABS((M10-N10)/N10),ABS((M10-N10)/N10)),0)&lt;0</formula>
    </cfRule>
  </conditionalFormatting>
  <conditionalFormatting sqref="N32 M24:N31">
    <cfRule type="expression" dxfId="118" priority="1138">
      <formula>K24&lt;L24</formula>
    </cfRule>
    <cfRule type="expression" dxfId="117" priority="1139">
      <formula>K24&gt;=L24</formula>
    </cfRule>
    <cfRule type="expression" priority="1140">
      <formula>K24&gt;=L24</formula>
    </cfRule>
  </conditionalFormatting>
  <conditionalFormatting sqref="I24:I32">
    <cfRule type="expression" dxfId="116" priority="13">
      <formula>G24&lt;H24</formula>
    </cfRule>
    <cfRule type="expression" dxfId="115" priority="14">
      <formula>G24&gt;=H24</formula>
    </cfRule>
    <cfRule type="expression" priority="15">
      <formula>G24&gt;=H24</formula>
    </cfRule>
  </conditionalFormatting>
  <conditionalFormatting sqref="M32">
    <cfRule type="expression" dxfId="114" priority="7">
      <formula>IFERROR(IF((K32-L32)&lt;0,-ABS((K32-L32)/L32),ABS((K32-L32)/L32)),0)&gt;=0</formula>
    </cfRule>
    <cfRule type="expression" dxfId="113" priority="8">
      <formula>IFERROR(IF((K32-L32)&lt;0,-ABS((K32-L32)/L32),ABS((K32-L32)/L32)),0)&lt;0</formula>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25" id="{D5A6D08E-0B00-46C4-B202-9EDE9E433504}">
            <xm:f>GETPIVOTDATA("Sum of ACTUAL (YTD)",'ANALYSIS TWO'!$A$3,"KPI","PBT","MONTH",$O$1)&lt;0</xm:f>
            <x14:dxf>
              <font>
                <b val="0"/>
                <i/>
                <color rgb="FFFF0000"/>
              </font>
            </x14:dxf>
          </x14:cfRule>
          <xm:sqref>M10</xm:sqref>
        </x14:conditionalFormatting>
        <x14:conditionalFormatting xmlns:xm="http://schemas.microsoft.com/office/excel/2006/main">
          <x14:cfRule type="expression" priority="23" id="{08AF2E99-A1EB-4A74-A9BA-185516E1606F}">
            <xm:f>GETPIVOTDATA("Sum of BUDGET (YTD)",'ANALYSIS TWO'!$A$3,"KPI","PBT","MONTH",$O$1)&lt;0</xm:f>
            <x14:dxf>
              <font>
                <color rgb="FFFF0000"/>
              </font>
            </x14:dxf>
          </x14:cfRule>
          <x14:cfRule type="expression" priority="24" id="{2A9D8AC1-B50B-438D-9E98-B70AEBCD7E21}">
            <xm:f>GETPIVOTDATA("Sum of BUDGET (YTD)",'ANALYSIS TWO'!$A$3,"KPI","PBT","MONTH",$O$1)&gt;=0</xm:f>
            <x14:dxf>
              <font>
                <color rgb="FF00B050"/>
              </font>
            </x14:dxf>
          </x14:cfRule>
          <xm:sqref>N10</xm:sqref>
        </x14:conditionalFormatting>
        <x14:conditionalFormatting xmlns:xm="http://schemas.microsoft.com/office/excel/2006/main">
          <x14:cfRule type="expression" priority="6" id="{2C1C70B4-A873-4AC6-80F9-23CA2E8987CA}">
            <xm:f>GETPIVOTDATA("Sum of ACTUAL (MONTH)",'ANALYSIS TWO'!$A$3,"KPI","NEW DEPOSITS","MONTH",$O$1)&lt;0</xm:f>
            <x14:dxf>
              <font>
                <color rgb="FFFF0000"/>
              </font>
            </x14:dxf>
          </x14:cfRule>
          <x14:cfRule type="expression" priority="5" id="{5B77C525-FDA9-43FE-8E5E-703BF49D9D30}">
            <xm:f>GETPIVOTDATA("Sum of ACTUAL (MONTH)",'ANALYSIS TWO'!$A$3,"KPI","NEW DEPOSITS","MONTH",$O$1)&gt;=0</xm:f>
            <x14:dxf/>
          </x14:cfRule>
          <xm:sqref>G24</xm:sqref>
        </x14:conditionalFormatting>
        <x14:conditionalFormatting xmlns:xm="http://schemas.microsoft.com/office/excel/2006/main">
          <x14:cfRule type="expression" priority="4" id="{4D1E2DC6-10EB-4767-89CD-FB8E187C8734}">
            <xm:f>GETPIVOTDATA("Sum of ACTUAL (MONTH)",'ANALYSIS TWO'!$A$3,"KPI","PBT","MONTH",$O$1)&lt;0</xm:f>
            <x14:dxf>
              <font>
                <color rgb="FFFF0000"/>
              </font>
            </x14:dxf>
          </x14:cfRule>
          <x14:cfRule type="expression" priority="3" id="{0A511CCF-1E90-4148-854C-BF7144FBE4EE}">
            <xm:f>GETPIVOTDATA("Sum of ACTUAL (MONTH)",'ANALYSIS TWO'!$A$3,"KPI","PBT","MONTH",$O$1)&gt;=0</xm:f>
            <x14:dxf/>
          </x14:cfRule>
          <xm:sqref>G32</xm:sqref>
        </x14:conditionalFormatting>
        <x14:conditionalFormatting xmlns:xm="http://schemas.microsoft.com/office/excel/2006/main">
          <x14:cfRule type="expression" priority="2" id="{5087C24E-9511-450B-8C14-1CA204E5BB57}">
            <xm:f>GETPIVOTDATA("Sum of ACTUAL (YTD)",'ANALYSIS TWO'!$A$3,"KPI","PBT","MONTH",$O$1)&lt;0</xm:f>
            <x14:dxf>
              <font>
                <color rgb="FFFF0000"/>
              </font>
            </x14:dxf>
          </x14:cfRule>
          <x14:cfRule type="expression" priority="1" id="{7C36BED7-FB5F-458B-A8FE-535FC7AAC5C6}">
            <xm:f>GETPIVOTDATA("Sum of ACTUAL (YTD)",'ANALYSIS TWO'!$A$3,"KPI","PBT","MONTH",$O$1)&gt;=0</xm:f>
            <x14:dxf/>
          </x14:cfRule>
          <xm:sqref>K32</xm:sqref>
        </x14:conditionalFormatting>
      </x14:conditionalFormattings>
    </ex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24" workbookViewId="0">
      <selection activeCell="B104" sqref="B104"/>
    </sheetView>
  </sheetViews>
  <sheetFormatPr defaultRowHeight="15" x14ac:dyDescent="0.25"/>
  <cols>
    <col min="1" max="1" width="16.7109375" bestFit="1" customWidth="1"/>
    <col min="2" max="2" width="4.28515625" bestFit="1" customWidth="1"/>
    <col min="3" max="7" width="12.7109375" style="2" bestFit="1" customWidth="1"/>
    <col min="9" max="9" width="4.85546875" bestFit="1" customWidth="1"/>
  </cols>
  <sheetData>
    <row r="1" spans="1:9" x14ac:dyDescent="0.25">
      <c r="A1" t="s">
        <v>18</v>
      </c>
      <c r="B1" t="s">
        <v>32</v>
      </c>
      <c r="C1" s="2">
        <v>-37627.097292403072</v>
      </c>
      <c r="D1" s="2">
        <v>-228702.669585</v>
      </c>
      <c r="E1" s="2">
        <v>-18978.688375871367</v>
      </c>
      <c r="F1" s="2">
        <v>-201171.36465719307</v>
      </c>
      <c r="G1" s="2">
        <v>-0.98259735062832043</v>
      </c>
      <c r="I1" t="s">
        <v>80</v>
      </c>
    </row>
    <row r="2" spans="1:9" x14ac:dyDescent="0.25">
      <c r="A2" t="s">
        <v>8</v>
      </c>
      <c r="B2" t="s">
        <v>32</v>
      </c>
      <c r="C2" s="2">
        <v>473.28483218416943</v>
      </c>
      <c r="D2" s="2">
        <v>-4930.6575600000178</v>
      </c>
      <c r="E2" s="2">
        <v>5269.5993396534577</v>
      </c>
      <c r="F2" s="2">
        <v>26011.141445116937</v>
      </c>
      <c r="G2" s="2">
        <v>-0.91018580319328535</v>
      </c>
      <c r="I2" t="s">
        <v>80</v>
      </c>
    </row>
    <row r="3" spans="1:9" x14ac:dyDescent="0.25">
      <c r="A3" t="s">
        <v>11</v>
      </c>
      <c r="B3" t="s">
        <v>32</v>
      </c>
      <c r="C3" s="2">
        <v>-583.98888009101154</v>
      </c>
      <c r="D3" s="2">
        <v>-9174.6182599999993</v>
      </c>
      <c r="E3" s="2">
        <v>295.32183379033495</v>
      </c>
      <c r="F3" s="2">
        <v>-1906.6074906128638</v>
      </c>
      <c r="G3" s="2">
        <v>-2.9774659820974057</v>
      </c>
      <c r="I3" t="s">
        <v>80</v>
      </c>
    </row>
    <row r="4" spans="1:9" x14ac:dyDescent="0.25">
      <c r="A4" t="s">
        <v>15</v>
      </c>
      <c r="B4" t="s">
        <v>32</v>
      </c>
      <c r="C4" s="2">
        <v>-820.75467189255448</v>
      </c>
      <c r="D4" s="2">
        <v>-6263.4783199999956</v>
      </c>
      <c r="E4" s="2">
        <v>642.59127024997224</v>
      </c>
      <c r="F4" s="2">
        <v>542.92360134224134</v>
      </c>
      <c r="G4" s="2">
        <v>-2.2772577373690055</v>
      </c>
      <c r="I4" t="s">
        <v>80</v>
      </c>
    </row>
    <row r="5" spans="1:9" x14ac:dyDescent="0.25">
      <c r="A5" t="s">
        <v>12</v>
      </c>
      <c r="B5" t="s">
        <v>32</v>
      </c>
      <c r="C5" s="2">
        <v>1281.804213740131</v>
      </c>
      <c r="D5" s="2">
        <v>-400.85772000000554</v>
      </c>
      <c r="E5" s="2">
        <v>729.15842528493931</v>
      </c>
      <c r="F5" s="2">
        <v>4371.3789136373898</v>
      </c>
      <c r="G5" s="2">
        <v>0.75792279056397061</v>
      </c>
      <c r="I5" t="s">
        <v>80</v>
      </c>
    </row>
    <row r="6" spans="1:9" x14ac:dyDescent="0.25">
      <c r="A6" t="s">
        <v>22</v>
      </c>
      <c r="B6" t="s">
        <v>32</v>
      </c>
      <c r="C6" s="2">
        <v>-558.19449236131459</v>
      </c>
      <c r="D6" s="2">
        <v>4980.0660400000133</v>
      </c>
      <c r="E6" s="2">
        <v>4150.0920129429287</v>
      </c>
      <c r="F6" s="2">
        <v>25244.045797266717</v>
      </c>
      <c r="G6" s="2">
        <v>-1.1345017148102905</v>
      </c>
      <c r="I6" t="s">
        <v>80</v>
      </c>
    </row>
    <row r="7" spans="1:9" x14ac:dyDescent="0.25">
      <c r="A7" t="s">
        <v>0</v>
      </c>
      <c r="B7" t="s">
        <v>32</v>
      </c>
      <c r="C7" s="2">
        <v>599.27730079040441</v>
      </c>
      <c r="D7" s="2">
        <v>3426.5667799999965</v>
      </c>
      <c r="E7" s="2">
        <v>1494.7940783632366</v>
      </c>
      <c r="F7" s="2">
        <v>12366.661245241477</v>
      </c>
      <c r="G7" s="2">
        <v>-0.59909039682134779</v>
      </c>
      <c r="I7" t="s">
        <v>80</v>
      </c>
    </row>
    <row r="8" spans="1:9" x14ac:dyDescent="0.25">
      <c r="A8" t="s">
        <v>9</v>
      </c>
      <c r="B8" t="s">
        <v>32</v>
      </c>
      <c r="C8" s="2">
        <v>-1092.0473353149118</v>
      </c>
      <c r="D8" s="2">
        <v>-5304.3594799999983</v>
      </c>
      <c r="E8" s="2">
        <v>312.09764311868543</v>
      </c>
      <c r="F8" s="2">
        <v>-488.54379787326576</v>
      </c>
      <c r="G8" s="2">
        <v>-4.499056655482736</v>
      </c>
      <c r="I8" t="s">
        <v>80</v>
      </c>
    </row>
    <row r="9" spans="1:9" x14ac:dyDescent="0.25">
      <c r="A9" t="s">
        <v>2</v>
      </c>
      <c r="B9" t="s">
        <v>32</v>
      </c>
      <c r="C9" s="2">
        <v>-1241.9474963421915</v>
      </c>
      <c r="D9" s="2">
        <v>-8281.8788199999817</v>
      </c>
      <c r="E9" s="2">
        <v>3025.1849889535324</v>
      </c>
      <c r="F9" s="2">
        <v>10153.527616843961</v>
      </c>
      <c r="G9" s="2">
        <v>-1.4105360501513675</v>
      </c>
      <c r="I9" t="s">
        <v>80</v>
      </c>
    </row>
    <row r="10" spans="1:9" x14ac:dyDescent="0.25">
      <c r="A10" t="s">
        <v>6</v>
      </c>
      <c r="B10" t="s">
        <v>32</v>
      </c>
      <c r="C10" s="2">
        <v>754.47743270255444</v>
      </c>
      <c r="D10" s="2">
        <v>3238.7033200000033</v>
      </c>
      <c r="E10" s="2">
        <v>1672.2500631627627</v>
      </c>
      <c r="F10" s="2">
        <v>12765.817842096012</v>
      </c>
      <c r="G10" s="2">
        <v>-0.54882499374788785</v>
      </c>
      <c r="I10" t="s">
        <v>80</v>
      </c>
    </row>
    <row r="11" spans="1:9" x14ac:dyDescent="0.25">
      <c r="A11" t="s">
        <v>17</v>
      </c>
      <c r="B11" t="s">
        <v>32</v>
      </c>
      <c r="C11" s="2">
        <v>650.17006477928771</v>
      </c>
      <c r="D11" s="2">
        <v>784.25151999999855</v>
      </c>
      <c r="E11" s="2">
        <v>21.549256558277193</v>
      </c>
      <c r="F11" s="2">
        <v>-5075.7498622678286</v>
      </c>
      <c r="G11" s="2">
        <v>29.171345494958789</v>
      </c>
      <c r="I11" t="s">
        <v>80</v>
      </c>
    </row>
    <row r="12" spans="1:9" x14ac:dyDescent="0.25">
      <c r="A12" t="s">
        <v>5</v>
      </c>
      <c r="B12" t="s">
        <v>32</v>
      </c>
      <c r="C12" s="2">
        <v>-55.19943867039494</v>
      </c>
      <c r="D12" s="2">
        <v>-2416.3579399999999</v>
      </c>
      <c r="E12" s="2">
        <v>896.85371274195631</v>
      </c>
      <c r="F12" s="2">
        <v>3645.5160834674398</v>
      </c>
      <c r="G12" s="2">
        <v>-1.0615478732887589</v>
      </c>
      <c r="I12" t="s">
        <v>80</v>
      </c>
    </row>
    <row r="13" spans="1:9" x14ac:dyDescent="0.25">
      <c r="A13" t="s">
        <v>4</v>
      </c>
      <c r="B13" t="s">
        <v>32</v>
      </c>
      <c r="C13" s="2">
        <v>326.73369935919345</v>
      </c>
      <c r="D13" s="2">
        <v>41015.086590000014</v>
      </c>
      <c r="E13" s="2">
        <v>1559.9703218008526</v>
      </c>
      <c r="F13" s="2">
        <v>17280.592805852739</v>
      </c>
      <c r="G13" s="2">
        <v>-0.79055133627029051</v>
      </c>
      <c r="I13" t="s">
        <v>80</v>
      </c>
    </row>
    <row r="14" spans="1:9" x14ac:dyDescent="0.25">
      <c r="A14" t="s">
        <v>3</v>
      </c>
      <c r="B14" t="s">
        <v>32</v>
      </c>
      <c r="C14" s="2">
        <v>529.38095102700163</v>
      </c>
      <c r="D14" s="2">
        <v>1528.6117100000054</v>
      </c>
      <c r="E14" s="2">
        <v>1816.1778494748278</v>
      </c>
      <c r="F14" s="2">
        <v>8107.5934240105635</v>
      </c>
      <c r="G14" s="2">
        <v>-0.70851921182714606</v>
      </c>
      <c r="I14" t="s">
        <v>80</v>
      </c>
    </row>
    <row r="15" spans="1:9" x14ac:dyDescent="0.25">
      <c r="A15" t="s">
        <v>13</v>
      </c>
      <c r="B15" t="s">
        <v>32</v>
      </c>
      <c r="C15" s="2">
        <v>2348.8973930411316</v>
      </c>
      <c r="D15" s="2">
        <v>361.15346999999485</v>
      </c>
      <c r="E15" s="2">
        <v>911.52749081745242</v>
      </c>
      <c r="F15" s="2">
        <v>1723.5017762951352</v>
      </c>
      <c r="G15" s="2">
        <v>1.5768804744820746</v>
      </c>
      <c r="I15" t="s">
        <v>80</v>
      </c>
    </row>
    <row r="16" spans="1:9" x14ac:dyDescent="0.25">
      <c r="A16" t="s">
        <v>14</v>
      </c>
      <c r="B16" t="s">
        <v>32</v>
      </c>
      <c r="C16" s="2">
        <v>-19.491020158855711</v>
      </c>
      <c r="D16" s="2">
        <v>-2858.7372100000007</v>
      </c>
      <c r="E16" s="2">
        <v>887.47369870749299</v>
      </c>
      <c r="F16" s="2">
        <v>3983.5707836673005</v>
      </c>
      <c r="G16" s="2">
        <v>-1.0219623637153892</v>
      </c>
      <c r="I16" t="s">
        <v>80</v>
      </c>
    </row>
    <row r="17" spans="1:9" x14ac:dyDescent="0.25">
      <c r="A17" t="s">
        <v>16</v>
      </c>
      <c r="B17" t="s">
        <v>32</v>
      </c>
      <c r="C17" s="2">
        <v>424.17411234490385</v>
      </c>
      <c r="D17" s="2">
        <v>11302.80441000001</v>
      </c>
      <c r="E17" s="2">
        <v>3084.6387138648497</v>
      </c>
      <c r="F17" s="2">
        <v>20018.059722059534</v>
      </c>
      <c r="G17" s="2">
        <v>-0.86248823551415477</v>
      </c>
      <c r="I17" t="s">
        <v>80</v>
      </c>
    </row>
    <row r="18" spans="1:9" x14ac:dyDescent="0.25">
      <c r="A18" t="s">
        <v>10</v>
      </c>
      <c r="B18" t="s">
        <v>32</v>
      </c>
      <c r="C18" s="2">
        <v>2286.040106849407</v>
      </c>
      <c r="D18" s="2">
        <v>4044.2773200000011</v>
      </c>
      <c r="E18" s="2">
        <v>1727.7022285194053</v>
      </c>
      <c r="F18" s="2">
        <v>8230.3227393033721</v>
      </c>
      <c r="G18" s="2">
        <v>0.32316788686930298</v>
      </c>
      <c r="I18" t="s">
        <v>80</v>
      </c>
    </row>
    <row r="19" spans="1:9" x14ac:dyDescent="0.25">
      <c r="A19" t="s">
        <v>7</v>
      </c>
      <c r="B19" t="s">
        <v>32</v>
      </c>
      <c r="C19" s="2">
        <v>206.86570318423398</v>
      </c>
      <c r="D19" s="2">
        <v>-8162.2101399999956</v>
      </c>
      <c r="E19" s="2">
        <v>3790.9567873872329</v>
      </c>
      <c r="F19" s="2">
        <v>20697.212529800585</v>
      </c>
      <c r="G19" s="2">
        <v>-0.94543179603827454</v>
      </c>
      <c r="I19" t="s">
        <v>80</v>
      </c>
    </row>
    <row r="20" spans="1:9" x14ac:dyDescent="0.25">
      <c r="A20" t="s">
        <v>24</v>
      </c>
      <c r="B20" t="s">
        <v>32</v>
      </c>
      <c r="C20" s="2">
        <v>-1.9939976272153581</v>
      </c>
      <c r="D20" s="2">
        <v>22.580869999999994</v>
      </c>
      <c r="E20" s="2">
        <v>-0.79426175526610177</v>
      </c>
      <c r="F20" s="2">
        <v>-5.2590088200019016</v>
      </c>
      <c r="G20" s="2">
        <v>-1.5105043947977936</v>
      </c>
      <c r="I20" t="s">
        <v>80</v>
      </c>
    </row>
    <row r="21" spans="1:9" x14ac:dyDescent="0.25">
      <c r="A21" t="s">
        <v>1</v>
      </c>
      <c r="B21" t="s">
        <v>32</v>
      </c>
      <c r="C21" s="2">
        <v>-2234.8122757120468</v>
      </c>
      <c r="D21" s="2">
        <v>-10580.634459999999</v>
      </c>
      <c r="E21" s="2">
        <v>-551.64586953600519</v>
      </c>
      <c r="F21" s="2">
        <v>-10429.6035143105</v>
      </c>
      <c r="G21" s="2">
        <v>-3.0511719549205898</v>
      </c>
      <c r="I21" t="s">
        <v>80</v>
      </c>
    </row>
    <row r="22" spans="1:9" x14ac:dyDescent="0.25">
      <c r="C22" s="2">
        <f>SUM(C1:C21)</f>
        <v>-34354.421090571152</v>
      </c>
      <c r="D22" s="2">
        <f t="shared" ref="D22:F22" si="0">SUM(D1:D21)</f>
        <v>-216372.35746499992</v>
      </c>
      <c r="E22" s="2">
        <f t="shared" si="0"/>
        <v>12756.811208229559</v>
      </c>
      <c r="F22" s="2">
        <f t="shared" si="0"/>
        <v>-43935.262005076118</v>
      </c>
    </row>
    <row r="24" spans="1:9" x14ac:dyDescent="0.25">
      <c r="A24" t="s">
        <v>18</v>
      </c>
      <c r="B24" t="s">
        <v>31</v>
      </c>
      <c r="C24" s="2">
        <v>82.136170000000106</v>
      </c>
      <c r="D24" s="2">
        <v>901.90836000000002</v>
      </c>
      <c r="E24" s="2">
        <v>4.6471160216611906E-2</v>
      </c>
      <c r="F24" s="2">
        <v>117.68424167958743</v>
      </c>
      <c r="G24" s="2">
        <v>1766.4654477561146</v>
      </c>
      <c r="I24" t="s">
        <v>80</v>
      </c>
    </row>
    <row r="25" spans="1:9" x14ac:dyDescent="0.25">
      <c r="A25" t="s">
        <v>8</v>
      </c>
      <c r="B25" t="s">
        <v>31</v>
      </c>
      <c r="C25" s="2">
        <v>3197.6560599999975</v>
      </c>
      <c r="D25" s="2">
        <v>21997.871620000002</v>
      </c>
      <c r="E25" s="2">
        <v>1010.9170825115925</v>
      </c>
      <c r="F25" s="2">
        <v>12229.631040477147</v>
      </c>
      <c r="G25" s="2">
        <v>2.1631239745751638</v>
      </c>
      <c r="I25" t="s">
        <v>80</v>
      </c>
    </row>
    <row r="26" spans="1:9" x14ac:dyDescent="0.25">
      <c r="A26" t="s">
        <v>11</v>
      </c>
      <c r="B26" t="s">
        <v>31</v>
      </c>
      <c r="C26" s="2">
        <v>278.90791999999965</v>
      </c>
      <c r="D26" s="2">
        <v>1416.9882199999997</v>
      </c>
      <c r="E26" s="2">
        <v>399.93078953184568</v>
      </c>
      <c r="F26" s="2">
        <v>2476.1235061673624</v>
      </c>
      <c r="G26" s="2">
        <v>-0.30260953319826661</v>
      </c>
      <c r="I26" t="s">
        <v>80</v>
      </c>
    </row>
    <row r="27" spans="1:9" x14ac:dyDescent="0.25">
      <c r="A27" t="s">
        <v>15</v>
      </c>
      <c r="B27" t="s">
        <v>31</v>
      </c>
      <c r="C27" s="2">
        <v>269.37171000000001</v>
      </c>
      <c r="D27" s="2">
        <v>826.78126000000009</v>
      </c>
      <c r="E27" s="2">
        <v>416.41564005413056</v>
      </c>
      <c r="F27" s="2">
        <v>2267.6128253706156</v>
      </c>
      <c r="G27" s="2">
        <v>-0.35311817307105964</v>
      </c>
      <c r="I27" t="s">
        <v>80</v>
      </c>
    </row>
    <row r="28" spans="1:9" x14ac:dyDescent="0.25">
      <c r="A28" t="s">
        <v>12</v>
      </c>
      <c r="B28" t="s">
        <v>31</v>
      </c>
      <c r="C28" s="2">
        <v>67.522709999999961</v>
      </c>
      <c r="D28" s="2">
        <v>813.39351999999997</v>
      </c>
      <c r="E28" s="2">
        <v>431.48602859983157</v>
      </c>
      <c r="F28" s="2">
        <v>2575.2361866406468</v>
      </c>
      <c r="G28" s="2">
        <v>-0.84351124828048185</v>
      </c>
      <c r="I28" t="s">
        <v>80</v>
      </c>
    </row>
    <row r="29" spans="1:9" x14ac:dyDescent="0.25">
      <c r="A29" t="s">
        <v>22</v>
      </c>
      <c r="B29" t="s">
        <v>31</v>
      </c>
      <c r="C29" s="2">
        <v>1152.1150899999984</v>
      </c>
      <c r="D29" s="2">
        <v>7649.6933300000001</v>
      </c>
      <c r="E29" s="2">
        <v>2237.2430358688471</v>
      </c>
      <c r="F29" s="2">
        <v>16267.417856876502</v>
      </c>
      <c r="G29" s="2">
        <v>-0.48502908645659615</v>
      </c>
      <c r="I29" t="s">
        <v>80</v>
      </c>
    </row>
    <row r="30" spans="1:9" x14ac:dyDescent="0.25">
      <c r="A30" t="s">
        <v>0</v>
      </c>
      <c r="B30" t="s">
        <v>31</v>
      </c>
      <c r="C30" s="2">
        <v>302.70795999999973</v>
      </c>
      <c r="D30" s="2">
        <v>1727.48875</v>
      </c>
      <c r="E30" s="2">
        <v>776.73681717020327</v>
      </c>
      <c r="F30" s="2">
        <v>4566.2160330515135</v>
      </c>
      <c r="G30" s="2">
        <v>-0.61028246207921344</v>
      </c>
      <c r="I30" t="s">
        <v>80</v>
      </c>
    </row>
    <row r="31" spans="1:9" x14ac:dyDescent="0.25">
      <c r="A31" t="s">
        <v>9</v>
      </c>
      <c r="B31" t="s">
        <v>31</v>
      </c>
      <c r="C31" s="2">
        <v>121.16863999999987</v>
      </c>
      <c r="D31" s="2">
        <v>1407.03757</v>
      </c>
      <c r="E31" s="2">
        <v>396.26032414769043</v>
      </c>
      <c r="F31" s="2">
        <v>2549.1511458580489</v>
      </c>
      <c r="G31" s="2">
        <v>-0.69421960106498315</v>
      </c>
      <c r="I31" t="s">
        <v>80</v>
      </c>
    </row>
    <row r="32" spans="1:9" x14ac:dyDescent="0.25">
      <c r="A32" t="s">
        <v>2</v>
      </c>
      <c r="B32" t="s">
        <v>31</v>
      </c>
      <c r="C32" s="2">
        <v>351.57211000000052</v>
      </c>
      <c r="D32" s="2">
        <v>2480.6442900000006</v>
      </c>
      <c r="E32" s="2">
        <v>841.65651031077232</v>
      </c>
      <c r="F32" s="2">
        <v>5256.8961664532435</v>
      </c>
      <c r="G32" s="2">
        <v>-0.58228552183338256</v>
      </c>
      <c r="I32" t="s">
        <v>80</v>
      </c>
    </row>
    <row r="33" spans="1:9" x14ac:dyDescent="0.25">
      <c r="A33" t="s">
        <v>6</v>
      </c>
      <c r="B33" t="s">
        <v>31</v>
      </c>
      <c r="C33" s="2">
        <v>166.87913000000003</v>
      </c>
      <c r="D33" s="2">
        <v>2209.4442899999999</v>
      </c>
      <c r="E33" s="2">
        <v>339.6525289741694</v>
      </c>
      <c r="F33" s="2">
        <v>2634.5667949833505</v>
      </c>
      <c r="G33" s="2">
        <v>-0.50867691018225514</v>
      </c>
      <c r="I33" t="s">
        <v>80</v>
      </c>
    </row>
    <row r="34" spans="1:9" x14ac:dyDescent="0.25">
      <c r="A34" t="s">
        <v>17</v>
      </c>
      <c r="B34" t="s">
        <v>31</v>
      </c>
      <c r="C34" s="2">
        <v>1890.703889999998</v>
      </c>
      <c r="D34" s="2">
        <v>9717.3861699999979</v>
      </c>
      <c r="E34" s="2">
        <v>514.51264544765763</v>
      </c>
      <c r="F34" s="2">
        <v>5055.4466099550182</v>
      </c>
      <c r="G34" s="2">
        <v>2.674747174299223</v>
      </c>
      <c r="I34" t="s">
        <v>80</v>
      </c>
    </row>
    <row r="35" spans="1:9" x14ac:dyDescent="0.25">
      <c r="A35" t="s">
        <v>5</v>
      </c>
      <c r="B35" t="s">
        <v>31</v>
      </c>
      <c r="C35" s="2">
        <v>182.07906999999977</v>
      </c>
      <c r="D35" s="2">
        <v>1638.3032499999997</v>
      </c>
      <c r="E35" s="2">
        <v>533.95561181342146</v>
      </c>
      <c r="F35" s="2">
        <v>3277.9740836657656</v>
      </c>
      <c r="G35" s="2">
        <v>-0.65899961350415937</v>
      </c>
      <c r="I35" t="s">
        <v>80</v>
      </c>
    </row>
    <row r="36" spans="1:9" x14ac:dyDescent="0.25">
      <c r="A36" t="s">
        <v>4</v>
      </c>
      <c r="B36" t="s">
        <v>31</v>
      </c>
      <c r="C36" s="2">
        <v>3237.2811000000002</v>
      </c>
      <c r="D36" s="2">
        <v>32918.06594</v>
      </c>
      <c r="E36" s="2">
        <v>3359.2694013572509</v>
      </c>
      <c r="F36" s="2">
        <v>26585.902617881231</v>
      </c>
      <c r="G36" s="2">
        <v>-3.6313938175950883E-2</v>
      </c>
      <c r="I36" t="s">
        <v>80</v>
      </c>
    </row>
    <row r="37" spans="1:9" x14ac:dyDescent="0.25">
      <c r="A37" t="s">
        <v>3</v>
      </c>
      <c r="B37" t="s">
        <v>31</v>
      </c>
      <c r="C37" s="2">
        <v>199.86208000000033</v>
      </c>
      <c r="D37" s="2">
        <v>1817.7752200000002</v>
      </c>
      <c r="E37" s="2">
        <v>681.86611645509629</v>
      </c>
      <c r="F37" s="2">
        <v>4116.936254233311</v>
      </c>
      <c r="G37" s="2">
        <v>-0.70688955620929128</v>
      </c>
      <c r="I37" t="s">
        <v>80</v>
      </c>
    </row>
    <row r="38" spans="1:9" x14ac:dyDescent="0.25">
      <c r="A38" t="s">
        <v>13</v>
      </c>
      <c r="B38" t="s">
        <v>31</v>
      </c>
      <c r="C38" s="2">
        <v>2752.2493900000009</v>
      </c>
      <c r="D38" s="2">
        <v>16353.107709999998</v>
      </c>
      <c r="E38" s="2">
        <v>489.35741507288913</v>
      </c>
      <c r="F38" s="2">
        <v>9017.7480999119089</v>
      </c>
      <c r="G38" s="2">
        <v>4.6242110678757307</v>
      </c>
      <c r="I38" t="s">
        <v>80</v>
      </c>
    </row>
    <row r="39" spans="1:9" x14ac:dyDescent="0.25">
      <c r="A39" t="s">
        <v>14</v>
      </c>
      <c r="B39" t="s">
        <v>31</v>
      </c>
      <c r="C39" s="2">
        <v>188.47539000000006</v>
      </c>
      <c r="D39" s="2">
        <v>1328.95144</v>
      </c>
      <c r="E39" s="2">
        <v>366.67331065710664</v>
      </c>
      <c r="F39" s="2">
        <v>2316.2382598868353</v>
      </c>
      <c r="G39" s="2">
        <v>-0.48598552301983</v>
      </c>
      <c r="I39" t="s">
        <v>80</v>
      </c>
    </row>
    <row r="40" spans="1:9" x14ac:dyDescent="0.25">
      <c r="A40" t="s">
        <v>16</v>
      </c>
      <c r="B40" t="s">
        <v>31</v>
      </c>
      <c r="C40" s="2">
        <v>434.95698000000039</v>
      </c>
      <c r="D40" s="2">
        <v>3803.8463400000001</v>
      </c>
      <c r="E40" s="2">
        <v>2142.1472774053709</v>
      </c>
      <c r="F40" s="2">
        <v>14123.127598122983</v>
      </c>
      <c r="G40" s="2">
        <v>-0.79695281244768912</v>
      </c>
      <c r="I40" t="s">
        <v>80</v>
      </c>
    </row>
    <row r="41" spans="1:9" x14ac:dyDescent="0.25">
      <c r="A41" t="s">
        <v>10</v>
      </c>
      <c r="B41" t="s">
        <v>31</v>
      </c>
      <c r="C41" s="2">
        <v>1762.5458100000005</v>
      </c>
      <c r="D41" s="2">
        <v>8406.4554800000005</v>
      </c>
      <c r="E41" s="2">
        <v>1857.9176313761782</v>
      </c>
      <c r="F41" s="2">
        <v>12076.517977927228</v>
      </c>
      <c r="G41" s="2">
        <v>-5.1332642397895104E-2</v>
      </c>
      <c r="I41" t="s">
        <v>80</v>
      </c>
    </row>
    <row r="42" spans="1:9" x14ac:dyDescent="0.25">
      <c r="A42" t="s">
        <v>7</v>
      </c>
      <c r="B42" t="s">
        <v>31</v>
      </c>
      <c r="C42" s="2">
        <v>388.77116000000024</v>
      </c>
      <c r="D42" s="2">
        <v>3197.14858</v>
      </c>
      <c r="E42" s="2">
        <v>2090.9204428146058</v>
      </c>
      <c r="F42" s="2">
        <v>13596.836218583803</v>
      </c>
      <c r="G42" s="2">
        <v>-0.81406697641892478</v>
      </c>
      <c r="I42" t="s">
        <v>80</v>
      </c>
    </row>
    <row r="43" spans="1:9" x14ac:dyDescent="0.25">
      <c r="A43" t="s">
        <v>24</v>
      </c>
      <c r="B43" t="s">
        <v>31</v>
      </c>
      <c r="C43" s="2">
        <v>8.0000000000000071E-3</v>
      </c>
      <c r="D43" s="2">
        <v>0.13669999999999999</v>
      </c>
      <c r="E43" s="2">
        <v>0.85197127063788392</v>
      </c>
      <c r="F43" s="2">
        <v>4.0535307924359856</v>
      </c>
      <c r="G43" s="2">
        <v>-0.99061001200896093</v>
      </c>
      <c r="I43" t="s">
        <v>80</v>
      </c>
    </row>
    <row r="44" spans="1:9" x14ac:dyDescent="0.25">
      <c r="A44" t="s">
        <v>1</v>
      </c>
      <c r="B44" t="s">
        <v>31</v>
      </c>
      <c r="C44" s="2">
        <v>228.56294000000003</v>
      </c>
      <c r="D44" s="2">
        <v>1975.5146400000001</v>
      </c>
      <c r="E44" s="2">
        <v>1069.8016152559539</v>
      </c>
      <c r="F44" s="2">
        <v>6199.5228335932588</v>
      </c>
      <c r="G44" s="2">
        <v>-0.78635016367467769</v>
      </c>
      <c r="I44" t="s">
        <v>80</v>
      </c>
    </row>
    <row r="45" spans="1:9" x14ac:dyDescent="0.25">
      <c r="C45" s="2">
        <f>SUM(C24:C44)</f>
        <v>17255.533309999999</v>
      </c>
      <c r="D45" s="2">
        <f t="shared" ref="D45:G45" si="1">SUM(D24:D44)</f>
        <v>122587.94267999999</v>
      </c>
      <c r="E45" s="2">
        <f t="shared" si="1"/>
        <v>19957.618667255469</v>
      </c>
      <c r="F45" s="2">
        <f t="shared" si="1"/>
        <v>147310.83988211182</v>
      </c>
      <c r="G45" s="2">
        <f t="shared" si="1"/>
        <v>1766.2202961988414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K1" sqref="K1"/>
    </sheetView>
  </sheetViews>
  <sheetFormatPr defaultRowHeight="15" x14ac:dyDescent="0.25"/>
  <sheetData>
    <row r="1" spans="1:11" x14ac:dyDescent="0.25">
      <c r="A1" t="s">
        <v>33</v>
      </c>
      <c r="D1" t="s">
        <v>36</v>
      </c>
      <c r="F1" t="s">
        <v>34</v>
      </c>
      <c r="H1" t="s">
        <v>34</v>
      </c>
      <c r="J1" t="s">
        <v>34</v>
      </c>
    </row>
    <row r="2" spans="1:11" x14ac:dyDescent="0.25">
      <c r="A2" t="s">
        <v>18</v>
      </c>
      <c r="D2" t="s">
        <v>85</v>
      </c>
      <c r="E2" t="s">
        <v>85</v>
      </c>
      <c r="F2" s="17" t="s">
        <v>63</v>
      </c>
      <c r="H2" t="s">
        <v>63</v>
      </c>
      <c r="J2" s="17" t="s">
        <v>63</v>
      </c>
    </row>
    <row r="3" spans="1:11" x14ac:dyDescent="0.25">
      <c r="A3" t="s">
        <v>8</v>
      </c>
      <c r="D3" t="s">
        <v>75</v>
      </c>
      <c r="E3" t="s">
        <v>75</v>
      </c>
      <c r="F3" s="17" t="s">
        <v>26</v>
      </c>
      <c r="H3" s="17" t="s">
        <v>28</v>
      </c>
      <c r="J3" s="17" t="s">
        <v>27</v>
      </c>
    </row>
    <row r="4" spans="1:11" x14ac:dyDescent="0.25">
      <c r="A4" t="s">
        <v>11</v>
      </c>
      <c r="D4" t="s">
        <v>76</v>
      </c>
      <c r="E4" t="s">
        <v>76</v>
      </c>
      <c r="F4" s="17" t="s">
        <v>27</v>
      </c>
      <c r="H4" s="17" t="s">
        <v>29</v>
      </c>
      <c r="J4" s="17" t="s">
        <v>21</v>
      </c>
    </row>
    <row r="5" spans="1:11" x14ac:dyDescent="0.25">
      <c r="A5" t="s">
        <v>15</v>
      </c>
      <c r="D5" t="s">
        <v>77</v>
      </c>
      <c r="E5" t="s">
        <v>77</v>
      </c>
      <c r="F5" s="17" t="s">
        <v>31</v>
      </c>
      <c r="H5" s="17" t="s">
        <v>30</v>
      </c>
      <c r="J5" s="17" t="s">
        <v>28</v>
      </c>
    </row>
    <row r="6" spans="1:11" x14ac:dyDescent="0.25">
      <c r="A6" t="s">
        <v>12</v>
      </c>
      <c r="D6" t="s">
        <v>68</v>
      </c>
      <c r="E6" t="s">
        <v>68</v>
      </c>
      <c r="F6" s="17" t="s">
        <v>32</v>
      </c>
      <c r="J6" s="17" t="s">
        <v>29</v>
      </c>
    </row>
    <row r="7" spans="1:11" x14ac:dyDescent="0.25">
      <c r="A7" t="s">
        <v>22</v>
      </c>
      <c r="D7" t="s">
        <v>59</v>
      </c>
      <c r="E7" t="s">
        <v>78</v>
      </c>
      <c r="J7" s="17" t="s">
        <v>30</v>
      </c>
    </row>
    <row r="8" spans="1:11" x14ac:dyDescent="0.25">
      <c r="A8" t="s">
        <v>0</v>
      </c>
      <c r="D8" t="s">
        <v>67</v>
      </c>
      <c r="E8" t="s">
        <v>79</v>
      </c>
      <c r="J8" s="17" t="s">
        <v>31</v>
      </c>
    </row>
    <row r="9" spans="1:11" x14ac:dyDescent="0.25">
      <c r="A9" t="s">
        <v>9</v>
      </c>
      <c r="D9" t="s">
        <v>86</v>
      </c>
      <c r="E9" t="s">
        <v>80</v>
      </c>
      <c r="J9" s="18" t="s">
        <v>32</v>
      </c>
      <c r="K9" t="s">
        <v>94</v>
      </c>
    </row>
    <row r="10" spans="1:11" x14ac:dyDescent="0.25">
      <c r="A10" t="s">
        <v>2</v>
      </c>
      <c r="D10" t="s">
        <v>87</v>
      </c>
      <c r="E10" t="s">
        <v>81</v>
      </c>
    </row>
    <row r="11" spans="1:11" x14ac:dyDescent="0.25">
      <c r="A11" t="s">
        <v>6</v>
      </c>
      <c r="D11" t="s">
        <v>88</v>
      </c>
      <c r="E11" t="s">
        <v>82</v>
      </c>
    </row>
    <row r="12" spans="1:11" x14ac:dyDescent="0.25">
      <c r="A12" t="s">
        <v>17</v>
      </c>
      <c r="D12" t="s">
        <v>89</v>
      </c>
      <c r="E12" t="s">
        <v>83</v>
      </c>
    </row>
    <row r="13" spans="1:11" x14ac:dyDescent="0.25">
      <c r="A13" t="s">
        <v>5</v>
      </c>
      <c r="D13" t="s">
        <v>90</v>
      </c>
      <c r="E13" t="s">
        <v>84</v>
      </c>
    </row>
    <row r="14" spans="1:11" x14ac:dyDescent="0.25">
      <c r="A14" t="s">
        <v>4</v>
      </c>
    </row>
    <row r="15" spans="1:11" x14ac:dyDescent="0.25">
      <c r="A15" t="s">
        <v>3</v>
      </c>
    </row>
    <row r="16" spans="1:11" x14ac:dyDescent="0.25">
      <c r="A16" t="s">
        <v>13</v>
      </c>
    </row>
    <row r="17" spans="1:1" x14ac:dyDescent="0.25">
      <c r="A17" t="s">
        <v>14</v>
      </c>
    </row>
    <row r="18" spans="1:1" x14ac:dyDescent="0.25">
      <c r="A18" t="s">
        <v>16</v>
      </c>
    </row>
    <row r="19" spans="1:1" x14ac:dyDescent="0.25">
      <c r="A19" t="s">
        <v>10</v>
      </c>
    </row>
    <row r="20" spans="1:1" x14ac:dyDescent="0.25">
      <c r="A20" t="s">
        <v>7</v>
      </c>
    </row>
    <row r="21" spans="1:1" x14ac:dyDescent="0.25">
      <c r="A21" t="s">
        <v>24</v>
      </c>
    </row>
    <row r="22" spans="1:1" x14ac:dyDescent="0.25">
      <c r="A2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4"/>
  <sheetViews>
    <sheetView showGridLines="0" zoomScale="80" zoomScaleNormal="80" workbookViewId="0">
      <selection activeCell="P14" sqref="P14"/>
    </sheetView>
  </sheetViews>
  <sheetFormatPr defaultRowHeight="15" x14ac:dyDescent="0.25"/>
  <cols>
    <col min="1" max="2" width="8.7109375" style="6"/>
    <col min="3" max="3" width="10.5703125" style="6" customWidth="1"/>
    <col min="4" max="4" width="2.85546875" customWidth="1"/>
    <col min="5" max="5" width="4.28515625" customWidth="1"/>
    <col min="6" max="6" width="29.85546875" bestFit="1" customWidth="1"/>
    <col min="7" max="7" width="23.85546875" customWidth="1"/>
    <col min="8" max="8" width="24.42578125" customWidth="1"/>
    <col min="9" max="9" width="18.140625" customWidth="1"/>
    <col min="10" max="10" width="6.7109375" customWidth="1"/>
    <col min="11" max="11" width="23.140625" bestFit="1" customWidth="1"/>
    <col min="12" max="12" width="23.5703125" bestFit="1" customWidth="1"/>
    <col min="13" max="13" width="17.7109375" customWidth="1"/>
    <col min="14" max="14" width="8.85546875" customWidth="1"/>
  </cols>
  <sheetData>
    <row r="1" spans="6:19" x14ac:dyDescent="0.25">
      <c r="L1" s="39" t="str">
        <f>IF(COUNTA('HELPER CELL'!C4:C25)&gt;4,"All",$N$1)</f>
        <v>All</v>
      </c>
      <c r="M1" s="39"/>
      <c r="N1" s="104" t="str">
        <f>'HELPER CELL'!C4</f>
        <v>BIASHARA STREET</v>
      </c>
      <c r="O1" s="100"/>
      <c r="P1" s="99"/>
      <c r="Q1" s="99"/>
      <c r="R1" s="99"/>
      <c r="S1" s="99"/>
    </row>
    <row r="4" spans="6:19" ht="21.75" thickBot="1" x14ac:dyDescent="0.4">
      <c r="K4" s="89"/>
      <c r="L4" s="89"/>
      <c r="M4" s="89"/>
    </row>
    <row r="5" spans="6:19" ht="24" thickBot="1" x14ac:dyDescent="0.4">
      <c r="F5" s="38" t="s">
        <v>34</v>
      </c>
      <c r="G5" s="86" t="s">
        <v>111</v>
      </c>
      <c r="H5" s="87" t="s">
        <v>112</v>
      </c>
      <c r="I5" s="88" t="s">
        <v>62</v>
      </c>
      <c r="J5" s="140"/>
      <c r="K5" s="92" t="s">
        <v>70</v>
      </c>
      <c r="L5" s="90" t="s">
        <v>72</v>
      </c>
      <c r="M5" s="91" t="s">
        <v>62</v>
      </c>
      <c r="N5" s="32"/>
    </row>
    <row r="6" spans="6:19" ht="26.25" customHeight="1" x14ac:dyDescent="0.3">
      <c r="F6" s="105" t="s">
        <v>63</v>
      </c>
      <c r="G6" s="37">
        <f>IF($L$1="All",SUM('ANALYSIS TWO'!$V$41:$V$61),GETPIVOTDATA("Sum of ACTUAL (MONTH)",'ANALYSIS TWO'!$A$38,"BRANCH",$N$1,"KPI","NEW DEPOSITS"))</f>
        <v>2285.5291200002757</v>
      </c>
      <c r="H6" s="37">
        <f>IF($L$1="All",SUM('ANALYSIS TWO'!$W$41:$W$61),GETPIVOTDATA("Sum of BUDGET (MONTH)",'ANALYSIS TWO'!$A$38,"BRANCH",$N$1,"KPI","NEW DEPOSITS"))</f>
        <v>103583.33333333324</v>
      </c>
      <c r="I6" s="95" t="str">
        <f t="shared" ref="I6:I12" si="0">IFERROR(TEXT((G6-H6)/H6,"0.0%")&amp;" "&amp;IF(G6&gt;=H6,"▲","▼"),0)</f>
        <v>-97.8% ▼</v>
      </c>
      <c r="J6" s="140"/>
      <c r="K6" s="93">
        <f>IF($L$1="All",SUM('ANALYSIS TWO'!$X$41:$X$61),GETPIVOTDATA("Sum of ACTUAL (YTD)",'ANALYSIS TWO'!$A$38,"BRANCH",$N$1,"KPI","NEW DEPOSITS"))</f>
        <v>70067.025940000283</v>
      </c>
      <c r="L6" s="35">
        <f>IF($L$1="All",SUM('ANALYSIS TWO'!$Y$41:$Y$61),GETPIVOTDATA("Sum of BUDGET (YTD)",'ANALYSIS TWO'!$A$38,"BRANCH",$N$1,"KPI","NEW DEPOSITS"))</f>
        <v>1930345.600000001</v>
      </c>
      <c r="M6" s="95" t="str">
        <f>IFERROR(TEXT((K6-L6)/L6,"0.0%")&amp;" "&amp;IF(K6&gt;=L6,"▲","▼"),0)</f>
        <v>-96.4% ▼</v>
      </c>
      <c r="N6" s="33"/>
    </row>
    <row r="7" spans="6:19" ht="26.25" customHeight="1" x14ac:dyDescent="0.3">
      <c r="F7" s="106" t="s">
        <v>26</v>
      </c>
      <c r="G7" s="35">
        <f>IF($L$1="All",SUM('ANALYSIS TWO'!$D$41:$D$61),GETPIVOTDATA("Sum of ACTUAL (YTD)",'ANALYSIS TWO'!$A$38,"BRANCH",$N$1,"KPI","CUMULATIVE DEPOSITS"))</f>
        <v>3288285.5994300009</v>
      </c>
      <c r="H7" s="35">
        <f>IF($L$1="All",SUM('ANALYSIS TWO'!$E$41:$E$61),GETPIVOTDATA("Sum of BUDGET (YTD)",'ANALYSIS TWO'!$A$38,"BRANCH",$N$1,"KPI","CUMULATIVE DEPOSITS"))</f>
        <v>3926490.1704833317</v>
      </c>
      <c r="I7" s="95" t="str">
        <f t="shared" si="0"/>
        <v>-16.3% ▼</v>
      </c>
      <c r="J7" s="140"/>
      <c r="K7" s="93">
        <f>IF($L$1="All",SUM('ANALYSIS TWO'!$D$41:$D$61),GETPIVOTDATA("Sum of ACTUAL (YTD)",'ANALYSIS TWO'!$A$38,"BRANCH",$N$1,"KPI","CUMULATIVE DEPOSITS"))</f>
        <v>3288285.5994300009</v>
      </c>
      <c r="L7" s="35">
        <f>IF($L$1="All",SUM('ANALYSIS TWO'!$E$41:$E$61),GETPIVOTDATA("Sum of BUDGET (YTD)",'ANALYSIS TWO'!$A$38,"BRANCH",$N$1,"KPI","CUMULATIVE DEPOSITS"))</f>
        <v>3926490.1704833317</v>
      </c>
      <c r="M7" s="95" t="str">
        <f t="shared" ref="M7:M13" si="1">IFERROR(TEXT((K7-L7)/L7,"0.0%")&amp;" "&amp;IF(K7&gt;=L7,"▲","▼"),0)</f>
        <v>-16.3% ▼</v>
      </c>
    </row>
    <row r="8" spans="6:19" ht="26.25" customHeight="1" x14ac:dyDescent="0.3">
      <c r="F8" s="106" t="s">
        <v>27</v>
      </c>
      <c r="G8" s="35">
        <f>IF($L$1="All",SUM('ANALYSIS TWO'!$P$41:$P$61),GETPIVOTDATA("Sum of ACTUAL (YTD)",'ANALYSIS TWO'!$A$38,"BRANCH",$N$1,"KPI","GROSS LOAN BOOK"))</f>
        <v>3771889.499486689</v>
      </c>
      <c r="H8" s="35">
        <f>IF($L$1="All",SUM('ANALYSIS TWO'!$Q$41:$Q$61),GETPIVOTDATA("Sum of BUDGET (YTD)",'ANALYSIS TWO'!$A$38,"BRANCH",$N$1,"KPI","GROSS LOAN BOOK"))</f>
        <v>3591855.2514735442</v>
      </c>
      <c r="I8" s="95" t="str">
        <f t="shared" si="0"/>
        <v>5.0% ▲</v>
      </c>
      <c r="J8" s="140"/>
      <c r="K8" s="93">
        <f>IF($L$1="All",SUM('ANALYSIS TWO'!$P$41:$P$61),GETPIVOTDATA("Sum of ACTUAL (YTD)",'ANALYSIS TWO'!$A$38,"BRANCH",$N$1,"KPI","GROSS LOAN BOOK"))</f>
        <v>3771889.499486689</v>
      </c>
      <c r="L8" s="35">
        <f>IF($L$1="All",SUM('ANALYSIS TWO'!$Q$41:$Q$61),GETPIVOTDATA("Sum of BUDGET (YTD)",'ANALYSIS TWO'!$A$38,"BRANCH",$N$1,"KPI","GROSS LOAN BOOK"))</f>
        <v>3591855.2514735442</v>
      </c>
      <c r="M8" s="95" t="str">
        <f t="shared" si="1"/>
        <v>5.0% ▲</v>
      </c>
    </row>
    <row r="9" spans="6:19" ht="26.25" customHeight="1" x14ac:dyDescent="0.3">
      <c r="F9" s="106" t="s">
        <v>21</v>
      </c>
      <c r="G9" s="35">
        <f>IF($L$1="All",SUM('ANALYSIS TWO'!$F$41:$F$61),GETPIVOTDATA("Sum of ACTUAL (MONTH)",'ANALYSIS TWO'!$A$38,"BRANCH",$N$1,"KPI","DISBURSEMENTS"))</f>
        <v>60393.219549999994</v>
      </c>
      <c r="H9" s="35">
        <f>IF($L$1="All",SUM('ANALYSIS TWO'!$G$41:$G$61),GETPIVOTDATA("Sum of BUDGET (MONTH)",'ANALYSIS TWO'!$A$38,"BRANCH",$N$1,"KPI","DISBURSEMENTS"))</f>
        <v>185546.88888888891</v>
      </c>
      <c r="I9" s="95" t="str">
        <f t="shared" si="0"/>
        <v>-67.5% ▼</v>
      </c>
      <c r="J9" s="140"/>
      <c r="K9" s="93">
        <f>IF($L$1="All",SUM('ANALYSIS TWO'!$H$41:$H$61),GETPIVOTDATA("Sum of ACTUAL (YTD)",'ANALYSIS TWO'!$A$38,"BRANCH",$N$1,"KPI","DISBURSEMENTS"))</f>
        <v>568825.16649999993</v>
      </c>
      <c r="L9" s="35">
        <f>IF($L$1="All",SUM('ANALYSIS TWO'!$I$41:$I$61),GETPIVOTDATA("Sum of BUDGET (YTD)",'ANALYSIS TWO'!$A$38,"BRANCH",$N$1,"KPI","DISBURSEMENTS"))</f>
        <v>2464338.3333333335</v>
      </c>
      <c r="M9" s="95" t="str">
        <f t="shared" si="1"/>
        <v>-76.9% ▼</v>
      </c>
    </row>
    <row r="10" spans="6:19" ht="26.25" customHeight="1" x14ac:dyDescent="0.3">
      <c r="F10" s="106" t="s">
        <v>91</v>
      </c>
      <c r="G10" s="35">
        <f>IF($L$1="All",SUM('ANALYSIS TWO'!$AH$41:$AH$61),GETPIVOTDATA("Sum of ACTUAL (MONTH)",'ANALYSIS TWO'!$A$38,"BRANCH",$N$1,"KPI","TRADE FINANCE"))</f>
        <v>10648407.43</v>
      </c>
      <c r="H10" s="35">
        <f>IF($L$1="All",SUM('ANALYSIS TWO'!$AI$41:$AI$61),GETPIVOTDATA("Sum of BUDGET (MONTH)",'ANALYSIS TWO'!$A$38,"BRANCH",$N$1,"KPI","TRADE FINANCE"))</f>
        <v>10505599.028000001</v>
      </c>
      <c r="I10" s="95" t="str">
        <f t="shared" si="0"/>
        <v>1.4% ▲</v>
      </c>
      <c r="J10" s="140"/>
      <c r="K10" s="93">
        <f>IF($L$1="All",SUM('ANALYSIS TWO'!$AJ$41:$AJ$61),GETPIVOTDATA("Sum of ACTUAL (YTD)",'ANALYSIS TWO'!$A$38,"BRANCH",$N$1,"KPI","TRADE FINANCE"))</f>
        <v>102406154.34</v>
      </c>
      <c r="L10" s="35">
        <f>IF($L$1="All",SUM('ANALYSIS TWO'!$AK$41:$AK$61),GETPIVOTDATA("Sum of BUDGET (YTD)",'ANALYSIS TWO'!$A$38,"BRANCH",$N$1,"KPI","TRADE FINANCE"))</f>
        <v>100533594.16799995</v>
      </c>
      <c r="M10" s="95" t="str">
        <f t="shared" si="1"/>
        <v>1.9% ▲</v>
      </c>
    </row>
    <row r="11" spans="6:19" ht="26.25" customHeight="1" x14ac:dyDescent="0.3">
      <c r="F11" s="106" t="s">
        <v>29</v>
      </c>
      <c r="G11" s="35">
        <f>IF($L$1="All",SUM('ANALYSIS TWO'!$J$41:$J$61),GETPIVOTDATA("Sum of ACTUAL (MONTH)",'ANALYSIS TWO'!$A$38,"BRANCH",$N$1,"KPI","FX INCOME"))</f>
        <v>557486</v>
      </c>
      <c r="H11" s="35">
        <f>IF($L$1="All",SUM('ANALYSIS TWO'!$K$41:$K$61),GETPIVOTDATA("Sum of BUDGET (MONTH)",'ANALYSIS TWO'!$A$38,"BRANCH",$N$1,"KPI","FX INCOME"))</f>
        <v>671332</v>
      </c>
      <c r="I11" s="95" t="str">
        <f t="shared" si="0"/>
        <v>-17.0% ▼</v>
      </c>
      <c r="J11" s="140"/>
      <c r="K11" s="93">
        <f>IF($L$1="All",SUM('ANALYSIS TWO'!$L$41:$L$61),GETPIVOTDATA("Sum of ACTUAL (YTD)",'ANALYSIS TWO'!$A$38,"BRANCH",$N$1,"KPI","FX INCOME"))</f>
        <v>7341866</v>
      </c>
      <c r="L11" s="35">
        <f>IF($L$1="All",SUM('ANALYSIS TWO'!$M$41:$M$61),GETPIVOTDATA("Sum of BUDGET (YTD)",'ANALYSIS TWO'!$A$38,"BRANCH",$N$1,"KPI","FX INCOME"))</f>
        <v>6781835.5300000003</v>
      </c>
      <c r="M11" s="95" t="str">
        <f t="shared" si="1"/>
        <v>8.3% ▲</v>
      </c>
    </row>
    <row r="12" spans="6:19" ht="26.25" customHeight="1" x14ac:dyDescent="0.3">
      <c r="F12" s="106" t="s">
        <v>92</v>
      </c>
      <c r="G12" s="35">
        <f>IF($L$1="All",SUM('ANALYSIS TWO'!$R$41:$R$61),GETPIVOTDATA("Sum of ACTUAL (MONTH)",'ANALYSIS TWO'!$A$38,"BRANCH",$N$1,"KPI","NEW ACCOUNTS"))</f>
        <v>604</v>
      </c>
      <c r="H12" s="35">
        <f>IF($L$1="All",SUM('ANALYSIS TWO'!$S$41:$S$61),GETPIVOTDATA("Sum of BUDGET (MONTH)",'ANALYSIS TWO'!$A$38,"BRANCH",$N$1,"KPI","NEW ACCOUNTS"))</f>
        <v>1537</v>
      </c>
      <c r="I12" s="95" t="str">
        <f t="shared" si="0"/>
        <v>-60.7% ▼</v>
      </c>
      <c r="J12" s="140"/>
      <c r="K12" s="93">
        <f>IF($L$1="All",SUM('ANALYSIS TWO'!$T$41:$T$61),GETPIVOTDATA("Sum of ACTUAL (YTD)",'ANALYSIS TWO'!$A$38,"BRANCH",$N$1,"KPI","NEW ACCOUNTS"))</f>
        <v>7805</v>
      </c>
      <c r="L12" s="35">
        <f>IF($L$1="All",SUM('ANALYSIS TWO'!$U$41:$U$61),GETPIVOTDATA("Sum of BUDGET (YTD)",'ANALYSIS TWO'!$A$38,"BRANCH",$N$1,"KPI","NEW ACCOUNTS"))</f>
        <v>13833</v>
      </c>
      <c r="M12" s="95" t="str">
        <f t="shared" si="1"/>
        <v>-43.6% ▼</v>
      </c>
    </row>
    <row r="13" spans="6:19" ht="26.25" customHeight="1" x14ac:dyDescent="0.3">
      <c r="F13" s="106" t="s">
        <v>93</v>
      </c>
      <c r="G13" s="35">
        <f>IF($L$1="All",SUM('ANALYSIS TWO'!Z41:Z61),GETPIVOTDATA("Sum of ACTUAL (MONTH)",'ANALYSIS TWO'!$A$38,"BRANCH",$N$1,"KPI","NFI"))</f>
        <v>13989.673270000007</v>
      </c>
      <c r="H13" s="35">
        <f>IF($L$1="All",SUM('ANALYSIS TWO'!AA41:AA61),GETPIVOTDATA("Sum of BUDGET (MONTH)",'ANALYSIS TWO'!$A$38,"BRANCH",$N$1,"KPI","NFI"))</f>
        <v>20117.686061725264</v>
      </c>
      <c r="I13" s="142" t="str">
        <f>IFERROR(TEXT((G13-H13)/H13,"0.0%")&amp;" "&amp;IF(G13&gt;=H13,"▲","▼"),0)</f>
        <v>-30.5% ▼</v>
      </c>
      <c r="J13" s="140"/>
      <c r="K13" s="93">
        <f>IF($L$1="All",SUM('ANALYSIS TWO'!AB41:AB61),GETPIVOTDATA("Sum of ACTUAL (YTD)",'ANALYSIS TWO'!$A$38,"BRANCH",$N$1,"KPI","NFI"))</f>
        <v>136577.61595000004</v>
      </c>
      <c r="L13" s="35">
        <f>IF($L$1="All",SUM('ANALYSIS TWO'!AC41:AC61),GETPIVOTDATA("Sum of BUDGET (YTD)",'ANALYSIS TWO'!$A$38,"BRANCH",$N$1,"KPI","NFI"))</f>
        <v>167310.84170215749</v>
      </c>
      <c r="M13" s="95" t="str">
        <f t="shared" si="1"/>
        <v>-18.4% ▼</v>
      </c>
    </row>
    <row r="14" spans="6:19" ht="26.25" customHeight="1" thickBot="1" x14ac:dyDescent="0.35">
      <c r="F14" s="137" t="s">
        <v>32</v>
      </c>
      <c r="G14" s="36">
        <f>IF($L$1="All",SUM('ANALYSIS TWO'!AD41:AD61),GETPIVOTDATA("Sum of ACTUAL (MONTH)",'ANALYSIS TWO'!$A$38,"BRANCH",$N$1,"KPI","PBT"))</f>
        <v>-21343.050370592187</v>
      </c>
      <c r="H14" s="36">
        <f>IF($L$1="All",SUM('ANALYSIS TWO'!AE41:AE61),GETPIVOTDATA("Sum of BUDGET (MONTH)",'ANALYSIS TWO'!$A$38,"BRANCH",$N$1,"KPI","PBT"))</f>
        <v>14688.187737729018</v>
      </c>
      <c r="I14" s="141">
        <f>IFERROR(IF((G14-H14)&lt;0,-ABS((G14-H14)/H14),ABS((G14-H14)/H14)),0)</f>
        <v>-2.4530758151850871</v>
      </c>
      <c r="J14" s="140"/>
      <c r="K14" s="94">
        <f>IF($L$1="All",SUM('ANALYSIS TWO'!AF41:AF61),GETPIVOTDATA("Sum of ACTUAL (YTD)",'ANALYSIS TWO'!$A$38,"BRANCH",$N$1,"KPI","PBT"))</f>
        <v>-237715.40783999991</v>
      </c>
      <c r="L14" s="36">
        <f>IF($L$1="All",SUM('ANALYSIS TWO'!AG41:AG61),GETPIVOTDATA("Sum of BUDGET (YTD)",'ANALYSIS TWO'!$A$38,"BRANCH",$N$1,"KPI","PBT"))</f>
        <v>-31882.703247347003</v>
      </c>
      <c r="M14" s="141">
        <f>IFERROR(IF((K14-L14)&lt;0,-ABS((K14-L14)/L14),ABS((K14-L14)/L14)),0)</f>
        <v>-6.4559364052601307</v>
      </c>
    </row>
    <row r="15" spans="6:19" ht="26.25" customHeight="1" x14ac:dyDescent="0.25"/>
    <row r="16" spans="6:19" ht="26.25" customHeight="1" x14ac:dyDescent="0.25">
      <c r="H16" s="9"/>
    </row>
    <row r="21" spans="5:12" ht="6.75" customHeight="1" x14ac:dyDescent="0.25"/>
    <row r="22" spans="5:12" ht="18.75" x14ac:dyDescent="0.3">
      <c r="E22" s="28"/>
      <c r="F22" s="28"/>
      <c r="H22" s="28"/>
      <c r="J22" s="16"/>
      <c r="K22" s="16"/>
      <c r="L22" s="16"/>
    </row>
    <row r="23" spans="5:12" ht="6.75" customHeight="1" x14ac:dyDescent="0.25"/>
    <row r="24" spans="5:12" x14ac:dyDescent="0.25">
      <c r="E24" s="26"/>
      <c r="F24" s="26"/>
      <c r="H24" s="27"/>
    </row>
  </sheetData>
  <conditionalFormatting sqref="I6:I13">
    <cfRule type="expression" dxfId="106" priority="42">
      <formula>G6&lt;H6</formula>
    </cfRule>
    <cfRule type="expression" dxfId="105" priority="43">
      <formula>G6&gt;=H6</formula>
    </cfRule>
    <cfRule type="expression" priority="44">
      <formula>G6&gt;=H6</formula>
    </cfRule>
  </conditionalFormatting>
  <conditionalFormatting sqref="N6">
    <cfRule type="expression" dxfId="104" priority="1183">
      <formula>#REF!&lt;#REF!</formula>
    </cfRule>
    <cfRule type="expression" dxfId="103" priority="1184">
      <formula>#REF!&gt;=#REF!</formula>
    </cfRule>
    <cfRule type="expression" priority="1185">
      <formula>#REF!&gt;=#REF!</formula>
    </cfRule>
  </conditionalFormatting>
  <conditionalFormatting sqref="I14">
    <cfRule type="expression" dxfId="102" priority="16">
      <formula>IFERROR(IF((G14-H14)&lt;0,-ABS((G14-H14)/H14),ABS((G14-H14)/H14)),0)&gt;=0</formula>
    </cfRule>
    <cfRule type="expression" dxfId="101" priority="17">
      <formula>IFERROR(IF((G14-H14)&lt;0,-ABS((G14-H14)/H14),ABS((G14-H14)/H14)),0)&lt;0</formula>
    </cfRule>
  </conditionalFormatting>
  <conditionalFormatting sqref="M14">
    <cfRule type="expression" dxfId="100" priority="14">
      <formula>IFERROR(IF((K14-L14)&lt;0,-ABS((K14-L14)/L14),ABS((K14-L14)/L14)),0)&gt;=0</formula>
    </cfRule>
    <cfRule type="expression" dxfId="99" priority="15">
      <formula>IFERROR(IF((K14-L14)&lt;0,-ABS((K14-L14)/L14),ABS((K14-L14)/L14)),0)&lt;0</formula>
    </cfRule>
  </conditionalFormatting>
  <conditionalFormatting sqref="M6:M13">
    <cfRule type="expression" dxfId="98" priority="1">
      <formula>K6&lt;L6</formula>
    </cfRule>
    <cfRule type="expression" dxfId="97" priority="2">
      <formula>K6&gt;=L6</formula>
    </cfRule>
    <cfRule type="expression" priority="3">
      <formula>K6&gt;=L6</formula>
    </cfRule>
  </conditionalFormatting>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1" id="{56F52897-F682-443F-9844-CE9D6095666B}">
            <xm:f>IF($L$1="All",SUM('ANALYSIS TWO'!$V$41:$V$61),GETPIVOTDATA("Sum of ACTUAL (MONTH)",'ANALYSIS TWO'!$A$38,"BRANCH",$N$1,"KPI","NEW DEPOSITS"))&lt;0</xm:f>
            <x14:dxf>
              <font>
                <color rgb="FFFF0000"/>
              </font>
            </x14:dxf>
          </x14:cfRule>
          <xm:sqref>G6</xm:sqref>
        </x14:conditionalFormatting>
        <x14:conditionalFormatting xmlns:xm="http://schemas.microsoft.com/office/excel/2006/main">
          <x14:cfRule type="expression" priority="28" id="{5E76E316-7B1B-4659-9A78-1BE552AC0099}">
            <xm:f>IF($L$1="All",SUM('ANALYSIS TWO'!$AF$41:$AF$61),GETPIVOTDATA("Sum of ACTUAL (YTD)",'ANALYSIS TWO'!$A$38,"BRANCH",$N$1,"KPI","PBT"))&lt;0</xm:f>
            <x14:dxf>
              <font>
                <color rgb="FFFF0000"/>
              </font>
            </x14:dxf>
          </x14:cfRule>
          <xm:sqref>O4</xm:sqref>
        </x14:conditionalFormatting>
        <x14:conditionalFormatting xmlns:xm="http://schemas.microsoft.com/office/excel/2006/main">
          <x14:cfRule type="expression" priority="22" id="{14C315CF-827C-4317-B8B6-7815EF0E34E5}">
            <xm:f>IF($L$1="All",SUM('ANALYSIS TWO'!$X$41:$X$61),GETPIVOTDATA("Sum of ACTUAL (YTD)",'ANALYSIS TWO'!$A$38,"BRANCH",$N$1,"KPI","NEW DEPOSITS"))&gt;=0</xm:f>
            <x14:dxf/>
          </x14:cfRule>
          <x14:cfRule type="expression" priority="23" id="{194CE03D-4B11-444B-9825-DFE65C62084C}">
            <xm:f>IF($L$1="All",SUM('ANALYSIS TWO'!$X$41:$X$61),GETPIVOTDATA("Sum of ACTUAL (YTD)",'ANALYSIS TWO'!$A$38,"BRANCH",$N$1,"KPI","NEW DEPOSITS"))&lt;0</xm:f>
            <x14:dxf>
              <font>
                <color rgb="FFFF0000"/>
              </font>
            </x14:dxf>
          </x14:cfRule>
          <xm:sqref>K6</xm:sqref>
        </x14:conditionalFormatting>
        <x14:conditionalFormatting xmlns:xm="http://schemas.microsoft.com/office/excel/2006/main">
          <x14:cfRule type="expression" priority="13" id="{A936F994-84D3-4A07-8F74-511846B19AD8}">
            <xm:f>IF($L$1="All",SUM('ANALYSIS TWO'!AD41:AD61),GETPIVOTDATA("Sum of ACTUAL (MONTH)",'ANALYSIS TWO'!$A$38,"BRANCH",$N$1,"KPI","PBT"))&lt;0</xm:f>
            <x14:dxf>
              <font>
                <color rgb="FFFF0000"/>
              </font>
            </x14:dxf>
          </x14:cfRule>
          <x14:cfRule type="expression" priority="12" id="{4426609E-A4AE-46CC-9820-D54390078F8F}">
            <xm:f>IF($L$1="All",SUM('ANALYSIS TWO'!AD41:AD61),GETPIVOTDATA("Sum of ACTUAL (MONTH)",'ANALYSIS TWO'!$A$38,"BRANCH",$N$1,"KPI","PBT"))&gt;=0</xm:f>
            <x14:dxf/>
          </x14:cfRule>
          <x14:cfRule type="expression" priority="11" id="{83F0EC9D-64E2-458F-B66A-994886A1B358}">
            <xm:f>IF($L$1="All",SUM('ANALYSIS TWO'!AD41:AD61),GETPIVOTDATA("Sum of ACTUAL (MONTH)",'ANALYSIS TWO'!$A$38,"BRANCH",$N$1,"KPI","PBT"))&lt;0</xm:f>
            <x14:dxf>
              <font>
                <color rgb="FFFF0000"/>
              </font>
            </x14:dxf>
          </x14:cfRule>
          <x14:cfRule type="expression" priority="10" id="{FF589374-6CDC-4627-96A7-C103DEE3BD3D}">
            <xm:f>IF($L$1="All",SUM('ANALYSIS TWO'!AD41:AD61),GETPIVOTDATA("Sum of ACTUAL (MONTH)",'ANALYSIS TWO'!$A$38,"BRANCH",$N$1,"KPI","PBT"))&gt;=0</xm:f>
            <x14:dxf>
              <font>
                <color auto="1"/>
              </font>
            </x14:dxf>
          </x14:cfRule>
          <xm:sqref>G14</xm:sqref>
        </x14:conditionalFormatting>
        <x14:conditionalFormatting xmlns:xm="http://schemas.microsoft.com/office/excel/2006/main">
          <x14:cfRule type="expression" priority="9" id="{D65B5651-C128-45EF-B241-869153A575DA}">
            <xm:f>IF($L$1="All",SUM('ANALYSIS TWO'!AF41:AF61),GETPIVOTDATA("Sum of ACTUAL (YTD)",'ANALYSIS TWO'!$A$38,"BRANCH",$N$1,"KPI","PBT"))&lt;0</xm:f>
            <x14:dxf>
              <font>
                <color rgb="FFFF0000"/>
              </font>
            </x14:dxf>
          </x14:cfRule>
          <x14:cfRule type="expression" priority="8" id="{EF94A9EE-FE02-4F87-BF22-18FFBDBF844D}">
            <xm:f>IF($L$1="All",SUM('ANALYSIS TWO'!AF41:AF61),GETPIVOTDATA("Sum of ACTUAL (YTD)",'ANALYSIS TWO'!$A$38,"BRANCH",$N$1,"KPI","PBT"))&gt;=0</xm:f>
            <x14:dxf/>
          </x14:cfRule>
          <xm:sqref>K14</xm:sqref>
        </x14:conditionalFormatting>
        <x14:conditionalFormatting xmlns:xm="http://schemas.microsoft.com/office/excel/2006/main">
          <x14:cfRule type="expression" priority="7" id="{7F7A54D3-EEDA-49D4-865E-DF45CBC37038}">
            <xm:f>IF($L$1="All",SUM('ANALYSIS TWO'!AG41:AG61),GETPIVOTDATA("Sum of BUDGET (YTD)",'ANALYSIS TWO'!$A$38,"BRANCH",$N$1,"KPI","PBT"))&lt;0</xm:f>
            <x14:dxf>
              <font>
                <color rgb="FFFF0000"/>
              </font>
            </x14:dxf>
          </x14:cfRule>
          <x14:cfRule type="expression" priority="6" id="{39656C84-CD5C-491F-B5C8-CABEC79A308A}">
            <xm:f>IF($L$1="All",SUM('ANALYSIS TWO'!AG41:AG61),GETPIVOTDATA("Sum of BUDGET (YTD)",'ANALYSIS TWO'!$A$38,"BRANCH",$N$1,"KPI","PBT"))&gt;=0</xm:f>
            <x14:dxf/>
          </x14:cfRule>
          <xm:sqref>L14</xm:sqref>
        </x14:conditionalFormatting>
        <x14:conditionalFormatting xmlns:xm="http://schemas.microsoft.com/office/excel/2006/main">
          <x14:cfRule type="expression" priority="5" id="{61EE2FB2-17EF-4642-B8C6-18BB0A277443}">
            <xm:f>IF($L$1="All",SUM('ANALYSIS TWO'!AE41:AE61),GETPIVOTDATA("Sum of BUDGET (MONTH)",'ANALYSIS TWO'!$A$38,"BRANCH",$N$1,"KPI","PBT"))&lt;0</xm:f>
            <x14:dxf>
              <font>
                <color rgb="FFFF0000"/>
              </font>
            </x14:dxf>
          </x14:cfRule>
          <x14:cfRule type="expression" priority="4" id="{A9ABEDA6-3E85-4FDE-9EFC-164B5622FC51}">
            <xm:f>IF($L$1="All",SUM('ANALYSIS TWO'!AE41:AE61),GETPIVOTDATA("Sum of BUDGET (MONTH)",'ANALYSIS TWO'!$A$38,"BRANCH",$N$1,"KPI","PBT"))&gt;=0</xm:f>
            <x14:dxf/>
          </x14:cfRule>
          <xm:sqref>H14</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31" workbookViewId="0">
      <selection activeCell="B10" sqref="B10"/>
    </sheetView>
  </sheetViews>
  <sheetFormatPr defaultRowHeight="15" x14ac:dyDescent="0.25"/>
  <cols>
    <col min="1" max="1" width="21.7109375" customWidth="1"/>
    <col min="2" max="2" width="19" customWidth="1"/>
    <col min="3" max="3" width="15" customWidth="1"/>
    <col min="4" max="4" width="19" customWidth="1"/>
    <col min="5" max="5" width="15" customWidth="1"/>
    <col min="6" max="7" width="10.140625" customWidth="1"/>
    <col min="8" max="8" width="19" customWidth="1"/>
    <col min="9" max="9" width="6.28515625" customWidth="1"/>
    <col min="10" max="10" width="7.28515625" customWidth="1"/>
    <col min="11" max="11" width="19.7109375" customWidth="1"/>
    <col min="12" max="12" width="20" customWidth="1"/>
    <col min="13" max="13" width="24" customWidth="1"/>
    <col min="14" max="14" width="8.42578125" customWidth="1"/>
    <col min="15" max="15" width="7.85546875" customWidth="1"/>
    <col min="16" max="16" width="17.85546875" customWidth="1"/>
    <col min="19" max="19" width="13.140625" customWidth="1"/>
    <col min="20" max="20" width="19" bestFit="1" customWidth="1"/>
    <col min="21" max="21" width="15" bestFit="1" customWidth="1"/>
    <col min="22" max="22" width="19" bestFit="1" customWidth="1"/>
  </cols>
  <sheetData>
    <row r="1" spans="1:20" x14ac:dyDescent="0.25">
      <c r="A1" s="12" t="s">
        <v>65</v>
      </c>
      <c r="O1" s="13" t="s">
        <v>66</v>
      </c>
      <c r="S1" s="12" t="s">
        <v>65</v>
      </c>
    </row>
    <row r="2" spans="1:20" x14ac:dyDescent="0.25">
      <c r="A2" s="12"/>
      <c r="O2" s="13"/>
      <c r="S2" s="7" t="s">
        <v>36</v>
      </c>
      <c r="T2" t="s">
        <v>64</v>
      </c>
    </row>
    <row r="3" spans="1:20" x14ac:dyDescent="0.25">
      <c r="A3" s="12"/>
      <c r="O3" s="7" t="s">
        <v>34</v>
      </c>
      <c r="P3" t="s">
        <v>63</v>
      </c>
      <c r="S3" s="12"/>
    </row>
    <row r="4" spans="1:20" x14ac:dyDescent="0.25">
      <c r="O4" s="7" t="s">
        <v>36</v>
      </c>
      <c r="P4" t="s">
        <v>95</v>
      </c>
      <c r="S4" s="7" t="s">
        <v>60</v>
      </c>
      <c r="T4" t="s">
        <v>61</v>
      </c>
    </row>
    <row r="5" spans="1:20" x14ac:dyDescent="0.25">
      <c r="S5" s="8" t="s">
        <v>64</v>
      </c>
      <c r="T5" s="11">
        <v>0</v>
      </c>
    </row>
    <row r="6" spans="1:20" x14ac:dyDescent="0.25">
      <c r="A6" s="7" t="s">
        <v>60</v>
      </c>
      <c r="B6" t="s">
        <v>61</v>
      </c>
      <c r="S6" s="8" t="s">
        <v>23</v>
      </c>
      <c r="T6" s="11">
        <v>0</v>
      </c>
    </row>
    <row r="7" spans="1:20" x14ac:dyDescent="0.25">
      <c r="A7" s="8" t="s">
        <v>26</v>
      </c>
      <c r="B7" s="11">
        <v>0</v>
      </c>
    </row>
    <row r="8" spans="1:20" x14ac:dyDescent="0.25">
      <c r="A8" s="8" t="s">
        <v>21</v>
      </c>
      <c r="B8" s="11">
        <v>0</v>
      </c>
    </row>
    <row r="9" spans="1:20" x14ac:dyDescent="0.25">
      <c r="A9" s="8" t="s">
        <v>29</v>
      </c>
      <c r="B9" s="11">
        <v>0</v>
      </c>
    </row>
    <row r="10" spans="1:20" x14ac:dyDescent="0.25">
      <c r="A10" s="8" t="s">
        <v>27</v>
      </c>
      <c r="B10" s="11">
        <v>0</v>
      </c>
    </row>
    <row r="11" spans="1:20" x14ac:dyDescent="0.25">
      <c r="A11" s="8" t="s">
        <v>30</v>
      </c>
      <c r="B11" s="11">
        <v>0</v>
      </c>
    </row>
    <row r="12" spans="1:20" x14ac:dyDescent="0.25">
      <c r="A12" s="8" t="s">
        <v>31</v>
      </c>
      <c r="B12" s="11">
        <v>0</v>
      </c>
    </row>
    <row r="13" spans="1:20" x14ac:dyDescent="0.25">
      <c r="A13" s="8" t="s">
        <v>32</v>
      </c>
      <c r="B13" s="11">
        <v>0</v>
      </c>
    </row>
    <row r="14" spans="1:20" x14ac:dyDescent="0.25">
      <c r="A14" s="8" t="s">
        <v>28</v>
      </c>
      <c r="B14" s="11">
        <v>0</v>
      </c>
    </row>
    <row r="15" spans="1:20" x14ac:dyDescent="0.25">
      <c r="A15" s="8" t="s">
        <v>64</v>
      </c>
      <c r="B15" s="11">
        <v>0</v>
      </c>
    </row>
    <row r="16" spans="1:20" x14ac:dyDescent="0.25">
      <c r="A16" s="8" t="s">
        <v>63</v>
      </c>
      <c r="B16" s="11">
        <v>0</v>
      </c>
    </row>
    <row r="17" spans="1:2" x14ac:dyDescent="0.25">
      <c r="A17" s="8" t="s">
        <v>23</v>
      </c>
      <c r="B17" s="11">
        <v>0</v>
      </c>
    </row>
    <row r="20" spans="1:2" x14ac:dyDescent="0.25">
      <c r="A20" s="13" t="s">
        <v>66</v>
      </c>
    </row>
    <row r="36" spans="1:13" x14ac:dyDescent="0.25">
      <c r="A36" s="7" t="s">
        <v>60</v>
      </c>
      <c r="B36" t="s">
        <v>61</v>
      </c>
      <c r="E36" s="10"/>
      <c r="F36" s="10"/>
      <c r="G36" s="10"/>
      <c r="H36" s="10"/>
      <c r="I36" s="10"/>
      <c r="J36" s="10"/>
      <c r="K36" s="10"/>
      <c r="L36" s="10"/>
      <c r="M36" s="10"/>
    </row>
    <row r="37" spans="1:13" x14ac:dyDescent="0.25">
      <c r="A37" s="8" t="s">
        <v>26</v>
      </c>
      <c r="B37" s="11">
        <v>0</v>
      </c>
      <c r="E37" s="11"/>
      <c r="F37" s="11"/>
      <c r="G37" s="11"/>
      <c r="H37" s="11"/>
      <c r="I37" s="11"/>
      <c r="J37" s="11"/>
      <c r="K37" s="11"/>
      <c r="L37" s="11"/>
      <c r="M37" s="11"/>
    </row>
    <row r="38" spans="1:13" x14ac:dyDescent="0.25">
      <c r="A38" s="8" t="s">
        <v>21</v>
      </c>
      <c r="B38" s="11">
        <v>0</v>
      </c>
      <c r="E38" s="11"/>
      <c r="F38" s="11"/>
      <c r="G38" s="11"/>
      <c r="H38" s="11"/>
      <c r="I38" s="11"/>
      <c r="J38" s="11"/>
      <c r="K38" s="11"/>
      <c r="L38" s="11"/>
      <c r="M38" s="11"/>
    </row>
    <row r="39" spans="1:13" x14ac:dyDescent="0.25">
      <c r="A39" s="8" t="s">
        <v>29</v>
      </c>
      <c r="B39" s="11">
        <v>0</v>
      </c>
      <c r="E39" s="11"/>
      <c r="F39" s="11"/>
      <c r="G39" s="11"/>
      <c r="H39" s="11"/>
      <c r="I39" s="11"/>
      <c r="J39" s="11"/>
      <c r="K39" s="11"/>
      <c r="L39" s="11"/>
      <c r="M39" s="11"/>
    </row>
    <row r="40" spans="1:13" x14ac:dyDescent="0.25">
      <c r="A40" s="8" t="s">
        <v>27</v>
      </c>
      <c r="B40" s="11">
        <v>0</v>
      </c>
      <c r="E40" s="11"/>
      <c r="F40" s="11"/>
      <c r="G40" s="11"/>
      <c r="H40" s="11"/>
      <c r="I40" s="11"/>
      <c r="J40" s="11"/>
      <c r="K40" s="11"/>
      <c r="L40" s="11"/>
      <c r="M40" s="11"/>
    </row>
    <row r="41" spans="1:13" x14ac:dyDescent="0.25">
      <c r="A41" s="8" t="s">
        <v>30</v>
      </c>
      <c r="B41" s="11">
        <v>0</v>
      </c>
      <c r="E41" s="11"/>
      <c r="F41" s="11"/>
      <c r="G41" s="11"/>
      <c r="H41" s="11"/>
      <c r="I41" s="11"/>
      <c r="J41" s="11"/>
      <c r="K41" s="11"/>
      <c r="L41" s="11"/>
      <c r="M41" s="11"/>
    </row>
    <row r="42" spans="1:13" x14ac:dyDescent="0.25">
      <c r="A42" s="8" t="s">
        <v>31</v>
      </c>
      <c r="B42" s="11">
        <v>0</v>
      </c>
      <c r="E42" s="11"/>
      <c r="F42" s="11"/>
      <c r="G42" s="11"/>
      <c r="H42" s="11"/>
      <c r="I42" s="11"/>
      <c r="J42" s="11"/>
      <c r="K42" s="11"/>
      <c r="L42" s="11"/>
      <c r="M42" s="11"/>
    </row>
    <row r="43" spans="1:13" x14ac:dyDescent="0.25">
      <c r="A43" s="8" t="s">
        <v>32</v>
      </c>
      <c r="B43" s="11">
        <v>0</v>
      </c>
      <c r="E43" s="11"/>
      <c r="F43" s="11"/>
      <c r="G43" s="11"/>
      <c r="H43" s="11"/>
      <c r="I43" s="11"/>
      <c r="J43" s="11"/>
      <c r="K43" s="11"/>
      <c r="L43" s="11"/>
      <c r="M43" s="11"/>
    </row>
    <row r="44" spans="1:13" x14ac:dyDescent="0.25">
      <c r="A44" s="8" t="s">
        <v>28</v>
      </c>
      <c r="B44" s="11">
        <v>0</v>
      </c>
      <c r="E44" s="11"/>
      <c r="F44" s="11"/>
      <c r="G44" s="11"/>
      <c r="H44" s="11"/>
      <c r="I44" s="11"/>
      <c r="J44" s="11"/>
      <c r="K44" s="11"/>
      <c r="L44" s="11"/>
      <c r="M44" s="11"/>
    </row>
    <row r="45" spans="1:13" x14ac:dyDescent="0.25">
      <c r="A45" s="8" t="s">
        <v>64</v>
      </c>
      <c r="B45" s="11">
        <v>0</v>
      </c>
      <c r="E45" s="11"/>
      <c r="F45" s="11"/>
      <c r="G45" s="11"/>
      <c r="H45" s="11"/>
      <c r="I45" s="11"/>
      <c r="J45" s="11"/>
      <c r="K45" s="11"/>
      <c r="L45" s="11"/>
      <c r="M45" s="11"/>
    </row>
    <row r="46" spans="1:13" x14ac:dyDescent="0.25">
      <c r="A46" s="8" t="s">
        <v>63</v>
      </c>
      <c r="B46" s="11">
        <v>0</v>
      </c>
      <c r="E46" s="11"/>
      <c r="F46" s="11"/>
      <c r="G46" s="11"/>
      <c r="H46" s="11"/>
      <c r="I46" s="11"/>
      <c r="J46" s="11"/>
      <c r="K46" s="11"/>
      <c r="L46" s="11"/>
      <c r="M46" s="11"/>
    </row>
    <row r="47" spans="1:13" x14ac:dyDescent="0.25">
      <c r="A47" s="8" t="s">
        <v>23</v>
      </c>
      <c r="B47" s="11">
        <v>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44"/>
  <sheetViews>
    <sheetView showGridLines="0" zoomScale="70" zoomScaleNormal="70" workbookViewId="0">
      <selection activeCell="K1" sqref="K1"/>
    </sheetView>
  </sheetViews>
  <sheetFormatPr defaultColWidth="9.140625" defaultRowHeight="15" x14ac:dyDescent="0.25"/>
  <cols>
    <col min="1" max="1" width="9.140625" style="15" customWidth="1"/>
    <col min="2" max="2" width="10.140625" style="15" customWidth="1"/>
    <col min="3" max="3" width="4.140625" style="15" customWidth="1"/>
    <col min="4" max="4" width="29.140625" style="15" customWidth="1"/>
    <col min="5" max="5" width="30.5703125" style="15" bestFit="1" customWidth="1"/>
    <col min="6" max="6" width="25.5703125" style="15" customWidth="1"/>
    <col min="7" max="7" width="18.7109375" style="15" customWidth="1"/>
    <col min="8" max="8" width="3.7109375" style="15" customWidth="1"/>
    <col min="9" max="9" width="25.140625" style="15" customWidth="1"/>
    <col min="10" max="10" width="24.140625" style="15" customWidth="1"/>
    <col min="11" max="11" width="22" style="15" customWidth="1"/>
    <col min="12" max="12" width="10.5703125" style="15" customWidth="1"/>
    <col min="13" max="13" width="28.28515625" style="15" customWidth="1"/>
    <col min="14" max="16384" width="9.140625" style="15"/>
  </cols>
  <sheetData>
    <row r="1" spans="3:14" ht="21" x14ac:dyDescent="0.35">
      <c r="K1" s="42" t="str">
        <f>'HELPER CELL'!F2</f>
        <v>CUMULATIVE DEPOSITS</v>
      </c>
    </row>
    <row r="2" spans="3:14" x14ac:dyDescent="0.25">
      <c r="N2" s="40" t="str">
        <f>'HELPER CELL'!H4</f>
        <v>JAN</v>
      </c>
    </row>
    <row r="4" spans="3:14" ht="29.25" customHeight="1" x14ac:dyDescent="0.25"/>
    <row r="5" spans="3:14" ht="32.25" customHeight="1" x14ac:dyDescent="0.25">
      <c r="D5" s="55"/>
      <c r="E5" s="55"/>
      <c r="F5" s="55"/>
      <c r="G5" s="73"/>
    </row>
    <row r="6" spans="3:14" ht="34.5" customHeight="1" x14ac:dyDescent="0.35">
      <c r="C6" s="54"/>
      <c r="D6" s="78" t="s">
        <v>113</v>
      </c>
      <c r="E6" s="79" t="s">
        <v>114</v>
      </c>
      <c r="F6" s="80" t="s">
        <v>62</v>
      </c>
      <c r="G6" s="73"/>
      <c r="H6" s="73"/>
      <c r="I6" s="73"/>
    </row>
    <row r="7" spans="3:14" ht="39" customHeight="1" x14ac:dyDescent="0.35">
      <c r="C7" s="54"/>
      <c r="D7" s="77" t="e">
        <f>GETPIVOTDATA("Sum of ACTUAL (YTD)",'ANALYSIS TWO'!$A$3,"KPI",$K$1,"MONTH","AUG")</f>
        <v>#REF!</v>
      </c>
      <c r="E7" s="76" t="e">
        <f>GETPIVOTDATA("Sum of BUDGET (YTD)",'ANALYSIS TWO'!$A$3,"KPI",$K$1,"MONTH","AUG")</f>
        <v>#REF!</v>
      </c>
      <c r="F7" s="75" t="e">
        <f>TEXT((D7-E7)/E7, "0.0%") &amp; " " &amp; IF(D7&gt;=E7, "▲", "▼")</f>
        <v>#REF!</v>
      </c>
      <c r="G7" s="73"/>
      <c r="H7" s="73"/>
      <c r="I7" s="73"/>
    </row>
    <row r="8" spans="3:14" ht="15" customHeight="1" thickBot="1" x14ac:dyDescent="0.35">
      <c r="D8" s="50"/>
      <c r="E8" s="52"/>
      <c r="F8" s="51"/>
      <c r="G8" s="53"/>
    </row>
    <row r="9" spans="3:14" ht="27.75" customHeight="1" thickBot="1" x14ac:dyDescent="0.4">
      <c r="D9" s="66" t="s">
        <v>19</v>
      </c>
      <c r="E9" s="67" t="s">
        <v>111</v>
      </c>
      <c r="F9" s="67" t="s">
        <v>112</v>
      </c>
      <c r="G9" s="68" t="s">
        <v>62</v>
      </c>
      <c r="H9" s="29"/>
      <c r="I9" s="70" t="s">
        <v>109</v>
      </c>
      <c r="J9" s="71" t="s">
        <v>110</v>
      </c>
      <c r="K9" s="72" t="s">
        <v>62</v>
      </c>
    </row>
    <row r="10" spans="3:14" ht="24.75" customHeight="1" x14ac:dyDescent="0.3">
      <c r="D10" s="64" t="s">
        <v>4</v>
      </c>
      <c r="E10" s="59">
        <f>GETPIVOTDATA("Sum of ACTUAL (MONTH)",'executive pivot'!$A$3,"BRANCH",'EXECUTIVE DASHBOARD'!$D10,"KPI",'EXECUTIVE DASHBOARD'!$K$1,"MONTH",'EXECUTIVE DASHBOARD'!$N$2)</f>
        <v>0</v>
      </c>
      <c r="F10" s="59">
        <f>GETPIVOTDATA("Sum of BUDGET (MONTH)",'executive pivot'!$A$3,"BRANCH",'EXECUTIVE DASHBOARD'!$D10,"KPI",'EXECUTIVE DASHBOARD'!$K$1,"MONTH",'EXECUTIVE DASHBOARD'!$N$2)</f>
        <v>0</v>
      </c>
      <c r="G10" s="65" t="e">
        <f t="shared" ref="G10:G31" si="0">TEXT((E10-F10)/F10, "0.0%") &amp; " " &amp; IF(E10&gt;=F10, "▲", "▼")</f>
        <v>#DIV/0!</v>
      </c>
      <c r="I10" s="69">
        <f>GETPIVOTDATA("Sum of ACTUAL (YTD)",'executive pivot'!$A$3,"BRANCH",'EXECUTIVE DASHBOARD'!$D10,"KPI",'EXECUTIVE DASHBOARD'!$K$1,"MONTH",'EXECUTIVE DASHBOARD'!$N$2)</f>
        <v>710794.65633999999</v>
      </c>
      <c r="J10" s="59">
        <f>GETPIVOTDATA("Sum of BUDGET (YTD)",'executive pivot'!$A$3,"BRANCH",'EXECUTIVE DASHBOARD'!$D10,"KPI",'EXECUTIVE DASHBOARD'!$K$1,"MONTH",'EXECUTIVE DASHBOARD'!$N$2)</f>
        <v>739221.22167</v>
      </c>
      <c r="K10" s="65" t="str">
        <f t="shared" ref="K10:K31" si="1">TEXT((I10-J10)/J10, "0.0%") &amp; " " &amp; IF(I10&gt;=J10, "▲", "▼")</f>
        <v>-3.8% ▼</v>
      </c>
    </row>
    <row r="11" spans="3:14" ht="24.75" customHeight="1" x14ac:dyDescent="0.3">
      <c r="D11" s="60" t="s">
        <v>18</v>
      </c>
      <c r="E11" s="30">
        <f>GETPIVOTDATA("Sum of ACTUAL (MONTH)",'executive pivot'!$A$3,"BRANCH",'EXECUTIVE DASHBOARD'!$D11,"KPI",'EXECUTIVE DASHBOARD'!$K$1,"MONTH",'EXECUTIVE DASHBOARD'!$N$2)</f>
        <v>0</v>
      </c>
      <c r="F11" s="30">
        <f>GETPIVOTDATA("Sum of BUDGET (MONTH)",'executive pivot'!$A$3,"BRANCH",'EXECUTIVE DASHBOARD'!$D11,"KPI",'EXECUTIVE DASHBOARD'!$K$1,"MONTH",'EXECUTIVE DASHBOARD'!$N$2)</f>
        <v>0</v>
      </c>
      <c r="G11" s="61" t="e">
        <f t="shared" si="0"/>
        <v>#DIV/0!</v>
      </c>
      <c r="I11" s="62">
        <f>GETPIVOTDATA("Sum of ACTUAL (YTD)",'executive pivot'!$A$3,"BRANCH",'EXECUTIVE DASHBOARD'!$D11,"KPI",'EXECUTIVE DASHBOARD'!$K$1,"MONTH",'EXECUTIVE DASHBOARD'!$N$2)</f>
        <v>0</v>
      </c>
      <c r="J11" s="30">
        <f>GETPIVOTDATA("Sum of BUDGET (YTD)",'executive pivot'!$A$3,"BRANCH",'EXECUTIVE DASHBOARD'!$D11,"KPI",'EXECUTIVE DASHBOARD'!$K$1,"MONTH",'EXECUTIVE DASHBOARD'!$N$2)</f>
        <v>0</v>
      </c>
      <c r="K11" s="61" t="e">
        <f t="shared" si="1"/>
        <v>#DIV/0!</v>
      </c>
    </row>
    <row r="12" spans="3:14" ht="24.75" customHeight="1" x14ac:dyDescent="0.3">
      <c r="D12" s="60" t="s">
        <v>24</v>
      </c>
      <c r="E12" s="30">
        <f>GETPIVOTDATA("Sum of ACTUAL (MONTH)",'executive pivot'!$A$3,"BRANCH",'EXECUTIVE DASHBOARD'!$D12,"KPI",'EXECUTIVE DASHBOARD'!$K$1,"MONTH",'EXECUTIVE DASHBOARD'!$N$2)</f>
        <v>0</v>
      </c>
      <c r="F12" s="30">
        <f>GETPIVOTDATA("Sum of BUDGET (MONTH)",'executive pivot'!$A$3,"BRANCH",'EXECUTIVE DASHBOARD'!$D12,"KPI",'EXECUTIVE DASHBOARD'!$K$1,"MONTH",'EXECUTIVE DASHBOARD'!$N$2)</f>
        <v>0</v>
      </c>
      <c r="G12" s="61" t="e">
        <f t="shared" si="0"/>
        <v>#DIV/0!</v>
      </c>
      <c r="I12" s="62">
        <f>GETPIVOTDATA("Sum of ACTUAL (YTD)",'executive pivot'!$A$3,"BRANCH",'EXECUTIVE DASHBOARD'!$D12,"KPI",'EXECUTIVE DASHBOARD'!$K$1,"MONTH",'EXECUTIVE DASHBOARD'!$N$2)</f>
        <v>616.16770999999994</v>
      </c>
      <c r="J12" s="30">
        <f>GETPIVOTDATA("Sum of BUDGET (YTD)",'executive pivot'!$A$3,"BRANCH",'EXECUTIVE DASHBOARD'!$D12,"KPI",'EXECUTIVE DASHBOARD'!$K$1,"MONTH",'EXECUTIVE DASHBOARD'!$N$2)</f>
        <v>674.43843000000004</v>
      </c>
      <c r="K12" s="61" t="str">
        <f t="shared" si="1"/>
        <v>-8.6% ▼</v>
      </c>
    </row>
    <row r="13" spans="3:14" ht="24.75" customHeight="1" x14ac:dyDescent="0.3">
      <c r="D13" s="60" t="s">
        <v>17</v>
      </c>
      <c r="E13" s="30">
        <f>GETPIVOTDATA("Sum of ACTUAL (MONTH)",'executive pivot'!$A$3,"BRANCH",'EXECUTIVE DASHBOARD'!$D13,"KPI",'EXECUTIVE DASHBOARD'!$K$1,"MONTH",'EXECUTIVE DASHBOARD'!$N$2)</f>
        <v>0</v>
      </c>
      <c r="F13" s="30">
        <f>GETPIVOTDATA("Sum of BUDGET (MONTH)",'executive pivot'!$A$3,"BRANCH",'EXECUTIVE DASHBOARD'!$D13,"KPI",'EXECUTIVE DASHBOARD'!$K$1,"MONTH",'EXECUTIVE DASHBOARD'!$N$2)</f>
        <v>0</v>
      </c>
      <c r="G13" s="61" t="e">
        <f t="shared" si="0"/>
        <v>#DIV/0!</v>
      </c>
      <c r="I13" s="62">
        <f>GETPIVOTDATA("Sum of ACTUAL (YTD)",'executive pivot'!$A$3,"BRANCH",'EXECUTIVE DASHBOARD'!$D13,"KPI",'EXECUTIVE DASHBOARD'!$K$1,"MONTH",'EXECUTIVE DASHBOARD'!$N$2)</f>
        <v>214661.26768000008</v>
      </c>
      <c r="J13" s="30">
        <f>GETPIVOTDATA("Sum of BUDGET (YTD)",'executive pivot'!$A$3,"BRANCH",'EXECUTIVE DASHBOARD'!$D13,"KPI",'EXECUTIVE DASHBOARD'!$K$1,"MONTH",'EXECUTIVE DASHBOARD'!$N$2)</f>
        <v>202120.04613999999</v>
      </c>
      <c r="K13" s="61" t="str">
        <f t="shared" si="1"/>
        <v>6.2% ▲</v>
      </c>
    </row>
    <row r="14" spans="3:14" ht="24.75" customHeight="1" x14ac:dyDescent="0.3">
      <c r="D14" s="60" t="s">
        <v>6</v>
      </c>
      <c r="E14" s="30">
        <f>GETPIVOTDATA("Sum of ACTUAL (MONTH)",'executive pivot'!$A$3,"BRANCH",'EXECUTIVE DASHBOARD'!$D14,"KPI",'EXECUTIVE DASHBOARD'!$K$1,"MONTH",'EXECUTIVE DASHBOARD'!$N$2)</f>
        <v>0</v>
      </c>
      <c r="F14" s="30">
        <f>GETPIVOTDATA("Sum of BUDGET (MONTH)",'executive pivot'!$A$3,"BRANCH",'EXECUTIVE DASHBOARD'!$D14,"KPI",'EXECUTIVE DASHBOARD'!$K$1,"MONTH",'EXECUTIVE DASHBOARD'!$N$2)</f>
        <v>0</v>
      </c>
      <c r="G14" s="61" t="e">
        <f t="shared" si="0"/>
        <v>#DIV/0!</v>
      </c>
      <c r="I14" s="62">
        <f>GETPIVOTDATA("Sum of ACTUAL (YTD)",'executive pivot'!$A$3,"BRANCH",'EXECUTIVE DASHBOARD'!$D14,"KPI",'EXECUTIVE DASHBOARD'!$K$1,"MONTH",'EXECUTIVE DASHBOARD'!$N$2)</f>
        <v>38350.502150000008</v>
      </c>
      <c r="J14" s="30">
        <f>GETPIVOTDATA("Sum of BUDGET (YTD)",'executive pivot'!$A$3,"BRANCH",'EXECUTIVE DASHBOARD'!$D14,"KPI",'EXECUTIVE DASHBOARD'!$K$1,"MONTH",'EXECUTIVE DASHBOARD'!$N$2)</f>
        <v>67389.32862</v>
      </c>
      <c r="K14" s="61" t="str">
        <f t="shared" si="1"/>
        <v>-43.1% ▼</v>
      </c>
    </row>
    <row r="15" spans="3:14" ht="24.75" customHeight="1" x14ac:dyDescent="0.3">
      <c r="D15" s="60" t="s">
        <v>10</v>
      </c>
      <c r="E15" s="30">
        <f>GETPIVOTDATA("Sum of ACTUAL (MONTH)",'executive pivot'!$A$3,"BRANCH",'EXECUTIVE DASHBOARD'!$D15,"KPI",'EXECUTIVE DASHBOARD'!$K$1,"MONTH",'EXECUTIVE DASHBOARD'!$N$2)</f>
        <v>0</v>
      </c>
      <c r="F15" s="30">
        <f>GETPIVOTDATA("Sum of BUDGET (MONTH)",'executive pivot'!$A$3,"BRANCH",'EXECUTIVE DASHBOARD'!$D15,"KPI",'EXECUTIVE DASHBOARD'!$K$1,"MONTH",'EXECUTIVE DASHBOARD'!$N$2)</f>
        <v>0</v>
      </c>
      <c r="G15" s="61" t="e">
        <f t="shared" si="0"/>
        <v>#DIV/0!</v>
      </c>
      <c r="I15" s="62">
        <f>GETPIVOTDATA("Sum of ACTUAL (YTD)",'executive pivot'!$A$3,"BRANCH",'EXECUTIVE DASHBOARD'!$D15,"KPI",'EXECUTIVE DASHBOARD'!$K$1,"MONTH",'EXECUTIVE DASHBOARD'!$N$2)</f>
        <v>58486.927979999993</v>
      </c>
      <c r="J15" s="30">
        <f>GETPIVOTDATA("Sum of BUDGET (YTD)",'executive pivot'!$A$3,"BRANCH",'EXECUTIVE DASHBOARD'!$D15,"KPI",'EXECUTIVE DASHBOARD'!$K$1,"MONTH",'EXECUTIVE DASHBOARD'!$N$2)</f>
        <v>73546.064790000004</v>
      </c>
      <c r="K15" s="61" t="str">
        <f t="shared" si="1"/>
        <v>-20.5% ▼</v>
      </c>
    </row>
    <row r="16" spans="3:14" ht="24.75" customHeight="1" x14ac:dyDescent="0.3">
      <c r="D16" s="60" t="s">
        <v>7</v>
      </c>
      <c r="E16" s="30">
        <f>GETPIVOTDATA("Sum of ACTUAL (MONTH)",'executive pivot'!$A$3,"BRANCH",'EXECUTIVE DASHBOARD'!$D16,"KPI",'EXECUTIVE DASHBOARD'!$K$1,"MONTH",'EXECUTIVE DASHBOARD'!$N$2)</f>
        <v>0</v>
      </c>
      <c r="F16" s="30">
        <f>GETPIVOTDATA("Sum of BUDGET (MONTH)",'executive pivot'!$A$3,"BRANCH",'EXECUTIVE DASHBOARD'!$D16,"KPI",'EXECUTIVE DASHBOARD'!$K$1,"MONTH",'EXECUTIVE DASHBOARD'!$N$2)</f>
        <v>0</v>
      </c>
      <c r="G16" s="61" t="e">
        <f t="shared" si="0"/>
        <v>#DIV/0!</v>
      </c>
      <c r="I16" s="62">
        <f>GETPIVOTDATA("Sum of ACTUAL (YTD)",'executive pivot'!$A$3,"BRANCH",'EXECUTIVE DASHBOARD'!$D16,"KPI",'EXECUTIVE DASHBOARD'!$K$1,"MONTH",'EXECUTIVE DASHBOARD'!$N$2)</f>
        <v>31098.905369999986</v>
      </c>
      <c r="J16" s="30">
        <f>GETPIVOTDATA("Sum of BUDGET (YTD)",'executive pivot'!$A$3,"BRANCH",'EXECUTIVE DASHBOARD'!$D16,"KPI",'EXECUTIVE DASHBOARD'!$K$1,"MONTH",'EXECUTIVE DASHBOARD'!$N$2)</f>
        <v>37323.354439999996</v>
      </c>
      <c r="K16" s="61" t="str">
        <f t="shared" si="1"/>
        <v>-16.7% ▼</v>
      </c>
    </row>
    <row r="17" spans="4:11" ht="24.75" customHeight="1" x14ac:dyDescent="0.3">
      <c r="D17" s="60" t="s">
        <v>2</v>
      </c>
      <c r="E17" s="30">
        <f>GETPIVOTDATA("Sum of ACTUAL (MONTH)",'executive pivot'!$A$3,"BRANCH",'EXECUTIVE DASHBOARD'!$D17,"KPI",'EXECUTIVE DASHBOARD'!$K$1,"MONTH",'EXECUTIVE DASHBOARD'!$N$2)</f>
        <v>0</v>
      </c>
      <c r="F17" s="30">
        <f>GETPIVOTDATA("Sum of BUDGET (MONTH)",'executive pivot'!$A$3,"BRANCH",'EXECUTIVE DASHBOARD'!$D17,"KPI",'EXECUTIVE DASHBOARD'!$K$1,"MONTH",'EXECUTIVE DASHBOARD'!$N$2)</f>
        <v>0</v>
      </c>
      <c r="G17" s="61" t="e">
        <f t="shared" si="0"/>
        <v>#DIV/0!</v>
      </c>
      <c r="I17" s="62">
        <f>GETPIVOTDATA("Sum of ACTUAL (YTD)",'executive pivot'!$A$3,"BRANCH",'EXECUTIVE DASHBOARD'!$D17,"KPI",'EXECUTIVE DASHBOARD'!$K$1,"MONTH",'EXECUTIVE DASHBOARD'!$N$2)</f>
        <v>345803.53441000002</v>
      </c>
      <c r="J17" s="30">
        <f>GETPIVOTDATA("Sum of BUDGET (YTD)",'executive pivot'!$A$3,"BRANCH",'EXECUTIVE DASHBOARD'!$D17,"KPI",'EXECUTIVE DASHBOARD'!$K$1,"MONTH",'EXECUTIVE DASHBOARD'!$N$2)</f>
        <v>357991.26302999997</v>
      </c>
      <c r="K17" s="61" t="str">
        <f t="shared" si="1"/>
        <v>-3.4% ▼</v>
      </c>
    </row>
    <row r="18" spans="4:11" ht="24.75" customHeight="1" x14ac:dyDescent="0.3">
      <c r="D18" s="60" t="s">
        <v>11</v>
      </c>
      <c r="E18" s="30">
        <f>GETPIVOTDATA("Sum of ACTUAL (MONTH)",'executive pivot'!$A$3,"BRANCH",'EXECUTIVE DASHBOARD'!$D18,"KPI",'EXECUTIVE DASHBOARD'!$K$1,"MONTH",'EXECUTIVE DASHBOARD'!$N$2)</f>
        <v>0</v>
      </c>
      <c r="F18" s="30">
        <f>GETPIVOTDATA("Sum of BUDGET (MONTH)",'executive pivot'!$A$3,"BRANCH",'EXECUTIVE DASHBOARD'!$D18,"KPI",'EXECUTIVE DASHBOARD'!$K$1,"MONTH",'EXECUTIVE DASHBOARD'!$N$2)</f>
        <v>0</v>
      </c>
      <c r="G18" s="61" t="e">
        <f t="shared" si="0"/>
        <v>#DIV/0!</v>
      </c>
      <c r="I18" s="62">
        <f>GETPIVOTDATA("Sum of ACTUAL (YTD)",'executive pivot'!$A$3,"BRANCH",'EXECUTIVE DASHBOARD'!$D18,"KPI",'EXECUTIVE DASHBOARD'!$K$1,"MONTH",'EXECUTIVE DASHBOARD'!$N$2)</f>
        <v>51349.256410000009</v>
      </c>
      <c r="J18" s="30">
        <f>GETPIVOTDATA("Sum of BUDGET (YTD)",'executive pivot'!$A$3,"BRANCH",'EXECUTIVE DASHBOARD'!$D18,"KPI",'EXECUTIVE DASHBOARD'!$K$1,"MONTH",'EXECUTIVE DASHBOARD'!$N$2)</f>
        <v>57553.62846</v>
      </c>
      <c r="K18" s="61" t="str">
        <f t="shared" si="1"/>
        <v>-10.8% ▼</v>
      </c>
    </row>
    <row r="19" spans="4:11" ht="24.75" customHeight="1" x14ac:dyDescent="0.3">
      <c r="D19" s="60" t="s">
        <v>12</v>
      </c>
      <c r="E19" s="30">
        <f>GETPIVOTDATA("Sum of ACTUAL (MONTH)",'executive pivot'!$A$3,"BRANCH",'EXECUTIVE DASHBOARD'!$D19,"KPI",'EXECUTIVE DASHBOARD'!$K$1,"MONTH",'EXECUTIVE DASHBOARD'!$N$2)</f>
        <v>0</v>
      </c>
      <c r="F19" s="30">
        <f>GETPIVOTDATA("Sum of BUDGET (MONTH)",'executive pivot'!$A$3,"BRANCH",'EXECUTIVE DASHBOARD'!$D19,"KPI",'EXECUTIVE DASHBOARD'!$K$1,"MONTH",'EXECUTIVE DASHBOARD'!$N$2)</f>
        <v>0</v>
      </c>
      <c r="G19" s="61" t="e">
        <f t="shared" si="0"/>
        <v>#DIV/0!</v>
      </c>
      <c r="I19" s="62">
        <f>GETPIVOTDATA("Sum of ACTUAL (YTD)",'executive pivot'!$A$3,"BRANCH",'EXECUTIVE DASHBOARD'!$D19,"KPI",'EXECUTIVE DASHBOARD'!$K$1,"MONTH",'EXECUTIVE DASHBOARD'!$N$2)</f>
        <v>23463.33273999998</v>
      </c>
      <c r="J19" s="30">
        <f>GETPIVOTDATA("Sum of BUDGET (YTD)",'executive pivot'!$A$3,"BRANCH",'EXECUTIVE DASHBOARD'!$D19,"KPI",'EXECUTIVE DASHBOARD'!$K$1,"MONTH",'EXECUTIVE DASHBOARD'!$N$2)</f>
        <v>42503.889860000003</v>
      </c>
      <c r="K19" s="61" t="str">
        <f t="shared" si="1"/>
        <v>-44.8% ▼</v>
      </c>
    </row>
    <row r="20" spans="4:11" ht="24.75" customHeight="1" x14ac:dyDescent="0.3">
      <c r="D20" s="60" t="s">
        <v>14</v>
      </c>
      <c r="E20" s="30">
        <f>GETPIVOTDATA("Sum of ACTUAL (MONTH)",'executive pivot'!$A$3,"BRANCH",'EXECUTIVE DASHBOARD'!$D20,"KPI",'EXECUTIVE DASHBOARD'!$K$1,"MONTH",'EXECUTIVE DASHBOARD'!$N$2)</f>
        <v>0</v>
      </c>
      <c r="F20" s="30">
        <f>GETPIVOTDATA("Sum of BUDGET (MONTH)",'executive pivot'!$A$3,"BRANCH",'EXECUTIVE DASHBOARD'!$D20,"KPI",'EXECUTIVE DASHBOARD'!$K$1,"MONTH",'EXECUTIVE DASHBOARD'!$N$2)</f>
        <v>0</v>
      </c>
      <c r="G20" s="61" t="e">
        <f t="shared" si="0"/>
        <v>#DIV/0!</v>
      </c>
      <c r="I20" s="62">
        <f>GETPIVOTDATA("Sum of ACTUAL (YTD)",'executive pivot'!$A$3,"BRANCH",'EXECUTIVE DASHBOARD'!$D20,"KPI",'EXECUTIVE DASHBOARD'!$K$1,"MONTH",'EXECUTIVE DASHBOARD'!$N$2)</f>
        <v>30146.890130000003</v>
      </c>
      <c r="J20" s="30">
        <f>GETPIVOTDATA("Sum of BUDGET (YTD)",'executive pivot'!$A$3,"BRANCH",'EXECUTIVE DASHBOARD'!$D20,"KPI",'EXECUTIVE DASHBOARD'!$K$1,"MONTH",'EXECUTIVE DASHBOARD'!$N$2)</f>
        <v>22579.575420000001</v>
      </c>
      <c r="K20" s="61" t="str">
        <f t="shared" si="1"/>
        <v>33.5% ▲</v>
      </c>
    </row>
    <row r="21" spans="4:11" ht="24.75" customHeight="1" x14ac:dyDescent="0.3">
      <c r="D21" s="60" t="s">
        <v>5</v>
      </c>
      <c r="E21" s="30">
        <f>GETPIVOTDATA("Sum of ACTUAL (MONTH)",'executive pivot'!$A$3,"BRANCH",'EXECUTIVE DASHBOARD'!$D21,"KPI",'EXECUTIVE DASHBOARD'!$K$1,"MONTH",'EXECUTIVE DASHBOARD'!$N$2)</f>
        <v>0</v>
      </c>
      <c r="F21" s="30">
        <f>GETPIVOTDATA("Sum of BUDGET (MONTH)",'executive pivot'!$A$3,"BRANCH",'EXECUTIVE DASHBOARD'!$D21,"KPI",'EXECUTIVE DASHBOARD'!$K$1,"MONTH",'EXECUTIVE DASHBOARD'!$N$2)</f>
        <v>0</v>
      </c>
      <c r="G21" s="61" t="e">
        <f t="shared" si="0"/>
        <v>#DIV/0!</v>
      </c>
      <c r="I21" s="62">
        <f>GETPIVOTDATA("Sum of ACTUAL (YTD)",'executive pivot'!$A$3,"BRANCH",'EXECUTIVE DASHBOARD'!$D21,"KPI",'EXECUTIVE DASHBOARD'!$K$1,"MONTH",'EXECUTIVE DASHBOARD'!$N$2)</f>
        <v>27313.198839999997</v>
      </c>
      <c r="J21" s="30">
        <f>GETPIVOTDATA("Sum of BUDGET (YTD)",'executive pivot'!$A$3,"BRANCH",'EXECUTIVE DASHBOARD'!$D21,"KPI",'EXECUTIVE DASHBOARD'!$K$1,"MONTH",'EXECUTIVE DASHBOARD'!$N$2)</f>
        <v>35846.09966</v>
      </c>
      <c r="K21" s="61" t="str">
        <f t="shared" si="1"/>
        <v>-23.8% ▼</v>
      </c>
    </row>
    <row r="22" spans="4:11" ht="24.75" customHeight="1" x14ac:dyDescent="0.3">
      <c r="D22" s="60" t="s">
        <v>22</v>
      </c>
      <c r="E22" s="30">
        <f>GETPIVOTDATA("Sum of ACTUAL (MONTH)",'executive pivot'!$A$3,"BRANCH",'EXECUTIVE DASHBOARD'!$D22,"KPI",'EXECUTIVE DASHBOARD'!$K$1,"MONTH",'EXECUTIVE DASHBOARD'!$N$2)</f>
        <v>0</v>
      </c>
      <c r="F22" s="30">
        <f>GETPIVOTDATA("Sum of BUDGET (MONTH)",'executive pivot'!$A$3,"BRANCH",'EXECUTIVE DASHBOARD'!$D22,"KPI",'EXECUTIVE DASHBOARD'!$K$1,"MONTH",'EXECUTIVE DASHBOARD'!$N$2)</f>
        <v>0</v>
      </c>
      <c r="G22" s="61" t="e">
        <f t="shared" si="0"/>
        <v>#DIV/0!</v>
      </c>
      <c r="I22" s="62">
        <f>GETPIVOTDATA("Sum of ACTUAL (YTD)",'executive pivot'!$A$3,"BRANCH",'EXECUTIVE DASHBOARD'!$D22,"KPI",'EXECUTIVE DASHBOARD'!$K$1,"MONTH",'EXECUTIVE DASHBOARD'!$N$2)</f>
        <v>146151.27210999999</v>
      </c>
      <c r="J22" s="30">
        <f>GETPIVOTDATA("Sum of BUDGET (YTD)",'executive pivot'!$A$3,"BRANCH",'EXECUTIVE DASHBOARD'!$D22,"KPI",'EXECUTIVE DASHBOARD'!$K$1,"MONTH",'EXECUTIVE DASHBOARD'!$N$2)</f>
        <v>184537.62156</v>
      </c>
      <c r="K22" s="61" t="str">
        <f t="shared" si="1"/>
        <v>-20.8% ▼</v>
      </c>
    </row>
    <row r="23" spans="4:11" ht="24.75" customHeight="1" x14ac:dyDescent="0.3">
      <c r="D23" s="60" t="s">
        <v>1</v>
      </c>
      <c r="E23" s="30">
        <f>GETPIVOTDATA("Sum of ACTUAL (MONTH)",'executive pivot'!$A$3,"BRANCH",'EXECUTIVE DASHBOARD'!$D23,"KPI",'EXECUTIVE DASHBOARD'!$K$1,"MONTH",'EXECUTIVE DASHBOARD'!$N$2)</f>
        <v>0</v>
      </c>
      <c r="F23" s="30">
        <f>GETPIVOTDATA("Sum of BUDGET (MONTH)",'executive pivot'!$A$3,"BRANCH",'EXECUTIVE DASHBOARD'!$D23,"KPI",'EXECUTIVE DASHBOARD'!$K$1,"MONTH",'EXECUTIVE DASHBOARD'!$N$2)</f>
        <v>0</v>
      </c>
      <c r="G23" s="61" t="e">
        <f t="shared" si="0"/>
        <v>#DIV/0!</v>
      </c>
      <c r="I23" s="62">
        <f>GETPIVOTDATA("Sum of ACTUAL (YTD)",'executive pivot'!$A$3,"BRANCH",'EXECUTIVE DASHBOARD'!$D23,"KPI",'EXECUTIVE DASHBOARD'!$K$1,"MONTH",'EXECUTIVE DASHBOARD'!$N$2)</f>
        <v>230343.87351999999</v>
      </c>
      <c r="J23" s="30">
        <f>GETPIVOTDATA("Sum of BUDGET (YTD)",'executive pivot'!$A$3,"BRANCH",'EXECUTIVE DASHBOARD'!$D23,"KPI",'EXECUTIVE DASHBOARD'!$K$1,"MONTH",'EXECUTIVE DASHBOARD'!$N$2)</f>
        <v>217537.34218000001</v>
      </c>
      <c r="K23" s="61" t="str">
        <f t="shared" si="1"/>
        <v>5.9% ▲</v>
      </c>
    </row>
    <row r="24" spans="4:11" ht="24.75" customHeight="1" x14ac:dyDescent="0.3">
      <c r="D24" s="60" t="s">
        <v>16</v>
      </c>
      <c r="E24" s="30">
        <f>GETPIVOTDATA("Sum of ACTUAL (MONTH)",'executive pivot'!$A$3,"BRANCH",'EXECUTIVE DASHBOARD'!$D24,"KPI",'EXECUTIVE DASHBOARD'!$K$1,"MONTH",'EXECUTIVE DASHBOARD'!$N$2)</f>
        <v>0</v>
      </c>
      <c r="F24" s="30">
        <f>GETPIVOTDATA("Sum of BUDGET (MONTH)",'executive pivot'!$A$3,"BRANCH",'EXECUTIVE DASHBOARD'!$D24,"KPI",'EXECUTIVE DASHBOARD'!$K$1,"MONTH",'EXECUTIVE DASHBOARD'!$N$2)</f>
        <v>0</v>
      </c>
      <c r="G24" s="61" t="e">
        <f t="shared" si="0"/>
        <v>#DIV/0!</v>
      </c>
      <c r="I24" s="62">
        <f>GETPIVOTDATA("Sum of ACTUAL (YTD)",'executive pivot'!$A$3,"BRANCH",'EXECUTIVE DASHBOARD'!$D24,"KPI",'EXECUTIVE DASHBOARD'!$K$1,"MONTH",'EXECUTIVE DASHBOARD'!$N$2)</f>
        <v>162974.89773000003</v>
      </c>
      <c r="J24" s="30">
        <f>GETPIVOTDATA("Sum of BUDGET (YTD)",'executive pivot'!$A$3,"BRANCH",'EXECUTIVE DASHBOARD'!$D24,"KPI",'EXECUTIVE DASHBOARD'!$K$1,"MONTH",'EXECUTIVE DASHBOARD'!$N$2)</f>
        <v>182618.99343</v>
      </c>
      <c r="K24" s="61" t="str">
        <f t="shared" si="1"/>
        <v>-10.8% ▼</v>
      </c>
    </row>
    <row r="25" spans="4:11" ht="24.75" customHeight="1" x14ac:dyDescent="0.3">
      <c r="D25" s="60" t="s">
        <v>3</v>
      </c>
      <c r="E25" s="30">
        <f>GETPIVOTDATA("Sum of ACTUAL (MONTH)",'executive pivot'!$A$3,"BRANCH",'EXECUTIVE DASHBOARD'!$D25,"KPI",'EXECUTIVE DASHBOARD'!$K$1,"MONTH",'EXECUTIVE DASHBOARD'!$N$2)</f>
        <v>0</v>
      </c>
      <c r="F25" s="30">
        <f>GETPIVOTDATA("Sum of BUDGET (MONTH)",'executive pivot'!$A$3,"BRANCH",'EXECUTIVE DASHBOARD'!$D25,"KPI",'EXECUTIVE DASHBOARD'!$K$1,"MONTH",'EXECUTIVE DASHBOARD'!$N$2)</f>
        <v>0</v>
      </c>
      <c r="G25" s="61" t="e">
        <f t="shared" si="0"/>
        <v>#DIV/0!</v>
      </c>
      <c r="I25" s="62">
        <f>GETPIVOTDATA("Sum of ACTUAL (YTD)",'executive pivot'!$A$3,"BRANCH",'EXECUTIVE DASHBOARD'!$D25,"KPI",'EXECUTIVE DASHBOARD'!$K$1,"MONTH",'EXECUTIVE DASHBOARD'!$N$2)</f>
        <v>84635.054329999999</v>
      </c>
      <c r="J25" s="30">
        <f>GETPIVOTDATA("Sum of BUDGET (YTD)",'executive pivot'!$A$3,"BRANCH",'EXECUTIVE DASHBOARD'!$D25,"KPI",'EXECUTIVE DASHBOARD'!$K$1,"MONTH",'EXECUTIVE DASHBOARD'!$N$2)</f>
        <v>65583.966440000004</v>
      </c>
      <c r="K25" s="61" t="str">
        <f t="shared" si="1"/>
        <v>29.0% ▲</v>
      </c>
    </row>
    <row r="26" spans="4:11" ht="24.75" customHeight="1" x14ac:dyDescent="0.3">
      <c r="D26" s="60" t="s">
        <v>9</v>
      </c>
      <c r="E26" s="30">
        <f>GETPIVOTDATA("Sum of ACTUAL (MONTH)",'executive pivot'!$A$3,"BRANCH",'EXECUTIVE DASHBOARD'!$D26,"KPI",'EXECUTIVE DASHBOARD'!$K$1,"MONTH",'EXECUTIVE DASHBOARD'!$N$2)</f>
        <v>0</v>
      </c>
      <c r="F26" s="30">
        <f>GETPIVOTDATA("Sum of BUDGET (MONTH)",'executive pivot'!$A$3,"BRANCH",'EXECUTIVE DASHBOARD'!$D26,"KPI",'EXECUTIVE DASHBOARD'!$K$1,"MONTH",'EXECUTIVE DASHBOARD'!$N$2)</f>
        <v>0</v>
      </c>
      <c r="G26" s="61" t="e">
        <f t="shared" si="0"/>
        <v>#DIV/0!</v>
      </c>
      <c r="I26" s="62">
        <f>GETPIVOTDATA("Sum of ACTUAL (YTD)",'executive pivot'!$A$3,"BRANCH",'EXECUTIVE DASHBOARD'!$D26,"KPI",'EXECUTIVE DASHBOARD'!$K$1,"MONTH",'EXECUTIVE DASHBOARD'!$N$2)</f>
        <v>197694.01487000001</v>
      </c>
      <c r="J26" s="30">
        <f>GETPIVOTDATA("Sum of BUDGET (YTD)",'executive pivot'!$A$3,"BRANCH",'EXECUTIVE DASHBOARD'!$D26,"KPI",'EXECUTIVE DASHBOARD'!$K$1,"MONTH",'EXECUTIVE DASHBOARD'!$N$2)</f>
        <v>218841.90774</v>
      </c>
      <c r="K26" s="61" t="str">
        <f t="shared" si="1"/>
        <v>-9.7% ▼</v>
      </c>
    </row>
    <row r="27" spans="4:11" ht="24.75" customHeight="1" x14ac:dyDescent="0.3">
      <c r="D27" s="60" t="s">
        <v>0</v>
      </c>
      <c r="E27" s="30">
        <f>GETPIVOTDATA("Sum of ACTUAL (MONTH)",'executive pivot'!$A$3,"BRANCH",'EXECUTIVE DASHBOARD'!$D27,"KPI",'EXECUTIVE DASHBOARD'!$K$1,"MONTH",'EXECUTIVE DASHBOARD'!$N$2)</f>
        <v>0</v>
      </c>
      <c r="F27" s="30">
        <f>GETPIVOTDATA("Sum of BUDGET (MONTH)",'executive pivot'!$A$3,"BRANCH",'EXECUTIVE DASHBOARD'!$D27,"KPI",'EXECUTIVE DASHBOARD'!$K$1,"MONTH",'EXECUTIVE DASHBOARD'!$N$2)</f>
        <v>0</v>
      </c>
      <c r="G27" s="61" t="e">
        <f t="shared" si="0"/>
        <v>#DIV/0!</v>
      </c>
      <c r="I27" s="62">
        <f>GETPIVOTDATA("Sum of ACTUAL (YTD)",'executive pivot'!$A$3,"BRANCH",'EXECUTIVE DASHBOARD'!$D27,"KPI",'EXECUTIVE DASHBOARD'!$K$1,"MONTH",'EXECUTIVE DASHBOARD'!$N$2)</f>
        <v>73762.181700000016</v>
      </c>
      <c r="J27" s="30">
        <f>GETPIVOTDATA("Sum of BUDGET (YTD)",'executive pivot'!$A$3,"BRANCH",'EXECUTIVE DASHBOARD'!$D27,"KPI",'EXECUTIVE DASHBOARD'!$K$1,"MONTH",'EXECUTIVE DASHBOARD'!$N$2)</f>
        <v>85603.324790000013</v>
      </c>
      <c r="K27" s="61" t="str">
        <f t="shared" si="1"/>
        <v>-13.8% ▼</v>
      </c>
    </row>
    <row r="28" spans="4:11" ht="24.75" customHeight="1" x14ac:dyDescent="0.3">
      <c r="D28" s="60" t="s">
        <v>8</v>
      </c>
      <c r="E28" s="30">
        <f>GETPIVOTDATA("Sum of ACTUAL (MONTH)",'executive pivot'!$A$3,"BRANCH",'EXECUTIVE DASHBOARD'!$D28,"KPI",'EXECUTIVE DASHBOARD'!$K$1,"MONTH",'EXECUTIVE DASHBOARD'!$N$2)</f>
        <v>0</v>
      </c>
      <c r="F28" s="30">
        <f>GETPIVOTDATA("Sum of BUDGET (MONTH)",'executive pivot'!$A$3,"BRANCH",'EXECUTIVE DASHBOARD'!$D28,"KPI",'EXECUTIVE DASHBOARD'!$K$1,"MONTH",'EXECUTIVE DASHBOARD'!$N$2)</f>
        <v>0</v>
      </c>
      <c r="G28" s="61" t="e">
        <f t="shared" si="0"/>
        <v>#DIV/0!</v>
      </c>
      <c r="I28" s="62">
        <f>GETPIVOTDATA("Sum of ACTUAL (YTD)",'executive pivot'!$A$3,"BRANCH",'EXECUTIVE DASHBOARD'!$D28,"KPI",'EXECUTIVE DASHBOARD'!$K$1,"MONTH",'EXECUTIVE DASHBOARD'!$N$2)</f>
        <v>483509.05972999998</v>
      </c>
      <c r="J28" s="30">
        <f>GETPIVOTDATA("Sum of BUDGET (YTD)",'executive pivot'!$A$3,"BRANCH",'EXECUTIVE DASHBOARD'!$D28,"KPI",'EXECUTIVE DASHBOARD'!$K$1,"MONTH",'EXECUTIVE DASHBOARD'!$N$2)</f>
        <v>467743.04148000001</v>
      </c>
      <c r="K28" s="61" t="str">
        <f t="shared" si="1"/>
        <v>3.4% ▲</v>
      </c>
    </row>
    <row r="29" spans="4:11" ht="24.75" customHeight="1" x14ac:dyDescent="0.3">
      <c r="D29" s="60" t="s">
        <v>13</v>
      </c>
      <c r="E29" s="30">
        <f>GETPIVOTDATA("Sum of ACTUAL (MONTH)",'executive pivot'!$A$3,"BRANCH",'EXECUTIVE DASHBOARD'!$D29,"KPI",'EXECUTIVE DASHBOARD'!$K$1,"MONTH",'EXECUTIVE DASHBOARD'!$N$2)</f>
        <v>0</v>
      </c>
      <c r="F29" s="30">
        <f>GETPIVOTDATA("Sum of BUDGET (MONTH)",'executive pivot'!$A$3,"BRANCH",'EXECUTIVE DASHBOARD'!$D29,"KPI",'EXECUTIVE DASHBOARD'!$K$1,"MONTH",'EXECUTIVE DASHBOARD'!$N$2)</f>
        <v>0</v>
      </c>
      <c r="G29" s="61" t="e">
        <f t="shared" si="0"/>
        <v>#DIV/0!</v>
      </c>
      <c r="I29" s="62">
        <f>GETPIVOTDATA("Sum of ACTUAL (YTD)",'executive pivot'!$A$3,"BRANCH",'EXECUTIVE DASHBOARD'!$D29,"KPI",'EXECUTIVE DASHBOARD'!$K$1,"MONTH",'EXECUTIVE DASHBOARD'!$N$2)</f>
        <v>251577.28116999997</v>
      </c>
      <c r="J29" s="30">
        <f>GETPIVOTDATA("Sum of BUDGET (YTD)",'executive pivot'!$A$3,"BRANCH",'EXECUTIVE DASHBOARD'!$D29,"KPI",'EXECUTIVE DASHBOARD'!$K$1,"MONTH",'EXECUTIVE DASHBOARD'!$N$2)</f>
        <v>248499.8217</v>
      </c>
      <c r="K29" s="61" t="str">
        <f t="shared" si="1"/>
        <v>1.2% ▲</v>
      </c>
    </row>
    <row r="30" spans="4:11" ht="24.75" customHeight="1" thickBot="1" x14ac:dyDescent="0.35">
      <c r="D30" s="60" t="s">
        <v>15</v>
      </c>
      <c r="E30" s="30">
        <f>GETPIVOTDATA("Sum of ACTUAL (MONTH)",'executive pivot'!$A$3,"BRANCH",'EXECUTIVE DASHBOARD'!$D30,"KPI",'EXECUTIVE DASHBOARD'!$K$1,"MONTH",'EXECUTIVE DASHBOARD'!$N$2)</f>
        <v>0</v>
      </c>
      <c r="F30" s="30">
        <f>GETPIVOTDATA("Sum of BUDGET (MONTH)",'executive pivot'!$A$3,"BRANCH",'EXECUTIVE DASHBOARD'!$D30,"KPI",'EXECUTIVE DASHBOARD'!$K$1,"MONTH",'EXECUTIVE DASHBOARD'!$N$2)</f>
        <v>0</v>
      </c>
      <c r="G30" s="61" t="e">
        <f t="shared" si="0"/>
        <v>#DIV/0!</v>
      </c>
      <c r="I30" s="62">
        <f>GETPIVOTDATA("Sum of ACTUAL (YTD)",'executive pivot'!$A$3,"BRANCH",'EXECUTIVE DASHBOARD'!$D30,"KPI",'EXECUTIVE DASHBOARD'!$K$1,"MONTH",'EXECUTIVE DASHBOARD'!$N$2)</f>
        <v>42791.446039999995</v>
      </c>
      <c r="J30" s="30">
        <f>GETPIVOTDATA("Sum of BUDGET (YTD)",'executive pivot'!$A$3,"BRANCH",'EXECUTIVE DASHBOARD'!$D30,"KPI",'EXECUTIVE DASHBOARD'!$K$1,"MONTH",'EXECUTIVE DASHBOARD'!$N$2)</f>
        <v>35630.448240000005</v>
      </c>
      <c r="K30" s="61" t="str">
        <f t="shared" si="1"/>
        <v>20.1% ▲</v>
      </c>
    </row>
    <row r="31" spans="4:11" s="57" customFormat="1" ht="24.75" customHeight="1" thickBot="1" x14ac:dyDescent="0.4">
      <c r="D31" s="31" t="s">
        <v>25</v>
      </c>
      <c r="E31" s="46">
        <f>SUM(E10:E30)</f>
        <v>0</v>
      </c>
      <c r="F31" s="46">
        <f>SUM(F10:F30)</f>
        <v>0</v>
      </c>
      <c r="G31" s="47" t="e">
        <f t="shared" si="0"/>
        <v>#DIV/0!</v>
      </c>
      <c r="I31" s="63">
        <f>SUM(I10:I30)</f>
        <v>3205523.7209599996</v>
      </c>
      <c r="J31" s="46">
        <f>SUM(J10:J30)</f>
        <v>3343345.3780800002</v>
      </c>
      <c r="K31" s="47" t="str">
        <f t="shared" si="1"/>
        <v>-4.1% ▼</v>
      </c>
    </row>
    <row r="32" spans="4:11" ht="27.75" customHeight="1" x14ac:dyDescent="0.25"/>
    <row r="33" spans="3:11" ht="27.75" customHeight="1" x14ac:dyDescent="0.25">
      <c r="D33" s="48"/>
      <c r="E33" s="48"/>
      <c r="F33" s="48"/>
      <c r="G33" s="48"/>
      <c r="H33" s="48"/>
      <c r="I33" s="48"/>
      <c r="J33" s="48"/>
      <c r="K33" s="48"/>
    </row>
    <row r="34" spans="3:11" ht="27.75" customHeight="1" x14ac:dyDescent="0.25">
      <c r="C34" s="74"/>
      <c r="D34" s="44" t="s">
        <v>35</v>
      </c>
      <c r="E34" s="45">
        <f>I31/J31</f>
        <v>0.95877731985944326</v>
      </c>
      <c r="F34" s="56"/>
      <c r="G34" s="49"/>
      <c r="H34" s="48"/>
      <c r="I34" s="48"/>
      <c r="J34" s="48"/>
      <c r="K34" s="48"/>
    </row>
    <row r="35" spans="3:11" ht="27.75" customHeight="1" x14ac:dyDescent="0.25">
      <c r="C35" s="74"/>
      <c r="D35" s="44" t="s">
        <v>20</v>
      </c>
      <c r="E35" s="56">
        <f>1-E34</f>
        <v>4.1222680140556744E-2</v>
      </c>
      <c r="F35" s="56"/>
      <c r="G35" s="49"/>
      <c r="H35" s="48"/>
      <c r="I35" s="48"/>
      <c r="J35" s="48"/>
      <c r="K35" s="48"/>
    </row>
    <row r="36" spans="3:11" ht="27.75" customHeight="1" x14ac:dyDescent="0.25">
      <c r="C36" s="74"/>
      <c r="D36" s="74"/>
      <c r="E36" s="74"/>
      <c r="F36" s="44"/>
      <c r="G36" s="48"/>
      <c r="H36" s="48"/>
      <c r="I36" s="48"/>
      <c r="J36" s="48"/>
      <c r="K36" s="48"/>
    </row>
    <row r="37" spans="3:11" ht="27.75" customHeight="1" x14ac:dyDescent="0.25">
      <c r="D37" s="48"/>
      <c r="E37" s="48"/>
      <c r="F37" s="48"/>
      <c r="G37" s="48"/>
      <c r="H37" s="48"/>
      <c r="I37" s="48"/>
      <c r="J37" s="48"/>
      <c r="K37" s="48"/>
    </row>
    <row r="38" spans="3:11" ht="27.75" customHeight="1" x14ac:dyDescent="0.25">
      <c r="D38" s="48"/>
      <c r="E38" s="48"/>
      <c r="F38" s="48"/>
      <c r="G38" s="48"/>
      <c r="H38" s="48"/>
      <c r="I38" s="48"/>
      <c r="J38" s="48"/>
      <c r="K38" s="48"/>
    </row>
    <row r="39" spans="3:11" ht="27.75" customHeight="1" x14ac:dyDescent="0.25"/>
    <row r="40" spans="3:11" ht="27.75" customHeight="1" x14ac:dyDescent="0.25"/>
    <row r="41" spans="3:11" ht="27.75" customHeight="1" x14ac:dyDescent="0.25"/>
    <row r="42" spans="3:11" ht="27.75" customHeight="1" x14ac:dyDescent="0.25"/>
    <row r="43" spans="3:11" ht="27.75" customHeight="1" x14ac:dyDescent="0.25"/>
    <row r="44" spans="3:11" ht="27.75" customHeight="1" x14ac:dyDescent="0.25"/>
  </sheetData>
  <conditionalFormatting sqref="G10:G31 G8 F7">
    <cfRule type="expression" dxfId="60" priority="1111">
      <formula>D7&lt;E7</formula>
    </cfRule>
    <cfRule type="expression" dxfId="59" priority="1112">
      <formula>D7&gt;=E7</formula>
    </cfRule>
    <cfRule type="expression" priority="1113">
      <formula>D7&gt;=E7</formula>
    </cfRule>
  </conditionalFormatting>
  <conditionalFormatting sqref="K10:K31">
    <cfRule type="expression" dxfId="58" priority="1114">
      <formula>I10&lt;J10</formula>
    </cfRule>
    <cfRule type="expression" dxfId="57" priority="1115">
      <formula>I10&gt;=J10</formula>
    </cfRule>
    <cfRule type="expression" priority="1116">
      <formula>I10&gt;=J10</formula>
    </cfRule>
  </conditionalFormatting>
  <conditionalFormatting sqref="E10:E31">
    <cfRule type="expression" dxfId="56" priority="7">
      <formula>"E7&lt;0"</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O110"/>
  <sheetViews>
    <sheetView topLeftCell="A25" workbookViewId="0">
      <selection activeCell="F48" sqref="F48"/>
    </sheetView>
  </sheetViews>
  <sheetFormatPr defaultRowHeight="15" x14ac:dyDescent="0.25"/>
  <cols>
    <col min="1" max="1" width="13.140625" customWidth="1"/>
    <col min="2" max="2" width="23.85546875" style="2" customWidth="1"/>
    <col min="3" max="3" width="20.140625" style="2" customWidth="1"/>
    <col min="4" max="4" width="24.140625" style="2" customWidth="1"/>
    <col min="5" max="5" width="20.42578125" style="2" customWidth="1"/>
    <col min="6" max="6" width="23.85546875" style="2" customWidth="1"/>
    <col min="7" max="7" width="20.140625" style="2" customWidth="1"/>
    <col min="8" max="8" width="24.140625" style="2" customWidth="1"/>
    <col min="9" max="9" width="20.42578125" style="2" customWidth="1"/>
    <col min="10" max="10" width="23.85546875" style="2" customWidth="1"/>
    <col min="11" max="11" width="20.140625" style="2" customWidth="1"/>
    <col min="12" max="12" width="24.140625" style="2" customWidth="1"/>
    <col min="13" max="13" width="20.42578125" customWidth="1"/>
    <col min="14" max="14" width="23.85546875" customWidth="1"/>
    <col min="15" max="15" width="20.140625" customWidth="1"/>
    <col min="16" max="16" width="24.140625" customWidth="1"/>
    <col min="17" max="17" width="20.42578125" customWidth="1"/>
    <col min="18" max="18" width="23.85546875" customWidth="1"/>
    <col min="19" max="19" width="20.140625" customWidth="1"/>
    <col min="20" max="20" width="24.140625" customWidth="1"/>
    <col min="21" max="21" width="20.42578125" customWidth="1"/>
    <col min="22" max="22" width="23.85546875" customWidth="1"/>
    <col min="23" max="23" width="20.140625" customWidth="1"/>
    <col min="24" max="24" width="24.140625" customWidth="1"/>
    <col min="25" max="25" width="20.42578125" customWidth="1"/>
    <col min="26" max="26" width="23.85546875" customWidth="1"/>
    <col min="27" max="27" width="20.140625" customWidth="1"/>
    <col min="28" max="28" width="24.140625" customWidth="1"/>
    <col min="29" max="29" width="20.42578125" customWidth="1"/>
    <col min="30" max="30" width="23.85546875" customWidth="1"/>
    <col min="31" max="31" width="20.140625" customWidth="1"/>
    <col min="32" max="32" width="24.140625" customWidth="1"/>
    <col min="33" max="33" width="20.42578125" customWidth="1"/>
    <col min="34" max="34" width="23.85546875" customWidth="1"/>
    <col min="35" max="35" width="20.140625" customWidth="1"/>
    <col min="36" max="36" width="24.140625" customWidth="1"/>
    <col min="37" max="37" width="20.42578125" customWidth="1"/>
    <col min="38" max="38" width="28.85546875" customWidth="1"/>
    <col min="39" max="39" width="25.140625" customWidth="1"/>
    <col min="40" max="40" width="29.140625" customWidth="1"/>
    <col min="41" max="41" width="25.5703125" customWidth="1"/>
    <col min="42" max="42" width="28.85546875" customWidth="1"/>
    <col min="43" max="43" width="25.140625" customWidth="1"/>
    <col min="44" max="44" width="29.140625" customWidth="1"/>
    <col min="45" max="45" width="25.5703125" customWidth="1"/>
  </cols>
  <sheetData>
    <row r="3" spans="1:41" x14ac:dyDescent="0.25">
      <c r="B3" s="7" t="s">
        <v>97</v>
      </c>
      <c r="C3"/>
      <c r="D3"/>
      <c r="E3"/>
      <c r="F3"/>
      <c r="G3"/>
      <c r="H3"/>
      <c r="I3"/>
      <c r="J3"/>
      <c r="K3"/>
      <c r="L3"/>
    </row>
    <row r="4" spans="1:41" x14ac:dyDescent="0.25">
      <c r="B4" s="9" t="s">
        <v>26</v>
      </c>
      <c r="C4" s="9"/>
      <c r="D4" s="9"/>
      <c r="E4" s="9"/>
      <c r="F4" s="9" t="s">
        <v>21</v>
      </c>
      <c r="G4" s="9"/>
      <c r="H4" s="9"/>
      <c r="I4" s="9"/>
      <c r="J4" s="9" t="s">
        <v>29</v>
      </c>
      <c r="K4" s="9"/>
      <c r="L4" s="9"/>
      <c r="M4" s="9"/>
      <c r="N4" s="9" t="s">
        <v>27</v>
      </c>
      <c r="O4" s="9"/>
      <c r="P4" s="9"/>
      <c r="Q4" s="9"/>
      <c r="R4" s="9" t="s">
        <v>30</v>
      </c>
      <c r="S4" s="9"/>
      <c r="T4" s="9"/>
      <c r="U4" s="9"/>
      <c r="V4" s="9" t="s">
        <v>63</v>
      </c>
      <c r="W4" s="9"/>
      <c r="X4" s="9"/>
      <c r="Y4" s="9"/>
      <c r="Z4" s="9" t="s">
        <v>31</v>
      </c>
      <c r="AA4" s="9"/>
      <c r="AB4" s="9"/>
      <c r="AC4" s="9"/>
      <c r="AD4" s="9" t="s">
        <v>32</v>
      </c>
      <c r="AE4" s="9"/>
      <c r="AF4" s="9"/>
      <c r="AG4" s="9"/>
      <c r="AH4" s="9" t="s">
        <v>28</v>
      </c>
      <c r="AI4" s="9"/>
      <c r="AJ4" s="9"/>
      <c r="AK4" s="9"/>
      <c r="AL4" s="9" t="s">
        <v>98</v>
      </c>
      <c r="AM4" s="9" t="s">
        <v>99</v>
      </c>
      <c r="AN4" s="9" t="s">
        <v>101</v>
      </c>
      <c r="AO4" s="9" t="s">
        <v>103</v>
      </c>
    </row>
    <row r="5" spans="1:41" x14ac:dyDescent="0.25">
      <c r="A5" s="7" t="s">
        <v>60</v>
      </c>
      <c r="B5" s="9" t="s">
        <v>96</v>
      </c>
      <c r="C5" s="9" t="s">
        <v>100</v>
      </c>
      <c r="D5" s="9" t="s">
        <v>102</v>
      </c>
      <c r="E5" s="9" t="s">
        <v>104</v>
      </c>
      <c r="F5" s="9" t="s">
        <v>96</v>
      </c>
      <c r="G5" s="9" t="s">
        <v>100</v>
      </c>
      <c r="H5" s="9" t="s">
        <v>102</v>
      </c>
      <c r="I5" s="9" t="s">
        <v>104</v>
      </c>
      <c r="J5" s="9" t="s">
        <v>96</v>
      </c>
      <c r="K5" s="9" t="s">
        <v>100</v>
      </c>
      <c r="L5" s="9" t="s">
        <v>102</v>
      </c>
      <c r="M5" s="9" t="s">
        <v>104</v>
      </c>
      <c r="N5" s="9" t="s">
        <v>96</v>
      </c>
      <c r="O5" s="9" t="s">
        <v>100</v>
      </c>
      <c r="P5" s="9" t="s">
        <v>102</v>
      </c>
      <c r="Q5" s="9" t="s">
        <v>104</v>
      </c>
      <c r="R5" s="9" t="s">
        <v>96</v>
      </c>
      <c r="S5" s="9" t="s">
        <v>100</v>
      </c>
      <c r="T5" s="9" t="s">
        <v>102</v>
      </c>
      <c r="U5" s="9" t="s">
        <v>104</v>
      </c>
      <c r="V5" s="9" t="s">
        <v>96</v>
      </c>
      <c r="W5" s="9" t="s">
        <v>100</v>
      </c>
      <c r="X5" s="9" t="s">
        <v>102</v>
      </c>
      <c r="Y5" s="9" t="s">
        <v>104</v>
      </c>
      <c r="Z5" s="9" t="s">
        <v>96</v>
      </c>
      <c r="AA5" s="9" t="s">
        <v>100</v>
      </c>
      <c r="AB5" s="9" t="s">
        <v>102</v>
      </c>
      <c r="AC5" s="9" t="s">
        <v>104</v>
      </c>
      <c r="AD5" s="9" t="s">
        <v>96</v>
      </c>
      <c r="AE5" s="9" t="s">
        <v>100</v>
      </c>
      <c r="AF5" s="9" t="s">
        <v>102</v>
      </c>
      <c r="AG5" s="9" t="s">
        <v>104</v>
      </c>
      <c r="AH5" s="9" t="s">
        <v>96</v>
      </c>
      <c r="AI5" s="9" t="s">
        <v>100</v>
      </c>
      <c r="AJ5" s="9" t="s">
        <v>102</v>
      </c>
      <c r="AK5" s="9" t="s">
        <v>104</v>
      </c>
      <c r="AL5" s="9"/>
      <c r="AM5" s="9"/>
      <c r="AN5" s="9"/>
      <c r="AO5" s="9"/>
    </row>
    <row r="6" spans="1:41" x14ac:dyDescent="0.25">
      <c r="A6" s="8" t="s">
        <v>81</v>
      </c>
      <c r="B6" s="9"/>
      <c r="C6" s="9">
        <v>3288285.5994300009</v>
      </c>
      <c r="D6" s="9"/>
      <c r="E6" s="9">
        <v>3926490.1704833326</v>
      </c>
      <c r="F6" s="9">
        <v>60393.219549999994</v>
      </c>
      <c r="G6" s="9">
        <v>568825.16650000005</v>
      </c>
      <c r="H6" s="9">
        <v>185546.88888888888</v>
      </c>
      <c r="I6" s="9">
        <v>2464338.333333333</v>
      </c>
      <c r="J6" s="9">
        <v>557486</v>
      </c>
      <c r="K6" s="9">
        <v>7341866</v>
      </c>
      <c r="L6" s="9">
        <v>671332</v>
      </c>
      <c r="M6" s="9">
        <v>6781835.5299999993</v>
      </c>
      <c r="N6" s="9"/>
      <c r="O6" s="9">
        <v>3771889.4994866895</v>
      </c>
      <c r="P6" s="9"/>
      <c r="Q6" s="9">
        <v>3591855.2514735442</v>
      </c>
      <c r="R6" s="9">
        <v>604</v>
      </c>
      <c r="S6" s="9">
        <v>7805</v>
      </c>
      <c r="T6" s="9">
        <v>1537</v>
      </c>
      <c r="U6" s="9">
        <v>13833</v>
      </c>
      <c r="V6" s="9">
        <v>2285.5291200002757</v>
      </c>
      <c r="W6" s="9">
        <v>70067.025940000269</v>
      </c>
      <c r="X6" s="9">
        <v>103583.33333333324</v>
      </c>
      <c r="Y6" s="9">
        <v>1930345.600000001</v>
      </c>
      <c r="Z6" s="9">
        <v>13989.673270000007</v>
      </c>
      <c r="AA6" s="9">
        <v>136577.61595000004</v>
      </c>
      <c r="AB6" s="9">
        <v>20117.686061725257</v>
      </c>
      <c r="AC6" s="9">
        <v>167310.84170215749</v>
      </c>
      <c r="AD6" s="9">
        <v>-21343.05037059218</v>
      </c>
      <c r="AE6" s="9">
        <v>-237715.40783999994</v>
      </c>
      <c r="AF6" s="9">
        <v>14688.187737729022</v>
      </c>
      <c r="AG6" s="9">
        <v>-31882.703247347061</v>
      </c>
      <c r="AH6" s="9">
        <v>10648407.43</v>
      </c>
      <c r="AI6" s="9">
        <v>102406154.34</v>
      </c>
      <c r="AJ6" s="9">
        <v>10505599.027999999</v>
      </c>
      <c r="AK6" s="9">
        <v>100533594.16799997</v>
      </c>
      <c r="AL6" s="9">
        <v>11261822.801569408</v>
      </c>
      <c r="AM6" s="9">
        <v>117353754.83946669</v>
      </c>
      <c r="AN6" s="9">
        <v>11502404.124021675</v>
      </c>
      <c r="AO6" s="9">
        <v>119377720.19174498</v>
      </c>
    </row>
    <row r="7" spans="1:41" x14ac:dyDescent="0.25">
      <c r="A7" s="8" t="s">
        <v>23</v>
      </c>
      <c r="B7" s="20"/>
      <c r="C7" s="20">
        <v>3288285.5994300009</v>
      </c>
      <c r="D7" s="20"/>
      <c r="E7" s="20">
        <v>3926490.1704833326</v>
      </c>
      <c r="F7" s="20">
        <v>60393.219549999994</v>
      </c>
      <c r="G7" s="20">
        <v>568825.16650000005</v>
      </c>
      <c r="H7" s="20">
        <v>185546.88888888888</v>
      </c>
      <c r="I7" s="20">
        <v>2464338.333333333</v>
      </c>
      <c r="J7" s="20">
        <v>557486</v>
      </c>
      <c r="K7" s="20">
        <v>7341866</v>
      </c>
      <c r="L7" s="20">
        <v>671332</v>
      </c>
      <c r="M7" s="20">
        <v>6781835.5299999993</v>
      </c>
      <c r="N7" s="20"/>
      <c r="O7" s="20">
        <v>3771889.4994866895</v>
      </c>
      <c r="P7" s="20"/>
      <c r="Q7" s="20">
        <v>3591855.2514735442</v>
      </c>
      <c r="R7" s="20">
        <v>604</v>
      </c>
      <c r="S7" s="20">
        <v>7805</v>
      </c>
      <c r="T7" s="20">
        <v>1537</v>
      </c>
      <c r="U7" s="20">
        <v>13833</v>
      </c>
      <c r="V7" s="20">
        <v>2285.5291200002757</v>
      </c>
      <c r="W7" s="20">
        <v>70067.025940000269</v>
      </c>
      <c r="X7" s="20">
        <v>103583.33333333324</v>
      </c>
      <c r="Y7" s="20">
        <v>1930345.600000001</v>
      </c>
      <c r="Z7" s="20">
        <v>13989.673270000007</v>
      </c>
      <c r="AA7" s="20">
        <v>136577.61595000004</v>
      </c>
      <c r="AB7" s="20">
        <v>20117.686061725257</v>
      </c>
      <c r="AC7" s="20">
        <v>167310.84170215749</v>
      </c>
      <c r="AD7" s="20">
        <v>-21343.05037059218</v>
      </c>
      <c r="AE7" s="20">
        <v>-237715.40783999994</v>
      </c>
      <c r="AF7" s="20">
        <v>14688.187737729022</v>
      </c>
      <c r="AG7" s="20">
        <v>-31882.703247347061</v>
      </c>
      <c r="AH7" s="20">
        <v>10648407.43</v>
      </c>
      <c r="AI7" s="20">
        <v>102406154.34</v>
      </c>
      <c r="AJ7" s="20">
        <v>10505599.027999999</v>
      </c>
      <c r="AK7" s="20">
        <v>100533594.16799997</v>
      </c>
      <c r="AL7" s="20">
        <v>11261822.801569408</v>
      </c>
      <c r="AM7" s="20">
        <v>117353754.83946669</v>
      </c>
      <c r="AN7" s="20">
        <v>11502404.124021675</v>
      </c>
      <c r="AO7" s="20">
        <v>119377720.19174498</v>
      </c>
    </row>
    <row r="8" spans="1:41" x14ac:dyDescent="0.25">
      <c r="B8"/>
      <c r="C8"/>
      <c r="D8"/>
      <c r="E8"/>
      <c r="F8"/>
      <c r="G8"/>
      <c r="H8"/>
      <c r="I8"/>
      <c r="J8"/>
      <c r="K8"/>
      <c r="L8"/>
    </row>
    <row r="9" spans="1:41" x14ac:dyDescent="0.25">
      <c r="B9"/>
      <c r="C9"/>
      <c r="D9"/>
      <c r="E9"/>
      <c r="F9"/>
      <c r="G9"/>
      <c r="H9"/>
      <c r="I9"/>
      <c r="J9"/>
      <c r="K9"/>
      <c r="L9"/>
    </row>
    <row r="10" spans="1:41" x14ac:dyDescent="0.25">
      <c r="B10"/>
      <c r="C10"/>
      <c r="D10"/>
      <c r="E10"/>
      <c r="F10"/>
      <c r="G10"/>
      <c r="H10"/>
      <c r="I10"/>
      <c r="J10"/>
      <c r="K10"/>
      <c r="L10"/>
    </row>
    <row r="11" spans="1:41" x14ac:dyDescent="0.25">
      <c r="B11"/>
      <c r="C11"/>
      <c r="D11"/>
      <c r="E11"/>
      <c r="F11"/>
      <c r="G11"/>
      <c r="H11"/>
      <c r="I11"/>
      <c r="J11"/>
      <c r="K11"/>
      <c r="L11"/>
    </row>
    <row r="12" spans="1:41" x14ac:dyDescent="0.25">
      <c r="B12"/>
      <c r="C12"/>
      <c r="D12"/>
      <c r="E12"/>
      <c r="F12"/>
      <c r="G12"/>
      <c r="H12"/>
      <c r="I12"/>
      <c r="J12"/>
      <c r="K12"/>
      <c r="L12"/>
    </row>
    <row r="13" spans="1:41" x14ac:dyDescent="0.25">
      <c r="B13"/>
      <c r="C13"/>
      <c r="D13"/>
      <c r="E13"/>
      <c r="F13"/>
      <c r="G13"/>
      <c r="H13"/>
      <c r="I13"/>
      <c r="J13"/>
      <c r="K13"/>
      <c r="L13"/>
    </row>
    <row r="14" spans="1:41" x14ac:dyDescent="0.25">
      <c r="B14"/>
      <c r="C14"/>
      <c r="D14"/>
      <c r="E14"/>
      <c r="F14"/>
      <c r="G14"/>
      <c r="H14"/>
      <c r="I14"/>
      <c r="J14"/>
      <c r="K14"/>
      <c r="L14"/>
    </row>
    <row r="15" spans="1:41" x14ac:dyDescent="0.25">
      <c r="B15"/>
      <c r="C15"/>
      <c r="D15"/>
      <c r="E15"/>
      <c r="F15"/>
      <c r="G15"/>
      <c r="H15"/>
      <c r="I15"/>
      <c r="J15"/>
      <c r="K15"/>
      <c r="L15"/>
    </row>
    <row r="16" spans="1:41" x14ac:dyDescent="0.25">
      <c r="B16"/>
      <c r="C16"/>
      <c r="D16"/>
      <c r="E16"/>
      <c r="F16"/>
      <c r="G16"/>
      <c r="H16"/>
      <c r="I16"/>
      <c r="J16"/>
      <c r="K16"/>
      <c r="L16"/>
    </row>
    <row r="17" spans="2:12" x14ac:dyDescent="0.25">
      <c r="B17"/>
      <c r="C17"/>
      <c r="D17"/>
      <c r="E17"/>
      <c r="F17"/>
      <c r="G17"/>
      <c r="H17"/>
      <c r="I17"/>
      <c r="J17"/>
      <c r="K17"/>
      <c r="L17"/>
    </row>
    <row r="18" spans="2:12" x14ac:dyDescent="0.25">
      <c r="B18"/>
      <c r="C18"/>
      <c r="D18"/>
      <c r="E18"/>
      <c r="F18"/>
      <c r="G18"/>
      <c r="H18"/>
      <c r="I18"/>
      <c r="J18"/>
      <c r="K18"/>
      <c r="L18"/>
    </row>
    <row r="19" spans="2:12" x14ac:dyDescent="0.25">
      <c r="B19"/>
      <c r="C19"/>
      <c r="D19"/>
      <c r="E19"/>
      <c r="F19"/>
      <c r="G19"/>
      <c r="H19"/>
      <c r="I19"/>
      <c r="J19"/>
      <c r="K19"/>
      <c r="L19"/>
    </row>
    <row r="36" spans="1:41" x14ac:dyDescent="0.25">
      <c r="A36" s="23" t="s">
        <v>36</v>
      </c>
      <c r="B36" s="9" t="s">
        <v>81</v>
      </c>
    </row>
    <row r="38" spans="1:41" x14ac:dyDescent="0.25">
      <c r="A38" s="9"/>
      <c r="B38" s="23" t="s">
        <v>97</v>
      </c>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row>
    <row r="39" spans="1:41" x14ac:dyDescent="0.25">
      <c r="A39" s="9"/>
      <c r="B39" s="9" t="s">
        <v>26</v>
      </c>
      <c r="C39" s="9"/>
      <c r="D39" s="9"/>
      <c r="E39" s="9"/>
      <c r="F39" s="9" t="s">
        <v>21</v>
      </c>
      <c r="G39" s="9"/>
      <c r="H39" s="9"/>
      <c r="I39" s="9"/>
      <c r="J39" s="9" t="s">
        <v>29</v>
      </c>
      <c r="K39" s="9"/>
      <c r="L39" s="9"/>
      <c r="M39" s="9"/>
      <c r="N39" s="9" t="s">
        <v>27</v>
      </c>
      <c r="O39" s="9"/>
      <c r="P39" s="9"/>
      <c r="Q39" s="9"/>
      <c r="R39" s="9" t="s">
        <v>30</v>
      </c>
      <c r="S39" s="9"/>
      <c r="T39" s="9"/>
      <c r="U39" s="9"/>
      <c r="V39" s="9" t="s">
        <v>63</v>
      </c>
      <c r="W39" s="9"/>
      <c r="X39" s="9"/>
      <c r="Y39" s="9"/>
      <c r="Z39" s="9" t="s">
        <v>31</v>
      </c>
      <c r="AA39" s="9"/>
      <c r="AB39" s="9"/>
      <c r="AC39" s="9"/>
      <c r="AD39" s="9" t="s">
        <v>32</v>
      </c>
      <c r="AE39" s="9"/>
      <c r="AF39" s="9"/>
      <c r="AG39" s="9"/>
      <c r="AH39" s="9" t="s">
        <v>28</v>
      </c>
      <c r="AI39" s="9"/>
      <c r="AJ39" s="9"/>
      <c r="AK39" s="9"/>
      <c r="AL39" s="9" t="s">
        <v>98</v>
      </c>
      <c r="AM39" s="9" t="s">
        <v>101</v>
      </c>
      <c r="AN39" s="9" t="s">
        <v>99</v>
      </c>
      <c r="AO39" s="9" t="s">
        <v>103</v>
      </c>
    </row>
    <row r="40" spans="1:41" x14ac:dyDescent="0.25">
      <c r="A40" s="23" t="s">
        <v>60</v>
      </c>
      <c r="B40" s="9" t="s">
        <v>96</v>
      </c>
      <c r="C40" s="9" t="s">
        <v>102</v>
      </c>
      <c r="D40" s="9" t="s">
        <v>100</v>
      </c>
      <c r="E40" s="9" t="s">
        <v>104</v>
      </c>
      <c r="F40" s="9" t="s">
        <v>96</v>
      </c>
      <c r="G40" s="9" t="s">
        <v>102</v>
      </c>
      <c r="H40" s="9" t="s">
        <v>100</v>
      </c>
      <c r="I40" s="9" t="s">
        <v>104</v>
      </c>
      <c r="J40" s="9" t="s">
        <v>96</v>
      </c>
      <c r="K40" s="9" t="s">
        <v>102</v>
      </c>
      <c r="L40" s="9" t="s">
        <v>100</v>
      </c>
      <c r="M40" s="9" t="s">
        <v>104</v>
      </c>
      <c r="N40" s="9" t="s">
        <v>96</v>
      </c>
      <c r="O40" s="9" t="s">
        <v>102</v>
      </c>
      <c r="P40" s="9" t="s">
        <v>100</v>
      </c>
      <c r="Q40" s="9" t="s">
        <v>104</v>
      </c>
      <c r="R40" s="9" t="s">
        <v>96</v>
      </c>
      <c r="S40" s="9" t="s">
        <v>102</v>
      </c>
      <c r="T40" s="9" t="s">
        <v>100</v>
      </c>
      <c r="U40" s="9" t="s">
        <v>104</v>
      </c>
      <c r="V40" s="9" t="s">
        <v>96</v>
      </c>
      <c r="W40" s="9" t="s">
        <v>102</v>
      </c>
      <c r="X40" s="9" t="s">
        <v>100</v>
      </c>
      <c r="Y40" s="9" t="s">
        <v>104</v>
      </c>
      <c r="Z40" s="9" t="s">
        <v>96</v>
      </c>
      <c r="AA40" s="9" t="s">
        <v>102</v>
      </c>
      <c r="AB40" s="9" t="s">
        <v>100</v>
      </c>
      <c r="AC40" s="9" t="s">
        <v>104</v>
      </c>
      <c r="AD40" s="9" t="s">
        <v>96</v>
      </c>
      <c r="AE40" s="9" t="s">
        <v>102</v>
      </c>
      <c r="AF40" s="9" t="s">
        <v>100</v>
      </c>
      <c r="AG40" s="9" t="s">
        <v>104</v>
      </c>
      <c r="AH40" s="9" t="s">
        <v>96</v>
      </c>
      <c r="AI40" s="9" t="s">
        <v>102</v>
      </c>
      <c r="AJ40" s="9" t="s">
        <v>100</v>
      </c>
      <c r="AK40" s="9" t="s">
        <v>104</v>
      </c>
      <c r="AL40" s="9"/>
      <c r="AM40" s="9"/>
      <c r="AN40" s="9"/>
      <c r="AO40" s="9"/>
    </row>
    <row r="41" spans="1:41" x14ac:dyDescent="0.25">
      <c r="A41" s="24" t="s">
        <v>4</v>
      </c>
      <c r="B41" s="9"/>
      <c r="C41" s="9"/>
      <c r="D41" s="9">
        <v>860624.31786000007</v>
      </c>
      <c r="E41" s="9">
        <v>729586.64235245599</v>
      </c>
      <c r="F41" s="9">
        <v>19926.91245</v>
      </c>
      <c r="G41" s="9">
        <v>11173.619697994987</v>
      </c>
      <c r="H41" s="9">
        <v>58521.41154999999</v>
      </c>
      <c r="I41" s="9">
        <v>152205.31818796994</v>
      </c>
      <c r="J41" s="9">
        <v>303646</v>
      </c>
      <c r="K41" s="9">
        <v>56000</v>
      </c>
      <c r="L41" s="9">
        <v>2475273</v>
      </c>
      <c r="M41" s="9">
        <v>1169325.1299999999</v>
      </c>
      <c r="N41" s="9"/>
      <c r="O41" s="9"/>
      <c r="P41" s="9">
        <v>389518.14689999976</v>
      </c>
      <c r="Q41" s="9">
        <v>320336.99823163223</v>
      </c>
      <c r="R41" s="9">
        <v>31</v>
      </c>
      <c r="S41" s="9">
        <v>98</v>
      </c>
      <c r="T41" s="9">
        <v>376</v>
      </c>
      <c r="U41" s="9">
        <v>882</v>
      </c>
      <c r="V41" s="9">
        <v>-31812.598769999924</v>
      </c>
      <c r="W41" s="9">
        <v>6444.9472117793557</v>
      </c>
      <c r="X41" s="9">
        <v>155464.07384000008</v>
      </c>
      <c r="Y41" s="9">
        <v>118800.56327067676</v>
      </c>
      <c r="Z41" s="9">
        <v>4036.3089200000031</v>
      </c>
      <c r="AA41" s="9">
        <v>3365.0943004140609</v>
      </c>
      <c r="AB41" s="9">
        <v>36954.374860000004</v>
      </c>
      <c r="AC41" s="9">
        <v>29950.996918295292</v>
      </c>
      <c r="AD41" s="9">
        <v>7518.2316909299116</v>
      </c>
      <c r="AE41" s="9">
        <v>2949.826432996073</v>
      </c>
      <c r="AF41" s="9">
        <v>49680.063820000076</v>
      </c>
      <c r="AG41" s="9">
        <v>20230.419238848815</v>
      </c>
      <c r="AH41" s="9">
        <v>3326517.8</v>
      </c>
      <c r="AI41" s="9">
        <v>2812732.172192568</v>
      </c>
      <c r="AJ41" s="9">
        <v>34165905.509999998</v>
      </c>
      <c r="AK41" s="9">
        <v>33532393.033155397</v>
      </c>
      <c r="AL41" s="9">
        <v>3629863.6542909299</v>
      </c>
      <c r="AM41" s="9">
        <v>2892763.6598357526</v>
      </c>
      <c r="AN41" s="9">
        <v>38192316.898829997</v>
      </c>
      <c r="AO41" s="9">
        <v>36073711.101355277</v>
      </c>
    </row>
    <row r="42" spans="1:41" x14ac:dyDescent="0.25">
      <c r="A42" s="24" t="s">
        <v>18</v>
      </c>
      <c r="B42" s="9"/>
      <c r="C42" s="9"/>
      <c r="D42" s="9">
        <v>0</v>
      </c>
      <c r="E42" s="9">
        <v>0</v>
      </c>
      <c r="F42" s="9">
        <v>0</v>
      </c>
      <c r="G42" s="9">
        <v>0</v>
      </c>
      <c r="H42" s="9">
        <v>0</v>
      </c>
      <c r="I42" s="9">
        <v>0</v>
      </c>
      <c r="J42" s="9">
        <v>-12395</v>
      </c>
      <c r="K42" s="9">
        <v>0</v>
      </c>
      <c r="L42" s="9">
        <v>231229</v>
      </c>
      <c r="M42" s="9">
        <v>209869.92</v>
      </c>
      <c r="N42" s="9"/>
      <c r="O42" s="9"/>
      <c r="P42" s="9">
        <v>0</v>
      </c>
      <c r="Q42" s="9">
        <v>0</v>
      </c>
      <c r="R42" s="9">
        <v>0</v>
      </c>
      <c r="S42" s="9">
        <v>0</v>
      </c>
      <c r="T42" s="9">
        <v>0</v>
      </c>
      <c r="U42" s="9">
        <v>0</v>
      </c>
      <c r="V42" s="9">
        <v>0</v>
      </c>
      <c r="W42" s="9">
        <v>0</v>
      </c>
      <c r="X42" s="9">
        <v>0</v>
      </c>
      <c r="Y42" s="9">
        <v>0</v>
      </c>
      <c r="Z42" s="9">
        <v>9.9999999747524271E-6</v>
      </c>
      <c r="AA42" s="9">
        <v>117.68424167958743</v>
      </c>
      <c r="AB42" s="9">
        <v>901.90836999999999</v>
      </c>
      <c r="AC42" s="9">
        <v>117.68424167958743</v>
      </c>
      <c r="AD42" s="9">
        <v>-31485.338986013463</v>
      </c>
      <c r="AE42" s="9">
        <v>-21931.175783694125</v>
      </c>
      <c r="AF42" s="9">
        <v>-263648.79542000004</v>
      </c>
      <c r="AG42" s="9">
        <v>-225738.16942088713</v>
      </c>
      <c r="AH42" s="9">
        <v>0</v>
      </c>
      <c r="AI42" s="9">
        <v>0</v>
      </c>
      <c r="AJ42" s="9">
        <v>0</v>
      </c>
      <c r="AK42" s="9">
        <v>0</v>
      </c>
      <c r="AL42" s="9">
        <v>-43880.33897601346</v>
      </c>
      <c r="AM42" s="9">
        <v>-21813.491542014537</v>
      </c>
      <c r="AN42" s="9">
        <v>-31517.887050000048</v>
      </c>
      <c r="AO42" s="9">
        <v>-15750.565179207537</v>
      </c>
    </row>
    <row r="43" spans="1:41" x14ac:dyDescent="0.25">
      <c r="A43" s="24" t="s">
        <v>24</v>
      </c>
      <c r="B43" s="9"/>
      <c r="C43" s="9"/>
      <c r="D43" s="9">
        <v>610.87942999999996</v>
      </c>
      <c r="E43" s="9">
        <v>620.50470999999993</v>
      </c>
      <c r="F43" s="9">
        <v>0</v>
      </c>
      <c r="G43" s="9">
        <v>0</v>
      </c>
      <c r="H43" s="9">
        <v>0</v>
      </c>
      <c r="I43" s="9">
        <v>0</v>
      </c>
      <c r="J43" s="9">
        <v>0</v>
      </c>
      <c r="K43" s="9">
        <v>0</v>
      </c>
      <c r="L43" s="9">
        <v>0</v>
      </c>
      <c r="M43" s="9">
        <v>0</v>
      </c>
      <c r="N43" s="9"/>
      <c r="O43" s="9"/>
      <c r="P43" s="9">
        <v>0</v>
      </c>
      <c r="Q43" s="9">
        <v>0</v>
      </c>
      <c r="R43" s="9">
        <v>0</v>
      </c>
      <c r="S43" s="9">
        <v>0</v>
      </c>
      <c r="T43" s="9">
        <v>0</v>
      </c>
      <c r="U43" s="9">
        <v>0</v>
      </c>
      <c r="V43" s="9">
        <v>0</v>
      </c>
      <c r="W43" s="9">
        <v>0</v>
      </c>
      <c r="X43" s="9">
        <v>-4.305629999999951</v>
      </c>
      <c r="Y43" s="9">
        <v>0</v>
      </c>
      <c r="Z43" s="9">
        <v>0</v>
      </c>
      <c r="AA43" s="9">
        <v>0.83944240752935073</v>
      </c>
      <c r="AB43" s="9">
        <v>0.13669999999999999</v>
      </c>
      <c r="AC43" s="9">
        <v>4.8929731999653363</v>
      </c>
      <c r="AD43" s="9">
        <v>-1.9862157639190094</v>
      </c>
      <c r="AE43" s="9">
        <v>-0.76573918176428968</v>
      </c>
      <c r="AF43" s="9">
        <v>28.726589999999991</v>
      </c>
      <c r="AG43" s="9">
        <v>-6.0247480017661932</v>
      </c>
      <c r="AH43" s="9">
        <v>0</v>
      </c>
      <c r="AI43" s="9">
        <v>0</v>
      </c>
      <c r="AJ43" s="9">
        <v>0</v>
      </c>
      <c r="AK43" s="9">
        <v>0</v>
      </c>
      <c r="AL43" s="9">
        <v>-1.9862157639190094</v>
      </c>
      <c r="AM43" s="9">
        <v>7.3703225765061053E-2</v>
      </c>
      <c r="AN43" s="9">
        <v>635.43709000000001</v>
      </c>
      <c r="AO43" s="9">
        <v>619.37293519819912</v>
      </c>
    </row>
    <row r="44" spans="1:41" x14ac:dyDescent="0.25">
      <c r="A44" s="24" t="s">
        <v>17</v>
      </c>
      <c r="B44" s="9"/>
      <c r="C44" s="9"/>
      <c r="D44" s="9">
        <v>168675.83556000004</v>
      </c>
      <c r="E44" s="9">
        <v>242554.86318578947</v>
      </c>
      <c r="F44" s="9">
        <v>1678.3040000000001</v>
      </c>
      <c r="G44" s="9">
        <v>5348.7727218045111</v>
      </c>
      <c r="H44" s="9">
        <v>33458.590850000001</v>
      </c>
      <c r="I44" s="9">
        <v>119756.23633082703</v>
      </c>
      <c r="J44" s="9">
        <v>3058</v>
      </c>
      <c r="K44" s="9">
        <v>14000</v>
      </c>
      <c r="L44" s="9">
        <v>24258</v>
      </c>
      <c r="M44" s="9">
        <v>87354.45</v>
      </c>
      <c r="N44" s="9"/>
      <c r="O44" s="9"/>
      <c r="P44" s="9">
        <v>133750.09337999998</v>
      </c>
      <c r="Q44" s="9">
        <v>110199.77955294662</v>
      </c>
      <c r="R44" s="9">
        <v>49</v>
      </c>
      <c r="S44" s="9">
        <v>91</v>
      </c>
      <c r="T44" s="9">
        <v>525</v>
      </c>
      <c r="U44" s="9">
        <v>819</v>
      </c>
      <c r="V44" s="9">
        <v>4118.7527300000074</v>
      </c>
      <c r="W44" s="9">
        <v>2986.0037593985198</v>
      </c>
      <c r="X44" s="9">
        <v>-54329.41592999993</v>
      </c>
      <c r="Y44" s="9">
        <v>100046.90255639108</v>
      </c>
      <c r="Z44" s="9">
        <v>994.79280000000472</v>
      </c>
      <c r="AA44" s="9">
        <v>519.31611060884825</v>
      </c>
      <c r="AB44" s="9">
        <v>10712.178970000003</v>
      </c>
      <c r="AC44" s="9">
        <v>5574.7627205638664</v>
      </c>
      <c r="AD44" s="9">
        <v>-674.7140522570246</v>
      </c>
      <c r="AE44" s="9">
        <v>74.917559098503489</v>
      </c>
      <c r="AF44" s="9">
        <v>629.21660000000497</v>
      </c>
      <c r="AG44" s="9">
        <v>-5000.8323031693226</v>
      </c>
      <c r="AH44" s="9">
        <v>782557</v>
      </c>
      <c r="AI44" s="9">
        <v>62110.805064189197</v>
      </c>
      <c r="AJ44" s="9">
        <v>8044657.1899999995</v>
      </c>
      <c r="AK44" s="9">
        <v>2856664.8303851355</v>
      </c>
      <c r="AL44" s="9">
        <v>791781.135477743</v>
      </c>
      <c r="AM44" s="9">
        <v>85130.815215099574</v>
      </c>
      <c r="AN44" s="9">
        <v>8362336.6894299993</v>
      </c>
      <c r="AO44" s="9">
        <v>3517969.9924284844</v>
      </c>
    </row>
    <row r="45" spans="1:41" x14ac:dyDescent="0.25">
      <c r="A45" s="24" t="s">
        <v>6</v>
      </c>
      <c r="B45" s="9"/>
      <c r="C45" s="9"/>
      <c r="D45" s="9">
        <v>49412.101060000001</v>
      </c>
      <c r="E45" s="9">
        <v>65876.779169122834</v>
      </c>
      <c r="F45" s="9">
        <v>3820.2202499999999</v>
      </c>
      <c r="G45" s="9">
        <v>5136.719134502925</v>
      </c>
      <c r="H45" s="9">
        <v>38344.032400000004</v>
      </c>
      <c r="I45" s="9">
        <v>98983.914807017572</v>
      </c>
      <c r="J45" s="9">
        <v>0</v>
      </c>
      <c r="K45" s="9">
        <v>0</v>
      </c>
      <c r="L45" s="9">
        <v>9659</v>
      </c>
      <c r="M45" s="9">
        <v>7780.5</v>
      </c>
      <c r="N45" s="9"/>
      <c r="O45" s="9"/>
      <c r="P45" s="9">
        <v>210146.67785000007</v>
      </c>
      <c r="Q45" s="9">
        <v>187019.91768942148</v>
      </c>
      <c r="R45" s="9">
        <v>23</v>
      </c>
      <c r="S45" s="9">
        <v>73</v>
      </c>
      <c r="T45" s="9">
        <v>382</v>
      </c>
      <c r="U45" s="9">
        <v>657</v>
      </c>
      <c r="V45" s="9">
        <v>-2652.0436299999928</v>
      </c>
      <c r="W45" s="9">
        <v>2867.6228070175498</v>
      </c>
      <c r="X45" s="9">
        <v>10339.093589999989</v>
      </c>
      <c r="Y45" s="9">
        <v>83736.616842105286</v>
      </c>
      <c r="Z45" s="9">
        <v>264.87014000000045</v>
      </c>
      <c r="AA45" s="9">
        <v>339.6155079819132</v>
      </c>
      <c r="AB45" s="9">
        <v>2474.3144300000004</v>
      </c>
      <c r="AC45" s="9">
        <v>2974.1823029652637</v>
      </c>
      <c r="AD45" s="9">
        <v>593.44644836058615</v>
      </c>
      <c r="AE45" s="9">
        <v>1796.8019350989996</v>
      </c>
      <c r="AF45" s="9">
        <v>1819.8338999999985</v>
      </c>
      <c r="AG45" s="9">
        <v>14562.619777195003</v>
      </c>
      <c r="AH45" s="9">
        <v>51388</v>
      </c>
      <c r="AI45" s="9">
        <v>0</v>
      </c>
      <c r="AJ45" s="9">
        <v>357350</v>
      </c>
      <c r="AK45" s="9">
        <v>102000</v>
      </c>
      <c r="AL45" s="9">
        <v>53437.493208360596</v>
      </c>
      <c r="AM45" s="9">
        <v>10213.759384601388</v>
      </c>
      <c r="AN45" s="9">
        <v>679927.05323000019</v>
      </c>
      <c r="AO45" s="9">
        <v>563591.53058782744</v>
      </c>
    </row>
    <row r="46" spans="1:41" x14ac:dyDescent="0.25">
      <c r="A46" s="24" t="s">
        <v>10</v>
      </c>
      <c r="B46" s="9"/>
      <c r="C46" s="9"/>
      <c r="D46" s="9">
        <v>102343.43203000001</v>
      </c>
      <c r="E46" s="9">
        <v>99561.881775789487</v>
      </c>
      <c r="F46" s="9">
        <v>1459.5</v>
      </c>
      <c r="G46" s="9">
        <v>8116.5138143971044</v>
      </c>
      <c r="H46" s="9">
        <v>25731.72595</v>
      </c>
      <c r="I46" s="9">
        <v>102280.88288638259</v>
      </c>
      <c r="J46" s="9">
        <v>23398</v>
      </c>
      <c r="K46" s="9">
        <v>42000</v>
      </c>
      <c r="L46" s="9">
        <v>703741</v>
      </c>
      <c r="M46" s="9">
        <v>253000</v>
      </c>
      <c r="N46" s="9"/>
      <c r="O46" s="9"/>
      <c r="P46" s="9">
        <v>163409.85819000003</v>
      </c>
      <c r="Q46" s="9">
        <v>144109.94729350033</v>
      </c>
      <c r="R46" s="9">
        <v>28</v>
      </c>
      <c r="S46" s="9">
        <v>48</v>
      </c>
      <c r="T46" s="9">
        <v>229</v>
      </c>
      <c r="U46" s="9">
        <v>432</v>
      </c>
      <c r="V46" s="9">
        <v>17732.650240000032</v>
      </c>
      <c r="W46" s="9">
        <v>4462.0662593984898</v>
      </c>
      <c r="X46" s="9">
        <v>20493.810339999996</v>
      </c>
      <c r="Y46" s="9">
        <v>81637.837556390994</v>
      </c>
      <c r="Z46" s="9">
        <v>715.28704000000107</v>
      </c>
      <c r="AA46" s="9">
        <v>1861.3139535748796</v>
      </c>
      <c r="AB46" s="9">
        <v>9121.7425200000016</v>
      </c>
      <c r="AC46" s="9">
        <v>13937.831931502107</v>
      </c>
      <c r="AD46" s="9">
        <v>134.28942453707077</v>
      </c>
      <c r="AE46" s="9">
        <v>1796.9581053186071</v>
      </c>
      <c r="AF46" s="9">
        <v>5931.0800299999937</v>
      </c>
      <c r="AG46" s="9">
        <v>10027.280844621968</v>
      </c>
      <c r="AH46" s="9">
        <v>597956.24</v>
      </c>
      <c r="AI46" s="9">
        <v>1437421.4886283781</v>
      </c>
      <c r="AJ46" s="9">
        <v>7612935.9300000006</v>
      </c>
      <c r="AK46" s="9">
        <v>9116528.9317702688</v>
      </c>
      <c r="AL46" s="9">
        <v>641423.96670453704</v>
      </c>
      <c r="AM46" s="9">
        <v>1495706.3407610671</v>
      </c>
      <c r="AN46" s="9">
        <v>8643937.5790600013</v>
      </c>
      <c r="AO46" s="9">
        <v>9821516.5940584559</v>
      </c>
    </row>
    <row r="47" spans="1:41" x14ac:dyDescent="0.25">
      <c r="A47" s="24" t="s">
        <v>7</v>
      </c>
      <c r="B47" s="9"/>
      <c r="C47" s="9"/>
      <c r="D47" s="9">
        <v>48079.32279999998</v>
      </c>
      <c r="E47" s="9">
        <v>88200.759502456145</v>
      </c>
      <c r="F47" s="9">
        <v>3925.86445</v>
      </c>
      <c r="G47" s="9">
        <v>13214.635475772764</v>
      </c>
      <c r="H47" s="9">
        <v>33833.898400000005</v>
      </c>
      <c r="I47" s="9">
        <v>152951.41285463658</v>
      </c>
      <c r="J47" s="9">
        <v>0</v>
      </c>
      <c r="K47" s="9">
        <v>56000</v>
      </c>
      <c r="L47" s="9">
        <v>31152</v>
      </c>
      <c r="M47" s="9">
        <v>361862</v>
      </c>
      <c r="N47" s="9"/>
      <c r="O47" s="9"/>
      <c r="P47" s="9">
        <v>176105.30009999996</v>
      </c>
      <c r="Q47" s="9">
        <v>201495.62103668126</v>
      </c>
      <c r="R47" s="9">
        <v>41</v>
      </c>
      <c r="S47" s="9">
        <v>108</v>
      </c>
      <c r="T47" s="9">
        <v>715</v>
      </c>
      <c r="U47" s="9">
        <v>972</v>
      </c>
      <c r="V47" s="9">
        <v>-47.836220000011963</v>
      </c>
      <c r="W47" s="9">
        <v>7998.6972117794458</v>
      </c>
      <c r="X47" s="9">
        <v>15573.943039999973</v>
      </c>
      <c r="Y47" s="9">
        <v>118923.06327067671</v>
      </c>
      <c r="Z47" s="9">
        <v>420.07106999999996</v>
      </c>
      <c r="AA47" s="9">
        <v>2094.4344981658796</v>
      </c>
      <c r="AB47" s="9">
        <v>3617.21965</v>
      </c>
      <c r="AC47" s="9">
        <v>15691.270716749683</v>
      </c>
      <c r="AD47" s="9">
        <v>408.58534282631626</v>
      </c>
      <c r="AE47" s="9">
        <v>3907.6583743343826</v>
      </c>
      <c r="AF47" s="9">
        <v>-3617.5238899999922</v>
      </c>
      <c r="AG47" s="9">
        <v>24604.870904134979</v>
      </c>
      <c r="AH47" s="9">
        <v>141578</v>
      </c>
      <c r="AI47" s="9">
        <v>1499532.2936925676</v>
      </c>
      <c r="AJ47" s="9">
        <v>1264547.55</v>
      </c>
      <c r="AK47" s="9">
        <v>9837193.7621554043</v>
      </c>
      <c r="AL47" s="9">
        <v>146325.68464282629</v>
      </c>
      <c r="AM47" s="9">
        <v>1582855.7192526201</v>
      </c>
      <c r="AN47" s="9">
        <v>1570006.7101</v>
      </c>
      <c r="AO47" s="9">
        <v>10801894.760440739</v>
      </c>
    </row>
    <row r="48" spans="1:41" x14ac:dyDescent="0.25">
      <c r="A48" s="24" t="s">
        <v>2</v>
      </c>
      <c r="B48" s="9"/>
      <c r="C48" s="9"/>
      <c r="D48" s="9">
        <v>340706.49423000001</v>
      </c>
      <c r="E48" s="9">
        <v>383011.29182912281</v>
      </c>
      <c r="F48" s="9">
        <v>1050.5</v>
      </c>
      <c r="G48" s="9">
        <v>12373.04780116959</v>
      </c>
      <c r="H48" s="9">
        <v>36586.261599999998</v>
      </c>
      <c r="I48" s="9">
        <v>154483.68680701757</v>
      </c>
      <c r="J48" s="9">
        <v>37656</v>
      </c>
      <c r="K48" s="9">
        <v>56000</v>
      </c>
      <c r="L48" s="9">
        <v>543588</v>
      </c>
      <c r="M48" s="9">
        <v>563382.89</v>
      </c>
      <c r="N48" s="9"/>
      <c r="O48" s="9"/>
      <c r="P48" s="9">
        <v>325119.14138734137</v>
      </c>
      <c r="Q48" s="9">
        <v>257946.38948632334</v>
      </c>
      <c r="R48" s="9">
        <v>39</v>
      </c>
      <c r="S48" s="9">
        <v>98</v>
      </c>
      <c r="T48" s="9">
        <v>526</v>
      </c>
      <c r="U48" s="9">
        <v>882</v>
      </c>
      <c r="V48" s="9">
        <v>-10221.02078999998</v>
      </c>
      <c r="W48" s="9">
        <v>6907.3728070175648</v>
      </c>
      <c r="X48" s="9">
        <v>6110.905299999984</v>
      </c>
      <c r="Y48" s="9">
        <v>117640.55684210555</v>
      </c>
      <c r="Z48" s="9">
        <v>170.48258999999916</v>
      </c>
      <c r="AA48" s="9">
        <v>846.22887005580469</v>
      </c>
      <c r="AB48" s="9">
        <v>2651.1268799999998</v>
      </c>
      <c r="AC48" s="9">
        <v>6103.1250365090482</v>
      </c>
      <c r="AD48" s="9">
        <v>-1682.2283728009879</v>
      </c>
      <c r="AE48" s="9">
        <v>3877.2261649134348</v>
      </c>
      <c r="AF48" s="9">
        <v>-7737.0892699999958</v>
      </c>
      <c r="AG48" s="9">
        <v>14030.753781757396</v>
      </c>
      <c r="AH48" s="9">
        <v>42600</v>
      </c>
      <c r="AI48" s="9">
        <v>248443.22025675679</v>
      </c>
      <c r="AJ48" s="9">
        <v>606707</v>
      </c>
      <c r="AK48" s="9">
        <v>2048659.3215405405</v>
      </c>
      <c r="AL48" s="9">
        <v>69612.73342719904</v>
      </c>
      <c r="AM48" s="9">
        <v>328545.09589991317</v>
      </c>
      <c r="AN48" s="9">
        <v>1854257.8401273417</v>
      </c>
      <c r="AO48" s="9">
        <v>3546140.0153233763</v>
      </c>
    </row>
    <row r="49" spans="1:41" x14ac:dyDescent="0.25">
      <c r="A49" s="24" t="s">
        <v>11</v>
      </c>
      <c r="B49" s="9"/>
      <c r="C49" s="9"/>
      <c r="D49" s="9">
        <v>62887.421909999983</v>
      </c>
      <c r="E49" s="9">
        <v>70014.315115789475</v>
      </c>
      <c r="F49" s="9">
        <v>1523.71</v>
      </c>
      <c r="G49" s="9">
        <v>5348.7727218045111</v>
      </c>
      <c r="H49" s="9">
        <v>16007.059850000001</v>
      </c>
      <c r="I49" s="9">
        <v>91174.43633082704</v>
      </c>
      <c r="J49" s="9">
        <v>74494</v>
      </c>
      <c r="K49" s="9">
        <v>14000</v>
      </c>
      <c r="L49" s="9">
        <v>419449</v>
      </c>
      <c r="M49" s="9">
        <v>202313.7</v>
      </c>
      <c r="N49" s="9"/>
      <c r="O49" s="9"/>
      <c r="P49" s="9">
        <v>85658.53439999999</v>
      </c>
      <c r="Q49" s="9">
        <v>90660.364104775756</v>
      </c>
      <c r="R49" s="9">
        <v>55</v>
      </c>
      <c r="S49" s="9">
        <v>73</v>
      </c>
      <c r="T49" s="9">
        <v>576</v>
      </c>
      <c r="U49" s="9">
        <v>657</v>
      </c>
      <c r="V49" s="9">
        <v>12647.119370000015</v>
      </c>
      <c r="W49" s="9">
        <v>2986.0037593984903</v>
      </c>
      <c r="X49" s="9">
        <v>-10245.621200000016</v>
      </c>
      <c r="Y49" s="9">
        <v>77181.462556390994</v>
      </c>
      <c r="Z49" s="9">
        <v>447.41494999999986</v>
      </c>
      <c r="AA49" s="9">
        <v>407.75085076004689</v>
      </c>
      <c r="AB49" s="9">
        <v>1864.4031699999996</v>
      </c>
      <c r="AC49" s="9">
        <v>2883.8743569274093</v>
      </c>
      <c r="AD49" s="9">
        <v>-71.079585991383283</v>
      </c>
      <c r="AE49" s="9">
        <v>336.26810244799964</v>
      </c>
      <c r="AF49" s="9">
        <v>-8075.2019700000037</v>
      </c>
      <c r="AG49" s="9">
        <v>-1570.3393881648585</v>
      </c>
      <c r="AH49" s="9">
        <v>292254.69999999995</v>
      </c>
      <c r="AI49" s="9">
        <v>62110.805064189197</v>
      </c>
      <c r="AJ49" s="9">
        <v>476392.82999999996</v>
      </c>
      <c r="AK49" s="9">
        <v>462664.83038513514</v>
      </c>
      <c r="AL49" s="9">
        <v>381350.86473400862</v>
      </c>
      <c r="AM49" s="9">
        <v>85262.600498600252</v>
      </c>
      <c r="AN49" s="9">
        <v>1044514.4261599998</v>
      </c>
      <c r="AO49" s="9">
        <v>995979.64346168109</v>
      </c>
    </row>
    <row r="50" spans="1:41" x14ac:dyDescent="0.25">
      <c r="A50" s="24" t="s">
        <v>12</v>
      </c>
      <c r="B50" s="9"/>
      <c r="C50" s="9"/>
      <c r="D50" s="9">
        <v>26534.814299999998</v>
      </c>
      <c r="E50" s="9">
        <v>56185.975879122787</v>
      </c>
      <c r="F50" s="9">
        <v>2656.9</v>
      </c>
      <c r="G50" s="9">
        <v>8158.4827535505428</v>
      </c>
      <c r="H50" s="9">
        <v>19709.626520000002</v>
      </c>
      <c r="I50" s="9">
        <v>125196.29652130327</v>
      </c>
      <c r="J50" s="9">
        <v>875</v>
      </c>
      <c r="K50" s="9">
        <v>28000</v>
      </c>
      <c r="L50" s="9">
        <v>31262</v>
      </c>
      <c r="M50" s="9">
        <v>195984</v>
      </c>
      <c r="N50" s="9"/>
      <c r="O50" s="9"/>
      <c r="P50" s="9">
        <v>111018.57127934785</v>
      </c>
      <c r="Q50" s="9">
        <v>110875.60786483395</v>
      </c>
      <c r="R50" s="9">
        <v>25</v>
      </c>
      <c r="S50" s="9">
        <v>101</v>
      </c>
      <c r="T50" s="9">
        <v>178</v>
      </c>
      <c r="U50" s="9">
        <v>909</v>
      </c>
      <c r="V50" s="9">
        <v>-461.41438000000198</v>
      </c>
      <c r="W50" s="9">
        <v>4554.5513784461173</v>
      </c>
      <c r="X50" s="9">
        <v>3655.0949800000126</v>
      </c>
      <c r="Y50" s="9">
        <v>100323.62827067675</v>
      </c>
      <c r="Z50" s="9">
        <v>123.52645000000018</v>
      </c>
      <c r="AA50" s="9">
        <v>433.93977816563711</v>
      </c>
      <c r="AB50" s="9">
        <v>936.91997000000015</v>
      </c>
      <c r="AC50" s="9">
        <v>3009.1759648062839</v>
      </c>
      <c r="AD50" s="9">
        <v>-851.97544084122296</v>
      </c>
      <c r="AE50" s="9">
        <v>1752.4295655537348</v>
      </c>
      <c r="AF50" s="9">
        <v>-1370.0164500000012</v>
      </c>
      <c r="AG50" s="9">
        <v>6123.808479191126</v>
      </c>
      <c r="AH50" s="9">
        <v>14000</v>
      </c>
      <c r="AI50" s="9">
        <v>124221.61012837839</v>
      </c>
      <c r="AJ50" s="9">
        <v>63000</v>
      </c>
      <c r="AK50" s="9">
        <v>1006329.6607702703</v>
      </c>
      <c r="AL50" s="9">
        <v>16367.036629158774</v>
      </c>
      <c r="AM50" s="9">
        <v>167222.01360409442</v>
      </c>
      <c r="AN50" s="9">
        <v>254925.01059934785</v>
      </c>
      <c r="AO50" s="9">
        <v>1604937.1537502045</v>
      </c>
    </row>
    <row r="51" spans="1:41" x14ac:dyDescent="0.25">
      <c r="A51" s="24" t="s">
        <v>14</v>
      </c>
      <c r="B51" s="9"/>
      <c r="C51" s="9"/>
      <c r="D51" s="9">
        <v>41334.034539999993</v>
      </c>
      <c r="E51" s="9">
        <v>58207.229905789463</v>
      </c>
      <c r="F51" s="9">
        <v>3187.5360000000001</v>
      </c>
      <c r="G51" s="9">
        <v>5348.7727218045111</v>
      </c>
      <c r="H51" s="9">
        <v>19146.838</v>
      </c>
      <c r="I51" s="9">
        <v>91256.236330827058</v>
      </c>
      <c r="J51" s="9">
        <v>2944</v>
      </c>
      <c r="K51" s="9">
        <v>14000</v>
      </c>
      <c r="L51" s="9">
        <v>27079</v>
      </c>
      <c r="M51" s="9">
        <v>90036</v>
      </c>
      <c r="N51" s="9"/>
      <c r="O51" s="9"/>
      <c r="P51" s="9">
        <v>135219.94361000002</v>
      </c>
      <c r="Q51" s="9">
        <v>114919.81597085026</v>
      </c>
      <c r="R51" s="9">
        <v>28</v>
      </c>
      <c r="S51" s="9">
        <v>61</v>
      </c>
      <c r="T51" s="9">
        <v>280</v>
      </c>
      <c r="U51" s="9">
        <v>549</v>
      </c>
      <c r="V51" s="9">
        <v>-292.4953300000052</v>
      </c>
      <c r="W51" s="9">
        <v>2986.0037593984903</v>
      </c>
      <c r="X51" s="9">
        <v>13039.499689999993</v>
      </c>
      <c r="Y51" s="9">
        <v>77246.902556390996</v>
      </c>
      <c r="Z51" s="9">
        <v>151.16138999999998</v>
      </c>
      <c r="AA51" s="9">
        <v>366.98137017030649</v>
      </c>
      <c r="AB51" s="9">
        <v>1480.11283</v>
      </c>
      <c r="AC51" s="9">
        <v>2683.2196300571418</v>
      </c>
      <c r="AD51" s="9">
        <v>270.00973770790188</v>
      </c>
      <c r="AE51" s="9">
        <v>868.6876121309466</v>
      </c>
      <c r="AF51" s="9">
        <v>-2841.4684099999981</v>
      </c>
      <c r="AG51" s="9">
        <v>4852.2583957982461</v>
      </c>
      <c r="AH51" s="9">
        <v>23000</v>
      </c>
      <c r="AI51" s="9">
        <v>62110.805064189197</v>
      </c>
      <c r="AJ51" s="9">
        <v>256120</v>
      </c>
      <c r="AK51" s="9">
        <v>546664.83038513514</v>
      </c>
      <c r="AL51" s="9">
        <v>29288.211797707896</v>
      </c>
      <c r="AM51" s="9">
        <v>85742.250527693453</v>
      </c>
      <c r="AN51" s="9">
        <v>490857.96026000002</v>
      </c>
      <c r="AO51" s="9">
        <v>986415.49317484838</v>
      </c>
    </row>
    <row r="52" spans="1:41" x14ac:dyDescent="0.25">
      <c r="A52" s="24" t="s">
        <v>5</v>
      </c>
      <c r="B52" s="9"/>
      <c r="C52" s="9"/>
      <c r="D52" s="9">
        <v>29193.435439999997</v>
      </c>
      <c r="E52" s="9">
        <v>50574.386995789471</v>
      </c>
      <c r="F52" s="9">
        <v>1094.3168999999998</v>
      </c>
      <c r="G52" s="9">
        <v>10544.085610693401</v>
      </c>
      <c r="H52" s="9">
        <v>19216.189400000003</v>
      </c>
      <c r="I52" s="9">
        <v>104346.31366416044</v>
      </c>
      <c r="J52" s="9">
        <v>3424</v>
      </c>
      <c r="K52" s="9">
        <v>14000</v>
      </c>
      <c r="L52" s="9">
        <v>12202</v>
      </c>
      <c r="M52" s="9">
        <v>84790</v>
      </c>
      <c r="N52" s="9"/>
      <c r="O52" s="9"/>
      <c r="P52" s="9">
        <v>67478.5383</v>
      </c>
      <c r="Q52" s="9">
        <v>111218.56575355132</v>
      </c>
      <c r="R52" s="9">
        <v>25</v>
      </c>
      <c r="S52" s="9">
        <v>58</v>
      </c>
      <c r="T52" s="9">
        <v>398</v>
      </c>
      <c r="U52" s="9">
        <v>522</v>
      </c>
      <c r="V52" s="9">
        <v>-1631.8735099999976</v>
      </c>
      <c r="W52" s="9">
        <v>2986.0037593984903</v>
      </c>
      <c r="X52" s="9">
        <v>-8714.2306900000003</v>
      </c>
      <c r="Y52" s="9">
        <v>62781.462556390994</v>
      </c>
      <c r="Z52" s="9">
        <v>132.37232000000017</v>
      </c>
      <c r="AA52" s="9">
        <v>533.94731923539848</v>
      </c>
      <c r="AB52" s="9">
        <v>1770.6755699999999</v>
      </c>
      <c r="AC52" s="9">
        <v>3811.9214029011641</v>
      </c>
      <c r="AD52" s="9">
        <v>-286.06493798785209</v>
      </c>
      <c r="AE52" s="9">
        <v>1008.0789240550741</v>
      </c>
      <c r="AF52" s="9">
        <v>-2148.3923299999992</v>
      </c>
      <c r="AG52" s="9">
        <v>4653.5950075225182</v>
      </c>
      <c r="AH52" s="9">
        <v>5000</v>
      </c>
      <c r="AI52" s="9">
        <v>62110.805064189197</v>
      </c>
      <c r="AJ52" s="9">
        <v>415979.14</v>
      </c>
      <c r="AK52" s="9">
        <v>726664.83038513537</v>
      </c>
      <c r="AL52" s="9">
        <v>7757.7507720121503</v>
      </c>
      <c r="AM52" s="9">
        <v>91240.920677571557</v>
      </c>
      <c r="AN52" s="9">
        <v>535375.35569</v>
      </c>
      <c r="AO52" s="9">
        <v>1149363.0757654514</v>
      </c>
    </row>
    <row r="53" spans="1:41" x14ac:dyDescent="0.25">
      <c r="A53" s="24" t="s">
        <v>22</v>
      </c>
      <c r="B53" s="9"/>
      <c r="C53" s="9"/>
      <c r="D53" s="9">
        <v>137609.73173000003</v>
      </c>
      <c r="E53" s="9">
        <v>216643.53959578951</v>
      </c>
      <c r="F53" s="9">
        <v>1075.3000999999999</v>
      </c>
      <c r="G53" s="9">
        <v>10575.010092174882</v>
      </c>
      <c r="H53" s="9">
        <v>24806.635459999998</v>
      </c>
      <c r="I53" s="9">
        <v>173031.86055304925</v>
      </c>
      <c r="J53" s="9">
        <v>16512</v>
      </c>
      <c r="K53" s="9">
        <v>97666</v>
      </c>
      <c r="L53" s="9">
        <v>422550</v>
      </c>
      <c r="M53" s="9">
        <v>768278.45</v>
      </c>
      <c r="N53" s="9"/>
      <c r="O53" s="9"/>
      <c r="P53" s="9">
        <v>260467.22664000007</v>
      </c>
      <c r="Q53" s="9">
        <v>221241.50604463759</v>
      </c>
      <c r="R53" s="9">
        <v>37</v>
      </c>
      <c r="S53" s="9">
        <v>68</v>
      </c>
      <c r="T53" s="9">
        <v>318</v>
      </c>
      <c r="U53" s="9">
        <v>612</v>
      </c>
      <c r="V53" s="9">
        <v>-6548.3276699999697</v>
      </c>
      <c r="W53" s="9">
        <v>8734.8787593984907</v>
      </c>
      <c r="X53" s="9">
        <v>-4703.8601500000223</v>
      </c>
      <c r="Y53" s="9">
        <v>152074.71255639094</v>
      </c>
      <c r="Z53" s="9">
        <v>886.66119000000072</v>
      </c>
      <c r="AA53" s="9">
        <v>2234.9442266878068</v>
      </c>
      <c r="AB53" s="9">
        <v>8536.3545200000008</v>
      </c>
      <c r="AC53" s="9">
        <v>18502.362083564309</v>
      </c>
      <c r="AD53" s="9">
        <v>-1114.9367746516309</v>
      </c>
      <c r="AE53" s="9">
        <v>4008.7320762681611</v>
      </c>
      <c r="AF53" s="9">
        <v>3592.4297099999876</v>
      </c>
      <c r="AG53" s="9">
        <v>29252.77787353488</v>
      </c>
      <c r="AH53" s="9">
        <v>730586.90999999992</v>
      </c>
      <c r="AI53" s="9">
        <v>1608965.6169009011</v>
      </c>
      <c r="AJ53" s="9">
        <v>6776355.3400000008</v>
      </c>
      <c r="AK53" s="9">
        <v>14216793.701405404</v>
      </c>
      <c r="AL53" s="9">
        <v>741434.60684534837</v>
      </c>
      <c r="AM53" s="9">
        <v>1732253.1820554305</v>
      </c>
      <c r="AN53" s="9">
        <v>7629531.8579100007</v>
      </c>
      <c r="AO53" s="9">
        <v>15796430.91011237</v>
      </c>
    </row>
    <row r="54" spans="1:41" x14ac:dyDescent="0.25">
      <c r="A54" s="24" t="s">
        <v>1</v>
      </c>
      <c r="B54" s="9"/>
      <c r="C54" s="9"/>
      <c r="D54" s="9">
        <v>210530.82475000003</v>
      </c>
      <c r="E54" s="9">
        <v>310737.04955245618</v>
      </c>
      <c r="F54" s="9">
        <v>880.69299999999998</v>
      </c>
      <c r="G54" s="9">
        <v>20868.444642439434</v>
      </c>
      <c r="H54" s="9">
        <v>14102.89</v>
      </c>
      <c r="I54" s="9">
        <v>224216.66785463656</v>
      </c>
      <c r="J54" s="9">
        <v>32608</v>
      </c>
      <c r="K54" s="9">
        <v>56000</v>
      </c>
      <c r="L54" s="9">
        <v>912911</v>
      </c>
      <c r="M54" s="9">
        <v>616536.37</v>
      </c>
      <c r="N54" s="9"/>
      <c r="O54" s="9"/>
      <c r="P54" s="9">
        <v>127682.53033000001</v>
      </c>
      <c r="Q54" s="9">
        <v>217970.01402968139</v>
      </c>
      <c r="R54" s="9">
        <v>45</v>
      </c>
      <c r="S54" s="9">
        <v>178</v>
      </c>
      <c r="T54" s="9">
        <v>942</v>
      </c>
      <c r="U54" s="9">
        <v>1602</v>
      </c>
      <c r="V54" s="9">
        <v>-2080.8415899999673</v>
      </c>
      <c r="W54" s="9">
        <v>11650.009711779476</v>
      </c>
      <c r="X54" s="9">
        <v>-7927.4346799999475</v>
      </c>
      <c r="Y54" s="9">
        <v>161104.85827067675</v>
      </c>
      <c r="Z54" s="9">
        <v>165.13244000000009</v>
      </c>
      <c r="AA54" s="9">
        <v>1059.2493929117636</v>
      </c>
      <c r="AB54" s="9">
        <v>2140.6470800000002</v>
      </c>
      <c r="AC54" s="9">
        <v>7258.7722265050224</v>
      </c>
      <c r="AD54" s="9">
        <v>-2770.8852460899561</v>
      </c>
      <c r="AE54" s="9">
        <v>-338.82033085188283</v>
      </c>
      <c r="AF54" s="9">
        <v>-11867.748549999997</v>
      </c>
      <c r="AG54" s="9">
        <v>-10768.423845162382</v>
      </c>
      <c r="AH54" s="9">
        <v>21900</v>
      </c>
      <c r="AI54" s="9">
        <v>248443.22025675679</v>
      </c>
      <c r="AJ54" s="9">
        <v>168200</v>
      </c>
      <c r="AK54" s="9">
        <v>1679659.3215405405</v>
      </c>
      <c r="AL54" s="9">
        <v>50747.098603910075</v>
      </c>
      <c r="AM54" s="9">
        <v>337860.10367303557</v>
      </c>
      <c r="AN54" s="9">
        <v>1416714.7089300002</v>
      </c>
      <c r="AO54" s="9">
        <v>3208316.629629334</v>
      </c>
    </row>
    <row r="55" spans="1:41" x14ac:dyDescent="0.25">
      <c r="A55" s="24" t="s">
        <v>16</v>
      </c>
      <c r="B55" s="9"/>
      <c r="C55" s="9"/>
      <c r="D55" s="9">
        <v>150463.46079000001</v>
      </c>
      <c r="E55" s="9">
        <v>206488.77644578941</v>
      </c>
      <c r="F55" s="9">
        <v>7229.9560000000001</v>
      </c>
      <c r="G55" s="9">
        <v>8116.5138143971044</v>
      </c>
      <c r="H55" s="9">
        <v>37363.210050000002</v>
      </c>
      <c r="I55" s="9">
        <v>117780.88288638259</v>
      </c>
      <c r="J55" s="9">
        <v>56295</v>
      </c>
      <c r="K55" s="9">
        <v>83666</v>
      </c>
      <c r="L55" s="9">
        <v>436829</v>
      </c>
      <c r="M55" s="9">
        <v>745826.65</v>
      </c>
      <c r="N55" s="9"/>
      <c r="O55" s="9"/>
      <c r="P55" s="9">
        <v>159540.38125000001</v>
      </c>
      <c r="Q55" s="9">
        <v>174082.71396983496</v>
      </c>
      <c r="R55" s="9">
        <v>46</v>
      </c>
      <c r="S55" s="9">
        <v>56</v>
      </c>
      <c r="T55" s="9">
        <v>431</v>
      </c>
      <c r="U55" s="9">
        <v>504</v>
      </c>
      <c r="V55" s="9">
        <v>4768.4350000000268</v>
      </c>
      <c r="W55" s="9">
        <v>8812.5662593984907</v>
      </c>
      <c r="X55" s="9">
        <v>-6428.2691500000074</v>
      </c>
      <c r="Y55" s="9">
        <v>120140.83755639099</v>
      </c>
      <c r="Z55" s="9">
        <v>680.7220699999998</v>
      </c>
      <c r="AA55" s="9">
        <v>2141.6750339339724</v>
      </c>
      <c r="AB55" s="9">
        <v>4484.5684099999999</v>
      </c>
      <c r="AC55" s="9">
        <v>16264.802632056955</v>
      </c>
      <c r="AD55" s="9">
        <v>675.59352178954214</v>
      </c>
      <c r="AE55" s="9">
        <v>3100.9628288613872</v>
      </c>
      <c r="AF55" s="9">
        <v>18529.849160000005</v>
      </c>
      <c r="AG55" s="9">
        <v>23119.022550920916</v>
      </c>
      <c r="AH55" s="9">
        <v>344987</v>
      </c>
      <c r="AI55" s="9">
        <v>1656288.1350450451</v>
      </c>
      <c r="AJ55" s="9">
        <v>2291072</v>
      </c>
      <c r="AK55" s="9">
        <v>11431728.810270268</v>
      </c>
      <c r="AL55" s="9">
        <v>414682.70659178961</v>
      </c>
      <c r="AM55" s="9">
        <v>1762181.8529816361</v>
      </c>
      <c r="AN55" s="9">
        <v>3092285.2005099999</v>
      </c>
      <c r="AO55" s="9">
        <v>12835936.496311644</v>
      </c>
    </row>
    <row r="56" spans="1:41" x14ac:dyDescent="0.25">
      <c r="A56" s="24" t="s">
        <v>3</v>
      </c>
      <c r="B56" s="9"/>
      <c r="C56" s="9"/>
      <c r="D56" s="9">
        <v>83120.349220000004</v>
      </c>
      <c r="E56" s="9">
        <v>127149.62453578947</v>
      </c>
      <c r="F56" s="9">
        <v>198.55500000000001</v>
      </c>
      <c r="G56" s="9">
        <v>10756.139197994988</v>
      </c>
      <c r="H56" s="9">
        <v>29518.402549999999</v>
      </c>
      <c r="I56" s="9">
        <v>123379.23518796991</v>
      </c>
      <c r="J56" s="9">
        <v>1494</v>
      </c>
      <c r="K56" s="9">
        <v>28000</v>
      </c>
      <c r="L56" s="9">
        <v>54698</v>
      </c>
      <c r="M56" s="9">
        <v>185213.4</v>
      </c>
      <c r="N56" s="9"/>
      <c r="O56" s="9"/>
      <c r="P56" s="9">
        <v>152512.62695000001</v>
      </c>
      <c r="Q56" s="9">
        <v>176954.83925680714</v>
      </c>
      <c r="R56" s="9">
        <v>38</v>
      </c>
      <c r="S56" s="9">
        <v>68</v>
      </c>
      <c r="T56" s="9">
        <v>467</v>
      </c>
      <c r="U56" s="9">
        <v>612</v>
      </c>
      <c r="V56" s="9">
        <v>-4032.9673199999816</v>
      </c>
      <c r="W56" s="9">
        <v>6004.7180451127733</v>
      </c>
      <c r="X56" s="9">
        <v>4665.3402700000152</v>
      </c>
      <c r="Y56" s="9">
        <v>95102.2282706767</v>
      </c>
      <c r="Z56" s="9">
        <v>134.24491999999987</v>
      </c>
      <c r="AA56" s="9">
        <v>685.812550581697</v>
      </c>
      <c r="AB56" s="9">
        <v>1952.0201400000001</v>
      </c>
      <c r="AC56" s="9">
        <v>4802.748804815008</v>
      </c>
      <c r="AD56" s="9">
        <v>245.66368761967215</v>
      </c>
      <c r="AE56" s="9">
        <v>1852.0452938848425</v>
      </c>
      <c r="AF56" s="9">
        <v>1537.1807500000032</v>
      </c>
      <c r="AG56" s="9">
        <v>9959.6387178954028</v>
      </c>
      <c r="AH56" s="9">
        <v>23900</v>
      </c>
      <c r="AI56" s="9">
        <v>124221.61012837839</v>
      </c>
      <c r="AJ56" s="9">
        <v>273380</v>
      </c>
      <c r="AK56" s="9">
        <v>1018329.6607702703</v>
      </c>
      <c r="AL56" s="9">
        <v>21977.496287619691</v>
      </c>
      <c r="AM56" s="9">
        <v>171588.32521595267</v>
      </c>
      <c r="AN56" s="9">
        <v>601850.91988000006</v>
      </c>
      <c r="AO56" s="9">
        <v>1741503.3755442239</v>
      </c>
    </row>
    <row r="57" spans="1:41" x14ac:dyDescent="0.25">
      <c r="A57" s="24" t="s">
        <v>9</v>
      </c>
      <c r="B57" s="9"/>
      <c r="C57" s="9"/>
      <c r="D57" s="9">
        <v>170519.92852000002</v>
      </c>
      <c r="E57" s="9">
        <v>222307.24906912274</v>
      </c>
      <c r="F57" s="9">
        <v>356.62099999999998</v>
      </c>
      <c r="G57" s="9">
        <v>4997.5589678362567</v>
      </c>
      <c r="H57" s="9">
        <v>15053.903109999999</v>
      </c>
      <c r="I57" s="9">
        <v>113148.95380701756</v>
      </c>
      <c r="J57" s="9">
        <v>186</v>
      </c>
      <c r="K57" s="9">
        <v>14000</v>
      </c>
      <c r="L57" s="9">
        <v>9227</v>
      </c>
      <c r="M57" s="9">
        <v>86302</v>
      </c>
      <c r="N57" s="9"/>
      <c r="O57" s="9"/>
      <c r="P57" s="9">
        <v>119126.21129999998</v>
      </c>
      <c r="Q57" s="9">
        <v>139021.86514560535</v>
      </c>
      <c r="R57" s="9">
        <v>21</v>
      </c>
      <c r="S57" s="9">
        <v>76</v>
      </c>
      <c r="T57" s="9">
        <v>196</v>
      </c>
      <c r="U57" s="9">
        <v>684</v>
      </c>
      <c r="V57" s="9">
        <v>3137.0867699999944</v>
      </c>
      <c r="W57" s="9">
        <v>2789.9353070175348</v>
      </c>
      <c r="X57" s="9">
        <v>-24569.480319999944</v>
      </c>
      <c r="Y57" s="9">
        <v>95270.491842105141</v>
      </c>
      <c r="Z57" s="9">
        <v>111.66228000000024</v>
      </c>
      <c r="AA57" s="9">
        <v>402.36733828298065</v>
      </c>
      <c r="AB57" s="9">
        <v>1518.6998500000002</v>
      </c>
      <c r="AC57" s="9">
        <v>2951.5184841410296</v>
      </c>
      <c r="AD57" s="9">
        <v>-812.44920031207857</v>
      </c>
      <c r="AE57" s="9">
        <v>334.13376445647407</v>
      </c>
      <c r="AF57" s="9">
        <v>-5266.977479999995</v>
      </c>
      <c r="AG57" s="9">
        <v>-154.41003341679078</v>
      </c>
      <c r="AH57" s="9">
        <v>20000</v>
      </c>
      <c r="AI57" s="9">
        <v>62110.805064189197</v>
      </c>
      <c r="AJ57" s="9">
        <v>295792</v>
      </c>
      <c r="AK57" s="9">
        <v>1152664.8303851355</v>
      </c>
      <c r="AL57" s="9">
        <v>22999.920849687915</v>
      </c>
      <c r="AM57" s="9">
        <v>84710.800441782441</v>
      </c>
      <c r="AN57" s="9">
        <v>581597.28498</v>
      </c>
      <c r="AO57" s="9">
        <v>1812196.4986997105</v>
      </c>
    </row>
    <row r="58" spans="1:41" x14ac:dyDescent="0.25">
      <c r="A58" s="24" t="s">
        <v>0</v>
      </c>
      <c r="B58" s="9"/>
      <c r="C58" s="9"/>
      <c r="D58" s="9">
        <v>98497.340690000012</v>
      </c>
      <c r="E58" s="9">
        <v>109116.05928245613</v>
      </c>
      <c r="F58" s="9">
        <v>712.69500000000005</v>
      </c>
      <c r="G58" s="9">
        <v>11147.112999582288</v>
      </c>
      <c r="H58" s="9">
        <v>19107.42295</v>
      </c>
      <c r="I58" s="9">
        <v>135964.47799749373</v>
      </c>
      <c r="J58" s="9">
        <v>7943</v>
      </c>
      <c r="K58" s="9">
        <v>28000</v>
      </c>
      <c r="L58" s="9">
        <v>344475</v>
      </c>
      <c r="M58" s="9">
        <v>474478.26</v>
      </c>
      <c r="N58" s="9"/>
      <c r="O58" s="9"/>
      <c r="P58" s="9">
        <v>169138.76613</v>
      </c>
      <c r="Q58" s="9">
        <v>179998.95138947575</v>
      </c>
      <c r="R58" s="9">
        <v>17</v>
      </c>
      <c r="S58" s="9">
        <v>66</v>
      </c>
      <c r="T58" s="9">
        <v>403</v>
      </c>
      <c r="U58" s="9">
        <v>594</v>
      </c>
      <c r="V58" s="9">
        <v>15272.935440000001</v>
      </c>
      <c r="W58" s="9">
        <v>5601.4829260651768</v>
      </c>
      <c r="X58" s="9">
        <v>20552.216780000002</v>
      </c>
      <c r="Y58" s="9">
        <v>100874.33755639099</v>
      </c>
      <c r="Z58" s="9">
        <v>248.43295000000035</v>
      </c>
      <c r="AA58" s="9">
        <v>780.57831409124447</v>
      </c>
      <c r="AB58" s="9">
        <v>1975.9217000000003</v>
      </c>
      <c r="AC58" s="9">
        <v>5346.7943471427579</v>
      </c>
      <c r="AD58" s="9">
        <v>-543.29090298386564</v>
      </c>
      <c r="AE58" s="9">
        <v>1981.0426402841006</v>
      </c>
      <c r="AF58" s="9">
        <v>2765.4453900000053</v>
      </c>
      <c r="AG58" s="9">
        <v>14347.703885525563</v>
      </c>
      <c r="AH58" s="9">
        <v>136739</v>
      </c>
      <c r="AI58" s="9">
        <v>124221.61012837839</v>
      </c>
      <c r="AJ58" s="9">
        <v>581617.17999999993</v>
      </c>
      <c r="AK58" s="9">
        <v>1216329.6607702705</v>
      </c>
      <c r="AL58" s="9">
        <v>160389.77248701613</v>
      </c>
      <c r="AM58" s="9">
        <v>171797.82700840122</v>
      </c>
      <c r="AN58" s="9">
        <v>1238532.2936399998</v>
      </c>
      <c r="AO58" s="9">
        <v>2237050.2452287553</v>
      </c>
    </row>
    <row r="59" spans="1:41" x14ac:dyDescent="0.25">
      <c r="A59" s="24" t="s">
        <v>8</v>
      </c>
      <c r="B59" s="9"/>
      <c r="C59" s="9"/>
      <c r="D59" s="9">
        <v>529356.1886900001</v>
      </c>
      <c r="E59" s="9">
        <v>538439.79059245624</v>
      </c>
      <c r="F59" s="9">
        <v>8740.643399999999</v>
      </c>
      <c r="G59" s="9">
        <v>21166.644999582291</v>
      </c>
      <c r="H59" s="9">
        <v>84216.410909999977</v>
      </c>
      <c r="I59" s="9">
        <v>184581.66999749374</v>
      </c>
      <c r="J59" s="9">
        <v>2345</v>
      </c>
      <c r="K59" s="9">
        <v>28000</v>
      </c>
      <c r="L59" s="9">
        <v>606614</v>
      </c>
      <c r="M59" s="9">
        <v>400755.81</v>
      </c>
      <c r="N59" s="9"/>
      <c r="O59" s="9"/>
      <c r="P59" s="9">
        <v>676633.67795000016</v>
      </c>
      <c r="Q59" s="9">
        <v>545194.48484311544</v>
      </c>
      <c r="R59" s="9">
        <v>21</v>
      </c>
      <c r="S59" s="9">
        <v>85</v>
      </c>
      <c r="T59" s="9">
        <v>415</v>
      </c>
      <c r="U59" s="9">
        <v>765</v>
      </c>
      <c r="V59" s="9">
        <v>21791.207050000026</v>
      </c>
      <c r="W59" s="9">
        <v>7465.9829260651468</v>
      </c>
      <c r="X59" s="9">
        <v>50732.615560000122</v>
      </c>
      <c r="Y59" s="9">
        <v>102861.33755639117</v>
      </c>
      <c r="Z59" s="9">
        <v>3533.5904599999958</v>
      </c>
      <c r="AA59" s="9">
        <v>1018.5078765615326</v>
      </c>
      <c r="AB59" s="9">
        <v>25531.462079999998</v>
      </c>
      <c r="AC59" s="9">
        <v>13248.138917038679</v>
      </c>
      <c r="AD59" s="9">
        <v>8135.4749502262912</v>
      </c>
      <c r="AE59" s="9">
        <v>5553.9570918260306</v>
      </c>
      <c r="AF59" s="9">
        <v>-12044.209059999992</v>
      </c>
      <c r="AG59" s="9">
        <v>31565.09853694298</v>
      </c>
      <c r="AH59" s="9">
        <v>3407770</v>
      </c>
      <c r="AI59" s="9">
        <v>124221.61012837839</v>
      </c>
      <c r="AJ59" s="9">
        <v>22952296.140000001</v>
      </c>
      <c r="AK59" s="9">
        <v>4795329.660770271</v>
      </c>
      <c r="AL59" s="9">
        <v>3452336.9158602264</v>
      </c>
      <c r="AM59" s="9">
        <v>187511.70302241339</v>
      </c>
      <c r="AN59" s="9">
        <v>24913751.28613</v>
      </c>
      <c r="AO59" s="9">
        <v>6612740.9912137091</v>
      </c>
    </row>
    <row r="60" spans="1:41" x14ac:dyDescent="0.25">
      <c r="A60" s="24" t="s">
        <v>13</v>
      </c>
      <c r="B60" s="9"/>
      <c r="C60" s="9"/>
      <c r="D60" s="9">
        <v>141400.21826999998</v>
      </c>
      <c r="E60" s="9">
        <v>283737.36418245616</v>
      </c>
      <c r="F60" s="9">
        <v>327.72699999999998</v>
      </c>
      <c r="G60" s="9">
        <v>7807.2689995822902</v>
      </c>
      <c r="H60" s="9">
        <v>29372.987099999998</v>
      </c>
      <c r="I60" s="9">
        <v>118343.61399749373</v>
      </c>
      <c r="J60" s="9">
        <v>3003</v>
      </c>
      <c r="K60" s="9">
        <v>28000</v>
      </c>
      <c r="L60" s="9">
        <v>43232</v>
      </c>
      <c r="M60" s="9">
        <v>194746</v>
      </c>
      <c r="N60" s="9"/>
      <c r="O60" s="9"/>
      <c r="P60" s="9">
        <v>208847.40095999997</v>
      </c>
      <c r="Q60" s="9">
        <v>189452.96408461803</v>
      </c>
      <c r="R60" s="9">
        <v>24</v>
      </c>
      <c r="S60" s="9">
        <v>65</v>
      </c>
      <c r="T60" s="9">
        <v>254</v>
      </c>
      <c r="U60" s="9">
        <v>585</v>
      </c>
      <c r="V60" s="9">
        <v>-9523.4543399999966</v>
      </c>
      <c r="W60" s="9">
        <v>4358.4829260651468</v>
      </c>
      <c r="X60" s="9">
        <v>-109737.54909000004</v>
      </c>
      <c r="Y60" s="9">
        <v>95350.897556391021</v>
      </c>
      <c r="Z60" s="9">
        <v>724.65543000000071</v>
      </c>
      <c r="AA60" s="9">
        <v>490.40834192176226</v>
      </c>
      <c r="AB60" s="9">
        <v>17077.763139999999</v>
      </c>
      <c r="AC60" s="9">
        <v>9508.1564418336711</v>
      </c>
      <c r="AD60" s="9">
        <v>1274.8239946146614</v>
      </c>
      <c r="AE60" s="9">
        <v>1090.2060689439393</v>
      </c>
      <c r="AF60" s="9">
        <v>3604.1273499999866</v>
      </c>
      <c r="AG60" s="9">
        <v>2813.7078452390842</v>
      </c>
      <c r="AH60" s="9">
        <v>671672.78</v>
      </c>
      <c r="AI60" s="9">
        <v>124221.61012837839</v>
      </c>
      <c r="AJ60" s="9">
        <v>15722846.529999999</v>
      </c>
      <c r="AK60" s="9">
        <v>4378329.660770271</v>
      </c>
      <c r="AL60" s="9">
        <v>667503.53208461474</v>
      </c>
      <c r="AM60" s="9">
        <v>166032.97646489152</v>
      </c>
      <c r="AN60" s="9">
        <v>16056897.477729999</v>
      </c>
      <c r="AO60" s="9">
        <v>5272867.3648783024</v>
      </c>
    </row>
    <row r="61" spans="1:41" x14ac:dyDescent="0.25">
      <c r="A61" s="24" t="s">
        <v>15</v>
      </c>
      <c r="B61" s="9"/>
      <c r="C61" s="9"/>
      <c r="D61" s="9">
        <v>36385.467610000007</v>
      </c>
      <c r="E61" s="9">
        <v>67476.08680578947</v>
      </c>
      <c r="F61" s="9">
        <v>547.26499999999999</v>
      </c>
      <c r="G61" s="9">
        <v>5348.7727218045111</v>
      </c>
      <c r="H61" s="9">
        <v>14727.66985</v>
      </c>
      <c r="I61" s="9">
        <v>81256.236330827058</v>
      </c>
      <c r="J61" s="9">
        <v>0</v>
      </c>
      <c r="K61" s="9">
        <v>14000</v>
      </c>
      <c r="L61" s="9">
        <v>2438</v>
      </c>
      <c r="M61" s="9">
        <v>84000</v>
      </c>
      <c r="N61" s="9"/>
      <c r="O61" s="9"/>
      <c r="P61" s="9">
        <v>100515.87258000001</v>
      </c>
      <c r="Q61" s="9">
        <v>99154.905725252072</v>
      </c>
      <c r="R61" s="9">
        <v>11</v>
      </c>
      <c r="S61" s="9">
        <v>66</v>
      </c>
      <c r="T61" s="9">
        <v>194</v>
      </c>
      <c r="U61" s="9">
        <v>594</v>
      </c>
      <c r="V61" s="9">
        <v>-7877.7839299999978</v>
      </c>
      <c r="W61" s="9">
        <v>2986.0037593984976</v>
      </c>
      <c r="X61" s="9">
        <v>-3899.4006099999897</v>
      </c>
      <c r="Y61" s="9">
        <v>69246.902556390996</v>
      </c>
      <c r="Z61" s="9">
        <v>48.283849999999916</v>
      </c>
      <c r="AA61" s="9">
        <v>416.99674353260571</v>
      </c>
      <c r="AB61" s="9">
        <v>875.06511</v>
      </c>
      <c r="AC61" s="9">
        <v>2684.6095689032213</v>
      </c>
      <c r="AD61" s="9">
        <v>-304.21945351075101</v>
      </c>
      <c r="AE61" s="9">
        <v>669.01705098410025</v>
      </c>
      <c r="AF61" s="9">
        <v>-7215.9383099999932</v>
      </c>
      <c r="AG61" s="9">
        <v>1211.9406523263467</v>
      </c>
      <c r="AH61" s="9">
        <v>14000</v>
      </c>
      <c r="AI61" s="9">
        <v>62110.805064189197</v>
      </c>
      <c r="AJ61" s="9">
        <v>81000</v>
      </c>
      <c r="AK61" s="9">
        <v>408664.83038513514</v>
      </c>
      <c r="AL61" s="9">
        <v>6424.5454664892513</v>
      </c>
      <c r="AM61" s="9">
        <v>85597.595339908905</v>
      </c>
      <c r="AN61" s="9">
        <v>225020.73623000004</v>
      </c>
      <c r="AO61" s="9">
        <v>814289.51202462427</v>
      </c>
    </row>
    <row r="62" spans="1:41" x14ac:dyDescent="0.25">
      <c r="A62" s="24" t="s">
        <v>23</v>
      </c>
      <c r="B62" s="9"/>
      <c r="C62" s="9"/>
      <c r="D62" s="9">
        <v>3288285.5994300009</v>
      </c>
      <c r="E62" s="9">
        <v>3926490.1704833317</v>
      </c>
      <c r="F62" s="9">
        <v>60393.219549999994</v>
      </c>
      <c r="G62" s="9">
        <v>185546.88888888891</v>
      </c>
      <c r="H62" s="9">
        <v>568825.16649999993</v>
      </c>
      <c r="I62" s="9">
        <v>2464338.3333333335</v>
      </c>
      <c r="J62" s="9">
        <v>557486</v>
      </c>
      <c r="K62" s="9">
        <v>671332</v>
      </c>
      <c r="L62" s="9">
        <v>7341866</v>
      </c>
      <c r="M62" s="9">
        <v>6781835.5300000003</v>
      </c>
      <c r="N62" s="9"/>
      <c r="O62" s="9"/>
      <c r="P62" s="9">
        <v>3771889.499486689</v>
      </c>
      <c r="Q62" s="9">
        <v>3591855.2514735442</v>
      </c>
      <c r="R62" s="9">
        <v>604</v>
      </c>
      <c r="S62" s="9">
        <v>1537</v>
      </c>
      <c r="T62" s="9">
        <v>7805</v>
      </c>
      <c r="U62" s="9">
        <v>13833</v>
      </c>
      <c r="V62" s="9">
        <v>2285.5291200002757</v>
      </c>
      <c r="W62" s="9">
        <v>103583.33333333324</v>
      </c>
      <c r="X62" s="9">
        <v>70067.025940000283</v>
      </c>
      <c r="Y62" s="9">
        <v>1930345.600000001</v>
      </c>
      <c r="Z62" s="9">
        <v>13989.673270000007</v>
      </c>
      <c r="AA62" s="9">
        <v>20117.686061725264</v>
      </c>
      <c r="AB62" s="9">
        <v>136577.61595000004</v>
      </c>
      <c r="AC62" s="9">
        <v>167310.84170215749</v>
      </c>
      <c r="AD62" s="9">
        <v>-21343.050370592187</v>
      </c>
      <c r="AE62" s="9">
        <v>14688.187737729018</v>
      </c>
      <c r="AF62" s="9">
        <v>-237715.40783999991</v>
      </c>
      <c r="AG62" s="9">
        <v>-31882.703247347003</v>
      </c>
      <c r="AH62" s="9">
        <v>10648407.43</v>
      </c>
      <c r="AI62" s="9">
        <v>10505599.028000001</v>
      </c>
      <c r="AJ62" s="9">
        <v>102406154.34</v>
      </c>
      <c r="AK62" s="9">
        <v>100533594.16799995</v>
      </c>
      <c r="AL62" s="9">
        <v>11261822.80156941</v>
      </c>
      <c r="AM62" s="9">
        <v>11502404.124021677</v>
      </c>
      <c r="AN62" s="9">
        <v>117353754.83946668</v>
      </c>
      <c r="AO62" s="9">
        <v>119377720.19174498</v>
      </c>
    </row>
    <row r="63" spans="1:41" x14ac:dyDescent="0.25">
      <c r="B63"/>
      <c r="C63"/>
      <c r="D63"/>
      <c r="E63"/>
      <c r="F63"/>
      <c r="G63"/>
      <c r="H63"/>
      <c r="I63"/>
      <c r="J63"/>
      <c r="K63"/>
      <c r="L63"/>
    </row>
    <row r="64" spans="1:41" x14ac:dyDescent="0.25">
      <c r="A64" s="7" t="s">
        <v>36</v>
      </c>
      <c r="B64" t="s">
        <v>80</v>
      </c>
    </row>
    <row r="65" spans="1:13" x14ac:dyDescent="0.25">
      <c r="A65" s="2"/>
    </row>
    <row r="66" spans="1:13" x14ac:dyDescent="0.25">
      <c r="B66" s="7" t="s">
        <v>97</v>
      </c>
      <c r="C66"/>
      <c r="D66"/>
      <c r="E66"/>
      <c r="F66"/>
      <c r="G66"/>
      <c r="H66"/>
      <c r="I66"/>
      <c r="J66"/>
      <c r="K66"/>
      <c r="L66"/>
    </row>
    <row r="67" spans="1:13" x14ac:dyDescent="0.25">
      <c r="B67" t="s">
        <v>96</v>
      </c>
      <c r="C67"/>
      <c r="D67" t="s">
        <v>102</v>
      </c>
      <c r="E67"/>
      <c r="F67" t="s">
        <v>100</v>
      </c>
      <c r="G67"/>
      <c r="H67" t="s">
        <v>104</v>
      </c>
      <c r="I67"/>
      <c r="J67" s="102" t="s">
        <v>98</v>
      </c>
      <c r="K67" s="102" t="s">
        <v>101</v>
      </c>
      <c r="L67" s="102" t="s">
        <v>99</v>
      </c>
      <c r="M67" s="102" t="s">
        <v>103</v>
      </c>
    </row>
    <row r="68" spans="1:13" x14ac:dyDescent="0.25">
      <c r="A68" s="101" t="s">
        <v>60</v>
      </c>
      <c r="B68" s="102" t="s">
        <v>31</v>
      </c>
      <c r="C68" s="102" t="s">
        <v>32</v>
      </c>
      <c r="D68" s="102" t="s">
        <v>31</v>
      </c>
      <c r="E68" s="102" t="s">
        <v>32</v>
      </c>
      <c r="F68" s="102" t="s">
        <v>31</v>
      </c>
      <c r="G68" s="102" t="s">
        <v>32</v>
      </c>
      <c r="H68" s="102" t="s">
        <v>31</v>
      </c>
      <c r="I68" s="102" t="s">
        <v>32</v>
      </c>
      <c r="J68" s="102"/>
      <c r="K68" s="102"/>
      <c r="L68" s="102"/>
      <c r="M68" s="102"/>
    </row>
    <row r="69" spans="1:13" x14ac:dyDescent="0.25">
      <c r="A69" s="103" t="s">
        <v>4</v>
      </c>
      <c r="B69" s="102">
        <v>3237.2811000000002</v>
      </c>
      <c r="C69" s="102">
        <v>326.73369935919345</v>
      </c>
      <c r="D69" s="102">
        <v>3359.2694013572509</v>
      </c>
      <c r="E69" s="102">
        <v>1559.9703218008526</v>
      </c>
      <c r="F69" s="102">
        <v>32918.06594</v>
      </c>
      <c r="G69" s="102">
        <v>41015.086590000014</v>
      </c>
      <c r="H69" s="102">
        <v>26585.902617881231</v>
      </c>
      <c r="I69" s="102">
        <v>17280.592805852739</v>
      </c>
      <c r="J69" s="102">
        <v>3564.0147993591936</v>
      </c>
      <c r="K69" s="102">
        <v>4919.2397231581035</v>
      </c>
      <c r="L69" s="102">
        <v>73933.152530000021</v>
      </c>
      <c r="M69" s="102">
        <v>43866.49542373397</v>
      </c>
    </row>
    <row r="70" spans="1:13" x14ac:dyDescent="0.25">
      <c r="A70" s="103" t="s">
        <v>18</v>
      </c>
      <c r="B70" s="102">
        <v>82.136170000000106</v>
      </c>
      <c r="C70" s="102">
        <v>-37627.097292403072</v>
      </c>
      <c r="D70" s="102">
        <v>4.6471160216611906E-2</v>
      </c>
      <c r="E70" s="102">
        <v>-18978.688375871367</v>
      </c>
      <c r="F70" s="102">
        <v>901.90836000000002</v>
      </c>
      <c r="G70" s="102">
        <v>-228702.669585</v>
      </c>
      <c r="H70" s="102">
        <v>117.68424167958743</v>
      </c>
      <c r="I70" s="102">
        <v>-201171.36465719307</v>
      </c>
      <c r="J70" s="102">
        <v>-37544.961122403074</v>
      </c>
      <c r="K70" s="102">
        <v>-18978.641904711149</v>
      </c>
      <c r="L70" s="102">
        <v>-227800.76122499999</v>
      </c>
      <c r="M70" s="102">
        <v>-201053.68041551349</v>
      </c>
    </row>
    <row r="71" spans="1:13" x14ac:dyDescent="0.25">
      <c r="A71" s="103" t="s">
        <v>24</v>
      </c>
      <c r="B71" s="102">
        <v>8.0000000000000071E-3</v>
      </c>
      <c r="C71" s="102">
        <v>-1.9939976272153581</v>
      </c>
      <c r="D71" s="102">
        <v>0.85197127063788392</v>
      </c>
      <c r="E71" s="102">
        <v>-0.79426175526610177</v>
      </c>
      <c r="F71" s="102">
        <v>0.13669999999999999</v>
      </c>
      <c r="G71" s="102">
        <v>22.580869999999994</v>
      </c>
      <c r="H71" s="102">
        <v>4.0535307924359856</v>
      </c>
      <c r="I71" s="102">
        <v>-5.2590088200019016</v>
      </c>
      <c r="J71" s="102">
        <v>-1.9859976272153581</v>
      </c>
      <c r="K71" s="102">
        <v>5.770951537178215E-2</v>
      </c>
      <c r="L71" s="102">
        <v>22.717569999999995</v>
      </c>
      <c r="M71" s="102">
        <v>-1.205478027565916</v>
      </c>
    </row>
    <row r="72" spans="1:13" x14ac:dyDescent="0.25">
      <c r="A72" s="103" t="s">
        <v>17</v>
      </c>
      <c r="B72" s="102">
        <v>1890.703889999998</v>
      </c>
      <c r="C72" s="102">
        <v>650.17006477928771</v>
      </c>
      <c r="D72" s="102">
        <v>514.51264544765763</v>
      </c>
      <c r="E72" s="102">
        <v>21.549256558277193</v>
      </c>
      <c r="F72" s="102">
        <v>9717.3861699999979</v>
      </c>
      <c r="G72" s="102">
        <v>784.25151999999855</v>
      </c>
      <c r="H72" s="102">
        <v>5055.4466099550182</v>
      </c>
      <c r="I72" s="102">
        <v>-5075.7498622678286</v>
      </c>
      <c r="J72" s="102">
        <v>2540.8739547792857</v>
      </c>
      <c r="K72" s="102">
        <v>536.06190200593483</v>
      </c>
      <c r="L72" s="102">
        <v>10501.637689999996</v>
      </c>
      <c r="M72" s="102">
        <v>-20.3032523128104</v>
      </c>
    </row>
    <row r="73" spans="1:13" x14ac:dyDescent="0.25">
      <c r="A73" s="103" t="s">
        <v>6</v>
      </c>
      <c r="B73" s="102">
        <v>166.87913000000003</v>
      </c>
      <c r="C73" s="102">
        <v>754.47743270255444</v>
      </c>
      <c r="D73" s="102">
        <v>339.6525289741694</v>
      </c>
      <c r="E73" s="102">
        <v>1672.2500631627627</v>
      </c>
      <c r="F73" s="102">
        <v>2209.4442899999999</v>
      </c>
      <c r="G73" s="102">
        <v>3238.7033200000033</v>
      </c>
      <c r="H73" s="102">
        <v>2634.5667949833505</v>
      </c>
      <c r="I73" s="102">
        <v>12765.817842096012</v>
      </c>
      <c r="J73" s="102">
        <v>921.35656270255447</v>
      </c>
      <c r="K73" s="102">
        <v>2011.9025921369321</v>
      </c>
      <c r="L73" s="102">
        <v>5448.1476100000036</v>
      </c>
      <c r="M73" s="102">
        <v>15400.384637079362</v>
      </c>
    </row>
    <row r="74" spans="1:13" x14ac:dyDescent="0.25">
      <c r="A74" s="103" t="s">
        <v>10</v>
      </c>
      <c r="B74" s="102">
        <v>1762.5458100000005</v>
      </c>
      <c r="C74" s="102">
        <v>2286.040106849407</v>
      </c>
      <c r="D74" s="102">
        <v>1857.9176313761782</v>
      </c>
      <c r="E74" s="102">
        <v>1727.7022285194053</v>
      </c>
      <c r="F74" s="102">
        <v>8406.4554800000005</v>
      </c>
      <c r="G74" s="102">
        <v>4044.2773200000011</v>
      </c>
      <c r="H74" s="102">
        <v>12076.517977927228</v>
      </c>
      <c r="I74" s="102">
        <v>8230.3227393033721</v>
      </c>
      <c r="J74" s="102">
        <v>4048.5859168494076</v>
      </c>
      <c r="K74" s="102">
        <v>3585.6198598955834</v>
      </c>
      <c r="L74" s="102">
        <v>12450.732800000002</v>
      </c>
      <c r="M74" s="102">
        <v>20306.8407172306</v>
      </c>
    </row>
    <row r="75" spans="1:13" x14ac:dyDescent="0.25">
      <c r="A75" s="103" t="s">
        <v>7</v>
      </c>
      <c r="B75" s="102">
        <v>388.77116000000024</v>
      </c>
      <c r="C75" s="102">
        <v>206.86570318423398</v>
      </c>
      <c r="D75" s="102">
        <v>2090.9204428146058</v>
      </c>
      <c r="E75" s="102">
        <v>3790.9567873872329</v>
      </c>
      <c r="F75" s="102">
        <v>3197.14858</v>
      </c>
      <c r="G75" s="102">
        <v>-8162.2101399999956</v>
      </c>
      <c r="H75" s="102">
        <v>13596.836218583803</v>
      </c>
      <c r="I75" s="102">
        <v>20697.212529800585</v>
      </c>
      <c r="J75" s="102">
        <v>595.63686318423424</v>
      </c>
      <c r="K75" s="102">
        <v>5881.8772302018388</v>
      </c>
      <c r="L75" s="102">
        <v>-4965.0615599999956</v>
      </c>
      <c r="M75" s="102">
        <v>34294.04874838439</v>
      </c>
    </row>
    <row r="76" spans="1:13" x14ac:dyDescent="0.25">
      <c r="A76" s="103" t="s">
        <v>2</v>
      </c>
      <c r="B76" s="102">
        <v>351.57211000000052</v>
      </c>
      <c r="C76" s="102">
        <v>-1241.9474963421915</v>
      </c>
      <c r="D76" s="102">
        <v>841.65651031077232</v>
      </c>
      <c r="E76" s="102">
        <v>3025.1849889535324</v>
      </c>
      <c r="F76" s="102">
        <v>2480.6442900000006</v>
      </c>
      <c r="G76" s="102">
        <v>-8281.8788199999817</v>
      </c>
      <c r="H76" s="102">
        <v>5256.8961664532435</v>
      </c>
      <c r="I76" s="102">
        <v>10153.527616843961</v>
      </c>
      <c r="J76" s="102">
        <v>-890.37538634219095</v>
      </c>
      <c r="K76" s="102">
        <v>3866.8414992643047</v>
      </c>
      <c r="L76" s="102">
        <v>-5801.2345299999815</v>
      </c>
      <c r="M76" s="102">
        <v>15410.423783297205</v>
      </c>
    </row>
    <row r="77" spans="1:13" x14ac:dyDescent="0.25">
      <c r="A77" s="103" t="s">
        <v>11</v>
      </c>
      <c r="B77" s="102">
        <v>278.90791999999965</v>
      </c>
      <c r="C77" s="102">
        <v>-583.98888009101154</v>
      </c>
      <c r="D77" s="102">
        <v>399.93078953184568</v>
      </c>
      <c r="E77" s="102">
        <v>295.32183379033495</v>
      </c>
      <c r="F77" s="102">
        <v>1416.9882199999997</v>
      </c>
      <c r="G77" s="102">
        <v>-9174.6182599999993</v>
      </c>
      <c r="H77" s="102">
        <v>2476.1235061673624</v>
      </c>
      <c r="I77" s="102">
        <v>-1906.6074906128638</v>
      </c>
      <c r="J77" s="102">
        <v>-305.08096009101189</v>
      </c>
      <c r="K77" s="102">
        <v>695.25262332218063</v>
      </c>
      <c r="L77" s="102">
        <v>-7757.63004</v>
      </c>
      <c r="M77" s="102">
        <v>569.51601555449861</v>
      </c>
    </row>
    <row r="78" spans="1:13" x14ac:dyDescent="0.25">
      <c r="A78" s="103" t="s">
        <v>12</v>
      </c>
      <c r="B78" s="102">
        <v>67.522709999999961</v>
      </c>
      <c r="C78" s="102">
        <v>1281.804213740131</v>
      </c>
      <c r="D78" s="102">
        <v>431.48602859983157</v>
      </c>
      <c r="E78" s="102">
        <v>729.15842528493931</v>
      </c>
      <c r="F78" s="102">
        <v>813.39351999999997</v>
      </c>
      <c r="G78" s="102">
        <v>-400.85772000000554</v>
      </c>
      <c r="H78" s="102">
        <v>2575.2361866406468</v>
      </c>
      <c r="I78" s="102">
        <v>4371.3789136373898</v>
      </c>
      <c r="J78" s="102">
        <v>1349.326923740131</v>
      </c>
      <c r="K78" s="102">
        <v>1160.6444538847709</v>
      </c>
      <c r="L78" s="102">
        <v>412.53579999999442</v>
      </c>
      <c r="M78" s="102">
        <v>6946.6151002780371</v>
      </c>
    </row>
    <row r="79" spans="1:13" x14ac:dyDescent="0.25">
      <c r="A79" s="103" t="s">
        <v>14</v>
      </c>
      <c r="B79" s="102">
        <v>188.47539000000006</v>
      </c>
      <c r="C79" s="102">
        <v>-19.491020158855711</v>
      </c>
      <c r="D79" s="102">
        <v>366.67331065710664</v>
      </c>
      <c r="E79" s="102">
        <v>887.47369870749299</v>
      </c>
      <c r="F79" s="102">
        <v>1328.95144</v>
      </c>
      <c r="G79" s="102">
        <v>-2858.7372100000007</v>
      </c>
      <c r="H79" s="102">
        <v>2316.2382598868353</v>
      </c>
      <c r="I79" s="102">
        <v>3983.5707836673005</v>
      </c>
      <c r="J79" s="102">
        <v>168.98436984114434</v>
      </c>
      <c r="K79" s="102">
        <v>1254.1470093645996</v>
      </c>
      <c r="L79" s="102">
        <v>-1529.7857700000006</v>
      </c>
      <c r="M79" s="102">
        <v>6299.8090435541362</v>
      </c>
    </row>
    <row r="80" spans="1:13" x14ac:dyDescent="0.25">
      <c r="A80" s="103" t="s">
        <v>5</v>
      </c>
      <c r="B80" s="102">
        <v>182.07906999999977</v>
      </c>
      <c r="C80" s="102">
        <v>-55.19943867039494</v>
      </c>
      <c r="D80" s="102">
        <v>533.95561181342146</v>
      </c>
      <c r="E80" s="102">
        <v>896.85371274195631</v>
      </c>
      <c r="F80" s="102">
        <v>1638.3032499999997</v>
      </c>
      <c r="G80" s="102">
        <v>-2416.3579399999999</v>
      </c>
      <c r="H80" s="102">
        <v>3277.9740836657656</v>
      </c>
      <c r="I80" s="102">
        <v>3645.5160834674398</v>
      </c>
      <c r="J80" s="102">
        <v>126.87963132960483</v>
      </c>
      <c r="K80" s="102">
        <v>1430.8093245553778</v>
      </c>
      <c r="L80" s="102">
        <v>-778.05469000000016</v>
      </c>
      <c r="M80" s="102">
        <v>6923.4901671332054</v>
      </c>
    </row>
    <row r="81" spans="1:13" x14ac:dyDescent="0.25">
      <c r="A81" s="103" t="s">
        <v>22</v>
      </c>
      <c r="B81" s="102">
        <v>1152.1150899999984</v>
      </c>
      <c r="C81" s="102">
        <v>-558.19449236131459</v>
      </c>
      <c r="D81" s="102">
        <v>2237.2430358688471</v>
      </c>
      <c r="E81" s="102">
        <v>4150.0920129429287</v>
      </c>
      <c r="F81" s="102">
        <v>7649.6933300000001</v>
      </c>
      <c r="G81" s="102">
        <v>4980.0660400000133</v>
      </c>
      <c r="H81" s="102">
        <v>16267.417856876502</v>
      </c>
      <c r="I81" s="102">
        <v>25244.045797266717</v>
      </c>
      <c r="J81" s="102">
        <v>593.92059763868383</v>
      </c>
      <c r="K81" s="102">
        <v>6387.3350488117758</v>
      </c>
      <c r="L81" s="102">
        <v>12629.759370000014</v>
      </c>
      <c r="M81" s="102">
        <v>41511.463654143219</v>
      </c>
    </row>
    <row r="82" spans="1:13" x14ac:dyDescent="0.25">
      <c r="A82" s="103" t="s">
        <v>1</v>
      </c>
      <c r="B82" s="102">
        <v>228.56294000000003</v>
      </c>
      <c r="C82" s="102">
        <v>-2234.8122757120468</v>
      </c>
      <c r="D82" s="102">
        <v>1069.8016152559539</v>
      </c>
      <c r="E82" s="102">
        <v>-551.64586953600519</v>
      </c>
      <c r="F82" s="102">
        <v>1975.5146400000001</v>
      </c>
      <c r="G82" s="102">
        <v>-10580.634459999999</v>
      </c>
      <c r="H82" s="102">
        <v>6199.5228335932588</v>
      </c>
      <c r="I82" s="102">
        <v>-10429.6035143105</v>
      </c>
      <c r="J82" s="102">
        <v>-2006.2493357120468</v>
      </c>
      <c r="K82" s="102">
        <v>518.15574571994875</v>
      </c>
      <c r="L82" s="102">
        <v>-8605.1198199999999</v>
      </c>
      <c r="M82" s="102">
        <v>-4230.0806807172412</v>
      </c>
    </row>
    <row r="83" spans="1:13" x14ac:dyDescent="0.25">
      <c r="A83" s="103" t="s">
        <v>16</v>
      </c>
      <c r="B83" s="102">
        <v>434.95698000000039</v>
      </c>
      <c r="C83" s="102">
        <v>424.17411234490385</v>
      </c>
      <c r="D83" s="102">
        <v>2142.1472774053709</v>
      </c>
      <c r="E83" s="102">
        <v>3084.6387138648497</v>
      </c>
      <c r="F83" s="102">
        <v>3803.8463400000001</v>
      </c>
      <c r="G83" s="102">
        <v>11302.80441000001</v>
      </c>
      <c r="H83" s="102">
        <v>14123.127598122983</v>
      </c>
      <c r="I83" s="102">
        <v>20018.059722059534</v>
      </c>
      <c r="J83" s="102">
        <v>859.13109234490423</v>
      </c>
      <c r="K83" s="102">
        <v>5226.7859912702206</v>
      </c>
      <c r="L83" s="102">
        <v>15106.65075000001</v>
      </c>
      <c r="M83" s="102">
        <v>34141.187320182515</v>
      </c>
    </row>
    <row r="84" spans="1:13" x14ac:dyDescent="0.25">
      <c r="A84" s="103" t="s">
        <v>3</v>
      </c>
      <c r="B84" s="102">
        <v>199.86208000000033</v>
      </c>
      <c r="C84" s="102">
        <v>529.38095102700163</v>
      </c>
      <c r="D84" s="102">
        <v>681.86611645509629</v>
      </c>
      <c r="E84" s="102">
        <v>1816.1778494748278</v>
      </c>
      <c r="F84" s="102">
        <v>1817.7752200000002</v>
      </c>
      <c r="G84" s="102">
        <v>1528.6117100000054</v>
      </c>
      <c r="H84" s="102">
        <v>4116.936254233311</v>
      </c>
      <c r="I84" s="102">
        <v>8107.5934240105635</v>
      </c>
      <c r="J84" s="102">
        <v>729.24303102700196</v>
      </c>
      <c r="K84" s="102">
        <v>2498.0439659299241</v>
      </c>
      <c r="L84" s="102">
        <v>3346.3869300000056</v>
      </c>
      <c r="M84" s="102">
        <v>12224.529678243875</v>
      </c>
    </row>
    <row r="85" spans="1:13" x14ac:dyDescent="0.25">
      <c r="A85" s="103" t="s">
        <v>9</v>
      </c>
      <c r="B85" s="102">
        <v>121.16863999999987</v>
      </c>
      <c r="C85" s="102">
        <v>-1092.0473353149118</v>
      </c>
      <c r="D85" s="102">
        <v>396.26032414769043</v>
      </c>
      <c r="E85" s="102">
        <v>312.09764311868543</v>
      </c>
      <c r="F85" s="102">
        <v>1407.03757</v>
      </c>
      <c r="G85" s="102">
        <v>-5304.3594799999983</v>
      </c>
      <c r="H85" s="102">
        <v>2549.1511458580489</v>
      </c>
      <c r="I85" s="102">
        <v>-488.54379787326576</v>
      </c>
      <c r="J85" s="102">
        <v>-970.87869531491197</v>
      </c>
      <c r="K85" s="102">
        <v>708.35796726637591</v>
      </c>
      <c r="L85" s="102">
        <v>-3897.3219099999983</v>
      </c>
      <c r="M85" s="102">
        <v>2060.6073479847832</v>
      </c>
    </row>
    <row r="86" spans="1:13" x14ac:dyDescent="0.25">
      <c r="A86" s="103" t="s">
        <v>0</v>
      </c>
      <c r="B86" s="102">
        <v>302.70795999999973</v>
      </c>
      <c r="C86" s="102">
        <v>599.27730079040441</v>
      </c>
      <c r="D86" s="102">
        <v>776.73681717020327</v>
      </c>
      <c r="E86" s="102">
        <v>1494.7940783632366</v>
      </c>
      <c r="F86" s="102">
        <v>1727.48875</v>
      </c>
      <c r="G86" s="102">
        <v>3426.5667799999965</v>
      </c>
      <c r="H86" s="102">
        <v>4566.2160330515135</v>
      </c>
      <c r="I86" s="102">
        <v>12366.661245241477</v>
      </c>
      <c r="J86" s="102">
        <v>901.98526079040414</v>
      </c>
      <c r="K86" s="102">
        <v>2271.5308955334399</v>
      </c>
      <c r="L86" s="102">
        <v>5154.055529999996</v>
      </c>
      <c r="M86" s="102">
        <v>16932.877278292992</v>
      </c>
    </row>
    <row r="87" spans="1:13" x14ac:dyDescent="0.25">
      <c r="A87" s="103" t="s">
        <v>8</v>
      </c>
      <c r="B87" s="102">
        <v>3197.6560599999975</v>
      </c>
      <c r="C87" s="102">
        <v>473.28483218416943</v>
      </c>
      <c r="D87" s="102">
        <v>1010.9170825115925</v>
      </c>
      <c r="E87" s="102">
        <v>5269.5993396534577</v>
      </c>
      <c r="F87" s="102">
        <v>21997.871620000002</v>
      </c>
      <c r="G87" s="102">
        <v>-4930.6575600000178</v>
      </c>
      <c r="H87" s="102">
        <v>12229.631040477147</v>
      </c>
      <c r="I87" s="102">
        <v>26011.141445116937</v>
      </c>
      <c r="J87" s="102">
        <v>3670.9408921841668</v>
      </c>
      <c r="K87" s="102">
        <v>6280.5164221650502</v>
      </c>
      <c r="L87" s="102">
        <v>17067.214059999984</v>
      </c>
      <c r="M87" s="102">
        <v>38240.772485594083</v>
      </c>
    </row>
    <row r="88" spans="1:13" x14ac:dyDescent="0.25">
      <c r="A88" s="103" t="s">
        <v>13</v>
      </c>
      <c r="B88" s="102">
        <v>2752.2493900000009</v>
      </c>
      <c r="C88" s="102">
        <v>2348.8973930411316</v>
      </c>
      <c r="D88" s="102">
        <v>489.35741507288913</v>
      </c>
      <c r="E88" s="102">
        <v>911.52749081745242</v>
      </c>
      <c r="F88" s="102">
        <v>16353.107709999998</v>
      </c>
      <c r="G88" s="102">
        <v>361.15346999999485</v>
      </c>
      <c r="H88" s="102">
        <v>9017.7480999119089</v>
      </c>
      <c r="I88" s="102">
        <v>1723.5017762951352</v>
      </c>
      <c r="J88" s="102">
        <v>5101.1467830411329</v>
      </c>
      <c r="K88" s="102">
        <v>1400.8849058903415</v>
      </c>
      <c r="L88" s="102">
        <v>16714.261179999994</v>
      </c>
      <c r="M88" s="102">
        <v>10741.249876207045</v>
      </c>
    </row>
    <row r="89" spans="1:13" x14ac:dyDescent="0.25">
      <c r="A89" s="103" t="s">
        <v>15</v>
      </c>
      <c r="B89" s="102">
        <v>269.37171000000001</v>
      </c>
      <c r="C89" s="102">
        <v>-820.75467189255448</v>
      </c>
      <c r="D89" s="102">
        <v>416.41564005413056</v>
      </c>
      <c r="E89" s="102">
        <v>642.59127024997224</v>
      </c>
      <c r="F89" s="102">
        <v>826.78126000000009</v>
      </c>
      <c r="G89" s="102">
        <v>-6263.4783199999956</v>
      </c>
      <c r="H89" s="102">
        <v>2267.6128253706156</v>
      </c>
      <c r="I89" s="102">
        <v>542.92360134224134</v>
      </c>
      <c r="J89" s="102">
        <v>-551.38296189255448</v>
      </c>
      <c r="K89" s="102">
        <v>1059.0069103041028</v>
      </c>
      <c r="L89" s="102">
        <v>-5436.6970599999959</v>
      </c>
      <c r="M89" s="102">
        <v>2810.5364267128571</v>
      </c>
    </row>
    <row r="90" spans="1:13" x14ac:dyDescent="0.25">
      <c r="A90" s="103" t="s">
        <v>23</v>
      </c>
      <c r="B90" s="102">
        <v>17255.533309999995</v>
      </c>
      <c r="C90" s="102">
        <v>-34354.421090571152</v>
      </c>
      <c r="D90" s="102">
        <v>19957.618667255469</v>
      </c>
      <c r="E90" s="102">
        <v>12756.811208229559</v>
      </c>
      <c r="F90" s="102">
        <v>122587.94268000001</v>
      </c>
      <c r="G90" s="102">
        <v>-216372.35746499992</v>
      </c>
      <c r="H90" s="102">
        <v>147310.83988211179</v>
      </c>
      <c r="I90" s="102">
        <v>-43935.262005076096</v>
      </c>
      <c r="J90" s="102">
        <v>-17098.887780571149</v>
      </c>
      <c r="K90" s="102">
        <v>32714.429875485032</v>
      </c>
      <c r="L90" s="102">
        <v>-93784.414784999899</v>
      </c>
      <c r="M90" s="102">
        <v>103375.57787703568</v>
      </c>
    </row>
    <row r="91" spans="1:13" x14ac:dyDescent="0.25">
      <c r="B91"/>
      <c r="C91"/>
      <c r="D91"/>
      <c r="E91"/>
      <c r="F91"/>
      <c r="G91"/>
      <c r="H91"/>
      <c r="I91"/>
      <c r="J91"/>
      <c r="K91"/>
      <c r="L91"/>
    </row>
    <row r="93" spans="1:13" x14ac:dyDescent="0.25">
      <c r="B93" s="7" t="s">
        <v>97</v>
      </c>
      <c r="C93"/>
      <c r="D93"/>
      <c r="E93"/>
      <c r="F93"/>
      <c r="G93"/>
      <c r="H93"/>
      <c r="I93"/>
      <c r="J93"/>
      <c r="K93"/>
      <c r="L93"/>
    </row>
    <row r="94" spans="1:13" x14ac:dyDescent="0.25">
      <c r="B94" t="s">
        <v>96</v>
      </c>
      <c r="C94"/>
      <c r="D94" t="s">
        <v>102</v>
      </c>
      <c r="E94"/>
      <c r="F94" t="s">
        <v>100</v>
      </c>
      <c r="G94"/>
      <c r="H94" t="s">
        <v>104</v>
      </c>
      <c r="I94"/>
      <c r="J94" s="102" t="s">
        <v>98</v>
      </c>
      <c r="K94" s="102" t="s">
        <v>101</v>
      </c>
      <c r="L94" s="102" t="s">
        <v>99</v>
      </c>
      <c r="M94" s="102" t="s">
        <v>103</v>
      </c>
    </row>
    <row r="95" spans="1:13" x14ac:dyDescent="0.25">
      <c r="A95" s="101" t="s">
        <v>60</v>
      </c>
      <c r="B95" s="102" t="s">
        <v>31</v>
      </c>
      <c r="C95" s="102" t="s">
        <v>32</v>
      </c>
      <c r="D95" s="102" t="s">
        <v>31</v>
      </c>
      <c r="E95" s="102" t="s">
        <v>32</v>
      </c>
      <c r="F95" s="102" t="s">
        <v>31</v>
      </c>
      <c r="G95" s="102" t="s">
        <v>32</v>
      </c>
      <c r="H95" s="102" t="s">
        <v>31</v>
      </c>
      <c r="I95" s="102" t="s">
        <v>32</v>
      </c>
      <c r="J95" s="102"/>
      <c r="K95" s="102"/>
      <c r="L95" s="102"/>
      <c r="M95" s="102"/>
    </row>
    <row r="96" spans="1:13" x14ac:dyDescent="0.25">
      <c r="A96" s="103" t="s">
        <v>85</v>
      </c>
      <c r="B96" s="102">
        <v>11544.352739999998</v>
      </c>
      <c r="C96" s="102">
        <v>-43738.630129999998</v>
      </c>
      <c r="D96" s="102">
        <v>28731.943305346966</v>
      </c>
      <c r="E96" s="102">
        <v>-43738.057229999977</v>
      </c>
      <c r="F96" s="102">
        <v>11544.352739999998</v>
      </c>
      <c r="G96" s="102">
        <v>-43738.630129999998</v>
      </c>
      <c r="H96" s="102">
        <v>28731.943305346966</v>
      </c>
      <c r="I96" s="102">
        <v>-43738.057229999977</v>
      </c>
      <c r="J96" s="102">
        <v>-32194.277389999999</v>
      </c>
      <c r="K96" s="102">
        <v>-15006.113924653011</v>
      </c>
      <c r="L96" s="102">
        <v>-32194.277389999999</v>
      </c>
      <c r="M96" s="102">
        <v>-15006.113924653011</v>
      </c>
    </row>
    <row r="97" spans="1:13" x14ac:dyDescent="0.25">
      <c r="A97" s="103" t="s">
        <v>75</v>
      </c>
      <c r="B97" s="102">
        <v>12072.242920000002</v>
      </c>
      <c r="C97" s="102">
        <v>-18172.539693114737</v>
      </c>
      <c r="D97" s="102">
        <v>28748.601047168759</v>
      </c>
      <c r="E97" s="102">
        <v>-18173.54836311478</v>
      </c>
      <c r="F97" s="102">
        <v>23616.595659999999</v>
      </c>
      <c r="G97" s="102">
        <v>-61911.169823114724</v>
      </c>
      <c r="H97" s="102">
        <v>57480.544352515732</v>
      </c>
      <c r="I97" s="102">
        <v>-61911.605593114749</v>
      </c>
      <c r="J97" s="102">
        <v>-6100.2967731147346</v>
      </c>
      <c r="K97" s="102">
        <v>10575.052684053979</v>
      </c>
      <c r="L97" s="102">
        <v>-38294.574163114725</v>
      </c>
      <c r="M97" s="102">
        <v>-4431.0612405990178</v>
      </c>
    </row>
    <row r="98" spans="1:13" x14ac:dyDescent="0.25">
      <c r="A98" s="103" t="s">
        <v>76</v>
      </c>
      <c r="B98" s="102">
        <v>10844.5</v>
      </c>
      <c r="C98" s="102">
        <v>-39516.074927491616</v>
      </c>
      <c r="D98" s="102">
        <v>28923.612715259718</v>
      </c>
      <c r="E98" s="102">
        <v>-39516.074927491558</v>
      </c>
      <c r="F98" s="102">
        <v>34461.095659999999</v>
      </c>
      <c r="G98" s="102">
        <v>-101427.2447506063</v>
      </c>
      <c r="H98" s="102">
        <v>86404.157067775464</v>
      </c>
      <c r="I98" s="102">
        <v>-101427.68052060633</v>
      </c>
      <c r="J98" s="102">
        <v>-28671.574927491616</v>
      </c>
      <c r="K98" s="102">
        <v>-10592.46221223184</v>
      </c>
      <c r="L98" s="102">
        <v>-66966.149090606312</v>
      </c>
      <c r="M98" s="102">
        <v>-15023.523452830865</v>
      </c>
    </row>
    <row r="99" spans="1:13" x14ac:dyDescent="0.25">
      <c r="A99" s="103" t="s">
        <v>77</v>
      </c>
      <c r="B99" s="102">
        <v>12000.172309999998</v>
      </c>
      <c r="C99" s="102">
        <v>-58554.00392613397</v>
      </c>
      <c r="D99" s="102">
        <v>-32730.677575337362</v>
      </c>
      <c r="E99" s="102">
        <v>9388.4312330267021</v>
      </c>
      <c r="F99" s="102">
        <v>46461.267969999986</v>
      </c>
      <c r="G99" s="102">
        <v>-159981.24867674033</v>
      </c>
      <c r="H99" s="102">
        <v>53673.479492438091</v>
      </c>
      <c r="I99" s="102">
        <v>-92039.249287579602</v>
      </c>
      <c r="J99" s="102">
        <v>-46553.831616133975</v>
      </c>
      <c r="K99" s="102">
        <v>-23342.24634231066</v>
      </c>
      <c r="L99" s="102">
        <v>-113519.98070674035</v>
      </c>
      <c r="M99" s="102">
        <v>-38365.76979514151</v>
      </c>
    </row>
    <row r="100" spans="1:13" x14ac:dyDescent="0.25">
      <c r="A100" s="103" t="s">
        <v>68</v>
      </c>
      <c r="B100" s="102">
        <v>19502.6888</v>
      </c>
      <c r="C100" s="102">
        <v>-10879.971811109728</v>
      </c>
      <c r="D100" s="102">
        <v>34532.237902614492</v>
      </c>
      <c r="E100" s="102">
        <v>12351.466551963473</v>
      </c>
      <c r="F100" s="102">
        <v>65963.95676999999</v>
      </c>
      <c r="G100" s="102">
        <v>-170861.22048785005</v>
      </c>
      <c r="H100" s="102">
        <v>88205.717395052576</v>
      </c>
      <c r="I100" s="102">
        <v>-79687.782735616143</v>
      </c>
      <c r="J100" s="102">
        <v>8622.7169888902718</v>
      </c>
      <c r="K100" s="102">
        <v>46883.704454577964</v>
      </c>
      <c r="L100" s="102">
        <v>-104897.26371785006</v>
      </c>
      <c r="M100" s="102">
        <v>8517.9346594364324</v>
      </c>
    </row>
    <row r="101" spans="1:13" x14ac:dyDescent="0.25">
      <c r="A101" s="103" t="s">
        <v>78</v>
      </c>
      <c r="B101" s="102">
        <v>20320.697659999994</v>
      </c>
      <c r="C101" s="102">
        <v>-16938.382280945698</v>
      </c>
      <c r="D101" s="102">
        <v>19491.389013460153</v>
      </c>
      <c r="E101" s="102">
        <v>7026.704258315207</v>
      </c>
      <c r="F101" s="102">
        <v>86284.65443000001</v>
      </c>
      <c r="G101" s="102">
        <v>-187799.60276879574</v>
      </c>
      <c r="H101" s="102">
        <v>107697.10640851273</v>
      </c>
      <c r="I101" s="102">
        <v>-72661.078477300922</v>
      </c>
      <c r="J101" s="102">
        <v>3382.3153790542965</v>
      </c>
      <c r="K101" s="102">
        <v>26518.09327177536</v>
      </c>
      <c r="L101" s="102">
        <v>-101514.94833879573</v>
      </c>
      <c r="M101" s="102">
        <v>35036.027931211807</v>
      </c>
    </row>
    <row r="102" spans="1:13" x14ac:dyDescent="0.25">
      <c r="A102" s="103" t="s">
        <v>79</v>
      </c>
      <c r="B102" s="102">
        <v>19047.75494000001</v>
      </c>
      <c r="C102" s="102">
        <v>5781.6663943669155</v>
      </c>
      <c r="D102" s="102">
        <v>19656.114806343598</v>
      </c>
      <c r="E102" s="102">
        <v>15969.005263995241</v>
      </c>
      <c r="F102" s="102">
        <v>105332.40936999999</v>
      </c>
      <c r="G102" s="102">
        <v>-182017.93637442883</v>
      </c>
      <c r="H102" s="102">
        <v>127353.2212148563</v>
      </c>
      <c r="I102" s="102">
        <v>-56692.073213305688</v>
      </c>
      <c r="J102" s="102">
        <v>24829.421334366925</v>
      </c>
      <c r="K102" s="102">
        <v>35625.120070338839</v>
      </c>
      <c r="L102" s="102">
        <v>-76685.527004428834</v>
      </c>
      <c r="M102" s="102">
        <v>70661.148001550609</v>
      </c>
    </row>
    <row r="103" spans="1:13" x14ac:dyDescent="0.25">
      <c r="A103" s="103" t="s">
        <v>80</v>
      </c>
      <c r="B103" s="102">
        <v>17255.533309999995</v>
      </c>
      <c r="C103" s="102">
        <v>-34354.421090571152</v>
      </c>
      <c r="D103" s="102">
        <v>19957.618667255469</v>
      </c>
      <c r="E103" s="102">
        <v>12756.811208229559</v>
      </c>
      <c r="F103" s="102">
        <v>122587.94268000001</v>
      </c>
      <c r="G103" s="102">
        <v>-216372.35746499995</v>
      </c>
      <c r="H103" s="102">
        <v>147310.83988211179</v>
      </c>
      <c r="I103" s="102">
        <v>-43935.262005076132</v>
      </c>
      <c r="J103" s="102">
        <v>-17098.887780571156</v>
      </c>
      <c r="K103" s="102">
        <v>32714.429875485028</v>
      </c>
      <c r="L103" s="102">
        <v>-93784.414784999943</v>
      </c>
      <c r="M103" s="102">
        <v>103375.57787703566</v>
      </c>
    </row>
    <row r="104" spans="1:13" x14ac:dyDescent="0.25">
      <c r="A104" s="103" t="s">
        <v>81</v>
      </c>
      <c r="B104" s="102">
        <v>13989.673270000007</v>
      </c>
      <c r="C104" s="102">
        <v>-21343.05037059218</v>
      </c>
      <c r="D104" s="102">
        <v>20117.686061725257</v>
      </c>
      <c r="E104" s="102">
        <v>14688.187737729022</v>
      </c>
      <c r="F104" s="102">
        <v>136577.61595000004</v>
      </c>
      <c r="G104" s="102">
        <v>-237715.40783999994</v>
      </c>
      <c r="H104" s="102">
        <v>167310.84170215749</v>
      </c>
      <c r="I104" s="102">
        <v>-31882.703247347061</v>
      </c>
      <c r="J104" s="102">
        <v>-7353.3771005921735</v>
      </c>
      <c r="K104" s="102">
        <v>34805.873799454275</v>
      </c>
      <c r="L104" s="102">
        <v>-101137.79188999991</v>
      </c>
      <c r="M104" s="102">
        <v>135428.13845481043</v>
      </c>
    </row>
    <row r="105" spans="1:13" x14ac:dyDescent="0.25">
      <c r="A105" s="103" t="s">
        <v>82</v>
      </c>
      <c r="B105" s="102"/>
      <c r="C105" s="102"/>
      <c r="D105" s="102"/>
      <c r="E105" s="102"/>
      <c r="F105" s="102"/>
      <c r="G105" s="102"/>
      <c r="H105" s="102"/>
      <c r="I105" s="102"/>
      <c r="J105" s="102"/>
      <c r="K105" s="102"/>
      <c r="L105" s="102"/>
      <c r="M105" s="102"/>
    </row>
    <row r="106" spans="1:13" x14ac:dyDescent="0.25">
      <c r="A106" s="103" t="s">
        <v>83</v>
      </c>
      <c r="B106" s="102"/>
      <c r="C106" s="102"/>
      <c r="D106" s="102"/>
      <c r="E106" s="102"/>
      <c r="F106" s="102"/>
      <c r="G106" s="102"/>
      <c r="H106" s="102"/>
      <c r="I106" s="102"/>
      <c r="J106" s="102"/>
      <c r="K106" s="102"/>
      <c r="L106" s="102"/>
      <c r="M106" s="102"/>
    </row>
    <row r="107" spans="1:13" x14ac:dyDescent="0.25">
      <c r="A107" s="103" t="s">
        <v>84</v>
      </c>
      <c r="B107" s="102"/>
      <c r="C107" s="102"/>
      <c r="D107" s="102"/>
      <c r="E107" s="102"/>
      <c r="F107" s="102"/>
      <c r="G107" s="102"/>
      <c r="H107" s="102"/>
      <c r="I107" s="102"/>
      <c r="J107" s="102"/>
      <c r="K107" s="102"/>
      <c r="L107" s="102"/>
      <c r="M107" s="102"/>
    </row>
    <row r="108" spans="1:13" x14ac:dyDescent="0.25">
      <c r="A108" s="103" t="s">
        <v>23</v>
      </c>
      <c r="B108" s="102">
        <v>136577.61595000001</v>
      </c>
      <c r="C108" s="102">
        <v>-237715.40783559217</v>
      </c>
      <c r="D108" s="102">
        <v>167428.52594383704</v>
      </c>
      <c r="E108" s="102">
        <v>-29247.07426734711</v>
      </c>
      <c r="F108" s="102">
        <v>632829.89122999995</v>
      </c>
      <c r="G108" s="102">
        <v>-1361824.818316536</v>
      </c>
      <c r="H108" s="102">
        <v>864167.85082076711</v>
      </c>
      <c r="I108" s="102">
        <v>-583975.49230994657</v>
      </c>
      <c r="J108" s="102">
        <v>-101137.79188559215</v>
      </c>
      <c r="K108" s="102">
        <v>138181.45167648996</v>
      </c>
      <c r="L108" s="102">
        <v>-728994.92708653584</v>
      </c>
      <c r="M108" s="102">
        <v>280192.35851082054</v>
      </c>
    </row>
    <row r="109" spans="1:13" x14ac:dyDescent="0.25">
      <c r="B109"/>
      <c r="C109"/>
      <c r="D109"/>
      <c r="E109"/>
      <c r="F109"/>
      <c r="G109"/>
      <c r="H109"/>
      <c r="I109"/>
      <c r="J109"/>
      <c r="K109"/>
      <c r="L109"/>
    </row>
    <row r="110" spans="1:13" x14ac:dyDescent="0.25">
      <c r="B110"/>
      <c r="C110"/>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F48" sqref="F48"/>
    </sheetView>
  </sheetViews>
  <sheetFormatPr defaultRowHeight="15" x14ac:dyDescent="0.25"/>
  <cols>
    <col min="1" max="1" width="13.140625" customWidth="1"/>
    <col min="3" max="3" width="16.7109375" customWidth="1"/>
    <col min="6" max="6" width="21.7109375" customWidth="1"/>
    <col min="8" max="8" width="13.140625" customWidth="1"/>
    <col min="9" max="9" width="7.140625" customWidth="1"/>
  </cols>
  <sheetData>
    <row r="1" spans="1:16" x14ac:dyDescent="0.25">
      <c r="F1" s="7" t="s">
        <v>60</v>
      </c>
    </row>
    <row r="2" spans="1:16" x14ac:dyDescent="0.25">
      <c r="A2" t="s">
        <v>105</v>
      </c>
      <c r="C2" t="s">
        <v>106</v>
      </c>
      <c r="F2" s="8" t="s">
        <v>26</v>
      </c>
      <c r="P2" t="e">
        <f>IF(COUNTA('HELPER CELL'!C4:C26)&gt;1,GETPIVOTDATA("", PivotTableCell), GETPIVOTDATA("YourDataField", PivotTableCell, "BranchField", HelperCell))</f>
        <v>#NAME?</v>
      </c>
    </row>
    <row r="3" spans="1:16" x14ac:dyDescent="0.25">
      <c r="A3" s="7" t="s">
        <v>60</v>
      </c>
      <c r="C3" s="7" t="s">
        <v>33</v>
      </c>
      <c r="F3" s="8" t="s">
        <v>23</v>
      </c>
      <c r="H3" s="7" t="s">
        <v>60</v>
      </c>
    </row>
    <row r="4" spans="1:16" x14ac:dyDescent="0.25">
      <c r="A4" s="8" t="s">
        <v>81</v>
      </c>
      <c r="C4" s="8" t="s">
        <v>4</v>
      </c>
      <c r="H4" s="8" t="s">
        <v>85</v>
      </c>
    </row>
    <row r="5" spans="1:16" x14ac:dyDescent="0.25">
      <c r="A5" s="8" t="s">
        <v>23</v>
      </c>
      <c r="C5" s="8" t="s">
        <v>18</v>
      </c>
      <c r="H5" s="8" t="s">
        <v>75</v>
      </c>
    </row>
    <row r="6" spans="1:16" x14ac:dyDescent="0.25">
      <c r="C6" s="8" t="s">
        <v>24</v>
      </c>
      <c r="H6" s="8" t="s">
        <v>76</v>
      </c>
    </row>
    <row r="7" spans="1:16" x14ac:dyDescent="0.25">
      <c r="C7" s="8" t="s">
        <v>17</v>
      </c>
      <c r="H7" s="8" t="s">
        <v>77</v>
      </c>
    </row>
    <row r="8" spans="1:16" x14ac:dyDescent="0.25">
      <c r="C8" s="8" t="s">
        <v>6</v>
      </c>
      <c r="H8" s="8" t="s">
        <v>68</v>
      </c>
    </row>
    <row r="9" spans="1:16" x14ac:dyDescent="0.25">
      <c r="C9" s="8" t="s">
        <v>10</v>
      </c>
      <c r="H9" s="8" t="s">
        <v>78</v>
      </c>
    </row>
    <row r="10" spans="1:16" x14ac:dyDescent="0.25">
      <c r="C10" s="8" t="s">
        <v>7</v>
      </c>
      <c r="H10" s="8" t="s">
        <v>79</v>
      </c>
    </row>
    <row r="11" spans="1:16" x14ac:dyDescent="0.25">
      <c r="C11" s="8" t="s">
        <v>2</v>
      </c>
      <c r="H11" s="8" t="s">
        <v>80</v>
      </c>
    </row>
    <row r="12" spans="1:16" x14ac:dyDescent="0.25">
      <c r="C12" s="8" t="s">
        <v>11</v>
      </c>
      <c r="H12" s="8" t="s">
        <v>81</v>
      </c>
    </row>
    <row r="13" spans="1:16" x14ac:dyDescent="0.25">
      <c r="C13" s="8" t="s">
        <v>12</v>
      </c>
      <c r="H13" s="8" t="s">
        <v>82</v>
      </c>
    </row>
    <row r="14" spans="1:16" x14ac:dyDescent="0.25">
      <c r="C14" s="8" t="s">
        <v>14</v>
      </c>
      <c r="H14" s="8" t="s">
        <v>83</v>
      </c>
    </row>
    <row r="15" spans="1:16" x14ac:dyDescent="0.25">
      <c r="C15" s="8" t="s">
        <v>5</v>
      </c>
      <c r="H15" s="8" t="s">
        <v>84</v>
      </c>
    </row>
    <row r="16" spans="1:16" x14ac:dyDescent="0.25">
      <c r="C16" s="8" t="s">
        <v>22</v>
      </c>
      <c r="H16" s="8" t="s">
        <v>23</v>
      </c>
    </row>
    <row r="17" spans="3:3" x14ac:dyDescent="0.25">
      <c r="C17" s="8" t="s">
        <v>1</v>
      </c>
    </row>
    <row r="18" spans="3:3" x14ac:dyDescent="0.25">
      <c r="C18" s="8" t="s">
        <v>16</v>
      </c>
    </row>
    <row r="19" spans="3:3" x14ac:dyDescent="0.25">
      <c r="C19" s="8" t="s">
        <v>3</v>
      </c>
    </row>
    <row r="20" spans="3:3" x14ac:dyDescent="0.25">
      <c r="C20" s="8" t="s">
        <v>9</v>
      </c>
    </row>
    <row r="21" spans="3:3" x14ac:dyDescent="0.25">
      <c r="C21" s="8" t="s">
        <v>0</v>
      </c>
    </row>
    <row r="22" spans="3:3" x14ac:dyDescent="0.25">
      <c r="C22" s="8" t="s">
        <v>8</v>
      </c>
    </row>
    <row r="23" spans="3:3" x14ac:dyDescent="0.25">
      <c r="C23" s="8" t="s">
        <v>13</v>
      </c>
    </row>
    <row r="24" spans="3:3" x14ac:dyDescent="0.25">
      <c r="C24" s="8" t="s">
        <v>15</v>
      </c>
    </row>
    <row r="25" spans="3:3" x14ac:dyDescent="0.25">
      <c r="C25" s="8" t="s">
        <v>64</v>
      </c>
    </row>
    <row r="26" spans="3:3" x14ac:dyDescent="0.25">
      <c r="C26" s="8"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104" sqref="B104"/>
    </sheetView>
  </sheetViews>
  <sheetFormatPr defaultRowHeight="15" x14ac:dyDescent="0.25"/>
  <cols>
    <col min="1" max="1" width="13.140625" bestFit="1" customWidth="1"/>
    <col min="2" max="2" width="20.85546875" bestFit="1" customWidth="1"/>
    <col min="3" max="3" width="21.140625" bestFit="1" customWidth="1"/>
  </cols>
  <sheetData>
    <row r="1" spans="1:3" x14ac:dyDescent="0.25">
      <c r="A1" s="21" t="s">
        <v>34</v>
      </c>
      <c r="B1" s="20" t="s">
        <v>32</v>
      </c>
    </row>
    <row r="3" spans="1:3" x14ac:dyDescent="0.25">
      <c r="A3" s="21" t="s">
        <v>60</v>
      </c>
      <c r="B3" s="20" t="s">
        <v>107</v>
      </c>
      <c r="C3" s="20" t="s">
        <v>108</v>
      </c>
    </row>
    <row r="4" spans="1:3" x14ac:dyDescent="0.25">
      <c r="A4" s="22" t="s">
        <v>81</v>
      </c>
      <c r="B4" s="20">
        <v>-21343.05037059218</v>
      </c>
      <c r="C4" s="20">
        <v>14688.187737729022</v>
      </c>
    </row>
    <row r="5" spans="1:3" x14ac:dyDescent="0.25">
      <c r="A5" s="22" t="s">
        <v>23</v>
      </c>
      <c r="B5" s="20">
        <v>-21343.05037059218</v>
      </c>
      <c r="C5" s="20">
        <v>14688.187737729022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06"/>
  <sheetViews>
    <sheetView topLeftCell="AE1" workbookViewId="0">
      <selection activeCell="K1" sqref="K1"/>
    </sheetView>
  </sheetViews>
  <sheetFormatPr defaultRowHeight="15" x14ac:dyDescent="0.25"/>
  <cols>
    <col min="1" max="1" width="24" customWidth="1"/>
    <col min="2" max="2" width="23.85546875" style="2" customWidth="1"/>
    <col min="3" max="3" width="4.140625" style="2" customWidth="1"/>
    <col min="4" max="4" width="5.28515625" customWidth="1"/>
    <col min="5" max="5" width="4.5703125" customWidth="1"/>
    <col min="6" max="6" width="5.28515625" customWidth="1"/>
    <col min="7" max="7" width="4.5703125" customWidth="1"/>
    <col min="8" max="8" width="4" customWidth="1"/>
    <col min="9" max="9" width="5.140625" customWidth="1"/>
    <col min="10" max="10" width="4.140625" customWidth="1"/>
    <col min="11" max="11" width="4.5703125" customWidth="1"/>
    <col min="12" max="12" width="5.140625" customWidth="1"/>
    <col min="13" max="13" width="4.42578125" customWidth="1"/>
    <col min="14" max="14" width="24.140625" customWidth="1"/>
    <col min="15" max="15" width="4.140625" customWidth="1"/>
    <col min="16" max="16" width="5.28515625" customWidth="1"/>
    <col min="17" max="17" width="4.5703125" customWidth="1"/>
    <col min="18" max="18" width="5.28515625" customWidth="1"/>
    <col min="19" max="19" width="4.5703125" customWidth="1"/>
    <col min="20" max="20" width="4" customWidth="1"/>
    <col min="21" max="21" width="5.140625" customWidth="1"/>
    <col min="22" max="22" width="4.140625" customWidth="1"/>
    <col min="23" max="23" width="4.5703125" customWidth="1"/>
    <col min="24" max="24" width="5.140625" customWidth="1"/>
    <col min="25" max="25" width="4.42578125" customWidth="1"/>
    <col min="26" max="26" width="20.140625" customWidth="1"/>
    <col min="27" max="34" width="9.140625" customWidth="1"/>
    <col min="35" max="35" width="4.5703125" customWidth="1"/>
    <col min="36" max="36" width="5.140625" customWidth="1"/>
    <col min="37" max="37" width="4.42578125" customWidth="1"/>
    <col min="38" max="38" width="20.42578125" customWidth="1"/>
    <col min="39" max="46" width="9.140625" customWidth="1"/>
    <col min="47" max="47" width="4.5703125" customWidth="1"/>
    <col min="48" max="48" width="5.140625" customWidth="1"/>
    <col min="49" max="49" width="4.42578125" customWidth="1"/>
    <col min="50" max="50" width="28.85546875" customWidth="1"/>
    <col min="51" max="51" width="29.140625" customWidth="1"/>
    <col min="52" max="52" width="25.140625" customWidth="1"/>
    <col min="53" max="53" width="25.5703125" customWidth="1"/>
    <col min="54" max="54" width="28.85546875" bestFit="1" customWidth="1"/>
    <col min="55" max="55" width="29.140625" bestFit="1" customWidth="1"/>
    <col min="56" max="56" width="25.140625" bestFit="1" customWidth="1"/>
    <col min="57" max="57" width="25.5703125" bestFit="1" customWidth="1"/>
    <col min="58" max="58" width="12.7109375" bestFit="1" customWidth="1"/>
    <col min="59" max="59" width="9.5703125" bestFit="1" customWidth="1"/>
    <col min="60" max="60" width="10.140625" bestFit="1" customWidth="1"/>
    <col min="64" max="64" width="12.5703125" bestFit="1" customWidth="1"/>
    <col min="65" max="65" width="11.85546875" bestFit="1" customWidth="1"/>
    <col min="67" max="67" width="7.28515625" customWidth="1"/>
    <col min="68" max="68" width="20.42578125" bestFit="1" customWidth="1"/>
    <col min="69" max="69" width="15.5703125" bestFit="1" customWidth="1"/>
    <col min="70" max="70" width="11.42578125" bestFit="1" customWidth="1"/>
    <col min="71" max="71" width="10.140625" bestFit="1" customWidth="1"/>
    <col min="73" max="73" width="10.85546875" bestFit="1" customWidth="1"/>
    <col min="74" max="74" width="10.140625" bestFit="1" customWidth="1"/>
    <col min="75" max="75" width="10.7109375" bestFit="1" customWidth="1"/>
    <col min="78" max="78" width="11.42578125" bestFit="1" customWidth="1"/>
    <col min="80" max="80" width="12.7109375" bestFit="1" customWidth="1"/>
    <col min="81" max="82" width="10.140625" bestFit="1" customWidth="1"/>
    <col min="84" max="84" width="10.140625" bestFit="1" customWidth="1"/>
    <col min="86" max="86" width="12.5703125" bestFit="1" customWidth="1"/>
    <col min="87" max="87" width="11.85546875" bestFit="1" customWidth="1"/>
    <col min="89" max="89" width="7.28515625" customWidth="1"/>
    <col min="90" max="90" width="28.85546875" bestFit="1" customWidth="1"/>
    <col min="91" max="91" width="29.140625" bestFit="1" customWidth="1"/>
    <col min="92" max="92" width="25.140625" bestFit="1" customWidth="1"/>
    <col min="93" max="93" width="25.5703125" bestFit="1" customWidth="1"/>
  </cols>
  <sheetData>
    <row r="1" spans="1:53" x14ac:dyDescent="0.25">
      <c r="B1"/>
    </row>
    <row r="3" spans="1:53" x14ac:dyDescent="0.25">
      <c r="A3" s="9"/>
      <c r="B3" s="23" t="s">
        <v>97</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row>
    <row r="4" spans="1:53" x14ac:dyDescent="0.25">
      <c r="A4" s="9"/>
      <c r="B4" s="9" t="s">
        <v>96</v>
      </c>
      <c r="C4" s="9"/>
      <c r="D4" s="9"/>
      <c r="E4" s="9"/>
      <c r="F4" s="9"/>
      <c r="G4" s="9"/>
      <c r="H4" s="9"/>
      <c r="I4" s="9"/>
      <c r="J4" s="9"/>
      <c r="K4" s="9"/>
      <c r="L4" s="9"/>
      <c r="M4" s="9"/>
      <c r="N4" s="9" t="s">
        <v>102</v>
      </c>
      <c r="O4" s="9"/>
      <c r="P4" s="9"/>
      <c r="Q4" s="9"/>
      <c r="R4" s="9"/>
      <c r="S4" s="9"/>
      <c r="T4" s="9"/>
      <c r="U4" s="9"/>
      <c r="V4" s="9"/>
      <c r="W4" s="9"/>
      <c r="X4" s="9"/>
      <c r="Y4" s="9"/>
      <c r="Z4" s="9" t="s">
        <v>100</v>
      </c>
      <c r="AA4" s="9"/>
      <c r="AB4" s="9"/>
      <c r="AC4" s="9"/>
      <c r="AD4" s="9"/>
      <c r="AE4" s="9"/>
      <c r="AF4" s="9"/>
      <c r="AG4" s="9"/>
      <c r="AH4" s="9"/>
      <c r="AI4" s="9"/>
      <c r="AJ4" s="9"/>
      <c r="AK4" s="9"/>
      <c r="AL4" s="9" t="s">
        <v>104</v>
      </c>
      <c r="AM4" s="9"/>
      <c r="AN4" s="9"/>
      <c r="AO4" s="9"/>
      <c r="AP4" s="9"/>
      <c r="AQ4" s="9"/>
      <c r="AR4" s="9"/>
      <c r="AS4" s="9"/>
      <c r="AT4" s="9"/>
      <c r="AU4" s="9"/>
      <c r="AV4" s="9"/>
      <c r="AW4" s="9"/>
      <c r="AX4" s="9" t="s">
        <v>98</v>
      </c>
      <c r="AY4" s="9" t="s">
        <v>101</v>
      </c>
      <c r="AZ4" s="9" t="s">
        <v>99</v>
      </c>
      <c r="BA4" s="9" t="s">
        <v>103</v>
      </c>
    </row>
    <row r="5" spans="1:53" x14ac:dyDescent="0.25">
      <c r="A5" s="23" t="s">
        <v>60</v>
      </c>
      <c r="B5" s="9" t="s">
        <v>85</v>
      </c>
      <c r="C5" s="9" t="s">
        <v>75</v>
      </c>
      <c r="D5" s="9" t="s">
        <v>76</v>
      </c>
      <c r="E5" s="9" t="s">
        <v>77</v>
      </c>
      <c r="F5" s="9" t="s">
        <v>68</v>
      </c>
      <c r="G5" s="9" t="s">
        <v>78</v>
      </c>
      <c r="H5" s="9" t="s">
        <v>79</v>
      </c>
      <c r="I5" s="9" t="s">
        <v>80</v>
      </c>
      <c r="J5" s="9" t="s">
        <v>81</v>
      </c>
      <c r="K5" s="9" t="s">
        <v>82</v>
      </c>
      <c r="L5" s="9" t="s">
        <v>83</v>
      </c>
      <c r="M5" s="9" t="s">
        <v>84</v>
      </c>
      <c r="N5" s="9" t="s">
        <v>85</v>
      </c>
      <c r="O5" s="9" t="s">
        <v>75</v>
      </c>
      <c r="P5" s="9" t="s">
        <v>76</v>
      </c>
      <c r="Q5" s="9" t="s">
        <v>77</v>
      </c>
      <c r="R5" s="9" t="s">
        <v>68</v>
      </c>
      <c r="S5" s="9" t="s">
        <v>78</v>
      </c>
      <c r="T5" s="9" t="s">
        <v>79</v>
      </c>
      <c r="U5" s="9" t="s">
        <v>80</v>
      </c>
      <c r="V5" s="9" t="s">
        <v>81</v>
      </c>
      <c r="W5" s="9" t="s">
        <v>82</v>
      </c>
      <c r="X5" s="9" t="s">
        <v>83</v>
      </c>
      <c r="Y5" s="9" t="s">
        <v>84</v>
      </c>
      <c r="Z5" s="9" t="s">
        <v>85</v>
      </c>
      <c r="AA5" s="9" t="s">
        <v>75</v>
      </c>
      <c r="AB5" s="9" t="s">
        <v>76</v>
      </c>
      <c r="AC5" s="9" t="s">
        <v>77</v>
      </c>
      <c r="AD5" s="9" t="s">
        <v>68</v>
      </c>
      <c r="AE5" s="9" t="s">
        <v>78</v>
      </c>
      <c r="AF5" s="9" t="s">
        <v>79</v>
      </c>
      <c r="AG5" s="9" t="s">
        <v>80</v>
      </c>
      <c r="AH5" s="9" t="s">
        <v>81</v>
      </c>
      <c r="AI5" s="9" t="s">
        <v>82</v>
      </c>
      <c r="AJ5" s="9" t="s">
        <v>83</v>
      </c>
      <c r="AK5" s="9" t="s">
        <v>84</v>
      </c>
      <c r="AL5" s="9" t="s">
        <v>85</v>
      </c>
      <c r="AM5" s="9" t="s">
        <v>75</v>
      </c>
      <c r="AN5" s="9" t="s">
        <v>76</v>
      </c>
      <c r="AO5" s="9" t="s">
        <v>77</v>
      </c>
      <c r="AP5" s="9" t="s">
        <v>68</v>
      </c>
      <c r="AQ5" s="9" t="s">
        <v>78</v>
      </c>
      <c r="AR5" s="9" t="s">
        <v>79</v>
      </c>
      <c r="AS5" s="9" t="s">
        <v>80</v>
      </c>
      <c r="AT5" s="9" t="s">
        <v>81</v>
      </c>
      <c r="AU5" s="9" t="s">
        <v>82</v>
      </c>
      <c r="AV5" s="9" t="s">
        <v>83</v>
      </c>
      <c r="AW5" s="9" t="s">
        <v>84</v>
      </c>
      <c r="AX5" s="9"/>
      <c r="AY5" s="9"/>
      <c r="AZ5" s="9"/>
      <c r="BA5" s="9"/>
    </row>
    <row r="6" spans="1:53" x14ac:dyDescent="0.25">
      <c r="A6" s="24" t="s">
        <v>26</v>
      </c>
      <c r="B6" s="9"/>
      <c r="C6" s="9"/>
      <c r="D6" s="9"/>
      <c r="E6" s="9"/>
      <c r="F6" s="9"/>
      <c r="G6" s="9"/>
      <c r="H6" s="9"/>
      <c r="I6" s="9"/>
      <c r="J6" s="9"/>
      <c r="K6" s="9"/>
      <c r="L6" s="9"/>
      <c r="M6" s="9"/>
      <c r="N6" s="9"/>
      <c r="O6" s="9"/>
      <c r="P6" s="9"/>
      <c r="Q6" s="9"/>
      <c r="R6" s="9"/>
      <c r="S6" s="9"/>
      <c r="T6" s="9"/>
      <c r="U6" s="9"/>
      <c r="V6" s="9"/>
      <c r="W6" s="9"/>
      <c r="X6" s="9"/>
      <c r="Y6" s="9"/>
      <c r="Z6" s="9">
        <v>3205523.7209599996</v>
      </c>
      <c r="AA6" s="9">
        <v>3201406.83715</v>
      </c>
      <c r="AB6" s="9">
        <v>3173998.8964200001</v>
      </c>
      <c r="AC6" s="9">
        <v>3152853.2298300001</v>
      </c>
      <c r="AD6" s="9">
        <v>3338087.4768499997</v>
      </c>
      <c r="AE6" s="9">
        <v>3385582.0775199994</v>
      </c>
      <c r="AF6" s="9">
        <v>3309550.1828699997</v>
      </c>
      <c r="AG6" s="9">
        <v>3286000.0703099994</v>
      </c>
      <c r="AH6" s="9">
        <v>3288285.5994300009</v>
      </c>
      <c r="AI6" s="9"/>
      <c r="AJ6" s="9"/>
      <c r="AK6" s="9"/>
      <c r="AL6" s="9">
        <v>3343345.3780800002</v>
      </c>
      <c r="AM6" s="9">
        <v>3410212.2856416004</v>
      </c>
      <c r="AN6" s="9">
        <v>3410212.2856416004</v>
      </c>
      <c r="AO6" s="9">
        <v>3408573.5038166656</v>
      </c>
      <c r="AP6" s="9">
        <v>3512156.83715</v>
      </c>
      <c r="AQ6" s="9">
        <v>3615740.1704833331</v>
      </c>
      <c r="AR6" s="9">
        <v>3719323.503816667</v>
      </c>
      <c r="AS6" s="9">
        <v>3822906.83715</v>
      </c>
      <c r="AT6" s="9">
        <v>3926490.1704833317</v>
      </c>
      <c r="AU6" s="9"/>
      <c r="AV6" s="9"/>
      <c r="AW6" s="9"/>
      <c r="AX6" s="9"/>
      <c r="AY6" s="9"/>
      <c r="AZ6" s="9">
        <v>29341288.091340005</v>
      </c>
      <c r="BA6" s="9">
        <v>32168960.972263198</v>
      </c>
    </row>
    <row r="7" spans="1:53" x14ac:dyDescent="0.25">
      <c r="A7" s="25" t="s">
        <v>4</v>
      </c>
      <c r="B7" s="9"/>
      <c r="C7" s="9"/>
      <c r="D7" s="9"/>
      <c r="E7" s="9"/>
      <c r="F7" s="9"/>
      <c r="G7" s="9"/>
      <c r="H7" s="9"/>
      <c r="I7" s="9"/>
      <c r="J7" s="9"/>
      <c r="K7" s="9"/>
      <c r="L7" s="9"/>
      <c r="M7" s="9"/>
      <c r="N7" s="9"/>
      <c r="O7" s="9"/>
      <c r="P7" s="9"/>
      <c r="Q7" s="9"/>
      <c r="R7" s="9"/>
      <c r="S7" s="9"/>
      <c r="T7" s="9"/>
      <c r="U7" s="9"/>
      <c r="V7" s="9"/>
      <c r="W7" s="9"/>
      <c r="X7" s="9"/>
      <c r="Y7" s="9"/>
      <c r="Z7" s="9">
        <v>710794.65633999999</v>
      </c>
      <c r="AA7" s="9">
        <v>684472.01187000016</v>
      </c>
      <c r="AB7" s="9">
        <v>693235.50974999997</v>
      </c>
      <c r="AC7" s="9">
        <v>721378.04948999989</v>
      </c>
      <c r="AD7" s="9">
        <v>794967.86746000021</v>
      </c>
      <c r="AE7" s="9">
        <v>837407.34691999969</v>
      </c>
      <c r="AF7" s="9">
        <v>870801.72499999998</v>
      </c>
      <c r="AG7" s="9">
        <v>892436.91662999999</v>
      </c>
      <c r="AH7" s="9">
        <v>860624.31786000007</v>
      </c>
      <c r="AI7" s="9"/>
      <c r="AJ7" s="9"/>
      <c r="AK7" s="9"/>
      <c r="AL7" s="9">
        <v>739221.22167</v>
      </c>
      <c r="AM7" s="9">
        <v>754005.64610340004</v>
      </c>
      <c r="AN7" s="9">
        <v>754005.64610340004</v>
      </c>
      <c r="AO7" s="9">
        <v>697361.90629355889</v>
      </c>
      <c r="AP7" s="9">
        <v>703806.85350533831</v>
      </c>
      <c r="AQ7" s="9">
        <v>710251.80071711773</v>
      </c>
      <c r="AR7" s="9">
        <v>716696.74792889715</v>
      </c>
      <c r="AS7" s="9">
        <v>723141.69514067646</v>
      </c>
      <c r="AT7" s="9">
        <v>729586.64235245599</v>
      </c>
      <c r="AU7" s="9"/>
      <c r="AV7" s="9"/>
      <c r="AW7" s="9"/>
      <c r="AX7" s="9"/>
      <c r="AY7" s="9"/>
      <c r="AZ7" s="9">
        <v>7066118.4013199992</v>
      </c>
      <c r="BA7" s="9">
        <v>6528078.1598148458</v>
      </c>
    </row>
    <row r="8" spans="1:53" x14ac:dyDescent="0.25">
      <c r="A8" s="25" t="s">
        <v>18</v>
      </c>
      <c r="B8" s="9"/>
      <c r="C8" s="9"/>
      <c r="D8" s="9"/>
      <c r="E8" s="9"/>
      <c r="F8" s="9"/>
      <c r="G8" s="9"/>
      <c r="H8" s="9"/>
      <c r="I8" s="9"/>
      <c r="J8" s="9"/>
      <c r="K8" s="9"/>
      <c r="L8" s="9"/>
      <c r="M8" s="9"/>
      <c r="N8" s="9"/>
      <c r="O8" s="9"/>
      <c r="P8" s="9"/>
      <c r="Q8" s="9"/>
      <c r="R8" s="9"/>
      <c r="S8" s="9"/>
      <c r="T8" s="9"/>
      <c r="U8" s="9"/>
      <c r="V8" s="9"/>
      <c r="W8" s="9"/>
      <c r="X8" s="9"/>
      <c r="Y8" s="9"/>
      <c r="Z8" s="9">
        <v>0</v>
      </c>
      <c r="AA8" s="9">
        <v>0</v>
      </c>
      <c r="AB8" s="9">
        <v>0</v>
      </c>
      <c r="AC8" s="9">
        <v>0</v>
      </c>
      <c r="AD8" s="9">
        <v>0</v>
      </c>
      <c r="AE8" s="9">
        <v>0</v>
      </c>
      <c r="AF8" s="9">
        <v>0</v>
      </c>
      <c r="AG8" s="9">
        <v>0</v>
      </c>
      <c r="AH8" s="9">
        <v>0</v>
      </c>
      <c r="AI8" s="9"/>
      <c r="AJ8" s="9"/>
      <c r="AK8" s="9"/>
      <c r="AL8" s="9">
        <v>0</v>
      </c>
      <c r="AM8" s="9">
        <v>0</v>
      </c>
      <c r="AN8" s="9">
        <v>0</v>
      </c>
      <c r="AO8" s="9">
        <v>0</v>
      </c>
      <c r="AP8" s="9">
        <v>0</v>
      </c>
      <c r="AQ8" s="9">
        <v>0</v>
      </c>
      <c r="AR8" s="9">
        <v>0</v>
      </c>
      <c r="AS8" s="9">
        <v>0</v>
      </c>
      <c r="AT8" s="9">
        <v>0</v>
      </c>
      <c r="AU8" s="9"/>
      <c r="AV8" s="9"/>
      <c r="AW8" s="9"/>
      <c r="AX8" s="9"/>
      <c r="AY8" s="9"/>
      <c r="AZ8" s="9">
        <v>0</v>
      </c>
      <c r="BA8" s="9">
        <v>0</v>
      </c>
    </row>
    <row r="9" spans="1:53" x14ac:dyDescent="0.25">
      <c r="A9" s="25" t="s">
        <v>24</v>
      </c>
      <c r="B9" s="9"/>
      <c r="C9" s="9"/>
      <c r="D9" s="9"/>
      <c r="E9" s="9"/>
      <c r="F9" s="9"/>
      <c r="G9" s="9"/>
      <c r="H9" s="9"/>
      <c r="I9" s="9"/>
      <c r="J9" s="9"/>
      <c r="K9" s="9"/>
      <c r="L9" s="9"/>
      <c r="M9" s="9"/>
      <c r="N9" s="9"/>
      <c r="O9" s="9"/>
      <c r="P9" s="9"/>
      <c r="Q9" s="9"/>
      <c r="R9" s="9"/>
      <c r="S9" s="9"/>
      <c r="T9" s="9"/>
      <c r="U9" s="9"/>
      <c r="V9" s="9"/>
      <c r="W9" s="9"/>
      <c r="X9" s="9"/>
      <c r="Y9" s="9"/>
      <c r="Z9" s="9">
        <v>616.16770999999994</v>
      </c>
      <c r="AA9" s="9">
        <v>620.50470999999993</v>
      </c>
      <c r="AB9" s="9">
        <v>615.59143000000006</v>
      </c>
      <c r="AC9" s="9">
        <v>618.32011</v>
      </c>
      <c r="AD9" s="9">
        <v>616.53904</v>
      </c>
      <c r="AE9" s="9">
        <v>604.09074999999996</v>
      </c>
      <c r="AF9" s="9">
        <v>603.68931000000009</v>
      </c>
      <c r="AG9" s="9">
        <v>610.87942999999996</v>
      </c>
      <c r="AH9" s="9">
        <v>610.87942999999996</v>
      </c>
      <c r="AI9" s="9"/>
      <c r="AJ9" s="9"/>
      <c r="AK9" s="9"/>
      <c r="AL9" s="9">
        <v>674.43843000000004</v>
      </c>
      <c r="AM9" s="9">
        <v>687.92719860000011</v>
      </c>
      <c r="AN9" s="9">
        <v>687.92719860000011</v>
      </c>
      <c r="AO9" s="9">
        <v>620.50470999999993</v>
      </c>
      <c r="AP9" s="9">
        <v>620.50470999999993</v>
      </c>
      <c r="AQ9" s="9">
        <v>620.50470999999993</v>
      </c>
      <c r="AR9" s="9">
        <v>620.50470999999993</v>
      </c>
      <c r="AS9" s="9">
        <v>620.50470999999993</v>
      </c>
      <c r="AT9" s="9">
        <v>620.50470999999993</v>
      </c>
      <c r="AU9" s="9"/>
      <c r="AV9" s="9"/>
      <c r="AW9" s="9"/>
      <c r="AX9" s="9"/>
      <c r="AY9" s="9"/>
      <c r="AZ9" s="9">
        <v>5516.6619199999996</v>
      </c>
      <c r="BA9" s="9">
        <v>5773.3210872000009</v>
      </c>
    </row>
    <row r="10" spans="1:53" x14ac:dyDescent="0.25">
      <c r="A10" s="25" t="s">
        <v>17</v>
      </c>
      <c r="B10" s="9"/>
      <c r="C10" s="9"/>
      <c r="D10" s="9"/>
      <c r="E10" s="9"/>
      <c r="F10" s="9"/>
      <c r="G10" s="9"/>
      <c r="H10" s="9"/>
      <c r="I10" s="9"/>
      <c r="J10" s="9"/>
      <c r="K10" s="9"/>
      <c r="L10" s="9"/>
      <c r="M10" s="9"/>
      <c r="N10" s="9"/>
      <c r="O10" s="9"/>
      <c r="P10" s="9"/>
      <c r="Q10" s="9"/>
      <c r="R10" s="9"/>
      <c r="S10" s="9"/>
      <c r="T10" s="9"/>
      <c r="U10" s="9"/>
      <c r="V10" s="9"/>
      <c r="W10" s="9"/>
      <c r="X10" s="9"/>
      <c r="Y10" s="9"/>
      <c r="Z10" s="9">
        <v>214661.26768000008</v>
      </c>
      <c r="AA10" s="9">
        <v>221652.83687</v>
      </c>
      <c r="AB10" s="9">
        <v>210092.50449000005</v>
      </c>
      <c r="AC10" s="9">
        <v>183735.93455000006</v>
      </c>
      <c r="AD10" s="9">
        <v>173516.21526000003</v>
      </c>
      <c r="AE10" s="9">
        <v>185741.00123000002</v>
      </c>
      <c r="AF10" s="9">
        <v>190265.05695999999</v>
      </c>
      <c r="AG10" s="9">
        <v>164557.08283000003</v>
      </c>
      <c r="AH10" s="9">
        <v>168675.83556000004</v>
      </c>
      <c r="AI10" s="9"/>
      <c r="AJ10" s="9"/>
      <c r="AK10" s="9"/>
      <c r="AL10" s="9">
        <v>202120.04613999999</v>
      </c>
      <c r="AM10" s="9">
        <v>206162.4470628</v>
      </c>
      <c r="AN10" s="9">
        <v>206162.4470628</v>
      </c>
      <c r="AO10" s="9">
        <v>227624.84438879698</v>
      </c>
      <c r="AP10" s="9">
        <v>230610.84814819551</v>
      </c>
      <c r="AQ10" s="9">
        <v>233596.85190759395</v>
      </c>
      <c r="AR10" s="9">
        <v>236582.85566699249</v>
      </c>
      <c r="AS10" s="9">
        <v>239568.85942639093</v>
      </c>
      <c r="AT10" s="9">
        <v>242554.86318578947</v>
      </c>
      <c r="AU10" s="9"/>
      <c r="AV10" s="9"/>
      <c r="AW10" s="9"/>
      <c r="AX10" s="9"/>
      <c r="AY10" s="9"/>
      <c r="AZ10" s="9">
        <v>1712897.7354300001</v>
      </c>
      <c r="BA10" s="9">
        <v>2024984.062989359</v>
      </c>
    </row>
    <row r="11" spans="1:53" x14ac:dyDescent="0.25">
      <c r="A11" s="25" t="s">
        <v>6</v>
      </c>
      <c r="B11" s="9"/>
      <c r="C11" s="9"/>
      <c r="D11" s="9"/>
      <c r="E11" s="9"/>
      <c r="F11" s="9"/>
      <c r="G11" s="9"/>
      <c r="H11" s="9"/>
      <c r="I11" s="9"/>
      <c r="J11" s="9"/>
      <c r="K11" s="9"/>
      <c r="L11" s="9"/>
      <c r="M11" s="9"/>
      <c r="N11" s="9"/>
      <c r="O11" s="9"/>
      <c r="P11" s="9"/>
      <c r="Q11" s="9"/>
      <c r="R11" s="9"/>
      <c r="S11" s="9"/>
      <c r="T11" s="9"/>
      <c r="U11" s="9"/>
      <c r="V11" s="9"/>
      <c r="W11" s="9"/>
      <c r="X11" s="9"/>
      <c r="Y11" s="9"/>
      <c r="Z11" s="9">
        <v>38350.502150000008</v>
      </c>
      <c r="AA11" s="9">
        <v>45803.419519999989</v>
      </c>
      <c r="AB11" s="9">
        <v>50162.088549999993</v>
      </c>
      <c r="AC11" s="9">
        <v>46968.335369999993</v>
      </c>
      <c r="AD11" s="9">
        <v>69432.318119999996</v>
      </c>
      <c r="AE11" s="9">
        <v>49557.84154999999</v>
      </c>
      <c r="AF11" s="9">
        <v>50567.000479999995</v>
      </c>
      <c r="AG11" s="9">
        <v>52064.144689999994</v>
      </c>
      <c r="AH11" s="9">
        <v>49412.101060000001</v>
      </c>
      <c r="AI11" s="9"/>
      <c r="AJ11" s="9"/>
      <c r="AK11" s="9"/>
      <c r="AL11" s="9">
        <v>67389.32862</v>
      </c>
      <c r="AM11" s="9">
        <v>68737.115192400015</v>
      </c>
      <c r="AN11" s="9">
        <v>68737.115192400015</v>
      </c>
      <c r="AO11" s="9">
        <v>51538.665134035087</v>
      </c>
      <c r="AP11" s="9">
        <v>54406.287941052629</v>
      </c>
      <c r="AQ11" s="9">
        <v>57273.910748070179</v>
      </c>
      <c r="AR11" s="9">
        <v>60141.533555087728</v>
      </c>
      <c r="AS11" s="9">
        <v>63009.156362105277</v>
      </c>
      <c r="AT11" s="9">
        <v>65876.779169122834</v>
      </c>
      <c r="AU11" s="9"/>
      <c r="AV11" s="9"/>
      <c r="AW11" s="9"/>
      <c r="AX11" s="9"/>
      <c r="AY11" s="9"/>
      <c r="AZ11" s="9">
        <v>452317.75149</v>
      </c>
      <c r="BA11" s="9">
        <v>557109.89191427373</v>
      </c>
    </row>
    <row r="12" spans="1:53" x14ac:dyDescent="0.25">
      <c r="A12" s="25" t="s">
        <v>10</v>
      </c>
      <c r="B12" s="9"/>
      <c r="C12" s="9"/>
      <c r="D12" s="9"/>
      <c r="E12" s="9"/>
      <c r="F12" s="9"/>
      <c r="G12" s="9"/>
      <c r="H12" s="9"/>
      <c r="I12" s="9"/>
      <c r="J12" s="9"/>
      <c r="K12" s="9"/>
      <c r="L12" s="9"/>
      <c r="M12" s="9"/>
      <c r="N12" s="9"/>
      <c r="O12" s="9"/>
      <c r="P12" s="9"/>
      <c r="Q12" s="9"/>
      <c r="R12" s="9"/>
      <c r="S12" s="9"/>
      <c r="T12" s="9"/>
      <c r="U12" s="9"/>
      <c r="V12" s="9"/>
      <c r="W12" s="9"/>
      <c r="X12" s="9"/>
      <c r="Y12" s="9"/>
      <c r="Z12" s="9">
        <v>58486.927979999993</v>
      </c>
      <c r="AA12" s="9">
        <v>68327.417960000006</v>
      </c>
      <c r="AB12" s="9">
        <v>50323.354259999993</v>
      </c>
      <c r="AC12" s="9">
        <v>41745.554750000003</v>
      </c>
      <c r="AD12" s="9">
        <v>69080.046139999991</v>
      </c>
      <c r="AE12" s="9">
        <v>98772.812559999991</v>
      </c>
      <c r="AF12" s="9">
        <v>87945.795299999983</v>
      </c>
      <c r="AG12" s="9">
        <v>84610.781789999979</v>
      </c>
      <c r="AH12" s="9">
        <v>102343.43203000001</v>
      </c>
      <c r="AI12" s="9"/>
      <c r="AJ12" s="9"/>
      <c r="AK12" s="9"/>
      <c r="AL12" s="9">
        <v>73546.064790000004</v>
      </c>
      <c r="AM12" s="9">
        <v>75016.986085800003</v>
      </c>
      <c r="AN12" s="9">
        <v>75016.986085800003</v>
      </c>
      <c r="AO12" s="9">
        <v>77251.550478796984</v>
      </c>
      <c r="AP12" s="9">
        <v>81713.616738195487</v>
      </c>
      <c r="AQ12" s="9">
        <v>86175.682997594005</v>
      </c>
      <c r="AR12" s="9">
        <v>90637.749256992494</v>
      </c>
      <c r="AS12" s="9">
        <v>95099.815516390983</v>
      </c>
      <c r="AT12" s="9">
        <v>99561.881775789487</v>
      </c>
      <c r="AU12" s="9"/>
      <c r="AV12" s="9"/>
      <c r="AW12" s="9"/>
      <c r="AX12" s="9"/>
      <c r="AY12" s="9"/>
      <c r="AZ12" s="9">
        <v>661636.12277000002</v>
      </c>
      <c r="BA12" s="9">
        <v>754020.33372535952</v>
      </c>
    </row>
    <row r="13" spans="1:53" x14ac:dyDescent="0.25">
      <c r="A13" s="25" t="s">
        <v>7</v>
      </c>
      <c r="B13" s="9"/>
      <c r="C13" s="9"/>
      <c r="D13" s="9"/>
      <c r="E13" s="9"/>
      <c r="F13" s="9"/>
      <c r="G13" s="9"/>
      <c r="H13" s="9"/>
      <c r="I13" s="9"/>
      <c r="J13" s="9"/>
      <c r="K13" s="9"/>
      <c r="L13" s="9"/>
      <c r="M13" s="9"/>
      <c r="N13" s="9"/>
      <c r="O13" s="9"/>
      <c r="P13" s="9"/>
      <c r="Q13" s="9"/>
      <c r="R13" s="9"/>
      <c r="S13" s="9"/>
      <c r="T13" s="9"/>
      <c r="U13" s="9"/>
      <c r="V13" s="9"/>
      <c r="W13" s="9"/>
      <c r="X13" s="9"/>
      <c r="Y13" s="9"/>
      <c r="Z13" s="9">
        <v>31098.905369999986</v>
      </c>
      <c r="AA13" s="9">
        <v>32209.87902</v>
      </c>
      <c r="AB13" s="9">
        <v>34414.733509999998</v>
      </c>
      <c r="AC13" s="9">
        <v>34697.492699999995</v>
      </c>
      <c r="AD13" s="9">
        <v>45749.511969999992</v>
      </c>
      <c r="AE13" s="9">
        <v>46722.884050000001</v>
      </c>
      <c r="AF13" s="9">
        <v>48625.474949999996</v>
      </c>
      <c r="AG13" s="9">
        <v>48127.159019999992</v>
      </c>
      <c r="AH13" s="9">
        <v>48079.32279999998</v>
      </c>
      <c r="AI13" s="9"/>
      <c r="AJ13" s="9"/>
      <c r="AK13" s="9"/>
      <c r="AL13" s="9">
        <v>37323.354439999996</v>
      </c>
      <c r="AM13" s="9">
        <v>38069.821528799999</v>
      </c>
      <c r="AN13" s="9">
        <v>38069.821528799999</v>
      </c>
      <c r="AO13" s="9">
        <v>48207.273443558901</v>
      </c>
      <c r="AP13" s="9">
        <v>56205.970655338351</v>
      </c>
      <c r="AQ13" s="9">
        <v>64204.667867117809</v>
      </c>
      <c r="AR13" s="9">
        <v>72203.365078897259</v>
      </c>
      <c r="AS13" s="9">
        <v>80202.062290676709</v>
      </c>
      <c r="AT13" s="9">
        <v>88200.759502456145</v>
      </c>
      <c r="AU13" s="9"/>
      <c r="AV13" s="9"/>
      <c r="AW13" s="9"/>
      <c r="AX13" s="9"/>
      <c r="AY13" s="9"/>
      <c r="AZ13" s="9">
        <v>369725.36338999995</v>
      </c>
      <c r="BA13" s="9">
        <v>522687.09633564518</v>
      </c>
    </row>
    <row r="14" spans="1:53" x14ac:dyDescent="0.25">
      <c r="A14" s="25" t="s">
        <v>2</v>
      </c>
      <c r="B14" s="9"/>
      <c r="C14" s="9"/>
      <c r="D14" s="9"/>
      <c r="E14" s="9"/>
      <c r="F14" s="9"/>
      <c r="G14" s="9"/>
      <c r="H14" s="9"/>
      <c r="I14" s="9"/>
      <c r="J14" s="9"/>
      <c r="K14" s="9"/>
      <c r="L14" s="9"/>
      <c r="M14" s="9"/>
      <c r="N14" s="9"/>
      <c r="O14" s="9"/>
      <c r="P14" s="9"/>
      <c r="Q14" s="9"/>
      <c r="R14" s="9"/>
      <c r="S14" s="9"/>
      <c r="T14" s="9"/>
      <c r="U14" s="9"/>
      <c r="V14" s="9"/>
      <c r="W14" s="9"/>
      <c r="X14" s="9"/>
      <c r="Y14" s="9"/>
      <c r="Z14" s="9">
        <v>345803.53441000002</v>
      </c>
      <c r="AA14" s="9">
        <v>334659.68217999995</v>
      </c>
      <c r="AB14" s="9">
        <v>344022.28726999997</v>
      </c>
      <c r="AC14" s="9">
        <v>345836.35067000001</v>
      </c>
      <c r="AD14" s="9">
        <v>346826.19146</v>
      </c>
      <c r="AE14" s="9">
        <v>354700.05326000007</v>
      </c>
      <c r="AF14" s="9">
        <v>354004.40804000007</v>
      </c>
      <c r="AG14" s="9">
        <v>350927.51501999999</v>
      </c>
      <c r="AH14" s="9">
        <v>340706.49423000001</v>
      </c>
      <c r="AI14" s="9"/>
      <c r="AJ14" s="9"/>
      <c r="AK14" s="9"/>
      <c r="AL14" s="9">
        <v>357991.26302999997</v>
      </c>
      <c r="AM14" s="9">
        <v>365151.08829059999</v>
      </c>
      <c r="AN14" s="9">
        <v>365151.08829059999</v>
      </c>
      <c r="AO14" s="9">
        <v>348474.42779403506</v>
      </c>
      <c r="AP14" s="9">
        <v>355381.80060105264</v>
      </c>
      <c r="AQ14" s="9">
        <v>362289.17340807023</v>
      </c>
      <c r="AR14" s="9">
        <v>369196.54621508776</v>
      </c>
      <c r="AS14" s="9">
        <v>376103.91902210534</v>
      </c>
      <c r="AT14" s="9">
        <v>383011.29182912281</v>
      </c>
      <c r="AU14" s="9"/>
      <c r="AV14" s="9"/>
      <c r="AW14" s="9"/>
      <c r="AX14" s="9"/>
      <c r="AY14" s="9"/>
      <c r="AZ14" s="9">
        <v>3117486.5165399997</v>
      </c>
      <c r="BA14" s="9">
        <v>3282750.598480673</v>
      </c>
    </row>
    <row r="15" spans="1:53" x14ac:dyDescent="0.25">
      <c r="A15" s="25" t="s">
        <v>11</v>
      </c>
      <c r="B15" s="9"/>
      <c r="C15" s="9"/>
      <c r="D15" s="9"/>
      <c r="E15" s="9"/>
      <c r="F15" s="9"/>
      <c r="G15" s="9"/>
      <c r="H15" s="9"/>
      <c r="I15" s="9"/>
      <c r="J15" s="9"/>
      <c r="K15" s="9"/>
      <c r="L15" s="9"/>
      <c r="M15" s="9"/>
      <c r="N15" s="9"/>
      <c r="O15" s="9"/>
      <c r="P15" s="9"/>
      <c r="Q15" s="9"/>
      <c r="R15" s="9"/>
      <c r="S15" s="9"/>
      <c r="T15" s="9"/>
      <c r="U15" s="9"/>
      <c r="V15" s="9"/>
      <c r="W15" s="9"/>
      <c r="X15" s="9"/>
      <c r="Y15" s="9"/>
      <c r="Z15" s="9">
        <v>51349.256410000009</v>
      </c>
      <c r="AA15" s="9">
        <v>49112.288800000009</v>
      </c>
      <c r="AB15" s="9">
        <v>50028.111460000029</v>
      </c>
      <c r="AC15" s="9">
        <v>54771.470080000036</v>
      </c>
      <c r="AD15" s="9">
        <v>52560.513770000027</v>
      </c>
      <c r="AE15" s="9">
        <v>56967.09156999999</v>
      </c>
      <c r="AF15" s="9">
        <v>59051.26443000001</v>
      </c>
      <c r="AG15" s="9">
        <v>50240.302539999968</v>
      </c>
      <c r="AH15" s="9">
        <v>62887.421909999983</v>
      </c>
      <c r="AI15" s="9"/>
      <c r="AJ15" s="9"/>
      <c r="AK15" s="9"/>
      <c r="AL15" s="9">
        <v>57553.62846</v>
      </c>
      <c r="AM15" s="9">
        <v>58704.701029200005</v>
      </c>
      <c r="AN15" s="9">
        <v>58704.701029200005</v>
      </c>
      <c r="AO15" s="9">
        <v>55084.296318797002</v>
      </c>
      <c r="AP15" s="9">
        <v>58070.300078195498</v>
      </c>
      <c r="AQ15" s="9">
        <v>61056.303837593987</v>
      </c>
      <c r="AR15" s="9">
        <v>64042.307596992476</v>
      </c>
      <c r="AS15" s="9">
        <v>67028.311356390972</v>
      </c>
      <c r="AT15" s="9">
        <v>70014.315115789475</v>
      </c>
      <c r="AU15" s="9"/>
      <c r="AV15" s="9"/>
      <c r="AW15" s="9"/>
      <c r="AX15" s="9"/>
      <c r="AY15" s="9"/>
      <c r="AZ15" s="9">
        <v>486967.72096999997</v>
      </c>
      <c r="BA15" s="9">
        <v>550258.86482215952</v>
      </c>
    </row>
    <row r="16" spans="1:53" x14ac:dyDescent="0.25">
      <c r="A16" s="25" t="s">
        <v>12</v>
      </c>
      <c r="B16" s="9"/>
      <c r="C16" s="9"/>
      <c r="D16" s="9"/>
      <c r="E16" s="9"/>
      <c r="F16" s="9"/>
      <c r="G16" s="9"/>
      <c r="H16" s="9"/>
      <c r="I16" s="9"/>
      <c r="J16" s="9"/>
      <c r="K16" s="9"/>
      <c r="L16" s="9"/>
      <c r="M16" s="9"/>
      <c r="N16" s="9"/>
      <c r="O16" s="9"/>
      <c r="P16" s="9"/>
      <c r="Q16" s="9"/>
      <c r="R16" s="9"/>
      <c r="S16" s="9"/>
      <c r="T16" s="9"/>
      <c r="U16" s="9"/>
      <c r="V16" s="9"/>
      <c r="W16" s="9"/>
      <c r="X16" s="9"/>
      <c r="Y16" s="9"/>
      <c r="Z16" s="9">
        <v>23463.33273999998</v>
      </c>
      <c r="AA16" s="9">
        <v>24304.116229999985</v>
      </c>
      <c r="AB16" s="9">
        <v>24060.712919999987</v>
      </c>
      <c r="AC16" s="9">
        <v>24419.639129999992</v>
      </c>
      <c r="AD16" s="9">
        <v>32528.686019999994</v>
      </c>
      <c r="AE16" s="9">
        <v>34795.709200000005</v>
      </c>
      <c r="AF16" s="9">
        <v>27322.242429999998</v>
      </c>
      <c r="AG16" s="9">
        <v>26996.22868</v>
      </c>
      <c r="AH16" s="9">
        <v>26534.814299999998</v>
      </c>
      <c r="AI16" s="9"/>
      <c r="AJ16" s="9"/>
      <c r="AK16" s="9"/>
      <c r="AL16" s="9">
        <v>42503.889860000003</v>
      </c>
      <c r="AM16" s="9">
        <v>43353.967657200003</v>
      </c>
      <c r="AN16" s="9">
        <v>43353.967657200003</v>
      </c>
      <c r="AO16" s="9">
        <v>33413.218986892214</v>
      </c>
      <c r="AP16" s="9">
        <v>37967.770365338336</v>
      </c>
      <c r="AQ16" s="9">
        <v>42522.321743784443</v>
      </c>
      <c r="AR16" s="9">
        <v>47076.873122230558</v>
      </c>
      <c r="AS16" s="9">
        <v>51631.42450067668</v>
      </c>
      <c r="AT16" s="9">
        <v>56185.975879122787</v>
      </c>
      <c r="AU16" s="9"/>
      <c r="AV16" s="9"/>
      <c r="AW16" s="9"/>
      <c r="AX16" s="9"/>
      <c r="AY16" s="9"/>
      <c r="AZ16" s="9">
        <v>244425.48164999994</v>
      </c>
      <c r="BA16" s="9">
        <v>398009.40977244504</v>
      </c>
    </row>
    <row r="17" spans="1:53" x14ac:dyDescent="0.25">
      <c r="A17" s="25" t="s">
        <v>14</v>
      </c>
      <c r="B17" s="9"/>
      <c r="C17" s="9"/>
      <c r="D17" s="9"/>
      <c r="E17" s="9"/>
      <c r="F17" s="9"/>
      <c r="G17" s="9"/>
      <c r="H17" s="9"/>
      <c r="I17" s="9"/>
      <c r="J17" s="9"/>
      <c r="K17" s="9"/>
      <c r="L17" s="9"/>
      <c r="M17" s="9"/>
      <c r="N17" s="9"/>
      <c r="O17" s="9"/>
      <c r="P17" s="9"/>
      <c r="Q17" s="9"/>
      <c r="R17" s="9"/>
      <c r="S17" s="9"/>
      <c r="T17" s="9"/>
      <c r="U17" s="9"/>
      <c r="V17" s="9"/>
      <c r="W17" s="9"/>
      <c r="X17" s="9"/>
      <c r="Y17" s="9"/>
      <c r="Z17" s="9">
        <v>30146.890130000003</v>
      </c>
      <c r="AA17" s="9">
        <v>37305.203589999997</v>
      </c>
      <c r="AB17" s="9">
        <v>35808.786610000003</v>
      </c>
      <c r="AC17" s="9">
        <v>35889.82316</v>
      </c>
      <c r="AD17" s="9">
        <v>37855.084719999992</v>
      </c>
      <c r="AE17" s="9">
        <v>44852.539870000008</v>
      </c>
      <c r="AF17" s="9">
        <v>40406.574059999992</v>
      </c>
      <c r="AG17" s="9">
        <v>41626.529869999998</v>
      </c>
      <c r="AH17" s="9">
        <v>41334.034539999993</v>
      </c>
      <c r="AI17" s="9"/>
      <c r="AJ17" s="9"/>
      <c r="AK17" s="9"/>
      <c r="AL17" s="9">
        <v>22579.575420000001</v>
      </c>
      <c r="AM17" s="9">
        <v>23031.166928400002</v>
      </c>
      <c r="AN17" s="9">
        <v>23031.166928400002</v>
      </c>
      <c r="AO17" s="9">
        <v>43277.21110879699</v>
      </c>
      <c r="AP17" s="9">
        <v>46263.214868195486</v>
      </c>
      <c r="AQ17" s="9">
        <v>49249.218627593982</v>
      </c>
      <c r="AR17" s="9">
        <v>52235.222386992471</v>
      </c>
      <c r="AS17" s="9">
        <v>55221.226146390974</v>
      </c>
      <c r="AT17" s="9">
        <v>58207.229905789463</v>
      </c>
      <c r="AU17" s="9"/>
      <c r="AV17" s="9"/>
      <c r="AW17" s="9"/>
      <c r="AX17" s="9"/>
      <c r="AY17" s="9"/>
      <c r="AZ17" s="9">
        <v>345225.46655000001</v>
      </c>
      <c r="BA17" s="9">
        <v>373095.23232055939</v>
      </c>
    </row>
    <row r="18" spans="1:53" x14ac:dyDescent="0.25">
      <c r="A18" s="25" t="s">
        <v>5</v>
      </c>
      <c r="B18" s="9"/>
      <c r="C18" s="9"/>
      <c r="D18" s="9"/>
      <c r="E18" s="9"/>
      <c r="F18" s="9"/>
      <c r="G18" s="9"/>
      <c r="H18" s="9"/>
      <c r="I18" s="9"/>
      <c r="J18" s="9"/>
      <c r="K18" s="9"/>
      <c r="L18" s="9"/>
      <c r="M18" s="9"/>
      <c r="N18" s="9"/>
      <c r="O18" s="9"/>
      <c r="P18" s="9"/>
      <c r="Q18" s="9"/>
      <c r="R18" s="9"/>
      <c r="S18" s="9"/>
      <c r="T18" s="9"/>
      <c r="U18" s="9"/>
      <c r="V18" s="9"/>
      <c r="W18" s="9"/>
      <c r="X18" s="9"/>
      <c r="Y18" s="9"/>
      <c r="Z18" s="9">
        <v>27313.198839999997</v>
      </c>
      <c r="AA18" s="9">
        <v>29672.360679999994</v>
      </c>
      <c r="AB18" s="9">
        <v>31430.567029999987</v>
      </c>
      <c r="AC18" s="9">
        <v>26661.785249999994</v>
      </c>
      <c r="AD18" s="9">
        <v>28651.686049999989</v>
      </c>
      <c r="AE18" s="9">
        <v>30261.67498</v>
      </c>
      <c r="AF18" s="9">
        <v>31121.20937</v>
      </c>
      <c r="AG18" s="9">
        <v>30825.308949999995</v>
      </c>
      <c r="AH18" s="9">
        <v>29193.435439999997</v>
      </c>
      <c r="AI18" s="9"/>
      <c r="AJ18" s="9"/>
      <c r="AK18" s="9"/>
      <c r="AL18" s="9">
        <v>35846.09966</v>
      </c>
      <c r="AM18" s="9">
        <v>36563.021653199998</v>
      </c>
      <c r="AN18" s="9">
        <v>36563.021653199998</v>
      </c>
      <c r="AO18" s="9">
        <v>35644.36819879699</v>
      </c>
      <c r="AP18" s="9">
        <v>38630.371958195487</v>
      </c>
      <c r="AQ18" s="9">
        <v>41616.375717593983</v>
      </c>
      <c r="AR18" s="9">
        <v>44602.379476992472</v>
      </c>
      <c r="AS18" s="9">
        <v>47588.383236390968</v>
      </c>
      <c r="AT18" s="9">
        <v>50574.386995789471</v>
      </c>
      <c r="AU18" s="9"/>
      <c r="AV18" s="9"/>
      <c r="AW18" s="9"/>
      <c r="AX18" s="9"/>
      <c r="AY18" s="9"/>
      <c r="AZ18" s="9">
        <v>265131.22658999998</v>
      </c>
      <c r="BA18" s="9">
        <v>367628.40855015937</v>
      </c>
    </row>
    <row r="19" spans="1:53" x14ac:dyDescent="0.25">
      <c r="A19" s="25" t="s">
        <v>22</v>
      </c>
      <c r="B19" s="9"/>
      <c r="C19" s="9"/>
      <c r="D19" s="9"/>
      <c r="E19" s="9"/>
      <c r="F19" s="9"/>
      <c r="G19" s="9"/>
      <c r="H19" s="9"/>
      <c r="I19" s="9"/>
      <c r="J19" s="9"/>
      <c r="K19" s="9"/>
      <c r="L19" s="9"/>
      <c r="M19" s="9"/>
      <c r="N19" s="9"/>
      <c r="O19" s="9"/>
      <c r="P19" s="9"/>
      <c r="Q19" s="9"/>
      <c r="R19" s="9"/>
      <c r="S19" s="9"/>
      <c r="T19" s="9"/>
      <c r="U19" s="9"/>
      <c r="V19" s="9"/>
      <c r="W19" s="9"/>
      <c r="X19" s="9"/>
      <c r="Y19" s="9"/>
      <c r="Z19" s="9">
        <v>146151.27210999999</v>
      </c>
      <c r="AA19" s="9">
        <v>155499.38828000004</v>
      </c>
      <c r="AB19" s="9">
        <v>140496.18042999998</v>
      </c>
      <c r="AC19" s="9">
        <v>136221.86233</v>
      </c>
      <c r="AD19" s="9">
        <v>144135.48458000005</v>
      </c>
      <c r="AE19" s="9">
        <v>143337.50661000001</v>
      </c>
      <c r="AF19" s="9">
        <v>147624.60881999999</v>
      </c>
      <c r="AG19" s="9">
        <v>144158.0594</v>
      </c>
      <c r="AH19" s="9">
        <v>137609.73173000003</v>
      </c>
      <c r="AI19" s="9"/>
      <c r="AJ19" s="9"/>
      <c r="AK19" s="9"/>
      <c r="AL19" s="9">
        <v>184537.62156</v>
      </c>
      <c r="AM19" s="9">
        <v>188228.3739912</v>
      </c>
      <c r="AN19" s="9">
        <v>188228.3739912</v>
      </c>
      <c r="AO19" s="9">
        <v>172969.14579879702</v>
      </c>
      <c r="AP19" s="9">
        <v>181704.0245581955</v>
      </c>
      <c r="AQ19" s="9">
        <v>190438.90331759403</v>
      </c>
      <c r="AR19" s="9">
        <v>199173.7820769925</v>
      </c>
      <c r="AS19" s="9">
        <v>207908.66083639103</v>
      </c>
      <c r="AT19" s="9">
        <v>216643.53959578951</v>
      </c>
      <c r="AU19" s="9"/>
      <c r="AV19" s="9"/>
      <c r="AW19" s="9"/>
      <c r="AX19" s="9"/>
      <c r="AY19" s="9"/>
      <c r="AZ19" s="9">
        <v>1295234.0942900002</v>
      </c>
      <c r="BA19" s="9">
        <v>1729832.4257261597</v>
      </c>
    </row>
    <row r="20" spans="1:53" x14ac:dyDescent="0.25">
      <c r="A20" s="25" t="s">
        <v>1</v>
      </c>
      <c r="B20" s="9"/>
      <c r="C20" s="9"/>
      <c r="D20" s="9"/>
      <c r="E20" s="9"/>
      <c r="F20" s="9"/>
      <c r="G20" s="9"/>
      <c r="H20" s="9"/>
      <c r="I20" s="9"/>
      <c r="J20" s="9"/>
      <c r="K20" s="9"/>
      <c r="L20" s="9"/>
      <c r="M20" s="9"/>
      <c r="N20" s="9"/>
      <c r="O20" s="9"/>
      <c r="P20" s="9"/>
      <c r="Q20" s="9"/>
      <c r="R20" s="9"/>
      <c r="S20" s="9"/>
      <c r="T20" s="9"/>
      <c r="U20" s="9"/>
      <c r="V20" s="9"/>
      <c r="W20" s="9"/>
      <c r="X20" s="9"/>
      <c r="Y20" s="9"/>
      <c r="Z20" s="9">
        <v>230343.87351999999</v>
      </c>
      <c r="AA20" s="9">
        <v>229186.98157</v>
      </c>
      <c r="AB20" s="9">
        <v>230741.27798999994</v>
      </c>
      <c r="AC20" s="9">
        <v>233711.40646999999</v>
      </c>
      <c r="AD20" s="9">
        <v>235587.94744999998</v>
      </c>
      <c r="AE20" s="9">
        <v>224169.53148999999</v>
      </c>
      <c r="AF20" s="9">
        <v>224221.54874999999</v>
      </c>
      <c r="AG20" s="9">
        <v>212611.66634000003</v>
      </c>
      <c r="AH20" s="9">
        <v>210530.82475000003</v>
      </c>
      <c r="AI20" s="9"/>
      <c r="AJ20" s="9"/>
      <c r="AK20" s="9"/>
      <c r="AL20" s="9">
        <v>217537.34218000001</v>
      </c>
      <c r="AM20" s="9">
        <v>221888.08902360001</v>
      </c>
      <c r="AN20" s="9">
        <v>221888.08902360001</v>
      </c>
      <c r="AO20" s="9">
        <v>252487.0009935589</v>
      </c>
      <c r="AP20" s="9">
        <v>264137.01070533838</v>
      </c>
      <c r="AQ20" s="9">
        <v>275787.02041711786</v>
      </c>
      <c r="AR20" s="9">
        <v>287437.03012889728</v>
      </c>
      <c r="AS20" s="9">
        <v>299087.03984067676</v>
      </c>
      <c r="AT20" s="9">
        <v>310737.04955245618</v>
      </c>
      <c r="AU20" s="9"/>
      <c r="AV20" s="9"/>
      <c r="AW20" s="9"/>
      <c r="AX20" s="9"/>
      <c r="AY20" s="9"/>
      <c r="AZ20" s="9">
        <v>2031105.0583299999</v>
      </c>
      <c r="BA20" s="9">
        <v>2350985.6718652453</v>
      </c>
    </row>
    <row r="21" spans="1:53" x14ac:dyDescent="0.25">
      <c r="A21" s="25" t="s">
        <v>16</v>
      </c>
      <c r="B21" s="9"/>
      <c r="C21" s="9"/>
      <c r="D21" s="9"/>
      <c r="E21" s="9"/>
      <c r="F21" s="9"/>
      <c r="G21" s="9"/>
      <c r="H21" s="9"/>
      <c r="I21" s="9"/>
      <c r="J21" s="9"/>
      <c r="K21" s="9"/>
      <c r="L21" s="9"/>
      <c r="M21" s="9"/>
      <c r="N21" s="9"/>
      <c r="O21" s="9"/>
      <c r="P21" s="9"/>
      <c r="Q21" s="9"/>
      <c r="R21" s="9"/>
      <c r="S21" s="9"/>
      <c r="T21" s="9"/>
      <c r="U21" s="9"/>
      <c r="V21" s="9"/>
      <c r="W21" s="9"/>
      <c r="X21" s="9"/>
      <c r="Y21" s="9"/>
      <c r="Z21" s="9">
        <v>162974.89773000003</v>
      </c>
      <c r="AA21" s="9">
        <v>144800.81262999997</v>
      </c>
      <c r="AB21" s="9">
        <v>136258.45587999999</v>
      </c>
      <c r="AC21" s="9">
        <v>141110.69168999998</v>
      </c>
      <c r="AD21" s="9">
        <v>144886.42747999998</v>
      </c>
      <c r="AE21" s="9">
        <v>141700.06498999998</v>
      </c>
      <c r="AF21" s="9">
        <v>142117.18552</v>
      </c>
      <c r="AG21" s="9">
        <v>145695.02578999999</v>
      </c>
      <c r="AH21" s="9">
        <v>150463.46079000001</v>
      </c>
      <c r="AI21" s="9"/>
      <c r="AJ21" s="9"/>
      <c r="AK21" s="9"/>
      <c r="AL21" s="9">
        <v>182618.99343</v>
      </c>
      <c r="AM21" s="9">
        <v>186271.37329860003</v>
      </c>
      <c r="AN21" s="9">
        <v>186271.37329860003</v>
      </c>
      <c r="AO21" s="9">
        <v>162425.94514879698</v>
      </c>
      <c r="AP21" s="9">
        <v>171238.51140819545</v>
      </c>
      <c r="AQ21" s="9">
        <v>180051.07766759393</v>
      </c>
      <c r="AR21" s="9">
        <v>188863.64392699243</v>
      </c>
      <c r="AS21" s="9">
        <v>197676.2101863909</v>
      </c>
      <c r="AT21" s="9">
        <v>206488.77644578941</v>
      </c>
      <c r="AU21" s="9"/>
      <c r="AV21" s="9"/>
      <c r="AW21" s="9"/>
      <c r="AX21" s="9"/>
      <c r="AY21" s="9"/>
      <c r="AZ21" s="9">
        <v>1310007.0225</v>
      </c>
      <c r="BA21" s="9">
        <v>1661905.904810959</v>
      </c>
    </row>
    <row r="22" spans="1:53" x14ac:dyDescent="0.25">
      <c r="A22" s="25" t="s">
        <v>3</v>
      </c>
      <c r="B22" s="9"/>
      <c r="C22" s="9"/>
      <c r="D22" s="9"/>
      <c r="E22" s="9"/>
      <c r="F22" s="9"/>
      <c r="G22" s="9"/>
      <c r="H22" s="9"/>
      <c r="I22" s="9"/>
      <c r="J22" s="9"/>
      <c r="K22" s="9"/>
      <c r="L22" s="9"/>
      <c r="M22" s="9"/>
      <c r="N22" s="9"/>
      <c r="O22" s="9"/>
      <c r="P22" s="9"/>
      <c r="Q22" s="9"/>
      <c r="R22" s="9"/>
      <c r="S22" s="9"/>
      <c r="T22" s="9"/>
      <c r="U22" s="9"/>
      <c r="V22" s="9"/>
      <c r="W22" s="9"/>
      <c r="X22" s="9"/>
      <c r="Y22" s="9"/>
      <c r="Z22" s="9">
        <v>84635.054329999999</v>
      </c>
      <c r="AA22" s="9">
        <v>85116.598219999985</v>
      </c>
      <c r="AB22" s="9">
        <v>85095.174710000007</v>
      </c>
      <c r="AC22" s="9">
        <v>82345.488289999994</v>
      </c>
      <c r="AD22" s="9">
        <v>84894.38718000002</v>
      </c>
      <c r="AE22" s="9">
        <v>83089.412840000005</v>
      </c>
      <c r="AF22" s="9">
        <v>86896.521679999991</v>
      </c>
      <c r="AG22" s="9">
        <v>87153.316539999985</v>
      </c>
      <c r="AH22" s="9">
        <v>83120.349220000004</v>
      </c>
      <c r="AI22" s="9"/>
      <c r="AJ22" s="9"/>
      <c r="AK22" s="9"/>
      <c r="AL22" s="9">
        <v>65583.966440000004</v>
      </c>
      <c r="AM22" s="9">
        <v>66895.645768799994</v>
      </c>
      <c r="AN22" s="9">
        <v>66895.645768799994</v>
      </c>
      <c r="AO22" s="9">
        <v>97126.034310225543</v>
      </c>
      <c r="AP22" s="9">
        <v>103130.75235533834</v>
      </c>
      <c r="AQ22" s="9">
        <v>109135.47040045111</v>
      </c>
      <c r="AR22" s="9">
        <v>115140.18844556388</v>
      </c>
      <c r="AS22" s="9">
        <v>121144.90649067667</v>
      </c>
      <c r="AT22" s="9">
        <v>127149.62453578947</v>
      </c>
      <c r="AU22" s="9"/>
      <c r="AV22" s="9"/>
      <c r="AW22" s="9"/>
      <c r="AX22" s="9"/>
      <c r="AY22" s="9"/>
      <c r="AZ22" s="9">
        <v>762346.30301000003</v>
      </c>
      <c r="BA22" s="9">
        <v>872202.23451564496</v>
      </c>
    </row>
    <row r="23" spans="1:53" x14ac:dyDescent="0.25">
      <c r="A23" s="25" t="s">
        <v>9</v>
      </c>
      <c r="B23" s="9"/>
      <c r="C23" s="9"/>
      <c r="D23" s="9"/>
      <c r="E23" s="9"/>
      <c r="F23" s="9"/>
      <c r="G23" s="9"/>
      <c r="H23" s="9"/>
      <c r="I23" s="9"/>
      <c r="J23" s="9"/>
      <c r="K23" s="9"/>
      <c r="L23" s="9"/>
      <c r="M23" s="9"/>
      <c r="N23" s="9"/>
      <c r="O23" s="9"/>
      <c r="P23" s="9"/>
      <c r="Q23" s="9"/>
      <c r="R23" s="9"/>
      <c r="S23" s="9"/>
      <c r="T23" s="9"/>
      <c r="U23" s="9"/>
      <c r="V23" s="9"/>
      <c r="W23" s="9"/>
      <c r="X23" s="9"/>
      <c r="Y23" s="9"/>
      <c r="Z23" s="9">
        <v>197694.01487000001</v>
      </c>
      <c r="AA23" s="9">
        <v>202777.70191999996</v>
      </c>
      <c r="AB23" s="9">
        <v>179696.30208999998</v>
      </c>
      <c r="AC23" s="9">
        <v>169628.47763999997</v>
      </c>
      <c r="AD23" s="9">
        <v>177293.71343</v>
      </c>
      <c r="AE23" s="9">
        <v>172611.81792</v>
      </c>
      <c r="AF23" s="9">
        <v>168267.49249</v>
      </c>
      <c r="AG23" s="9">
        <v>167382.84175000002</v>
      </c>
      <c r="AH23" s="9">
        <v>170519.92852000002</v>
      </c>
      <c r="AI23" s="9"/>
      <c r="AJ23" s="9"/>
      <c r="AK23" s="9"/>
      <c r="AL23" s="9">
        <v>218841.90774</v>
      </c>
      <c r="AM23" s="9">
        <v>223218.7458948</v>
      </c>
      <c r="AN23" s="9">
        <v>223218.7458948</v>
      </c>
      <c r="AO23" s="9">
        <v>208357.57253403505</v>
      </c>
      <c r="AP23" s="9">
        <v>211147.5078410526</v>
      </c>
      <c r="AQ23" s="9">
        <v>213937.44314807013</v>
      </c>
      <c r="AR23" s="9">
        <v>216727.37845508766</v>
      </c>
      <c r="AS23" s="9">
        <v>219517.31376210519</v>
      </c>
      <c r="AT23" s="9">
        <v>222307.24906912274</v>
      </c>
      <c r="AU23" s="9"/>
      <c r="AV23" s="9"/>
      <c r="AW23" s="9"/>
      <c r="AX23" s="9"/>
      <c r="AY23" s="9"/>
      <c r="AZ23" s="9">
        <v>1605872.2906300002</v>
      </c>
      <c r="BA23" s="9">
        <v>1957273.8643390734</v>
      </c>
    </row>
    <row r="24" spans="1:53" x14ac:dyDescent="0.25">
      <c r="A24" s="25" t="s">
        <v>0</v>
      </c>
      <c r="B24" s="9"/>
      <c r="C24" s="9"/>
      <c r="D24" s="9"/>
      <c r="E24" s="9"/>
      <c r="F24" s="9"/>
      <c r="G24" s="9"/>
      <c r="H24" s="9"/>
      <c r="I24" s="9"/>
      <c r="J24" s="9"/>
      <c r="K24" s="9"/>
      <c r="L24" s="9"/>
      <c r="M24" s="9"/>
      <c r="N24" s="9"/>
      <c r="O24" s="9"/>
      <c r="P24" s="9"/>
      <c r="Q24" s="9"/>
      <c r="R24" s="9"/>
      <c r="S24" s="9"/>
      <c r="T24" s="9"/>
      <c r="U24" s="9"/>
      <c r="V24" s="9"/>
      <c r="W24" s="9"/>
      <c r="X24" s="9"/>
      <c r="Y24" s="9"/>
      <c r="Z24" s="9">
        <v>73762.181700000016</v>
      </c>
      <c r="AA24" s="9">
        <v>69905.67879999998</v>
      </c>
      <c r="AB24" s="9">
        <v>92268.463589999999</v>
      </c>
      <c r="AC24" s="9">
        <v>92311.274630000014</v>
      </c>
      <c r="AD24" s="9">
        <v>91304.101980000007</v>
      </c>
      <c r="AE24" s="9">
        <v>106351.4526</v>
      </c>
      <c r="AF24" s="9">
        <v>82367.005860000005</v>
      </c>
      <c r="AG24" s="9">
        <v>83224.405250000011</v>
      </c>
      <c r="AH24" s="9">
        <v>98497.340690000012</v>
      </c>
      <c r="AI24" s="9"/>
      <c r="AJ24" s="9"/>
      <c r="AK24" s="9"/>
      <c r="AL24" s="9">
        <v>85603.324790000013</v>
      </c>
      <c r="AM24" s="9">
        <v>87315.391285800011</v>
      </c>
      <c r="AN24" s="9">
        <v>87315.391285800011</v>
      </c>
      <c r="AO24" s="9">
        <v>81108.644652130301</v>
      </c>
      <c r="AP24" s="9">
        <v>86710.127578195461</v>
      </c>
      <c r="AQ24" s="9">
        <v>92311.610504260636</v>
      </c>
      <c r="AR24" s="9">
        <v>97913.093430325811</v>
      </c>
      <c r="AS24" s="9">
        <v>103514.57635639097</v>
      </c>
      <c r="AT24" s="9">
        <v>109116.05928245613</v>
      </c>
      <c r="AU24" s="9"/>
      <c r="AV24" s="9"/>
      <c r="AW24" s="9"/>
      <c r="AX24" s="9"/>
      <c r="AY24" s="9"/>
      <c r="AZ24" s="9">
        <v>789991.90510000009</v>
      </c>
      <c r="BA24" s="9">
        <v>830908.21916535939</v>
      </c>
    </row>
    <row r="25" spans="1:53" x14ac:dyDescent="0.25">
      <c r="A25" s="25" t="s">
        <v>8</v>
      </c>
      <c r="B25" s="9"/>
      <c r="C25" s="9"/>
      <c r="D25" s="9"/>
      <c r="E25" s="9"/>
      <c r="F25" s="9"/>
      <c r="G25" s="9"/>
      <c r="H25" s="9"/>
      <c r="I25" s="9"/>
      <c r="J25" s="9"/>
      <c r="K25" s="9"/>
      <c r="L25" s="9"/>
      <c r="M25" s="9"/>
      <c r="N25" s="9"/>
      <c r="O25" s="9"/>
      <c r="P25" s="9"/>
      <c r="Q25" s="9"/>
      <c r="R25" s="9"/>
      <c r="S25" s="9"/>
      <c r="T25" s="9"/>
      <c r="U25" s="9"/>
      <c r="V25" s="9"/>
      <c r="W25" s="9"/>
      <c r="X25" s="9"/>
      <c r="Y25" s="9"/>
      <c r="Z25" s="9">
        <v>483509.05972999998</v>
      </c>
      <c r="AA25" s="9">
        <v>486177.91011</v>
      </c>
      <c r="AB25" s="9">
        <v>488583.33347000007</v>
      </c>
      <c r="AC25" s="9">
        <v>489382.63978000014</v>
      </c>
      <c r="AD25" s="9">
        <v>518381.91263000009</v>
      </c>
      <c r="AE25" s="9">
        <v>506153.62855000002</v>
      </c>
      <c r="AF25" s="9">
        <v>511820.75765000004</v>
      </c>
      <c r="AG25" s="9">
        <v>507564.98164000007</v>
      </c>
      <c r="AH25" s="9">
        <v>529356.1886900001</v>
      </c>
      <c r="AI25" s="9"/>
      <c r="AJ25" s="9"/>
      <c r="AK25" s="9"/>
      <c r="AL25" s="9">
        <v>467743.04148000001</v>
      </c>
      <c r="AM25" s="9">
        <v>477097.90230960003</v>
      </c>
      <c r="AN25" s="9">
        <v>477097.90230960003</v>
      </c>
      <c r="AO25" s="9">
        <v>501109.87596213032</v>
      </c>
      <c r="AP25" s="9">
        <v>508575.85888819554</v>
      </c>
      <c r="AQ25" s="9">
        <v>516041.8418142607</v>
      </c>
      <c r="AR25" s="9">
        <v>523507.82474032586</v>
      </c>
      <c r="AS25" s="9">
        <v>530973.80766639102</v>
      </c>
      <c r="AT25" s="9">
        <v>538439.79059245624</v>
      </c>
      <c r="AU25" s="9"/>
      <c r="AV25" s="9"/>
      <c r="AW25" s="9"/>
      <c r="AX25" s="9"/>
      <c r="AY25" s="9"/>
      <c r="AZ25" s="9">
        <v>4520930.4122500001</v>
      </c>
      <c r="BA25" s="9">
        <v>4540587.8457629597</v>
      </c>
    </row>
    <row r="26" spans="1:53" x14ac:dyDescent="0.25">
      <c r="A26" s="25" t="s">
        <v>13</v>
      </c>
      <c r="B26" s="9"/>
      <c r="C26" s="9"/>
      <c r="D26" s="9"/>
      <c r="E26" s="9"/>
      <c r="F26" s="9"/>
      <c r="G26" s="9"/>
      <c r="H26" s="9"/>
      <c r="I26" s="9"/>
      <c r="J26" s="9"/>
      <c r="K26" s="9"/>
      <c r="L26" s="9"/>
      <c r="M26" s="9"/>
      <c r="N26" s="9"/>
      <c r="O26" s="9"/>
      <c r="P26" s="9"/>
      <c r="Q26" s="9"/>
      <c r="R26" s="9"/>
      <c r="S26" s="9"/>
      <c r="T26" s="9"/>
      <c r="U26" s="9"/>
      <c r="V26" s="9"/>
      <c r="W26" s="9"/>
      <c r="X26" s="9"/>
      <c r="Y26" s="9"/>
      <c r="Z26" s="9">
        <v>251577.28116999997</v>
      </c>
      <c r="AA26" s="9">
        <v>253227.98369999998</v>
      </c>
      <c r="AB26" s="9">
        <v>251589.89252000002</v>
      </c>
      <c r="AC26" s="9">
        <v>255128.14759000001</v>
      </c>
      <c r="AD26" s="9">
        <v>254295.30593999996</v>
      </c>
      <c r="AE26" s="9">
        <v>232267.94663000002</v>
      </c>
      <c r="AF26" s="9">
        <v>147757.57507000002</v>
      </c>
      <c r="AG26" s="9">
        <v>150923.67260999998</v>
      </c>
      <c r="AH26" s="9">
        <v>141400.21826999998</v>
      </c>
      <c r="AI26" s="9"/>
      <c r="AJ26" s="9"/>
      <c r="AK26" s="9"/>
      <c r="AL26" s="9">
        <v>248499.8217</v>
      </c>
      <c r="AM26" s="9">
        <v>253469.818134</v>
      </c>
      <c r="AN26" s="9">
        <v>253469.818134</v>
      </c>
      <c r="AO26" s="9">
        <v>261944.94955213033</v>
      </c>
      <c r="AP26" s="9">
        <v>266303.43247819546</v>
      </c>
      <c r="AQ26" s="9">
        <v>270661.91540426068</v>
      </c>
      <c r="AR26" s="9">
        <v>275020.39833032584</v>
      </c>
      <c r="AS26" s="9">
        <v>279378.881256391</v>
      </c>
      <c r="AT26" s="9">
        <v>283737.36418245616</v>
      </c>
      <c r="AU26" s="9"/>
      <c r="AV26" s="9"/>
      <c r="AW26" s="9"/>
      <c r="AX26" s="9"/>
      <c r="AY26" s="9"/>
      <c r="AZ26" s="9">
        <v>1938168.0235000001</v>
      </c>
      <c r="BA26" s="9">
        <v>2392486.3991717594</v>
      </c>
    </row>
    <row r="27" spans="1:53" x14ac:dyDescent="0.25">
      <c r="A27" s="25" t="s">
        <v>15</v>
      </c>
      <c r="B27" s="9"/>
      <c r="C27" s="9"/>
      <c r="D27" s="9"/>
      <c r="E27" s="9"/>
      <c r="F27" s="9"/>
      <c r="G27" s="9"/>
      <c r="H27" s="9"/>
      <c r="I27" s="9"/>
      <c r="J27" s="9"/>
      <c r="K27" s="9"/>
      <c r="L27" s="9"/>
      <c r="M27" s="9"/>
      <c r="N27" s="9"/>
      <c r="O27" s="9"/>
      <c r="P27" s="9"/>
      <c r="Q27" s="9"/>
      <c r="R27" s="9"/>
      <c r="S27" s="9"/>
      <c r="T27" s="9"/>
      <c r="U27" s="9"/>
      <c r="V27" s="9"/>
      <c r="W27" s="9"/>
      <c r="X27" s="9"/>
      <c r="Y27" s="9"/>
      <c r="Z27" s="9">
        <v>42791.446039999995</v>
      </c>
      <c r="AA27" s="9">
        <v>46574.060489999982</v>
      </c>
      <c r="AB27" s="9">
        <v>45075.56845999998</v>
      </c>
      <c r="AC27" s="9">
        <v>36290.48614999999</v>
      </c>
      <c r="AD27" s="9">
        <v>35523.536169999992</v>
      </c>
      <c r="AE27" s="9">
        <v>35517.669949999989</v>
      </c>
      <c r="AF27" s="9">
        <v>37763.046699999999</v>
      </c>
      <c r="AG27" s="9">
        <v>44263.251540000005</v>
      </c>
      <c r="AH27" s="9">
        <v>36385.467610000007</v>
      </c>
      <c r="AI27" s="9"/>
      <c r="AJ27" s="9"/>
      <c r="AK27" s="9"/>
      <c r="AL27" s="9">
        <v>35630.448240000005</v>
      </c>
      <c r="AM27" s="9">
        <v>36343.057204800003</v>
      </c>
      <c r="AN27" s="9">
        <v>36343.057204800003</v>
      </c>
      <c r="AO27" s="9">
        <v>52546.068008796974</v>
      </c>
      <c r="AP27" s="9">
        <v>55532.07176819547</v>
      </c>
      <c r="AQ27" s="9">
        <v>58518.075527593974</v>
      </c>
      <c r="AR27" s="9">
        <v>61504.07928699247</v>
      </c>
      <c r="AS27" s="9">
        <v>64490.083046390966</v>
      </c>
      <c r="AT27" s="9">
        <v>67476.08680578947</v>
      </c>
      <c r="AU27" s="9"/>
      <c r="AV27" s="9"/>
      <c r="AW27" s="9"/>
      <c r="AX27" s="9"/>
      <c r="AY27" s="9"/>
      <c r="AZ27" s="9">
        <v>360184.5331099999</v>
      </c>
      <c r="BA27" s="9">
        <v>468383.02709335939</v>
      </c>
    </row>
    <row r="28" spans="1:53" x14ac:dyDescent="0.25">
      <c r="A28" s="24" t="s">
        <v>23</v>
      </c>
      <c r="B28" s="9"/>
      <c r="C28" s="9"/>
      <c r="D28" s="9"/>
      <c r="E28" s="9"/>
      <c r="F28" s="9"/>
      <c r="G28" s="9"/>
      <c r="H28" s="9"/>
      <c r="I28" s="9"/>
      <c r="J28" s="9"/>
      <c r="K28" s="9"/>
      <c r="L28" s="9"/>
      <c r="M28" s="9"/>
      <c r="N28" s="9"/>
      <c r="O28" s="9"/>
      <c r="P28" s="9"/>
      <c r="Q28" s="9"/>
      <c r="R28" s="9"/>
      <c r="S28" s="9"/>
      <c r="T28" s="9"/>
      <c r="U28" s="9"/>
      <c r="V28" s="9"/>
      <c r="W28" s="9"/>
      <c r="X28" s="9"/>
      <c r="Y28" s="9"/>
      <c r="Z28" s="9">
        <v>3205523.7209599996</v>
      </c>
      <c r="AA28" s="9">
        <v>3201406.83715</v>
      </c>
      <c r="AB28" s="9">
        <v>3173998.8964200001</v>
      </c>
      <c r="AC28" s="9">
        <v>3152853.2298300001</v>
      </c>
      <c r="AD28" s="9">
        <v>3338087.4768499997</v>
      </c>
      <c r="AE28" s="9">
        <v>3385582.0775199994</v>
      </c>
      <c r="AF28" s="9">
        <v>3309550.1828699997</v>
      </c>
      <c r="AG28" s="9">
        <v>3286000.0703099994</v>
      </c>
      <c r="AH28" s="9">
        <v>3288285.5994300009</v>
      </c>
      <c r="AI28" s="9"/>
      <c r="AJ28" s="9"/>
      <c r="AK28" s="9"/>
      <c r="AL28" s="9">
        <v>3343345.3780800002</v>
      </c>
      <c r="AM28" s="9">
        <v>3410212.2856416004</v>
      </c>
      <c r="AN28" s="9">
        <v>3410212.2856416004</v>
      </c>
      <c r="AO28" s="9">
        <v>3408573.5038166656</v>
      </c>
      <c r="AP28" s="9">
        <v>3512156.83715</v>
      </c>
      <c r="AQ28" s="9">
        <v>3615740.1704833331</v>
      </c>
      <c r="AR28" s="9">
        <v>3719323.503816667</v>
      </c>
      <c r="AS28" s="9">
        <v>3822906.83715</v>
      </c>
      <c r="AT28" s="9">
        <v>3926490.1704833317</v>
      </c>
      <c r="AU28" s="9"/>
      <c r="AV28" s="9"/>
      <c r="AW28" s="9"/>
      <c r="AX28" s="9"/>
      <c r="AY28" s="9"/>
      <c r="AZ28" s="9">
        <v>29341288.091340005</v>
      </c>
      <c r="BA28" s="9">
        <v>32168960.972263198</v>
      </c>
    </row>
    <row r="29" spans="1:53" x14ac:dyDescent="0.25">
      <c r="B29"/>
      <c r="C29"/>
    </row>
    <row r="30" spans="1:53" x14ac:dyDescent="0.25">
      <c r="B30"/>
      <c r="C30"/>
    </row>
    <row r="31" spans="1:53" x14ac:dyDescent="0.25">
      <c r="B31"/>
      <c r="C31"/>
    </row>
    <row r="32" spans="1:5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row r="148" spans="2:3" x14ac:dyDescent="0.25">
      <c r="B148"/>
      <c r="C148"/>
    </row>
    <row r="149" spans="2:3" x14ac:dyDescent="0.25">
      <c r="B149"/>
      <c r="C149"/>
    </row>
    <row r="150" spans="2:3" x14ac:dyDescent="0.25">
      <c r="B150"/>
      <c r="C150"/>
    </row>
    <row r="151" spans="2:3" x14ac:dyDescent="0.25">
      <c r="B151"/>
      <c r="C151"/>
    </row>
    <row r="152" spans="2:3" x14ac:dyDescent="0.25">
      <c r="B152"/>
      <c r="C152"/>
    </row>
    <row r="153" spans="2:3" x14ac:dyDescent="0.25">
      <c r="B153"/>
      <c r="C153"/>
    </row>
    <row r="154" spans="2:3" x14ac:dyDescent="0.25">
      <c r="B154"/>
      <c r="C154"/>
    </row>
    <row r="155" spans="2:3" x14ac:dyDescent="0.25">
      <c r="B155"/>
      <c r="C155"/>
    </row>
    <row r="156" spans="2:3" x14ac:dyDescent="0.25">
      <c r="B156"/>
      <c r="C156"/>
    </row>
    <row r="157" spans="2:3" x14ac:dyDescent="0.25">
      <c r="B157"/>
      <c r="C157"/>
    </row>
    <row r="158" spans="2:3" x14ac:dyDescent="0.25">
      <c r="B158"/>
      <c r="C158"/>
    </row>
    <row r="159" spans="2:3" x14ac:dyDescent="0.25">
      <c r="B159"/>
      <c r="C159"/>
    </row>
    <row r="160" spans="2:3" x14ac:dyDescent="0.25">
      <c r="B160"/>
      <c r="C160"/>
    </row>
    <row r="161" spans="2:3" x14ac:dyDescent="0.25">
      <c r="B161"/>
      <c r="C161"/>
    </row>
    <row r="162" spans="2:3" x14ac:dyDescent="0.25">
      <c r="B162"/>
      <c r="C162"/>
    </row>
    <row r="163" spans="2:3" x14ac:dyDescent="0.25">
      <c r="B163"/>
      <c r="C163"/>
    </row>
    <row r="164" spans="2:3" x14ac:dyDescent="0.25">
      <c r="B164"/>
      <c r="C164"/>
    </row>
    <row r="165" spans="2:3" x14ac:dyDescent="0.25">
      <c r="B165"/>
      <c r="C165"/>
    </row>
    <row r="166" spans="2:3" x14ac:dyDescent="0.25">
      <c r="B166"/>
      <c r="C166"/>
    </row>
    <row r="167" spans="2:3" x14ac:dyDescent="0.25">
      <c r="B167"/>
      <c r="C167"/>
    </row>
    <row r="168" spans="2:3" x14ac:dyDescent="0.25">
      <c r="B168"/>
      <c r="C168"/>
    </row>
    <row r="169" spans="2:3" x14ac:dyDescent="0.25">
      <c r="B169"/>
      <c r="C169"/>
    </row>
    <row r="170" spans="2:3" x14ac:dyDescent="0.25">
      <c r="B170"/>
      <c r="C170"/>
    </row>
    <row r="171" spans="2:3" x14ac:dyDescent="0.25">
      <c r="B171"/>
      <c r="C171"/>
    </row>
    <row r="172" spans="2:3" x14ac:dyDescent="0.25">
      <c r="B172"/>
      <c r="C172"/>
    </row>
    <row r="173" spans="2:3" x14ac:dyDescent="0.25">
      <c r="B173"/>
      <c r="C173"/>
    </row>
    <row r="174" spans="2:3" x14ac:dyDescent="0.25">
      <c r="B174"/>
      <c r="C174"/>
    </row>
    <row r="175" spans="2:3" x14ac:dyDescent="0.25">
      <c r="B175"/>
      <c r="C175"/>
    </row>
    <row r="176" spans="2:3" x14ac:dyDescent="0.25">
      <c r="B176"/>
      <c r="C176"/>
    </row>
    <row r="177" spans="2:3" x14ac:dyDescent="0.25">
      <c r="B177"/>
      <c r="C177"/>
    </row>
    <row r="178" spans="2:3" x14ac:dyDescent="0.25">
      <c r="B178"/>
      <c r="C178"/>
    </row>
    <row r="179" spans="2:3" x14ac:dyDescent="0.25">
      <c r="B179"/>
      <c r="C179"/>
    </row>
    <row r="180" spans="2:3" x14ac:dyDescent="0.25">
      <c r="B180"/>
      <c r="C180"/>
    </row>
    <row r="181" spans="2:3" x14ac:dyDescent="0.25">
      <c r="B181"/>
      <c r="C181"/>
    </row>
    <row r="182" spans="2:3" x14ac:dyDescent="0.25">
      <c r="B182"/>
      <c r="C182"/>
    </row>
    <row r="183" spans="2:3" x14ac:dyDescent="0.25">
      <c r="B183"/>
      <c r="C183"/>
    </row>
    <row r="184" spans="2:3" x14ac:dyDescent="0.25">
      <c r="B184"/>
      <c r="C184"/>
    </row>
    <row r="185" spans="2:3" x14ac:dyDescent="0.25">
      <c r="B185"/>
      <c r="C185"/>
    </row>
    <row r="186" spans="2:3" x14ac:dyDescent="0.25">
      <c r="B186"/>
      <c r="C186"/>
    </row>
    <row r="187" spans="2:3" x14ac:dyDescent="0.25">
      <c r="B187"/>
      <c r="C187"/>
    </row>
    <row r="188" spans="2:3" x14ac:dyDescent="0.25">
      <c r="B188"/>
      <c r="C188"/>
    </row>
    <row r="189" spans="2:3" x14ac:dyDescent="0.25">
      <c r="B189"/>
      <c r="C189"/>
    </row>
    <row r="190" spans="2:3" x14ac:dyDescent="0.25">
      <c r="B190"/>
      <c r="C190"/>
    </row>
    <row r="191" spans="2:3" x14ac:dyDescent="0.25">
      <c r="B191"/>
      <c r="C191"/>
    </row>
    <row r="192" spans="2:3" x14ac:dyDescent="0.25">
      <c r="B192"/>
      <c r="C192"/>
    </row>
    <row r="193" spans="2:3" x14ac:dyDescent="0.25">
      <c r="B193"/>
      <c r="C193"/>
    </row>
    <row r="194" spans="2:3" x14ac:dyDescent="0.25">
      <c r="B194"/>
      <c r="C194"/>
    </row>
    <row r="195" spans="2:3" x14ac:dyDescent="0.25">
      <c r="B195"/>
      <c r="C195"/>
    </row>
    <row r="196" spans="2:3" x14ac:dyDescent="0.25">
      <c r="B196"/>
      <c r="C196"/>
    </row>
    <row r="197" spans="2:3" x14ac:dyDescent="0.25">
      <c r="B197"/>
      <c r="C197"/>
    </row>
    <row r="198" spans="2:3" x14ac:dyDescent="0.25">
      <c r="B198"/>
      <c r="C198"/>
    </row>
    <row r="199" spans="2:3" x14ac:dyDescent="0.25">
      <c r="B199"/>
      <c r="C199"/>
    </row>
    <row r="200" spans="2:3" x14ac:dyDescent="0.25">
      <c r="B200"/>
      <c r="C200"/>
    </row>
    <row r="201" spans="2:3" x14ac:dyDescent="0.25">
      <c r="B201"/>
      <c r="C201"/>
    </row>
    <row r="202" spans="2:3" x14ac:dyDescent="0.25">
      <c r="B202"/>
      <c r="C202"/>
    </row>
    <row r="203" spans="2:3" x14ac:dyDescent="0.25">
      <c r="B203"/>
      <c r="C203"/>
    </row>
    <row r="204" spans="2:3" x14ac:dyDescent="0.25">
      <c r="B204"/>
      <c r="C204"/>
    </row>
    <row r="205" spans="2:3" x14ac:dyDescent="0.25">
      <c r="B205"/>
      <c r="C205"/>
    </row>
    <row r="206" spans="2:3" x14ac:dyDescent="0.25">
      <c r="B206"/>
      <c r="C20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69"/>
  <sheetViews>
    <sheetView topLeftCell="A2242" zoomScale="85" zoomScaleNormal="85" workbookViewId="0">
      <selection activeCell="E56" sqref="E56"/>
    </sheetView>
  </sheetViews>
  <sheetFormatPr defaultColWidth="8.7109375" defaultRowHeight="13.5" x14ac:dyDescent="0.25"/>
  <cols>
    <col min="1" max="1" width="8.7109375" style="1"/>
    <col min="2" max="2" width="15.85546875" style="1" bestFit="1" customWidth="1"/>
    <col min="3" max="3" width="22.28515625" style="1" bestFit="1" customWidth="1"/>
    <col min="4" max="4" width="21" style="4" bestFit="1" customWidth="1"/>
    <col min="5" max="5" width="18.42578125" style="4" customWidth="1"/>
    <col min="6" max="6" width="17.42578125" style="4" customWidth="1"/>
    <col min="7" max="7" width="17.7109375" style="4" customWidth="1"/>
    <col min="8" max="8" width="25.85546875" style="4" bestFit="1" customWidth="1"/>
    <col min="9" max="9" width="22.140625" style="4" bestFit="1" customWidth="1"/>
    <col min="10" max="10" width="14.28515625" style="1" customWidth="1"/>
    <col min="11" max="12" width="8.7109375" style="1"/>
    <col min="13" max="13" width="11.5703125" style="1" bestFit="1" customWidth="1"/>
    <col min="14" max="16384" width="8.7109375" style="1"/>
  </cols>
  <sheetData>
    <row r="1" spans="1:13" s="3" customFormat="1" ht="12.75" x14ac:dyDescent="0.2">
      <c r="A1" s="3" t="s">
        <v>37</v>
      </c>
      <c r="B1" s="3" t="s">
        <v>33</v>
      </c>
      <c r="C1" s="3" t="s">
        <v>34</v>
      </c>
      <c r="D1" s="14" t="s">
        <v>69</v>
      </c>
      <c r="E1" s="14" t="s">
        <v>70</v>
      </c>
      <c r="F1" s="14" t="s">
        <v>71</v>
      </c>
      <c r="G1" s="14" t="s">
        <v>72</v>
      </c>
      <c r="H1" s="14" t="s">
        <v>73</v>
      </c>
      <c r="I1" s="14" t="s">
        <v>74</v>
      </c>
      <c r="J1" s="3" t="s">
        <v>36</v>
      </c>
    </row>
    <row r="2" spans="1:13" s="3" customFormat="1" x14ac:dyDescent="0.25">
      <c r="A2" s="1" t="s">
        <v>38</v>
      </c>
      <c r="B2" s="1" t="s">
        <v>18</v>
      </c>
      <c r="C2" s="1" t="s">
        <v>63</v>
      </c>
      <c r="D2" s="4">
        <v>0</v>
      </c>
      <c r="E2" s="4">
        <v>0</v>
      </c>
      <c r="F2" s="4">
        <v>0</v>
      </c>
      <c r="G2" s="4">
        <v>0</v>
      </c>
      <c r="H2" s="19">
        <v>0</v>
      </c>
      <c r="I2" s="14"/>
      <c r="J2" s="1" t="s">
        <v>85</v>
      </c>
    </row>
    <row r="3" spans="1:13" s="3" customFormat="1" x14ac:dyDescent="0.25">
      <c r="A3" s="1" t="s">
        <v>38</v>
      </c>
      <c r="B3" s="1" t="s">
        <v>18</v>
      </c>
      <c r="C3" s="1" t="s">
        <v>26</v>
      </c>
      <c r="D3" s="4"/>
      <c r="E3" s="4">
        <v>0</v>
      </c>
      <c r="F3" s="4"/>
      <c r="G3" s="4">
        <v>0</v>
      </c>
      <c r="H3" s="19">
        <v>0</v>
      </c>
      <c r="I3" s="19"/>
      <c r="J3" s="1" t="s">
        <v>85</v>
      </c>
    </row>
    <row r="4" spans="1:13" s="3" customFormat="1" x14ac:dyDescent="0.25">
      <c r="A4" s="1" t="s">
        <v>38</v>
      </c>
      <c r="B4" s="1" t="s">
        <v>18</v>
      </c>
      <c r="C4" s="1" t="s">
        <v>27</v>
      </c>
      <c r="D4" s="4">
        <v>0</v>
      </c>
      <c r="E4" s="4">
        <v>413.95921999999996</v>
      </c>
      <c r="F4" s="14"/>
      <c r="G4" s="4">
        <v>0</v>
      </c>
      <c r="H4" s="19">
        <v>0</v>
      </c>
      <c r="I4" s="14"/>
      <c r="J4" s="1" t="s">
        <v>85</v>
      </c>
    </row>
    <row r="5" spans="1:13" s="3" customFormat="1" x14ac:dyDescent="0.25">
      <c r="A5" s="1" t="s">
        <v>38</v>
      </c>
      <c r="B5" s="1" t="s">
        <v>18</v>
      </c>
      <c r="C5" s="1" t="s">
        <v>21</v>
      </c>
      <c r="D5" s="4">
        <v>0</v>
      </c>
      <c r="E5" s="4">
        <v>0</v>
      </c>
      <c r="F5" s="4">
        <v>0</v>
      </c>
      <c r="G5" s="4">
        <v>0</v>
      </c>
      <c r="H5" s="19">
        <v>0</v>
      </c>
      <c r="I5" s="14"/>
      <c r="J5" s="1" t="s">
        <v>85</v>
      </c>
    </row>
    <row r="6" spans="1:13" s="3" customFormat="1" x14ac:dyDescent="0.25">
      <c r="A6" s="1" t="s">
        <v>38</v>
      </c>
      <c r="B6" s="1" t="s">
        <v>18</v>
      </c>
      <c r="C6" s="1" t="s">
        <v>28</v>
      </c>
      <c r="D6" s="4">
        <v>0</v>
      </c>
      <c r="E6" s="4">
        <v>0</v>
      </c>
      <c r="F6" s="4">
        <v>0</v>
      </c>
      <c r="G6" s="4">
        <v>0</v>
      </c>
      <c r="H6" s="19">
        <v>0</v>
      </c>
      <c r="I6" s="14"/>
      <c r="J6" s="1" t="s">
        <v>85</v>
      </c>
    </row>
    <row r="7" spans="1:13" s="3" customFormat="1" x14ac:dyDescent="0.25">
      <c r="A7" s="1" t="s">
        <v>38</v>
      </c>
      <c r="B7" s="1" t="s">
        <v>18</v>
      </c>
      <c r="C7" s="1" t="s">
        <v>29</v>
      </c>
      <c r="D7" s="4">
        <v>-130</v>
      </c>
      <c r="E7" s="4">
        <v>-130</v>
      </c>
      <c r="F7" s="4">
        <v>33000</v>
      </c>
      <c r="G7" s="4">
        <v>33000</v>
      </c>
      <c r="H7" s="19">
        <v>-1.0039393939393939</v>
      </c>
      <c r="I7" s="14"/>
      <c r="J7" s="1" t="s">
        <v>85</v>
      </c>
    </row>
    <row r="8" spans="1:13" s="3" customFormat="1" x14ac:dyDescent="0.25">
      <c r="A8" s="1" t="s">
        <v>38</v>
      </c>
      <c r="B8" s="1" t="s">
        <v>18</v>
      </c>
      <c r="C8" s="1" t="s">
        <v>30</v>
      </c>
      <c r="D8" s="4">
        <v>0</v>
      </c>
      <c r="E8" s="4">
        <v>0</v>
      </c>
      <c r="F8" s="4">
        <v>0</v>
      </c>
      <c r="G8" s="4">
        <v>0</v>
      </c>
      <c r="H8" s="19">
        <v>0</v>
      </c>
      <c r="I8" s="14"/>
      <c r="J8" s="1" t="s">
        <v>85</v>
      </c>
    </row>
    <row r="9" spans="1:13" s="3" customFormat="1" x14ac:dyDescent="0.25">
      <c r="A9" s="1" t="s">
        <v>38</v>
      </c>
      <c r="B9" s="1" t="s">
        <v>18</v>
      </c>
      <c r="C9" s="1" t="s">
        <v>31</v>
      </c>
      <c r="D9" s="4">
        <v>164.02884</v>
      </c>
      <c r="E9" s="4">
        <v>164.02884</v>
      </c>
      <c r="F9" s="4">
        <v>4.0554612757863137E-2</v>
      </c>
      <c r="G9" s="4">
        <v>4.0554612757863137E-2</v>
      </c>
      <c r="H9" s="19">
        <v>4043.6407657584264</v>
      </c>
      <c r="I9" s="14"/>
      <c r="J9" s="1" t="s">
        <v>85</v>
      </c>
    </row>
    <row r="10" spans="1:13" s="3" customFormat="1" x14ac:dyDescent="0.25">
      <c r="A10" s="1" t="s">
        <v>38</v>
      </c>
      <c r="B10" s="1" t="s">
        <v>18</v>
      </c>
      <c r="C10" s="1" t="s">
        <v>32</v>
      </c>
      <c r="D10" s="4">
        <v>-40839.922004076237</v>
      </c>
      <c r="E10" s="4">
        <v>-40839.922004076237</v>
      </c>
      <c r="F10" s="4">
        <v>-39049.69107999999</v>
      </c>
      <c r="G10" s="4">
        <v>-39049.69107999999</v>
      </c>
      <c r="H10" s="19">
        <v>-4.5844944596582157E-2</v>
      </c>
      <c r="I10" s="14"/>
      <c r="J10" s="1" t="s">
        <v>85</v>
      </c>
    </row>
    <row r="11" spans="1:13" s="3" customFormat="1" x14ac:dyDescent="0.25">
      <c r="A11" s="1" t="s">
        <v>39</v>
      </c>
      <c r="B11" s="1" t="s">
        <v>8</v>
      </c>
      <c r="C11" s="1" t="s">
        <v>63</v>
      </c>
      <c r="D11" s="4">
        <v>4885.4866000000038</v>
      </c>
      <c r="E11" s="4">
        <v>4885.4866000000038</v>
      </c>
      <c r="F11" s="4">
        <v>19355.146666666667</v>
      </c>
      <c r="G11" s="4">
        <v>19355.146666666667</v>
      </c>
      <c r="H11" s="19">
        <v>-0.74758720850130456</v>
      </c>
      <c r="I11" s="14"/>
      <c r="J11" s="1" t="s">
        <v>85</v>
      </c>
    </row>
    <row r="12" spans="1:13" s="3" customFormat="1" x14ac:dyDescent="0.25">
      <c r="A12" s="1" t="s">
        <v>39</v>
      </c>
      <c r="B12" s="1" t="s">
        <v>8</v>
      </c>
      <c r="C12" s="1" t="s">
        <v>26</v>
      </c>
      <c r="D12" s="4"/>
      <c r="E12" s="4">
        <v>483509.05972999998</v>
      </c>
      <c r="F12" s="4"/>
      <c r="G12" s="4">
        <v>467743.04148000001</v>
      </c>
      <c r="H12" s="19">
        <v>0</v>
      </c>
      <c r="I12" s="14"/>
      <c r="J12" s="1" t="s">
        <v>85</v>
      </c>
    </row>
    <row r="13" spans="1:13" s="3" customFormat="1" x14ac:dyDescent="0.25">
      <c r="A13" s="1" t="s">
        <v>39</v>
      </c>
      <c r="B13" s="1" t="s">
        <v>8</v>
      </c>
      <c r="C13" s="1" t="s">
        <v>27</v>
      </c>
      <c r="D13" s="4">
        <v>0</v>
      </c>
      <c r="E13" s="4">
        <v>644497.85700894264</v>
      </c>
      <c r="F13" s="14"/>
      <c r="G13" s="4">
        <v>542886.05343817628</v>
      </c>
      <c r="H13" s="19">
        <v>0</v>
      </c>
      <c r="I13" s="14"/>
      <c r="J13" s="1" t="s">
        <v>85</v>
      </c>
      <c r="M13" s="14"/>
    </row>
    <row r="14" spans="1:13" s="3" customFormat="1" x14ac:dyDescent="0.25">
      <c r="A14" s="1" t="s">
        <v>39</v>
      </c>
      <c r="B14" s="1" t="s">
        <v>8</v>
      </c>
      <c r="C14" s="1" t="s">
        <v>21</v>
      </c>
      <c r="D14" s="4">
        <v>10574.58935</v>
      </c>
      <c r="E14" s="4">
        <v>10574.58935</v>
      </c>
      <c r="F14" s="4">
        <v>19193.933333333334</v>
      </c>
      <c r="G14" s="4">
        <v>19193.933333333334</v>
      </c>
      <c r="H14" s="19">
        <v>-0.44906605819894485</v>
      </c>
      <c r="I14" s="14"/>
      <c r="J14" s="1" t="s">
        <v>85</v>
      </c>
    </row>
    <row r="15" spans="1:13" s="3" customFormat="1" x14ac:dyDescent="0.25">
      <c r="A15" s="1" t="s">
        <v>39</v>
      </c>
      <c r="B15" s="1" t="s">
        <v>8</v>
      </c>
      <c r="C15" s="1" t="s">
        <v>28</v>
      </c>
      <c r="D15" s="4">
        <v>759694</v>
      </c>
      <c r="E15" s="4">
        <v>759694</v>
      </c>
      <c r="F15" s="4">
        <v>1350000</v>
      </c>
      <c r="G15" s="4">
        <v>1350000</v>
      </c>
      <c r="H15" s="19">
        <v>-0.43726370370370371</v>
      </c>
      <c r="I15" s="14"/>
      <c r="J15" s="1" t="s">
        <v>85</v>
      </c>
    </row>
    <row r="16" spans="1:13" s="3" customFormat="1" x14ac:dyDescent="0.25">
      <c r="A16" s="1" t="s">
        <v>39</v>
      </c>
      <c r="B16" s="1" t="s">
        <v>8</v>
      </c>
      <c r="C16" s="1" t="s">
        <v>29</v>
      </c>
      <c r="D16" s="4">
        <v>5925</v>
      </c>
      <c r="E16" s="4">
        <v>5925</v>
      </c>
      <c r="F16" s="4">
        <v>2000</v>
      </c>
      <c r="G16" s="4">
        <v>2000</v>
      </c>
      <c r="H16" s="19">
        <v>1.9624999999999999</v>
      </c>
      <c r="I16" s="14"/>
      <c r="J16" s="1" t="s">
        <v>85</v>
      </c>
    </row>
    <row r="17" spans="1:10" s="3" customFormat="1" x14ac:dyDescent="0.25">
      <c r="A17" s="1" t="s">
        <v>39</v>
      </c>
      <c r="B17" s="1" t="s">
        <v>8</v>
      </c>
      <c r="C17" s="1" t="s">
        <v>30</v>
      </c>
      <c r="D17" s="4">
        <v>58</v>
      </c>
      <c r="E17" s="4">
        <v>58</v>
      </c>
      <c r="F17" s="4">
        <v>85</v>
      </c>
      <c r="G17" s="4">
        <v>85</v>
      </c>
      <c r="H17" s="19">
        <v>-0.31764705882352939</v>
      </c>
      <c r="I17" s="14"/>
      <c r="J17" s="1" t="s">
        <v>85</v>
      </c>
    </row>
    <row r="18" spans="1:10" s="3" customFormat="1" x14ac:dyDescent="0.25">
      <c r="A18" s="1" t="s">
        <v>39</v>
      </c>
      <c r="B18" s="1" t="s">
        <v>8</v>
      </c>
      <c r="C18" s="1" t="s">
        <v>31</v>
      </c>
      <c r="D18" s="4">
        <v>980.42336999999998</v>
      </c>
      <c r="E18" s="4">
        <v>980.42336999999998</v>
      </c>
      <c r="F18" s="4">
        <v>2088.5505078890315</v>
      </c>
      <c r="G18" s="4">
        <v>2088.5505078890315</v>
      </c>
      <c r="H18" s="19">
        <v>-0.53057234369163186</v>
      </c>
      <c r="I18" s="14"/>
      <c r="J18" s="1" t="s">
        <v>85</v>
      </c>
    </row>
    <row r="19" spans="1:10" s="3" customFormat="1" x14ac:dyDescent="0.25">
      <c r="A19" s="1" t="s">
        <v>39</v>
      </c>
      <c r="B19" s="1" t="s">
        <v>8</v>
      </c>
      <c r="C19" s="1" t="s">
        <v>32</v>
      </c>
      <c r="D19" s="4">
        <v>-1768.7421537844546</v>
      </c>
      <c r="E19" s="4">
        <v>-1768.7421537844546</v>
      </c>
      <c r="F19" s="4">
        <v>-1168.9071800000006</v>
      </c>
      <c r="G19" s="4">
        <v>-1168.9071800000006</v>
      </c>
      <c r="H19" s="19">
        <v>-0.51315877261054521</v>
      </c>
      <c r="I19" s="14"/>
      <c r="J19" s="1" t="s">
        <v>85</v>
      </c>
    </row>
    <row r="20" spans="1:10" s="3" customFormat="1" x14ac:dyDescent="0.25">
      <c r="A20" s="1" t="s">
        <v>40</v>
      </c>
      <c r="B20" s="1" t="s">
        <v>11</v>
      </c>
      <c r="C20" s="1" t="s">
        <v>63</v>
      </c>
      <c r="D20" s="4">
        <v>-21783.78669999999</v>
      </c>
      <c r="E20" s="4">
        <v>-21783.78669999999</v>
      </c>
      <c r="F20" s="4">
        <v>19755.146666666667</v>
      </c>
      <c r="G20" s="4">
        <v>19755.146666666667</v>
      </c>
      <c r="H20" s="19">
        <v>-2.1026891912048566</v>
      </c>
      <c r="I20" s="14"/>
      <c r="J20" s="1" t="s">
        <v>85</v>
      </c>
    </row>
    <row r="21" spans="1:10" s="3" customFormat="1" x14ac:dyDescent="0.25">
      <c r="A21" s="1" t="s">
        <v>40</v>
      </c>
      <c r="B21" s="1" t="s">
        <v>11</v>
      </c>
      <c r="C21" s="1" t="s">
        <v>26</v>
      </c>
      <c r="D21" s="4"/>
      <c r="E21" s="4">
        <v>51349.256410000009</v>
      </c>
      <c r="F21" s="4"/>
      <c r="G21" s="4">
        <v>57553.62846</v>
      </c>
      <c r="H21" s="19">
        <v>0</v>
      </c>
      <c r="I21" s="14"/>
      <c r="J21" s="1" t="s">
        <v>85</v>
      </c>
    </row>
    <row r="22" spans="1:10" s="3" customFormat="1" x14ac:dyDescent="0.25">
      <c r="A22" s="1" t="s">
        <v>40</v>
      </c>
      <c r="B22" s="1" t="s">
        <v>11</v>
      </c>
      <c r="C22" s="1" t="s">
        <v>27</v>
      </c>
      <c r="D22" s="4">
        <v>0</v>
      </c>
      <c r="E22" s="4">
        <v>89902.698834262104</v>
      </c>
      <c r="F22" s="14"/>
      <c r="G22" s="4">
        <v>96547.798849686515</v>
      </c>
      <c r="H22" s="19">
        <v>0</v>
      </c>
      <c r="I22" s="14"/>
      <c r="J22" s="1" t="s">
        <v>85</v>
      </c>
    </row>
    <row r="23" spans="1:10" s="3" customFormat="1" x14ac:dyDescent="0.25">
      <c r="A23" s="1" t="s">
        <v>40</v>
      </c>
      <c r="B23" s="1" t="s">
        <v>11</v>
      </c>
      <c r="C23" s="1" t="s">
        <v>21</v>
      </c>
      <c r="D23" s="4">
        <v>1143.4000000000001</v>
      </c>
      <c r="E23" s="4">
        <v>1143.4000000000001</v>
      </c>
      <c r="F23" s="4">
        <v>19693.933333333331</v>
      </c>
      <c r="G23" s="4">
        <v>19693.933333333331</v>
      </c>
      <c r="H23" s="19">
        <v>-0.94194151159917261</v>
      </c>
      <c r="I23" s="14"/>
      <c r="J23" s="1" t="s">
        <v>85</v>
      </c>
    </row>
    <row r="24" spans="1:10" s="3" customFormat="1" x14ac:dyDescent="0.25">
      <c r="A24" s="1" t="s">
        <v>40</v>
      </c>
      <c r="B24" s="1" t="s">
        <v>11</v>
      </c>
      <c r="C24" s="1" t="s">
        <v>28</v>
      </c>
      <c r="D24" s="4">
        <v>8000</v>
      </c>
      <c r="E24" s="4">
        <v>8000</v>
      </c>
      <c r="F24" s="4">
        <v>30000</v>
      </c>
      <c r="G24" s="4">
        <v>30000</v>
      </c>
      <c r="H24" s="19">
        <v>-0.73333333333333328</v>
      </c>
      <c r="I24" s="14"/>
      <c r="J24" s="1" t="s">
        <v>85</v>
      </c>
    </row>
    <row r="25" spans="1:10" s="3" customFormat="1" x14ac:dyDescent="0.25">
      <c r="A25" s="1" t="s">
        <v>40</v>
      </c>
      <c r="B25" s="1" t="s">
        <v>11</v>
      </c>
      <c r="C25" s="1" t="s">
        <v>29</v>
      </c>
      <c r="D25" s="4">
        <v>0</v>
      </c>
      <c r="E25" s="4">
        <v>0</v>
      </c>
      <c r="F25" s="4">
        <v>73000</v>
      </c>
      <c r="G25" s="4">
        <v>73000</v>
      </c>
      <c r="H25" s="19">
        <v>-1</v>
      </c>
      <c r="I25" s="14"/>
      <c r="J25" s="1" t="s">
        <v>85</v>
      </c>
    </row>
    <row r="26" spans="1:10" s="3" customFormat="1" x14ac:dyDescent="0.25">
      <c r="A26" s="1" t="s">
        <v>40</v>
      </c>
      <c r="B26" s="1" t="s">
        <v>11</v>
      </c>
      <c r="C26" s="1" t="s">
        <v>30</v>
      </c>
      <c r="D26" s="4">
        <v>65</v>
      </c>
      <c r="E26" s="4">
        <v>65</v>
      </c>
      <c r="F26" s="4">
        <v>73</v>
      </c>
      <c r="G26" s="4">
        <v>73</v>
      </c>
      <c r="H26" s="19">
        <v>-0.1095890410958904</v>
      </c>
      <c r="I26" s="14"/>
      <c r="J26" s="1" t="s">
        <v>85</v>
      </c>
    </row>
    <row r="27" spans="1:10" s="3" customFormat="1" x14ac:dyDescent="0.25">
      <c r="A27" s="1" t="s">
        <v>40</v>
      </c>
      <c r="B27" s="1" t="s">
        <v>11</v>
      </c>
      <c r="C27" s="1" t="s">
        <v>31</v>
      </c>
      <c r="D27" s="4">
        <v>123.81169</v>
      </c>
      <c r="E27" s="4">
        <v>123.81169</v>
      </c>
      <c r="F27" s="4">
        <v>755.38358138752938</v>
      </c>
      <c r="G27" s="4">
        <v>755.38358138752938</v>
      </c>
      <c r="H27" s="19">
        <v>-0.83609427971339279</v>
      </c>
      <c r="I27" s="14"/>
      <c r="J27" s="1" t="s">
        <v>85</v>
      </c>
    </row>
    <row r="28" spans="1:10" s="3" customFormat="1" x14ac:dyDescent="0.25">
      <c r="A28" s="1" t="s">
        <v>40</v>
      </c>
      <c r="B28" s="1" t="s">
        <v>11</v>
      </c>
      <c r="C28" s="1" t="s">
        <v>32</v>
      </c>
      <c r="D28" s="4">
        <v>-1155.4741292549816</v>
      </c>
      <c r="E28" s="4">
        <v>-1155.4741292549816</v>
      </c>
      <c r="F28" s="4">
        <v>-1051.9398699999999</v>
      </c>
      <c r="G28" s="4">
        <v>-1051.9398699999999</v>
      </c>
      <c r="H28" s="19">
        <v>-9.8422221847130523E-2</v>
      </c>
      <c r="I28" s="14"/>
      <c r="J28" s="1" t="s">
        <v>85</v>
      </c>
    </row>
    <row r="29" spans="1:10" s="3" customFormat="1" x14ac:dyDescent="0.25">
      <c r="A29" s="1" t="s">
        <v>41</v>
      </c>
      <c r="B29" s="1" t="s">
        <v>15</v>
      </c>
      <c r="C29" s="1" t="s">
        <v>63</v>
      </c>
      <c r="D29" s="4">
        <v>2506.5778199999986</v>
      </c>
      <c r="E29" s="4">
        <v>2506.5778199999986</v>
      </c>
      <c r="F29" s="4">
        <v>17110.293333333335</v>
      </c>
      <c r="G29" s="4">
        <v>17110.293333333335</v>
      </c>
      <c r="H29" s="19">
        <v>-0.85350468450959749</v>
      </c>
      <c r="I29" s="14"/>
      <c r="J29" s="1" t="s">
        <v>85</v>
      </c>
    </row>
    <row r="30" spans="1:10" s="3" customFormat="1" x14ac:dyDescent="0.25">
      <c r="A30" s="1" t="s">
        <v>41</v>
      </c>
      <c r="B30" s="1" t="s">
        <v>15</v>
      </c>
      <c r="C30" s="1" t="s">
        <v>26</v>
      </c>
      <c r="D30" s="4"/>
      <c r="E30" s="4">
        <v>42791.446039999995</v>
      </c>
      <c r="F30" s="4"/>
      <c r="G30" s="4">
        <v>35630.448240000005</v>
      </c>
      <c r="H30" s="19">
        <v>0</v>
      </c>
      <c r="I30" s="14"/>
      <c r="J30" s="1" t="s">
        <v>85</v>
      </c>
    </row>
    <row r="31" spans="1:10" s="3" customFormat="1" x14ac:dyDescent="0.25">
      <c r="A31" s="1" t="s">
        <v>41</v>
      </c>
      <c r="B31" s="1" t="s">
        <v>15</v>
      </c>
      <c r="C31" s="1" t="s">
        <v>27</v>
      </c>
      <c r="D31" s="4">
        <v>0</v>
      </c>
      <c r="E31" s="4">
        <v>103640.83844563688</v>
      </c>
      <c r="F31" s="14"/>
      <c r="G31" s="4">
        <v>110430.06559228252</v>
      </c>
      <c r="H31" s="19">
        <v>0</v>
      </c>
      <c r="I31" s="14"/>
      <c r="J31" s="1" t="s">
        <v>85</v>
      </c>
    </row>
    <row r="32" spans="1:10" s="3" customFormat="1" x14ac:dyDescent="0.25">
      <c r="A32" s="1" t="s">
        <v>41</v>
      </c>
      <c r="B32" s="1" t="s">
        <v>15</v>
      </c>
      <c r="C32" s="1" t="s">
        <v>21</v>
      </c>
      <c r="D32" s="4">
        <v>2684.0598500000001</v>
      </c>
      <c r="E32" s="4">
        <v>2684.0598500000001</v>
      </c>
      <c r="F32" s="4">
        <v>16387.866666666669</v>
      </c>
      <c r="G32" s="4">
        <v>16387.866666666669</v>
      </c>
      <c r="H32" s="19">
        <v>-0.83621664097014869</v>
      </c>
      <c r="I32" s="14"/>
      <c r="J32" s="1" t="s">
        <v>85</v>
      </c>
    </row>
    <row r="33" spans="1:10" s="3" customFormat="1" x14ac:dyDescent="0.25">
      <c r="A33" s="1" t="s">
        <v>41</v>
      </c>
      <c r="B33" s="1" t="s">
        <v>15</v>
      </c>
      <c r="C33" s="1" t="s">
        <v>28</v>
      </c>
      <c r="D33" s="4">
        <v>6000</v>
      </c>
      <c r="E33" s="4">
        <v>6000</v>
      </c>
      <c r="F33" s="4">
        <v>12000</v>
      </c>
      <c r="G33" s="4">
        <v>12000</v>
      </c>
      <c r="H33" s="19">
        <v>-0.5</v>
      </c>
      <c r="I33" s="14"/>
      <c r="J33" s="1" t="s">
        <v>85</v>
      </c>
    </row>
    <row r="34" spans="1:10" s="3" customFormat="1" x14ac:dyDescent="0.25">
      <c r="A34" s="1" t="s">
        <v>41</v>
      </c>
      <c r="B34" s="1" t="s">
        <v>15</v>
      </c>
      <c r="C34" s="1" t="s">
        <v>29</v>
      </c>
      <c r="D34" s="4">
        <v>0</v>
      </c>
      <c r="E34" s="4">
        <v>0</v>
      </c>
      <c r="F34" s="4">
        <v>1000</v>
      </c>
      <c r="G34" s="4">
        <v>1000</v>
      </c>
      <c r="H34" s="19">
        <v>-1</v>
      </c>
      <c r="I34" s="14"/>
      <c r="J34" s="1" t="s">
        <v>85</v>
      </c>
    </row>
    <row r="35" spans="1:10" s="3" customFormat="1" x14ac:dyDescent="0.25">
      <c r="A35" s="1" t="s">
        <v>41</v>
      </c>
      <c r="B35" s="1" t="s">
        <v>15</v>
      </c>
      <c r="C35" s="1" t="s">
        <v>30</v>
      </c>
      <c r="D35" s="4">
        <v>36</v>
      </c>
      <c r="E35" s="4">
        <v>36</v>
      </c>
      <c r="F35" s="4">
        <v>66</v>
      </c>
      <c r="G35" s="4">
        <v>66</v>
      </c>
      <c r="H35" s="19">
        <v>-0.45454545454545453</v>
      </c>
      <c r="I35" s="14"/>
      <c r="J35" s="1" t="s">
        <v>85</v>
      </c>
    </row>
    <row r="36" spans="1:10" s="3" customFormat="1" x14ac:dyDescent="0.25">
      <c r="A36" s="1" t="s">
        <v>41</v>
      </c>
      <c r="B36" s="1" t="s">
        <v>15</v>
      </c>
      <c r="C36" s="1" t="s">
        <v>31</v>
      </c>
      <c r="D36" s="4">
        <v>83.316579999999988</v>
      </c>
      <c r="E36" s="4">
        <v>83.316579999999988</v>
      </c>
      <c r="F36" s="4">
        <v>670.38861051403649</v>
      </c>
      <c r="G36" s="4">
        <v>670.38861051403649</v>
      </c>
      <c r="H36" s="19">
        <v>-0.8757189804640102</v>
      </c>
      <c r="I36" s="14"/>
      <c r="J36" s="1" t="s">
        <v>85</v>
      </c>
    </row>
    <row r="37" spans="1:10" s="3" customFormat="1" x14ac:dyDescent="0.25">
      <c r="A37" s="1" t="s">
        <v>41</v>
      </c>
      <c r="B37" s="1" t="s">
        <v>15</v>
      </c>
      <c r="C37" s="1" t="s">
        <v>32</v>
      </c>
      <c r="D37" s="4">
        <v>-756.11033084484177</v>
      </c>
      <c r="E37" s="4">
        <v>-756.11033084484177</v>
      </c>
      <c r="F37" s="4">
        <v>-318.23343999999992</v>
      </c>
      <c r="G37" s="4">
        <v>-318.23343999999992</v>
      </c>
      <c r="H37" s="19">
        <v>-1.375961278126026</v>
      </c>
      <c r="I37" s="14"/>
      <c r="J37" s="1" t="s">
        <v>85</v>
      </c>
    </row>
    <row r="38" spans="1:10" s="3" customFormat="1" x14ac:dyDescent="0.25">
      <c r="A38" s="1" t="s">
        <v>42</v>
      </c>
      <c r="B38" s="1" t="s">
        <v>12</v>
      </c>
      <c r="C38" s="1" t="s">
        <v>63</v>
      </c>
      <c r="D38" s="4">
        <v>583.61341999999422</v>
      </c>
      <c r="E38" s="4">
        <v>583.61341999999422</v>
      </c>
      <c r="F38" s="4">
        <v>24332.106666666674</v>
      </c>
      <c r="G38" s="4">
        <v>24332.106666666674</v>
      </c>
      <c r="H38" s="19">
        <v>-0.97601467772621986</v>
      </c>
      <c r="I38" s="14"/>
      <c r="J38" s="1" t="s">
        <v>85</v>
      </c>
    </row>
    <row r="39" spans="1:10" s="3" customFormat="1" x14ac:dyDescent="0.25">
      <c r="A39" s="1" t="s">
        <v>42</v>
      </c>
      <c r="B39" s="1" t="s">
        <v>12</v>
      </c>
      <c r="C39" s="1" t="s">
        <v>26</v>
      </c>
      <c r="D39" s="4"/>
      <c r="E39" s="4">
        <v>23463.33273999998</v>
      </c>
      <c r="F39" s="4"/>
      <c r="G39" s="4">
        <v>42503.889860000003</v>
      </c>
      <c r="H39" s="19">
        <v>0</v>
      </c>
      <c r="I39" s="14"/>
      <c r="J39" s="1" t="s">
        <v>85</v>
      </c>
    </row>
    <row r="40" spans="1:10" s="3" customFormat="1" x14ac:dyDescent="0.25">
      <c r="A40" s="1" t="s">
        <v>42</v>
      </c>
      <c r="B40" s="1" t="s">
        <v>12</v>
      </c>
      <c r="C40" s="1" t="s">
        <v>27</v>
      </c>
      <c r="D40" s="4">
        <v>0</v>
      </c>
      <c r="E40" s="4">
        <v>111669.85290562976</v>
      </c>
      <c r="F40" s="14"/>
      <c r="G40" s="4">
        <v>134054.05469164002</v>
      </c>
      <c r="H40" s="19">
        <v>0</v>
      </c>
      <c r="I40" s="14"/>
      <c r="J40" s="1" t="s">
        <v>85</v>
      </c>
    </row>
    <row r="41" spans="1:10" s="3" customFormat="1" x14ac:dyDescent="0.25">
      <c r="A41" s="1" t="s">
        <v>42</v>
      </c>
      <c r="B41" s="1" t="s">
        <v>12</v>
      </c>
      <c r="C41" s="1" t="s">
        <v>21</v>
      </c>
      <c r="D41" s="4">
        <v>1064.0999999999999</v>
      </c>
      <c r="E41" s="4">
        <v>1064.0999999999999</v>
      </c>
      <c r="F41" s="4">
        <v>25415.133333333331</v>
      </c>
      <c r="G41" s="4">
        <v>25415.133333333331</v>
      </c>
      <c r="H41" s="19">
        <v>-0.95813124463902088</v>
      </c>
      <c r="I41" s="14"/>
      <c r="J41" s="1" t="s">
        <v>85</v>
      </c>
    </row>
    <row r="42" spans="1:10" s="3" customFormat="1" x14ac:dyDescent="0.25">
      <c r="A42" s="1" t="s">
        <v>42</v>
      </c>
      <c r="B42" s="1" t="s">
        <v>12</v>
      </c>
      <c r="C42" s="1" t="s">
        <v>28</v>
      </c>
      <c r="D42" s="4">
        <v>12000</v>
      </c>
      <c r="E42" s="4">
        <v>12000</v>
      </c>
      <c r="F42" s="4">
        <v>87000</v>
      </c>
      <c r="G42" s="4">
        <v>87000</v>
      </c>
      <c r="H42" s="19">
        <v>-0.86206896551724133</v>
      </c>
      <c r="I42" s="14"/>
      <c r="J42" s="1" t="s">
        <v>85</v>
      </c>
    </row>
    <row r="43" spans="1:10" s="3" customFormat="1" x14ac:dyDescent="0.25">
      <c r="A43" s="1" t="s">
        <v>42</v>
      </c>
      <c r="B43" s="1" t="s">
        <v>12</v>
      </c>
      <c r="C43" s="1" t="s">
        <v>29</v>
      </c>
      <c r="D43" s="4">
        <v>0</v>
      </c>
      <c r="E43" s="4">
        <v>0</v>
      </c>
      <c r="F43" s="4">
        <v>1000</v>
      </c>
      <c r="G43" s="4">
        <v>1000</v>
      </c>
      <c r="H43" s="19">
        <v>-1</v>
      </c>
      <c r="I43" s="14"/>
      <c r="J43" s="1" t="s">
        <v>85</v>
      </c>
    </row>
    <row r="44" spans="1:10" s="3" customFormat="1" x14ac:dyDescent="0.25">
      <c r="A44" s="1" t="s">
        <v>42</v>
      </c>
      <c r="B44" s="1" t="s">
        <v>12</v>
      </c>
      <c r="C44" s="1" t="s">
        <v>30</v>
      </c>
      <c r="D44" s="4">
        <v>21</v>
      </c>
      <c r="E44" s="4">
        <v>21</v>
      </c>
      <c r="F44" s="4">
        <v>101</v>
      </c>
      <c r="G44" s="4">
        <v>101</v>
      </c>
      <c r="H44" s="19">
        <v>-0.79207920792079212</v>
      </c>
      <c r="I44" s="14"/>
      <c r="J44" s="1" t="s">
        <v>85</v>
      </c>
    </row>
    <row r="45" spans="1:10" s="3" customFormat="1" x14ac:dyDescent="0.25">
      <c r="A45" s="1" t="s">
        <v>42</v>
      </c>
      <c r="B45" s="1" t="s">
        <v>12</v>
      </c>
      <c r="C45" s="1" t="s">
        <v>31</v>
      </c>
      <c r="D45" s="4">
        <v>86.958339999999993</v>
      </c>
      <c r="E45" s="4">
        <v>86.958339999999993</v>
      </c>
      <c r="F45" s="4">
        <v>894.34547594462038</v>
      </c>
      <c r="G45" s="4">
        <v>894.34547594462038</v>
      </c>
      <c r="H45" s="19">
        <v>-0.90276873720621953</v>
      </c>
      <c r="I45" s="14"/>
      <c r="J45" s="1" t="s">
        <v>85</v>
      </c>
    </row>
    <row r="46" spans="1:10" s="3" customFormat="1" x14ac:dyDescent="0.25">
      <c r="A46" s="1" t="s">
        <v>42</v>
      </c>
      <c r="B46" s="1" t="s">
        <v>12</v>
      </c>
      <c r="C46" s="1" t="s">
        <v>32</v>
      </c>
      <c r="D46" s="4">
        <v>2129.2428870707008</v>
      </c>
      <c r="E46" s="4">
        <v>2129.2428870707008</v>
      </c>
      <c r="F46" s="4">
        <v>2574.5155200000008</v>
      </c>
      <c r="G46" s="4">
        <v>2574.5155200000008</v>
      </c>
      <c r="H46" s="19">
        <v>-0.17295395171255362</v>
      </c>
      <c r="I46" s="14"/>
      <c r="J46" s="1" t="s">
        <v>85</v>
      </c>
    </row>
    <row r="47" spans="1:10" s="3" customFormat="1" x14ac:dyDescent="0.25">
      <c r="A47" s="1" t="s">
        <v>43</v>
      </c>
      <c r="B47" s="1" t="s">
        <v>22</v>
      </c>
      <c r="C47" s="1" t="s">
        <v>63</v>
      </c>
      <c r="D47" s="4">
        <v>3837.6802299999399</v>
      </c>
      <c r="E47" s="4">
        <v>3837.6802299999399</v>
      </c>
      <c r="F47" s="4">
        <v>33221.813333333324</v>
      </c>
      <c r="G47" s="4">
        <v>33221.813333333324</v>
      </c>
      <c r="H47" s="19">
        <v>-0.88448311982569061</v>
      </c>
      <c r="I47" s="14"/>
      <c r="J47" s="1" t="s">
        <v>85</v>
      </c>
    </row>
    <row r="48" spans="1:10" s="3" customFormat="1" x14ac:dyDescent="0.25">
      <c r="A48" s="1" t="s">
        <v>43</v>
      </c>
      <c r="B48" s="1" t="s">
        <v>22</v>
      </c>
      <c r="C48" s="1" t="s">
        <v>26</v>
      </c>
      <c r="D48" s="4"/>
      <c r="E48" s="4">
        <v>146151.27210999999</v>
      </c>
      <c r="F48" s="4"/>
      <c r="G48" s="4">
        <v>184537.62156</v>
      </c>
      <c r="H48" s="19">
        <v>0</v>
      </c>
      <c r="I48" s="14"/>
      <c r="J48" s="1" t="s">
        <v>85</v>
      </c>
    </row>
    <row r="49" spans="1:10" s="3" customFormat="1" x14ac:dyDescent="0.25">
      <c r="A49" s="1" t="s">
        <v>43</v>
      </c>
      <c r="B49" s="1" t="s">
        <v>22</v>
      </c>
      <c r="C49" s="1" t="s">
        <v>27</v>
      </c>
      <c r="D49" s="4">
        <v>0</v>
      </c>
      <c r="E49" s="4">
        <v>345696.77072172851</v>
      </c>
      <c r="F49" s="14"/>
      <c r="G49" s="4">
        <v>335158.16558544431</v>
      </c>
      <c r="H49" s="19">
        <v>0</v>
      </c>
      <c r="I49" s="14"/>
      <c r="J49" s="1" t="s">
        <v>85</v>
      </c>
    </row>
    <row r="50" spans="1:10" s="3" customFormat="1" x14ac:dyDescent="0.25">
      <c r="A50" s="1" t="s">
        <v>43</v>
      </c>
      <c r="B50" s="1" t="s">
        <v>22</v>
      </c>
      <c r="C50" s="1" t="s">
        <v>21</v>
      </c>
      <c r="D50" s="4">
        <v>5421.8130000000001</v>
      </c>
      <c r="E50" s="4">
        <v>5421.8130000000001</v>
      </c>
      <c r="F50" s="4">
        <v>36527.266666666663</v>
      </c>
      <c r="G50" s="4">
        <v>36527.266666666663</v>
      </c>
      <c r="H50" s="19">
        <v>-0.85156806148466258</v>
      </c>
      <c r="I50" s="14"/>
      <c r="J50" s="1" t="s">
        <v>85</v>
      </c>
    </row>
    <row r="51" spans="1:10" s="3" customFormat="1" x14ac:dyDescent="0.25">
      <c r="A51" s="1" t="s">
        <v>43</v>
      </c>
      <c r="B51" s="1" t="s">
        <v>22</v>
      </c>
      <c r="C51" s="1" t="s">
        <v>28</v>
      </c>
      <c r="D51" s="4">
        <v>532127.84</v>
      </c>
      <c r="E51" s="4">
        <v>532127.84</v>
      </c>
      <c r="F51" s="4">
        <v>1521000</v>
      </c>
      <c r="G51" s="4">
        <v>1521000</v>
      </c>
      <c r="H51" s="19">
        <v>-0.65014606180144641</v>
      </c>
      <c r="I51" s="14"/>
      <c r="J51" s="1" t="s">
        <v>85</v>
      </c>
    </row>
    <row r="52" spans="1:10" s="3" customFormat="1" x14ac:dyDescent="0.25">
      <c r="A52" s="1" t="s">
        <v>43</v>
      </c>
      <c r="B52" s="1" t="s">
        <v>22</v>
      </c>
      <c r="C52" s="1" t="s">
        <v>29</v>
      </c>
      <c r="D52" s="4">
        <v>13740</v>
      </c>
      <c r="E52" s="4">
        <v>13740</v>
      </c>
      <c r="F52" s="4">
        <v>87000</v>
      </c>
      <c r="G52" s="4">
        <v>87000</v>
      </c>
      <c r="H52" s="19">
        <v>-0.84206896551724142</v>
      </c>
      <c r="I52" s="14"/>
      <c r="J52" s="1" t="s">
        <v>85</v>
      </c>
    </row>
    <row r="53" spans="1:10" s="3" customFormat="1" x14ac:dyDescent="0.25">
      <c r="A53" s="1" t="s">
        <v>43</v>
      </c>
      <c r="B53" s="1" t="s">
        <v>22</v>
      </c>
      <c r="C53" s="1" t="s">
        <v>30</v>
      </c>
      <c r="D53" s="4">
        <v>57</v>
      </c>
      <c r="E53" s="4">
        <v>57</v>
      </c>
      <c r="F53" s="4">
        <v>68</v>
      </c>
      <c r="G53" s="4">
        <v>68</v>
      </c>
      <c r="H53" s="19">
        <v>-0.16176470588235295</v>
      </c>
      <c r="I53" s="14"/>
      <c r="J53" s="1" t="s">
        <v>85</v>
      </c>
    </row>
    <row r="54" spans="1:10" s="3" customFormat="1" x14ac:dyDescent="0.25">
      <c r="A54" s="1" t="s">
        <v>43</v>
      </c>
      <c r="B54" s="1" t="s">
        <v>22</v>
      </c>
      <c r="C54" s="1" t="s">
        <v>31</v>
      </c>
      <c r="D54" s="4">
        <v>881.13719000000003</v>
      </c>
      <c r="E54" s="4">
        <v>881.13719000000003</v>
      </c>
      <c r="F54" s="4">
        <v>2829.740103808891</v>
      </c>
      <c r="G54" s="4">
        <v>2829.740103808891</v>
      </c>
      <c r="H54" s="19">
        <v>-0.68861550613288824</v>
      </c>
      <c r="I54" s="14"/>
      <c r="J54" s="1" t="s">
        <v>85</v>
      </c>
    </row>
    <row r="55" spans="1:10" s="3" customFormat="1" x14ac:dyDescent="0.25">
      <c r="A55" s="1" t="s">
        <v>43</v>
      </c>
      <c r="B55" s="1" t="s">
        <v>22</v>
      </c>
      <c r="C55" s="1" t="s">
        <v>32</v>
      </c>
      <c r="D55" s="4">
        <v>372.0962614635107</v>
      </c>
      <c r="E55" s="4">
        <v>372.0962614635107</v>
      </c>
      <c r="F55" s="4">
        <v>922.75391999999931</v>
      </c>
      <c r="G55" s="4">
        <v>922.75391999999931</v>
      </c>
      <c r="H55" s="19">
        <v>-0.59675461312208677</v>
      </c>
      <c r="I55" s="14"/>
      <c r="J55" s="1" t="s">
        <v>85</v>
      </c>
    </row>
    <row r="56" spans="1:10" s="3" customFormat="1" x14ac:dyDescent="0.25">
      <c r="A56" s="1" t="s">
        <v>44</v>
      </c>
      <c r="B56" s="1" t="s">
        <v>0</v>
      </c>
      <c r="C56" s="1" t="s">
        <v>63</v>
      </c>
      <c r="D56" s="4">
        <v>-4182.9422099999938</v>
      </c>
      <c r="E56" s="4">
        <v>-4182.9422099999938</v>
      </c>
      <c r="F56" s="4">
        <v>22421.813333333339</v>
      </c>
      <c r="G56" s="4">
        <v>22421.813333333339</v>
      </c>
      <c r="H56" s="19">
        <v>-1.1865568207091186</v>
      </c>
      <c r="I56" s="14"/>
      <c r="J56" s="1" t="s">
        <v>85</v>
      </c>
    </row>
    <row r="57" spans="1:10" s="3" customFormat="1" x14ac:dyDescent="0.25">
      <c r="A57" s="1" t="s">
        <v>44</v>
      </c>
      <c r="B57" s="1" t="s">
        <v>0</v>
      </c>
      <c r="C57" s="1" t="s">
        <v>26</v>
      </c>
      <c r="D57" s="4"/>
      <c r="E57" s="4">
        <v>73762.181700000016</v>
      </c>
      <c r="F57" s="4"/>
      <c r="G57" s="4">
        <v>85603.324790000013</v>
      </c>
      <c r="H57" s="19">
        <v>0</v>
      </c>
      <c r="I57" s="14"/>
      <c r="J57" s="1" t="s">
        <v>85</v>
      </c>
    </row>
    <row r="58" spans="1:10" s="3" customFormat="1" x14ac:dyDescent="0.25">
      <c r="A58" s="1" t="s">
        <v>44</v>
      </c>
      <c r="B58" s="1" t="s">
        <v>0</v>
      </c>
      <c r="C58" s="1" t="s">
        <v>27</v>
      </c>
      <c r="D58" s="4">
        <v>0</v>
      </c>
      <c r="E58" s="4">
        <v>197379.22185530255</v>
      </c>
      <c r="F58" s="14"/>
      <c r="G58" s="4">
        <v>168444.84615138889</v>
      </c>
      <c r="H58" s="19">
        <v>0</v>
      </c>
      <c r="I58" s="14"/>
      <c r="J58" s="1" t="s">
        <v>85</v>
      </c>
    </row>
    <row r="59" spans="1:10" s="3" customFormat="1" x14ac:dyDescent="0.25">
      <c r="A59" s="1" t="s">
        <v>44</v>
      </c>
      <c r="B59" s="1" t="s">
        <v>0</v>
      </c>
      <c r="C59" s="1" t="s">
        <v>21</v>
      </c>
      <c r="D59" s="4">
        <v>3141.8</v>
      </c>
      <c r="E59" s="4">
        <v>3141.8</v>
      </c>
      <c r="F59" s="4">
        <v>23027.266666666666</v>
      </c>
      <c r="G59" s="4">
        <v>23027.266666666666</v>
      </c>
      <c r="H59" s="19">
        <v>-0.86356174853579382</v>
      </c>
      <c r="I59" s="14"/>
      <c r="J59" s="1" t="s">
        <v>85</v>
      </c>
    </row>
    <row r="60" spans="1:10" s="3" customFormat="1" x14ac:dyDescent="0.25">
      <c r="A60" s="1" t="s">
        <v>44</v>
      </c>
      <c r="B60" s="1" t="s">
        <v>0</v>
      </c>
      <c r="C60" s="1" t="s">
        <v>28</v>
      </c>
      <c r="D60" s="4">
        <v>123490.31</v>
      </c>
      <c r="E60" s="4">
        <v>123490.31</v>
      </c>
      <c r="F60" s="4">
        <v>157000</v>
      </c>
      <c r="G60" s="4">
        <v>157000</v>
      </c>
      <c r="H60" s="19">
        <v>-0.21343751592356688</v>
      </c>
      <c r="I60" s="14"/>
      <c r="J60" s="1" t="s">
        <v>85</v>
      </c>
    </row>
    <row r="61" spans="1:10" s="3" customFormat="1" x14ac:dyDescent="0.25">
      <c r="A61" s="1" t="s">
        <v>44</v>
      </c>
      <c r="B61" s="1" t="s">
        <v>0</v>
      </c>
      <c r="C61" s="1" t="s">
        <v>29</v>
      </c>
      <c r="D61" s="4">
        <v>24968</v>
      </c>
      <c r="E61" s="4">
        <v>24968</v>
      </c>
      <c r="F61" s="4">
        <v>34000</v>
      </c>
      <c r="G61" s="4">
        <v>34000</v>
      </c>
      <c r="H61" s="19">
        <v>-0.2656470588235294</v>
      </c>
      <c r="I61" s="14"/>
      <c r="J61" s="1" t="s">
        <v>85</v>
      </c>
    </row>
    <row r="62" spans="1:10" s="3" customFormat="1" x14ac:dyDescent="0.25">
      <c r="A62" s="1" t="s">
        <v>44</v>
      </c>
      <c r="B62" s="1" t="s">
        <v>0</v>
      </c>
      <c r="C62" s="1" t="s">
        <v>30</v>
      </c>
      <c r="D62" s="4">
        <v>52</v>
      </c>
      <c r="E62" s="4">
        <v>52</v>
      </c>
      <c r="F62" s="4">
        <v>66</v>
      </c>
      <c r="G62" s="4">
        <v>66</v>
      </c>
      <c r="H62" s="19">
        <v>-0.21212121212121213</v>
      </c>
      <c r="I62" s="14"/>
      <c r="J62" s="1" t="s">
        <v>85</v>
      </c>
    </row>
    <row r="63" spans="1:10" s="3" customFormat="1" x14ac:dyDescent="0.25">
      <c r="A63" s="1" t="s">
        <v>44</v>
      </c>
      <c r="B63" s="1" t="s">
        <v>0</v>
      </c>
      <c r="C63" s="1" t="s">
        <v>31</v>
      </c>
      <c r="D63" s="4">
        <v>405.17784</v>
      </c>
      <c r="E63" s="4">
        <v>405.17784</v>
      </c>
      <c r="F63" s="4">
        <v>1078.1702256487727</v>
      </c>
      <c r="G63" s="4">
        <v>1078.1702256487727</v>
      </c>
      <c r="H63" s="19">
        <v>-0.62419863731982539</v>
      </c>
      <c r="I63" s="14"/>
      <c r="J63" s="1" t="s">
        <v>85</v>
      </c>
    </row>
    <row r="64" spans="1:10" s="3" customFormat="1" x14ac:dyDescent="0.25">
      <c r="A64" s="1" t="s">
        <v>44</v>
      </c>
      <c r="B64" s="1" t="s">
        <v>0</v>
      </c>
      <c r="C64" s="1" t="s">
        <v>32</v>
      </c>
      <c r="D64" s="4">
        <v>-433.54805431222752</v>
      </c>
      <c r="E64" s="4">
        <v>-433.54805431222752</v>
      </c>
      <c r="F64" s="4">
        <v>394.17996000000034</v>
      </c>
      <c r="G64" s="4">
        <v>394.17996000000034</v>
      </c>
      <c r="H64" s="19">
        <v>-2.0998734037930977</v>
      </c>
      <c r="I64" s="14"/>
      <c r="J64" s="1" t="s">
        <v>85</v>
      </c>
    </row>
    <row r="65" spans="1:10" s="3" customFormat="1" x14ac:dyDescent="0.25">
      <c r="A65" s="1" t="s">
        <v>45</v>
      </c>
      <c r="B65" s="1" t="s">
        <v>9</v>
      </c>
      <c r="C65" s="1" t="s">
        <v>63</v>
      </c>
      <c r="D65" s="4">
        <v>2604.6060300000536</v>
      </c>
      <c r="E65" s="4">
        <v>2604.6060300000536</v>
      </c>
      <c r="F65" s="4">
        <v>26176.959999999992</v>
      </c>
      <c r="G65" s="4">
        <v>26176.959999999992</v>
      </c>
      <c r="H65" s="19">
        <v>-0.90050005692028201</v>
      </c>
      <c r="I65" s="14"/>
      <c r="J65" s="1" t="s">
        <v>85</v>
      </c>
    </row>
    <row r="66" spans="1:10" s="3" customFormat="1" x14ac:dyDescent="0.25">
      <c r="A66" s="1" t="s">
        <v>45</v>
      </c>
      <c r="B66" s="1" t="s">
        <v>9</v>
      </c>
      <c r="C66" s="1" t="s">
        <v>26</v>
      </c>
      <c r="D66" s="4"/>
      <c r="E66" s="4">
        <v>197694.01487000001</v>
      </c>
      <c r="F66" s="4"/>
      <c r="G66" s="4">
        <v>218841.90774</v>
      </c>
      <c r="H66" s="19">
        <v>0</v>
      </c>
      <c r="I66" s="14"/>
      <c r="J66" s="1" t="s">
        <v>85</v>
      </c>
    </row>
    <row r="67" spans="1:10" s="3" customFormat="1" x14ac:dyDescent="0.25">
      <c r="A67" s="1" t="s">
        <v>45</v>
      </c>
      <c r="B67" s="1" t="s">
        <v>9</v>
      </c>
      <c r="C67" s="1" t="s">
        <v>27</v>
      </c>
      <c r="D67" s="4">
        <v>0</v>
      </c>
      <c r="E67" s="4">
        <v>136389.11843543174</v>
      </c>
      <c r="F67" s="14"/>
      <c r="G67" s="4">
        <v>149466.17332132536</v>
      </c>
      <c r="H67" s="19">
        <v>0</v>
      </c>
      <c r="I67" s="14"/>
      <c r="J67" s="1" t="s">
        <v>85</v>
      </c>
    </row>
    <row r="68" spans="1:10" s="3" customFormat="1" x14ac:dyDescent="0.25">
      <c r="A68" s="1" t="s">
        <v>45</v>
      </c>
      <c r="B68" s="1" t="s">
        <v>9</v>
      </c>
      <c r="C68" s="1" t="s">
        <v>21</v>
      </c>
      <c r="D68" s="4">
        <v>3827.5529999999999</v>
      </c>
      <c r="E68" s="4">
        <v>3827.5529999999999</v>
      </c>
      <c r="F68" s="4">
        <v>27721.200000000001</v>
      </c>
      <c r="G68" s="4">
        <v>27721.200000000001</v>
      </c>
      <c r="H68" s="19">
        <v>-0.86192686463789447</v>
      </c>
      <c r="I68" s="14"/>
      <c r="J68" s="1" t="s">
        <v>85</v>
      </c>
    </row>
    <row r="69" spans="1:10" s="3" customFormat="1" x14ac:dyDescent="0.25">
      <c r="A69" s="1" t="s">
        <v>45</v>
      </c>
      <c r="B69" s="1" t="s">
        <v>9</v>
      </c>
      <c r="C69" s="1" t="s">
        <v>28</v>
      </c>
      <c r="D69" s="4">
        <v>42000</v>
      </c>
      <c r="E69" s="4">
        <v>42000</v>
      </c>
      <c r="F69" s="4">
        <v>260000</v>
      </c>
      <c r="G69" s="4">
        <v>260000</v>
      </c>
      <c r="H69" s="19">
        <v>-0.83846153846153848</v>
      </c>
      <c r="I69" s="14"/>
      <c r="J69" s="1" t="s">
        <v>85</v>
      </c>
    </row>
    <row r="70" spans="1:10" s="3" customFormat="1" x14ac:dyDescent="0.25">
      <c r="A70" s="1" t="s">
        <v>45</v>
      </c>
      <c r="B70" s="1" t="s">
        <v>9</v>
      </c>
      <c r="C70" s="1" t="s">
        <v>29</v>
      </c>
      <c r="D70" s="4">
        <v>1480</v>
      </c>
      <c r="E70" s="4">
        <v>1480</v>
      </c>
      <c r="F70" s="4">
        <v>18000</v>
      </c>
      <c r="G70" s="4">
        <v>18000</v>
      </c>
      <c r="H70" s="19">
        <v>-0.9177777777777778</v>
      </c>
      <c r="I70" s="14"/>
      <c r="J70" s="1" t="s">
        <v>85</v>
      </c>
    </row>
    <row r="71" spans="1:10" s="3" customFormat="1" x14ac:dyDescent="0.25">
      <c r="A71" s="1" t="s">
        <v>45</v>
      </c>
      <c r="B71" s="1" t="s">
        <v>9</v>
      </c>
      <c r="C71" s="1" t="s">
        <v>30</v>
      </c>
      <c r="D71" s="4">
        <v>41</v>
      </c>
      <c r="E71" s="4">
        <v>41</v>
      </c>
      <c r="F71" s="4">
        <v>76</v>
      </c>
      <c r="G71" s="4">
        <v>76</v>
      </c>
      <c r="H71" s="19">
        <v>-0.46052631578947367</v>
      </c>
      <c r="I71" s="14"/>
      <c r="J71" s="1" t="s">
        <v>85</v>
      </c>
    </row>
    <row r="72" spans="1:10" s="3" customFormat="1" x14ac:dyDescent="0.25">
      <c r="A72" s="1" t="s">
        <v>45</v>
      </c>
      <c r="B72" s="1" t="s">
        <v>9</v>
      </c>
      <c r="C72" s="1" t="s">
        <v>31</v>
      </c>
      <c r="D72" s="4">
        <v>214.35636000000002</v>
      </c>
      <c r="E72" s="4">
        <v>214.35636000000002</v>
      </c>
      <c r="F72" s="4">
        <v>1226.6369038334653</v>
      </c>
      <c r="G72" s="4">
        <v>1226.6369038334653</v>
      </c>
      <c r="H72" s="19">
        <v>-0.82524872736985411</v>
      </c>
      <c r="I72" s="14"/>
      <c r="J72" s="1" t="s">
        <v>85</v>
      </c>
    </row>
    <row r="73" spans="1:10" s="3" customFormat="1" x14ac:dyDescent="0.25">
      <c r="A73" s="1" t="s">
        <v>45</v>
      </c>
      <c r="B73" s="1" t="s">
        <v>9</v>
      </c>
      <c r="C73" s="1" t="s">
        <v>32</v>
      </c>
      <c r="D73" s="4">
        <v>-189.63166702754441</v>
      </c>
      <c r="E73" s="4">
        <v>-189.63166702754441</v>
      </c>
      <c r="F73" s="4">
        <v>-883.47973000000059</v>
      </c>
      <c r="G73" s="4">
        <v>-883.47973000000059</v>
      </c>
      <c r="H73" s="19">
        <v>0.78535821412954854</v>
      </c>
      <c r="I73" s="14"/>
      <c r="J73" s="1" t="s">
        <v>85</v>
      </c>
    </row>
    <row r="74" spans="1:10" s="3" customFormat="1" x14ac:dyDescent="0.25">
      <c r="A74" s="1" t="s">
        <v>46</v>
      </c>
      <c r="B74" s="1" t="s">
        <v>2</v>
      </c>
      <c r="C74" s="1" t="s">
        <v>63</v>
      </c>
      <c r="D74" s="4">
        <v>11207.945479999995</v>
      </c>
      <c r="E74" s="4">
        <v>11207.945479999995</v>
      </c>
      <c r="F74" s="4">
        <v>25398.773333333374</v>
      </c>
      <c r="G74" s="4">
        <v>25398.773333333374</v>
      </c>
      <c r="H74" s="19">
        <v>-0.55872099282485121</v>
      </c>
      <c r="I74" s="14"/>
      <c r="J74" s="1" t="s">
        <v>85</v>
      </c>
    </row>
    <row r="75" spans="1:10" s="3" customFormat="1" x14ac:dyDescent="0.25">
      <c r="A75" s="1" t="s">
        <v>46</v>
      </c>
      <c r="B75" s="1" t="s">
        <v>2</v>
      </c>
      <c r="C75" s="1" t="s">
        <v>26</v>
      </c>
      <c r="D75" s="4"/>
      <c r="E75" s="4">
        <v>345803.53441000002</v>
      </c>
      <c r="F75" s="4"/>
      <c r="G75" s="4">
        <v>357991.26302999997</v>
      </c>
      <c r="H75" s="19">
        <v>0</v>
      </c>
      <c r="I75" s="14"/>
      <c r="J75" s="1" t="s">
        <v>85</v>
      </c>
    </row>
    <row r="76" spans="1:10" s="3" customFormat="1" x14ac:dyDescent="0.25">
      <c r="A76" s="1" t="s">
        <v>46</v>
      </c>
      <c r="B76" s="1" t="s">
        <v>2</v>
      </c>
      <c r="C76" s="1" t="s">
        <v>27</v>
      </c>
      <c r="D76" s="4">
        <v>0</v>
      </c>
      <c r="E76" s="4">
        <v>324382.68472531455</v>
      </c>
      <c r="F76" s="14"/>
      <c r="G76" s="4">
        <v>298550.06552021106</v>
      </c>
      <c r="H76" s="19">
        <v>0</v>
      </c>
      <c r="I76" s="14"/>
      <c r="J76" s="1" t="s">
        <v>85</v>
      </c>
    </row>
    <row r="77" spans="1:10" s="3" customFormat="1" x14ac:dyDescent="0.25">
      <c r="A77" s="1" t="s">
        <v>46</v>
      </c>
      <c r="B77" s="1" t="s">
        <v>2</v>
      </c>
      <c r="C77" s="1" t="s">
        <v>21</v>
      </c>
      <c r="D77" s="4">
        <v>5265.54</v>
      </c>
      <c r="E77" s="4">
        <v>5265.54</v>
      </c>
      <c r="F77" s="4">
        <v>26748.466666666664</v>
      </c>
      <c r="G77" s="4">
        <v>26748.466666666664</v>
      </c>
      <c r="H77" s="19">
        <v>-0.8031460993402737</v>
      </c>
      <c r="I77" s="14"/>
      <c r="J77" s="1" t="s">
        <v>85</v>
      </c>
    </row>
    <row r="78" spans="1:10" s="3" customFormat="1" x14ac:dyDescent="0.25">
      <c r="A78" s="1" t="s">
        <v>46</v>
      </c>
      <c r="B78" s="1" t="s">
        <v>2</v>
      </c>
      <c r="C78" s="1" t="s">
        <v>28</v>
      </c>
      <c r="D78" s="4">
        <v>116500</v>
      </c>
      <c r="E78" s="4">
        <v>116500</v>
      </c>
      <c r="F78" s="4">
        <v>186000</v>
      </c>
      <c r="G78" s="4">
        <v>186000</v>
      </c>
      <c r="H78" s="19">
        <v>-0.37365591397849462</v>
      </c>
      <c r="I78" s="14"/>
      <c r="J78" s="1" t="s">
        <v>85</v>
      </c>
    </row>
    <row r="79" spans="1:10" s="3" customFormat="1" x14ac:dyDescent="0.25">
      <c r="A79" s="1" t="s">
        <v>46</v>
      </c>
      <c r="B79" s="1" t="s">
        <v>2</v>
      </c>
      <c r="C79" s="1" t="s">
        <v>29</v>
      </c>
      <c r="D79" s="4">
        <v>85153</v>
      </c>
      <c r="E79" s="4">
        <v>85153</v>
      </c>
      <c r="F79" s="4">
        <v>78000</v>
      </c>
      <c r="G79" s="4">
        <v>78000</v>
      </c>
      <c r="H79" s="19">
        <v>9.1705128205128203E-2</v>
      </c>
      <c r="I79" s="14"/>
      <c r="J79" s="1" t="s">
        <v>85</v>
      </c>
    </row>
    <row r="80" spans="1:10" s="3" customFormat="1" x14ac:dyDescent="0.25">
      <c r="A80" s="1" t="s">
        <v>46</v>
      </c>
      <c r="B80" s="1" t="s">
        <v>2</v>
      </c>
      <c r="C80" s="1" t="s">
        <v>30</v>
      </c>
      <c r="D80" s="4">
        <v>72</v>
      </c>
      <c r="E80" s="4">
        <v>72</v>
      </c>
      <c r="F80" s="4">
        <v>98</v>
      </c>
      <c r="G80" s="4">
        <v>98</v>
      </c>
      <c r="H80" s="19">
        <v>-0.26530612244897961</v>
      </c>
      <c r="I80" s="14"/>
      <c r="J80" s="1" t="s">
        <v>85</v>
      </c>
    </row>
    <row r="81" spans="1:10" s="3" customFormat="1" x14ac:dyDescent="0.25">
      <c r="A81" s="1" t="s">
        <v>46</v>
      </c>
      <c r="B81" s="1" t="s">
        <v>2</v>
      </c>
      <c r="C81" s="1" t="s">
        <v>31</v>
      </c>
      <c r="D81" s="4">
        <v>397.38398000000001</v>
      </c>
      <c r="E81" s="4">
        <v>397.38398000000001</v>
      </c>
      <c r="F81" s="4">
        <v>1153.659762120338</v>
      </c>
      <c r="G81" s="4">
        <v>1153.659762120338</v>
      </c>
      <c r="H81" s="19">
        <v>-0.65554490756474093</v>
      </c>
      <c r="I81" s="14"/>
      <c r="J81" s="1" t="s">
        <v>85</v>
      </c>
    </row>
    <row r="82" spans="1:10" s="3" customFormat="1" x14ac:dyDescent="0.25">
      <c r="A82" s="1" t="s">
        <v>46</v>
      </c>
      <c r="B82" s="1" t="s">
        <v>2</v>
      </c>
      <c r="C82" s="1" t="s">
        <v>32</v>
      </c>
      <c r="D82" s="4">
        <v>-1562.8370227475723</v>
      </c>
      <c r="E82" s="4">
        <v>-1562.8370227475723</v>
      </c>
      <c r="F82" s="4">
        <v>-2500.7825000000003</v>
      </c>
      <c r="G82" s="4">
        <v>-2500.7825000000003</v>
      </c>
      <c r="H82" s="19">
        <v>0.37506079687155036</v>
      </c>
      <c r="I82" s="14"/>
      <c r="J82" s="1" t="s">
        <v>85</v>
      </c>
    </row>
    <row r="83" spans="1:10" s="3" customFormat="1" x14ac:dyDescent="0.25">
      <c r="A83" s="1" t="s">
        <v>47</v>
      </c>
      <c r="B83" s="1" t="s">
        <v>6</v>
      </c>
      <c r="C83" s="1" t="s">
        <v>63</v>
      </c>
      <c r="D83" s="4">
        <v>-722.50532000000385</v>
      </c>
      <c r="E83" s="4">
        <v>-722.50532000000385</v>
      </c>
      <c r="F83" s="4">
        <v>22176.960000000006</v>
      </c>
      <c r="G83" s="4">
        <v>22176.960000000006</v>
      </c>
      <c r="H83" s="19">
        <v>-1.0325790965037591</v>
      </c>
      <c r="I83" s="14"/>
      <c r="J83" s="1" t="s">
        <v>85</v>
      </c>
    </row>
    <row r="84" spans="1:10" s="3" customFormat="1" x14ac:dyDescent="0.25">
      <c r="A84" s="1" t="s">
        <v>47</v>
      </c>
      <c r="B84" s="1" t="s">
        <v>6</v>
      </c>
      <c r="C84" s="1" t="s">
        <v>26</v>
      </c>
      <c r="D84" s="4"/>
      <c r="E84" s="4">
        <v>38350.502150000008</v>
      </c>
      <c r="F84" s="4"/>
      <c r="G84" s="4">
        <v>67389.32862</v>
      </c>
      <c r="H84" s="19">
        <v>0</v>
      </c>
      <c r="I84" s="14"/>
      <c r="J84" s="1" t="s">
        <v>85</v>
      </c>
    </row>
    <row r="85" spans="1:10" s="3" customFormat="1" x14ac:dyDescent="0.25">
      <c r="A85" s="1" t="s">
        <v>47</v>
      </c>
      <c r="B85" s="1" t="s">
        <v>6</v>
      </c>
      <c r="C85" s="1" t="s">
        <v>27</v>
      </c>
      <c r="D85" s="4">
        <v>0</v>
      </c>
      <c r="E85" s="4">
        <v>214413.34483963207</v>
      </c>
      <c r="F85" s="14"/>
      <c r="G85" s="4">
        <v>209228.26978376327</v>
      </c>
      <c r="H85" s="19">
        <v>0</v>
      </c>
      <c r="I85" s="14"/>
      <c r="J85" s="1" t="s">
        <v>85</v>
      </c>
    </row>
    <row r="86" spans="1:10" s="3" customFormat="1" x14ac:dyDescent="0.25">
      <c r="A86" s="1" t="s">
        <v>47</v>
      </c>
      <c r="B86" s="1" t="s">
        <v>6</v>
      </c>
      <c r="C86" s="1" t="s">
        <v>21</v>
      </c>
      <c r="D86" s="4">
        <v>3953.5129500000003</v>
      </c>
      <c r="E86" s="4">
        <v>3953.5129500000003</v>
      </c>
      <c r="F86" s="4">
        <v>22721.200000000001</v>
      </c>
      <c r="G86" s="4">
        <v>22721.200000000001</v>
      </c>
      <c r="H86" s="19">
        <v>-0.82599893711599737</v>
      </c>
      <c r="I86" s="14"/>
      <c r="J86" s="1" t="s">
        <v>85</v>
      </c>
    </row>
    <row r="87" spans="1:10" s="3" customFormat="1" x14ac:dyDescent="0.25">
      <c r="A87" s="1" t="s">
        <v>47</v>
      </c>
      <c r="B87" s="1" t="s">
        <v>6</v>
      </c>
      <c r="C87" s="1" t="s">
        <v>28</v>
      </c>
      <c r="D87" s="4">
        <v>10000</v>
      </c>
      <c r="E87" s="4">
        <v>10000</v>
      </c>
      <c r="F87" s="4">
        <v>34000</v>
      </c>
      <c r="G87" s="4">
        <v>34000</v>
      </c>
      <c r="H87" s="19">
        <v>-0.70588235294117652</v>
      </c>
      <c r="I87" s="14"/>
      <c r="J87" s="1" t="s">
        <v>85</v>
      </c>
    </row>
    <row r="88" spans="1:10" s="3" customFormat="1" x14ac:dyDescent="0.25">
      <c r="A88" s="1" t="s">
        <v>47</v>
      </c>
      <c r="B88" s="1" t="s">
        <v>6</v>
      </c>
      <c r="C88" s="1" t="s">
        <v>29</v>
      </c>
      <c r="D88" s="4">
        <v>7781</v>
      </c>
      <c r="E88" s="4">
        <v>7781</v>
      </c>
      <c r="F88" s="4">
        <v>2000</v>
      </c>
      <c r="G88" s="4">
        <v>2000</v>
      </c>
      <c r="H88" s="19">
        <v>2.8904999999999998</v>
      </c>
      <c r="I88" s="14"/>
      <c r="J88" s="1" t="s">
        <v>85</v>
      </c>
    </row>
    <row r="89" spans="1:10" s="3" customFormat="1" x14ac:dyDescent="0.25">
      <c r="A89" s="1" t="s">
        <v>47</v>
      </c>
      <c r="B89" s="1" t="s">
        <v>6</v>
      </c>
      <c r="C89" s="1" t="s">
        <v>30</v>
      </c>
      <c r="D89" s="4">
        <v>46</v>
      </c>
      <c r="E89" s="4">
        <v>46</v>
      </c>
      <c r="F89" s="4">
        <v>73</v>
      </c>
      <c r="G89" s="4">
        <v>73</v>
      </c>
      <c r="H89" s="19">
        <v>-0.36986301369863012</v>
      </c>
      <c r="I89" s="14"/>
      <c r="J89" s="1" t="s">
        <v>85</v>
      </c>
    </row>
    <row r="90" spans="1:10" s="3" customFormat="1" x14ac:dyDescent="0.25">
      <c r="A90" s="1" t="s">
        <v>47</v>
      </c>
      <c r="B90" s="1" t="s">
        <v>6</v>
      </c>
      <c r="C90" s="1" t="s">
        <v>31</v>
      </c>
      <c r="D90" s="4">
        <v>224.55673999999999</v>
      </c>
      <c r="E90" s="4">
        <v>224.55673999999999</v>
      </c>
      <c r="F90" s="4">
        <v>851.17614338879798</v>
      </c>
      <c r="G90" s="4">
        <v>851.17614338879798</v>
      </c>
      <c r="H90" s="19">
        <v>-0.73618064633958191</v>
      </c>
      <c r="I90" s="14"/>
      <c r="J90" s="1" t="s">
        <v>85</v>
      </c>
    </row>
    <row r="91" spans="1:10" s="3" customFormat="1" x14ac:dyDescent="0.25">
      <c r="A91" s="1" t="s">
        <v>47</v>
      </c>
      <c r="B91" s="1" t="s">
        <v>6</v>
      </c>
      <c r="C91" s="1" t="s">
        <v>32</v>
      </c>
      <c r="D91" s="4">
        <v>-374.85238965757003</v>
      </c>
      <c r="E91" s="4">
        <v>-374.85238965757003</v>
      </c>
      <c r="F91" s="4">
        <v>976.64244999999914</v>
      </c>
      <c r="G91" s="4">
        <v>976.64244999999914</v>
      </c>
      <c r="H91" s="19">
        <v>-1.3838174243374024</v>
      </c>
      <c r="I91" s="14"/>
      <c r="J91" s="1" t="s">
        <v>85</v>
      </c>
    </row>
    <row r="92" spans="1:10" s="3" customFormat="1" x14ac:dyDescent="0.25">
      <c r="A92" s="1" t="s">
        <v>48</v>
      </c>
      <c r="B92" s="1" t="s">
        <v>17</v>
      </c>
      <c r="C92" s="1" t="s">
        <v>63</v>
      </c>
      <c r="D92" s="4">
        <v>-8343.9838099998888</v>
      </c>
      <c r="E92" s="4">
        <v>-8343.9838099998888</v>
      </c>
      <c r="F92" s="4">
        <v>27376.959999999992</v>
      </c>
      <c r="G92" s="4">
        <v>27376.959999999992</v>
      </c>
      <c r="H92" s="19">
        <v>-1.3047812397724179</v>
      </c>
      <c r="I92" s="14"/>
      <c r="J92" s="1" t="s">
        <v>85</v>
      </c>
    </row>
    <row r="93" spans="1:10" s="3" customFormat="1" x14ac:dyDescent="0.25">
      <c r="A93" s="1" t="s">
        <v>48</v>
      </c>
      <c r="B93" s="1" t="s">
        <v>17</v>
      </c>
      <c r="C93" s="1" t="s">
        <v>26</v>
      </c>
      <c r="D93" s="4"/>
      <c r="E93" s="4">
        <v>214661.26768000008</v>
      </c>
      <c r="F93" s="4"/>
      <c r="G93" s="4">
        <v>202120.04613999999</v>
      </c>
      <c r="H93" s="19">
        <v>0</v>
      </c>
      <c r="I93" s="14"/>
      <c r="J93" s="1" t="s">
        <v>85</v>
      </c>
    </row>
    <row r="94" spans="1:10" s="3" customFormat="1" x14ac:dyDescent="0.25">
      <c r="A94" s="1" t="s">
        <v>48</v>
      </c>
      <c r="B94" s="1" t="s">
        <v>17</v>
      </c>
      <c r="C94" s="1" t="s">
        <v>27</v>
      </c>
      <c r="D94" s="4">
        <v>0</v>
      </c>
      <c r="E94" s="4">
        <v>145871.81686496348</v>
      </c>
      <c r="F94" s="14"/>
      <c r="G94" s="4">
        <v>140382.50955728308</v>
      </c>
      <c r="H94" s="19">
        <v>0</v>
      </c>
      <c r="I94" s="14"/>
      <c r="J94" s="1" t="s">
        <v>85</v>
      </c>
    </row>
    <row r="95" spans="1:10" s="3" customFormat="1" x14ac:dyDescent="0.25">
      <c r="A95" s="1" t="s">
        <v>48</v>
      </c>
      <c r="B95" s="1" t="s">
        <v>17</v>
      </c>
      <c r="C95" s="1" t="s">
        <v>21</v>
      </c>
      <c r="D95" s="4">
        <v>6729.8098499999996</v>
      </c>
      <c r="E95" s="4">
        <v>6729.8098499999996</v>
      </c>
      <c r="F95" s="4">
        <v>29221.199999999997</v>
      </c>
      <c r="G95" s="4">
        <v>29221.199999999997</v>
      </c>
      <c r="H95" s="19">
        <v>-0.76969426820253795</v>
      </c>
      <c r="I95" s="14"/>
      <c r="J95" s="1" t="s">
        <v>85</v>
      </c>
    </row>
    <row r="96" spans="1:10" s="3" customFormat="1" x14ac:dyDescent="0.25">
      <c r="A96" s="1" t="s">
        <v>48</v>
      </c>
      <c r="B96" s="1" t="s">
        <v>17</v>
      </c>
      <c r="C96" s="1" t="s">
        <v>28</v>
      </c>
      <c r="D96" s="4">
        <v>314045</v>
      </c>
      <c r="E96" s="4">
        <v>314045</v>
      </c>
      <c r="F96" s="4">
        <v>828000</v>
      </c>
      <c r="G96" s="4">
        <v>828000</v>
      </c>
      <c r="H96" s="19">
        <v>-0.62071859903381643</v>
      </c>
      <c r="I96" s="14"/>
      <c r="J96" s="1" t="s">
        <v>85</v>
      </c>
    </row>
    <row r="97" spans="1:10" s="3" customFormat="1" x14ac:dyDescent="0.25">
      <c r="A97" s="1" t="s">
        <v>48</v>
      </c>
      <c r="B97" s="1" t="s">
        <v>17</v>
      </c>
      <c r="C97" s="1" t="s">
        <v>29</v>
      </c>
      <c r="D97" s="4">
        <v>1090</v>
      </c>
      <c r="E97" s="4">
        <v>1090</v>
      </c>
      <c r="F97" s="4">
        <v>59000</v>
      </c>
      <c r="G97" s="4">
        <v>59000</v>
      </c>
      <c r="H97" s="19">
        <v>-0.98152542372881357</v>
      </c>
      <c r="I97" s="14"/>
      <c r="J97" s="1" t="s">
        <v>85</v>
      </c>
    </row>
    <row r="98" spans="1:10" s="3" customFormat="1" x14ac:dyDescent="0.25">
      <c r="A98" s="1" t="s">
        <v>48</v>
      </c>
      <c r="B98" s="1" t="s">
        <v>17</v>
      </c>
      <c r="C98" s="1" t="s">
        <v>30</v>
      </c>
      <c r="D98" s="4">
        <v>80</v>
      </c>
      <c r="E98" s="4">
        <v>80</v>
      </c>
      <c r="F98" s="4">
        <v>91</v>
      </c>
      <c r="G98" s="4">
        <v>91</v>
      </c>
      <c r="H98" s="19">
        <v>-0.12087912087912088</v>
      </c>
      <c r="I98" s="14"/>
      <c r="J98" s="1" t="s">
        <v>85</v>
      </c>
    </row>
    <row r="99" spans="1:10" s="3" customFormat="1" x14ac:dyDescent="0.25">
      <c r="A99" s="1" t="s">
        <v>48</v>
      </c>
      <c r="B99" s="1" t="s">
        <v>17</v>
      </c>
      <c r="C99" s="1" t="s">
        <v>31</v>
      </c>
      <c r="D99" s="4">
        <v>686.25697000000002</v>
      </c>
      <c r="E99" s="4">
        <v>686.25697000000002</v>
      </c>
      <c r="F99" s="4">
        <v>1908.2258986534614</v>
      </c>
      <c r="G99" s="4">
        <v>1908.2258986534614</v>
      </c>
      <c r="H99" s="19">
        <v>-0.64036911432537569</v>
      </c>
      <c r="I99" s="14"/>
      <c r="J99" s="1" t="s">
        <v>85</v>
      </c>
    </row>
    <row r="100" spans="1:10" s="3" customFormat="1" x14ac:dyDescent="0.25">
      <c r="A100" s="1" t="s">
        <v>48</v>
      </c>
      <c r="B100" s="1" t="s">
        <v>17</v>
      </c>
      <c r="C100" s="1" t="s">
        <v>32</v>
      </c>
      <c r="D100" s="4">
        <v>264.77301163407157</v>
      </c>
      <c r="E100" s="4">
        <v>264.77301163407157</v>
      </c>
      <c r="F100" s="4">
        <v>-927.03050000000007</v>
      </c>
      <c r="G100" s="4">
        <v>-927.03050000000007</v>
      </c>
      <c r="H100" s="19">
        <v>1.2856141320421188</v>
      </c>
      <c r="I100" s="14"/>
      <c r="J100" s="1" t="s">
        <v>85</v>
      </c>
    </row>
    <row r="101" spans="1:10" s="3" customFormat="1" x14ac:dyDescent="0.25">
      <c r="A101" s="1" t="s">
        <v>49</v>
      </c>
      <c r="B101" s="1" t="s">
        <v>5</v>
      </c>
      <c r="C101" s="1" t="s">
        <v>63</v>
      </c>
      <c r="D101" s="4">
        <v>-10594.467290000001</v>
      </c>
      <c r="E101" s="4">
        <v>-10594.467290000001</v>
      </c>
      <c r="F101" s="4">
        <v>14955.146666666675</v>
      </c>
      <c r="G101" s="4">
        <v>14955.146666666675</v>
      </c>
      <c r="H101" s="19">
        <v>-1.7084161410207943</v>
      </c>
      <c r="I101" s="14"/>
      <c r="J101" s="1" t="s">
        <v>85</v>
      </c>
    </row>
    <row r="102" spans="1:10" s="3" customFormat="1" x14ac:dyDescent="0.25">
      <c r="A102" s="1" t="s">
        <v>49</v>
      </c>
      <c r="B102" s="1" t="s">
        <v>5</v>
      </c>
      <c r="C102" s="1" t="s">
        <v>26</v>
      </c>
      <c r="D102" s="4"/>
      <c r="E102" s="4">
        <v>27313.198839999997</v>
      </c>
      <c r="F102" s="4"/>
      <c r="G102" s="4">
        <v>35846.09966</v>
      </c>
      <c r="H102" s="19">
        <v>0</v>
      </c>
      <c r="I102" s="14"/>
      <c r="J102" s="1" t="s">
        <v>85</v>
      </c>
    </row>
    <row r="103" spans="1:10" s="3" customFormat="1" x14ac:dyDescent="0.25">
      <c r="A103" s="1" t="s">
        <v>49</v>
      </c>
      <c r="B103" s="1" t="s">
        <v>5</v>
      </c>
      <c r="C103" s="1" t="s">
        <v>27</v>
      </c>
      <c r="D103" s="4">
        <v>0</v>
      </c>
      <c r="E103" s="4">
        <v>69687.855956319807</v>
      </c>
      <c r="F103" s="14"/>
      <c r="G103" s="4">
        <v>70244.35853616269</v>
      </c>
      <c r="H103" s="19">
        <v>0</v>
      </c>
      <c r="I103" s="14"/>
      <c r="J103" s="1" t="s">
        <v>85</v>
      </c>
    </row>
    <row r="104" spans="1:10" s="3" customFormat="1" x14ac:dyDescent="0.25">
      <c r="A104" s="1" t="s">
        <v>49</v>
      </c>
      <c r="B104" s="1" t="s">
        <v>5</v>
      </c>
      <c r="C104" s="1" t="s">
        <v>21</v>
      </c>
      <c r="D104" s="4">
        <v>2817.8429999999994</v>
      </c>
      <c r="E104" s="4">
        <v>2817.8429999999994</v>
      </c>
      <c r="F104" s="4">
        <v>13693.933333333334</v>
      </c>
      <c r="G104" s="4">
        <v>13693.933333333334</v>
      </c>
      <c r="H104" s="19">
        <v>-0.79422690826594755</v>
      </c>
      <c r="I104" s="14"/>
      <c r="J104" s="1" t="s">
        <v>85</v>
      </c>
    </row>
    <row r="105" spans="1:10" s="3" customFormat="1" x14ac:dyDescent="0.25">
      <c r="A105" s="1" t="s">
        <v>49</v>
      </c>
      <c r="B105" s="1" t="s">
        <v>5</v>
      </c>
      <c r="C105" s="1" t="s">
        <v>28</v>
      </c>
      <c r="D105" s="4">
        <v>10789.14</v>
      </c>
      <c r="E105" s="4">
        <v>10789.14</v>
      </c>
      <c r="F105" s="4">
        <v>118000</v>
      </c>
      <c r="G105" s="4">
        <v>118000</v>
      </c>
      <c r="H105" s="19">
        <v>-0.90856661016949158</v>
      </c>
      <c r="I105" s="14"/>
      <c r="J105" s="1" t="s">
        <v>85</v>
      </c>
    </row>
    <row r="106" spans="1:10" s="3" customFormat="1" x14ac:dyDescent="0.25">
      <c r="A106" s="1" t="s">
        <v>49</v>
      </c>
      <c r="B106" s="1" t="s">
        <v>5</v>
      </c>
      <c r="C106" s="1" t="s">
        <v>29</v>
      </c>
      <c r="D106" s="4">
        <v>790</v>
      </c>
      <c r="E106" s="4">
        <v>790</v>
      </c>
      <c r="F106" s="4">
        <v>26000</v>
      </c>
      <c r="G106" s="4">
        <v>26000</v>
      </c>
      <c r="H106" s="19">
        <v>-0.96961538461538466</v>
      </c>
      <c r="I106" s="14"/>
      <c r="J106" s="1" t="s">
        <v>85</v>
      </c>
    </row>
    <row r="107" spans="1:10" s="3" customFormat="1" x14ac:dyDescent="0.25">
      <c r="A107" s="1" t="s">
        <v>49</v>
      </c>
      <c r="B107" s="1" t="s">
        <v>5</v>
      </c>
      <c r="C107" s="1" t="s">
        <v>30</v>
      </c>
      <c r="D107" s="4">
        <v>35</v>
      </c>
      <c r="E107" s="4">
        <v>35</v>
      </c>
      <c r="F107" s="4">
        <v>58</v>
      </c>
      <c r="G107" s="4">
        <v>58</v>
      </c>
      <c r="H107" s="19">
        <v>-0.39655172413793105</v>
      </c>
      <c r="I107" s="14"/>
      <c r="J107" s="1" t="s">
        <v>85</v>
      </c>
    </row>
    <row r="108" spans="1:10" s="3" customFormat="1" x14ac:dyDescent="0.25">
      <c r="A108" s="1" t="s">
        <v>49</v>
      </c>
      <c r="B108" s="1" t="s">
        <v>5</v>
      </c>
      <c r="C108" s="1" t="s">
        <v>31</v>
      </c>
      <c r="D108" s="4">
        <v>173.11736999999999</v>
      </c>
      <c r="E108" s="4">
        <v>173.11736999999999</v>
      </c>
      <c r="F108" s="4">
        <v>637.99756556286491</v>
      </c>
      <c r="G108" s="4">
        <v>637.99756556286491</v>
      </c>
      <c r="H108" s="19">
        <v>-0.72865512449523306</v>
      </c>
      <c r="I108" s="14"/>
      <c r="J108" s="1" t="s">
        <v>85</v>
      </c>
    </row>
    <row r="109" spans="1:10" s="3" customFormat="1" x14ac:dyDescent="0.25">
      <c r="A109" s="1" t="s">
        <v>49</v>
      </c>
      <c r="B109" s="1" t="s">
        <v>5</v>
      </c>
      <c r="C109" s="1" t="s">
        <v>32</v>
      </c>
      <c r="D109" s="4">
        <v>-743.48617407127938</v>
      </c>
      <c r="E109" s="4">
        <v>-743.48617407127938</v>
      </c>
      <c r="F109" s="4">
        <v>-504.74143000000015</v>
      </c>
      <c r="G109" s="4">
        <v>-504.74143000000015</v>
      </c>
      <c r="H109" s="19">
        <v>-0.473004056891623</v>
      </c>
      <c r="I109" s="14"/>
      <c r="J109" s="1" t="s">
        <v>85</v>
      </c>
    </row>
    <row r="110" spans="1:10" s="3" customFormat="1" x14ac:dyDescent="0.25">
      <c r="A110" s="1" t="s">
        <v>50</v>
      </c>
      <c r="B110" s="1" t="s">
        <v>4</v>
      </c>
      <c r="C110" s="1" t="s">
        <v>63</v>
      </c>
      <c r="D110" s="4">
        <v>5634.4123200000031</v>
      </c>
      <c r="E110" s="4">
        <v>5634.4123200000031</v>
      </c>
      <c r="F110" s="4">
        <v>26710.293333333335</v>
      </c>
      <c r="G110" s="4">
        <v>26710.293333333335</v>
      </c>
      <c r="H110" s="19">
        <v>-0.78905464460143193</v>
      </c>
      <c r="I110" s="14"/>
      <c r="J110" s="1" t="s">
        <v>85</v>
      </c>
    </row>
    <row r="111" spans="1:10" s="3" customFormat="1" x14ac:dyDescent="0.25">
      <c r="A111" s="1" t="s">
        <v>50</v>
      </c>
      <c r="B111" s="1" t="s">
        <v>4</v>
      </c>
      <c r="C111" s="1" t="s">
        <v>26</v>
      </c>
      <c r="D111" s="4"/>
      <c r="E111" s="4">
        <v>710794.65633999999</v>
      </c>
      <c r="F111" s="4"/>
      <c r="G111" s="4">
        <v>739221.22167</v>
      </c>
      <c r="H111" s="19">
        <v>0</v>
      </c>
      <c r="I111" s="14"/>
      <c r="J111" s="1" t="s">
        <v>85</v>
      </c>
    </row>
    <row r="112" spans="1:10" s="3" customFormat="1" x14ac:dyDescent="0.25">
      <c r="A112" s="1" t="s">
        <v>50</v>
      </c>
      <c r="B112" s="1" t="s">
        <v>4</v>
      </c>
      <c r="C112" s="1" t="s">
        <v>27</v>
      </c>
      <c r="D112" s="4">
        <v>0</v>
      </c>
      <c r="E112" s="4">
        <v>400517.22675102536</v>
      </c>
      <c r="F112" s="14"/>
      <c r="G112" s="4">
        <v>365710.5738505451</v>
      </c>
      <c r="H112" s="19">
        <v>0</v>
      </c>
      <c r="I112" s="14"/>
      <c r="J112" s="1" t="s">
        <v>85</v>
      </c>
    </row>
    <row r="113" spans="1:10" s="3" customFormat="1" x14ac:dyDescent="0.25">
      <c r="A113" s="1" t="s">
        <v>50</v>
      </c>
      <c r="B113" s="1" t="s">
        <v>4</v>
      </c>
      <c r="C113" s="1" t="s">
        <v>21</v>
      </c>
      <c r="D113" s="4">
        <v>2608.9564999999998</v>
      </c>
      <c r="E113" s="4">
        <v>2608.9564999999998</v>
      </c>
      <c r="F113" s="4">
        <v>28387.866666666669</v>
      </c>
      <c r="G113" s="4">
        <v>28387.866666666669</v>
      </c>
      <c r="H113" s="19">
        <v>-0.9080960703868789</v>
      </c>
      <c r="I113" s="14"/>
      <c r="J113" s="1" t="s">
        <v>85</v>
      </c>
    </row>
    <row r="114" spans="1:10" s="3" customFormat="1" x14ac:dyDescent="0.25">
      <c r="A114" s="1" t="s">
        <v>50</v>
      </c>
      <c r="B114" s="1" t="s">
        <v>4</v>
      </c>
      <c r="C114" s="1" t="s">
        <v>28</v>
      </c>
      <c r="D114" s="4">
        <v>2186520.2599999998</v>
      </c>
      <c r="E114" s="4">
        <v>2186520.2599999998</v>
      </c>
      <c r="F114" s="4">
        <v>5552000</v>
      </c>
      <c r="G114" s="4">
        <v>5552000</v>
      </c>
      <c r="H114" s="19">
        <v>-0.6061743047550433</v>
      </c>
      <c r="I114" s="14"/>
      <c r="J114" s="1" t="s">
        <v>85</v>
      </c>
    </row>
    <row r="115" spans="1:10" s="3" customFormat="1" x14ac:dyDescent="0.25">
      <c r="A115" s="1" t="s">
        <v>50</v>
      </c>
      <c r="B115" s="1" t="s">
        <v>4</v>
      </c>
      <c r="C115" s="1" t="s">
        <v>29</v>
      </c>
      <c r="D115" s="4">
        <v>719837</v>
      </c>
      <c r="E115" s="4">
        <v>719837</v>
      </c>
      <c r="F115" s="4">
        <v>153000</v>
      </c>
      <c r="G115" s="4">
        <v>153000</v>
      </c>
      <c r="H115" s="19">
        <v>3.7048169934640525</v>
      </c>
      <c r="I115" s="14"/>
      <c r="J115" s="1" t="s">
        <v>85</v>
      </c>
    </row>
    <row r="116" spans="1:10" s="3" customFormat="1" x14ac:dyDescent="0.25">
      <c r="A116" s="1" t="s">
        <v>50</v>
      </c>
      <c r="B116" s="1" t="s">
        <v>4</v>
      </c>
      <c r="C116" s="1" t="s">
        <v>30</v>
      </c>
      <c r="D116" s="4">
        <v>37</v>
      </c>
      <c r="E116" s="4">
        <v>37</v>
      </c>
      <c r="F116" s="4">
        <v>98</v>
      </c>
      <c r="G116" s="4">
        <v>98</v>
      </c>
      <c r="H116" s="19">
        <v>-0.62244897959183676</v>
      </c>
      <c r="I116" s="14"/>
      <c r="J116" s="1" t="s">
        <v>85</v>
      </c>
    </row>
    <row r="117" spans="1:10" s="3" customFormat="1" x14ac:dyDescent="0.25">
      <c r="A117" s="1" t="s">
        <v>50</v>
      </c>
      <c r="B117" s="1" t="s">
        <v>4</v>
      </c>
      <c r="C117" s="1" t="s">
        <v>31</v>
      </c>
      <c r="D117" s="4">
        <v>2454.4599299999995</v>
      </c>
      <c r="E117" s="4">
        <v>2454.4599299999995</v>
      </c>
      <c r="F117" s="4">
        <v>6540.8784086610576</v>
      </c>
      <c r="G117" s="4">
        <v>6540.8784086610576</v>
      </c>
      <c r="H117" s="19">
        <v>-0.62475071746480659</v>
      </c>
      <c r="I117" s="14"/>
      <c r="J117" s="1" t="s">
        <v>85</v>
      </c>
    </row>
    <row r="118" spans="1:10" s="3" customFormat="1" x14ac:dyDescent="0.25">
      <c r="A118" s="1" t="s">
        <v>50</v>
      </c>
      <c r="B118" s="1" t="s">
        <v>4</v>
      </c>
      <c r="C118" s="1" t="s">
        <v>32</v>
      </c>
      <c r="D118" s="4">
        <v>2784.5738529743758</v>
      </c>
      <c r="E118" s="4">
        <v>2784.5738529743758</v>
      </c>
      <c r="F118" s="4">
        <v>-1337.3983599999997</v>
      </c>
      <c r="G118" s="4">
        <v>-1337.3983599999997</v>
      </c>
      <c r="H118" s="19">
        <v>3.0820825987661418</v>
      </c>
      <c r="I118" s="14"/>
      <c r="J118" s="1" t="s">
        <v>85</v>
      </c>
    </row>
    <row r="119" spans="1:10" s="3" customFormat="1" x14ac:dyDescent="0.25">
      <c r="A119" s="1" t="s">
        <v>51</v>
      </c>
      <c r="B119" s="1" t="s">
        <v>3</v>
      </c>
      <c r="C119" s="1" t="s">
        <v>63</v>
      </c>
      <c r="D119" s="4">
        <v>6180.0453800000105</v>
      </c>
      <c r="E119" s="4">
        <v>6180.0453800000105</v>
      </c>
      <c r="F119" s="4">
        <v>19691.306666666656</v>
      </c>
      <c r="G119" s="4">
        <v>19691.306666666656</v>
      </c>
      <c r="H119" s="19">
        <v>-0.68615361668905595</v>
      </c>
      <c r="I119" s="14"/>
      <c r="J119" s="1" t="s">
        <v>85</v>
      </c>
    </row>
    <row r="120" spans="1:10" s="3" customFormat="1" x14ac:dyDescent="0.25">
      <c r="A120" s="1" t="s">
        <v>51</v>
      </c>
      <c r="B120" s="1" t="s">
        <v>3</v>
      </c>
      <c r="C120" s="1" t="s">
        <v>26</v>
      </c>
      <c r="D120" s="4"/>
      <c r="E120" s="4">
        <v>84635.054329999999</v>
      </c>
      <c r="F120" s="4"/>
      <c r="G120" s="4">
        <v>65583.966440000004</v>
      </c>
      <c r="H120" s="19">
        <v>0</v>
      </c>
      <c r="I120" s="14"/>
      <c r="J120" s="1" t="s">
        <v>85</v>
      </c>
    </row>
    <row r="121" spans="1:10" s="3" customFormat="1" x14ac:dyDescent="0.25">
      <c r="A121" s="1" t="s">
        <v>51</v>
      </c>
      <c r="B121" s="1" t="s">
        <v>3</v>
      </c>
      <c r="C121" s="1" t="s">
        <v>27</v>
      </c>
      <c r="D121" s="4">
        <v>0</v>
      </c>
      <c r="E121" s="4">
        <v>163749.3233536247</v>
      </c>
      <c r="F121" s="14"/>
      <c r="G121" s="4">
        <v>154764.26098300717</v>
      </c>
      <c r="H121" s="19">
        <v>0</v>
      </c>
      <c r="I121" s="14"/>
      <c r="J121" s="1" t="s">
        <v>85</v>
      </c>
    </row>
    <row r="122" spans="1:10" s="3" customFormat="1" x14ac:dyDescent="0.25">
      <c r="A122" s="1" t="s">
        <v>51</v>
      </c>
      <c r="B122" s="1" t="s">
        <v>3</v>
      </c>
      <c r="C122" s="1" t="s">
        <v>21</v>
      </c>
      <c r="D122" s="4">
        <v>6316.6350000000002</v>
      </c>
      <c r="E122" s="4">
        <v>6316.6350000000002</v>
      </c>
      <c r="F122" s="4">
        <v>19614.133333333335</v>
      </c>
      <c r="G122" s="4">
        <v>19614.133333333335</v>
      </c>
      <c r="H122" s="19">
        <v>-0.67795492705939941</v>
      </c>
      <c r="I122" s="14"/>
      <c r="J122" s="1" t="s">
        <v>85</v>
      </c>
    </row>
    <row r="123" spans="1:10" s="3" customFormat="1" x14ac:dyDescent="0.25">
      <c r="A123" s="1" t="s">
        <v>51</v>
      </c>
      <c r="B123" s="1" t="s">
        <v>3</v>
      </c>
      <c r="C123" s="1" t="s">
        <v>28</v>
      </c>
      <c r="D123" s="4">
        <v>58000</v>
      </c>
      <c r="E123" s="4">
        <v>58000</v>
      </c>
      <c r="F123" s="4">
        <v>91000</v>
      </c>
      <c r="G123" s="4">
        <v>91000</v>
      </c>
      <c r="H123" s="19">
        <v>-0.36263736263736263</v>
      </c>
      <c r="I123" s="14"/>
      <c r="J123" s="1" t="s">
        <v>85</v>
      </c>
    </row>
    <row r="124" spans="1:10" s="3" customFormat="1" x14ac:dyDescent="0.25">
      <c r="A124" s="1" t="s">
        <v>51</v>
      </c>
      <c r="B124" s="1" t="s">
        <v>3</v>
      </c>
      <c r="C124" s="1" t="s">
        <v>29</v>
      </c>
      <c r="D124" s="4">
        <v>932</v>
      </c>
      <c r="E124" s="4">
        <v>932</v>
      </c>
      <c r="F124" s="4">
        <v>25000</v>
      </c>
      <c r="G124" s="4">
        <v>25000</v>
      </c>
      <c r="H124" s="19">
        <v>-0.96272000000000002</v>
      </c>
      <c r="I124" s="14"/>
      <c r="J124" s="1" t="s">
        <v>85</v>
      </c>
    </row>
    <row r="125" spans="1:10" s="3" customFormat="1" x14ac:dyDescent="0.25">
      <c r="A125" s="1" t="s">
        <v>51</v>
      </c>
      <c r="B125" s="1" t="s">
        <v>3</v>
      </c>
      <c r="C125" s="1" t="s">
        <v>30</v>
      </c>
      <c r="D125" s="4">
        <v>52</v>
      </c>
      <c r="E125" s="4">
        <v>52</v>
      </c>
      <c r="F125" s="4">
        <v>68</v>
      </c>
      <c r="G125" s="4">
        <v>68</v>
      </c>
      <c r="H125" s="19">
        <v>-0.23529411764705882</v>
      </c>
      <c r="I125" s="14"/>
      <c r="J125" s="1" t="s">
        <v>85</v>
      </c>
    </row>
    <row r="126" spans="1:10" s="3" customFormat="1" x14ac:dyDescent="0.25">
      <c r="A126" s="1" t="s">
        <v>51</v>
      </c>
      <c r="B126" s="1" t="s">
        <v>3</v>
      </c>
      <c r="C126" s="1" t="s">
        <v>31</v>
      </c>
      <c r="D126" s="4">
        <v>273.31362000000001</v>
      </c>
      <c r="E126" s="4">
        <v>273.31362000000001</v>
      </c>
      <c r="F126" s="4">
        <v>855.46487177835718</v>
      </c>
      <c r="G126" s="4">
        <v>855.46487177835718</v>
      </c>
      <c r="H126" s="19">
        <v>-0.68050865790452586</v>
      </c>
      <c r="I126" s="14"/>
      <c r="J126" s="1" t="s">
        <v>85</v>
      </c>
    </row>
    <row r="127" spans="1:10" s="3" customFormat="1" x14ac:dyDescent="0.25">
      <c r="A127" s="1" t="s">
        <v>51</v>
      </c>
      <c r="B127" s="1" t="s">
        <v>3</v>
      </c>
      <c r="C127" s="1" t="s">
        <v>32</v>
      </c>
      <c r="D127" s="4">
        <v>-1769.563500792101</v>
      </c>
      <c r="E127" s="4">
        <v>-1769.563500792101</v>
      </c>
      <c r="F127" s="4">
        <v>-1290.2947799999906</v>
      </c>
      <c r="G127" s="4">
        <v>-1290.2947799999906</v>
      </c>
      <c r="H127" s="19">
        <v>-0.3714412615015879</v>
      </c>
      <c r="I127" s="14"/>
      <c r="J127" s="1" t="s">
        <v>85</v>
      </c>
    </row>
    <row r="128" spans="1:10" s="3" customFormat="1" x14ac:dyDescent="0.25">
      <c r="A128" s="1" t="s">
        <v>52</v>
      </c>
      <c r="B128" s="1" t="s">
        <v>13</v>
      </c>
      <c r="C128" s="1" t="s">
        <v>63</v>
      </c>
      <c r="D128" s="4">
        <v>439.51380999994581</v>
      </c>
      <c r="E128" s="4">
        <v>439.51380999994581</v>
      </c>
      <c r="F128" s="4">
        <v>23066.666666666715</v>
      </c>
      <c r="G128" s="4">
        <v>23066.666666666715</v>
      </c>
      <c r="H128" s="19">
        <v>-0.9809459330924879</v>
      </c>
      <c r="I128" s="14"/>
      <c r="J128" s="1" t="s">
        <v>85</v>
      </c>
    </row>
    <row r="129" spans="1:10" s="3" customFormat="1" x14ac:dyDescent="0.25">
      <c r="A129" s="1" t="s">
        <v>52</v>
      </c>
      <c r="B129" s="1" t="s">
        <v>13</v>
      </c>
      <c r="C129" s="1" t="s">
        <v>26</v>
      </c>
      <c r="D129" s="4"/>
      <c r="E129" s="4">
        <v>251577.28116999997</v>
      </c>
      <c r="F129" s="4"/>
      <c r="G129" s="4">
        <v>248499.8217</v>
      </c>
      <c r="H129" s="19">
        <v>0</v>
      </c>
      <c r="I129" s="14"/>
      <c r="J129" s="1" t="s">
        <v>85</v>
      </c>
    </row>
    <row r="130" spans="1:10" s="3" customFormat="1" x14ac:dyDescent="0.25">
      <c r="A130" s="1" t="s">
        <v>52</v>
      </c>
      <c r="B130" s="1" t="s">
        <v>13</v>
      </c>
      <c r="C130" s="1" t="s">
        <v>27</v>
      </c>
      <c r="D130" s="4">
        <v>0</v>
      </c>
      <c r="E130" s="4">
        <v>230645.69868999993</v>
      </c>
      <c r="F130" s="14"/>
      <c r="G130" s="4">
        <v>230035.77278360014</v>
      </c>
      <c r="H130" s="19">
        <v>0</v>
      </c>
      <c r="I130" s="14"/>
      <c r="J130" s="1" t="s">
        <v>85</v>
      </c>
    </row>
    <row r="131" spans="1:10" s="3" customFormat="1" x14ac:dyDescent="0.25">
      <c r="A131" s="1" t="s">
        <v>52</v>
      </c>
      <c r="B131" s="1" t="s">
        <v>13</v>
      </c>
      <c r="C131" s="1" t="s">
        <v>21</v>
      </c>
      <c r="D131" s="4">
        <v>6975.1950999999999</v>
      </c>
      <c r="E131" s="4">
        <v>6975.1950999999999</v>
      </c>
      <c r="F131" s="4">
        <v>23833.333333333332</v>
      </c>
      <c r="G131" s="4">
        <v>23833.333333333332</v>
      </c>
      <c r="H131" s="19">
        <v>-0.70733447132867133</v>
      </c>
      <c r="I131" s="14"/>
      <c r="J131" s="1" t="s">
        <v>85</v>
      </c>
    </row>
    <row r="132" spans="1:10" s="3" customFormat="1" x14ac:dyDescent="0.25">
      <c r="A132" s="1" t="s">
        <v>52</v>
      </c>
      <c r="B132" s="1" t="s">
        <v>13</v>
      </c>
      <c r="C132" s="1" t="s">
        <v>28</v>
      </c>
      <c r="D132" s="4">
        <v>2531175.1</v>
      </c>
      <c r="E132" s="4">
        <v>2531175.1</v>
      </c>
      <c r="F132" s="4">
        <v>1211000</v>
      </c>
      <c r="G132" s="4">
        <v>1211000</v>
      </c>
      <c r="H132" s="19">
        <v>1.0901528488852188</v>
      </c>
      <c r="I132" s="14"/>
      <c r="J132" s="1" t="s">
        <v>85</v>
      </c>
    </row>
    <row r="133" spans="1:10" s="3" customFormat="1" x14ac:dyDescent="0.25">
      <c r="A133" s="1" t="s">
        <v>52</v>
      </c>
      <c r="B133" s="1" t="s">
        <v>13</v>
      </c>
      <c r="C133" s="1" t="s">
        <v>29</v>
      </c>
      <c r="D133" s="4">
        <v>870</v>
      </c>
      <c r="E133" s="4">
        <v>870</v>
      </c>
      <c r="F133" s="4">
        <v>12000</v>
      </c>
      <c r="G133" s="4">
        <v>12000</v>
      </c>
      <c r="H133" s="19">
        <v>-0.92749999999999999</v>
      </c>
      <c r="I133" s="14"/>
      <c r="J133" s="1" t="s">
        <v>85</v>
      </c>
    </row>
    <row r="134" spans="1:10" s="3" customFormat="1" x14ac:dyDescent="0.25">
      <c r="A134" s="1" t="s">
        <v>52</v>
      </c>
      <c r="B134" s="1" t="s">
        <v>13</v>
      </c>
      <c r="C134" s="1" t="s">
        <v>30</v>
      </c>
      <c r="D134" s="4">
        <v>38</v>
      </c>
      <c r="E134" s="4">
        <v>38</v>
      </c>
      <c r="F134" s="4">
        <v>65</v>
      </c>
      <c r="G134" s="4">
        <v>65</v>
      </c>
      <c r="H134" s="19">
        <v>-0.41538461538461541</v>
      </c>
      <c r="I134" s="14"/>
      <c r="J134" s="1" t="s">
        <v>85</v>
      </c>
    </row>
    <row r="135" spans="1:10" s="3" customFormat="1" x14ac:dyDescent="0.25">
      <c r="A135" s="1" t="s">
        <v>52</v>
      </c>
      <c r="B135" s="1" t="s">
        <v>13</v>
      </c>
      <c r="C135" s="1" t="s">
        <v>31</v>
      </c>
      <c r="D135" s="4">
        <v>2803.4392600000001</v>
      </c>
      <c r="E135" s="4">
        <v>2803.4392600000001</v>
      </c>
      <c r="F135" s="4">
        <v>1999.3572470695422</v>
      </c>
      <c r="G135" s="4">
        <v>1999.3572470695422</v>
      </c>
      <c r="H135" s="19">
        <v>0.40217025452004684</v>
      </c>
      <c r="I135" s="14"/>
      <c r="J135" s="1" t="s">
        <v>85</v>
      </c>
    </row>
    <row r="136" spans="1:10" s="3" customFormat="1" x14ac:dyDescent="0.25">
      <c r="A136" s="1" t="s">
        <v>52</v>
      </c>
      <c r="B136" s="1" t="s">
        <v>13</v>
      </c>
      <c r="C136" s="1" t="s">
        <v>32</v>
      </c>
      <c r="D136" s="4">
        <v>1752.503081974952</v>
      </c>
      <c r="E136" s="4">
        <v>1752.503081974952</v>
      </c>
      <c r="F136" s="4">
        <v>1018.1798199999996</v>
      </c>
      <c r="G136" s="4">
        <v>1018.1798199999996</v>
      </c>
      <c r="H136" s="19">
        <v>0.72121176196062564</v>
      </c>
      <c r="I136" s="14"/>
      <c r="J136" s="1" t="s">
        <v>85</v>
      </c>
    </row>
    <row r="137" spans="1:10" s="3" customFormat="1" x14ac:dyDescent="0.25">
      <c r="A137" s="1" t="s">
        <v>53</v>
      </c>
      <c r="B137" s="1" t="s">
        <v>14</v>
      </c>
      <c r="C137" s="1" t="s">
        <v>63</v>
      </c>
      <c r="D137" s="4">
        <v>1852.3552800000034</v>
      </c>
      <c r="E137" s="4">
        <v>1852.3552800000034</v>
      </c>
      <c r="F137" s="4">
        <v>19776.960000000003</v>
      </c>
      <c r="G137" s="4">
        <v>19776.960000000003</v>
      </c>
      <c r="H137" s="19">
        <v>-0.90633771418863152</v>
      </c>
      <c r="I137" s="14"/>
      <c r="J137" s="1" t="s">
        <v>85</v>
      </c>
    </row>
    <row r="138" spans="1:10" s="3" customFormat="1" x14ac:dyDescent="0.25">
      <c r="A138" s="1" t="s">
        <v>53</v>
      </c>
      <c r="B138" s="1" t="s">
        <v>14</v>
      </c>
      <c r="C138" s="1" t="s">
        <v>26</v>
      </c>
      <c r="D138" s="4"/>
      <c r="E138" s="4">
        <v>30146.890130000003</v>
      </c>
      <c r="F138" s="4"/>
      <c r="G138" s="4">
        <v>22579.575420000001</v>
      </c>
      <c r="H138" s="19">
        <v>0</v>
      </c>
      <c r="I138" s="14"/>
      <c r="J138" s="1" t="s">
        <v>85</v>
      </c>
    </row>
    <row r="139" spans="1:10" s="3" customFormat="1" x14ac:dyDescent="0.25">
      <c r="A139" s="1" t="s">
        <v>53</v>
      </c>
      <c r="B139" s="1" t="s">
        <v>14</v>
      </c>
      <c r="C139" s="1" t="s">
        <v>27</v>
      </c>
      <c r="D139" s="4">
        <v>0</v>
      </c>
      <c r="E139" s="4">
        <v>152198.62760602529</v>
      </c>
      <c r="F139" s="14"/>
      <c r="G139" s="4">
        <v>155022.67387261995</v>
      </c>
      <c r="H139" s="19">
        <v>0</v>
      </c>
      <c r="I139" s="14"/>
      <c r="J139" s="1" t="s">
        <v>85</v>
      </c>
    </row>
    <row r="140" spans="1:10" s="3" customFormat="1" x14ac:dyDescent="0.25">
      <c r="A140" s="1" t="s">
        <v>53</v>
      </c>
      <c r="B140" s="1" t="s">
        <v>14</v>
      </c>
      <c r="C140" s="1" t="s">
        <v>21</v>
      </c>
      <c r="D140" s="4">
        <v>735.3</v>
      </c>
      <c r="E140" s="4">
        <v>735.3</v>
      </c>
      <c r="F140" s="4">
        <v>19721.2</v>
      </c>
      <c r="G140" s="4">
        <v>19721.2</v>
      </c>
      <c r="H140" s="19">
        <v>-0.96271525059327023</v>
      </c>
      <c r="I140" s="14"/>
      <c r="J140" s="1" t="s">
        <v>85</v>
      </c>
    </row>
    <row r="141" spans="1:10" s="3" customFormat="1" x14ac:dyDescent="0.25">
      <c r="A141" s="1" t="s">
        <v>53</v>
      </c>
      <c r="B141" s="1" t="s">
        <v>14</v>
      </c>
      <c r="C141" s="1" t="s">
        <v>28</v>
      </c>
      <c r="D141" s="4">
        <v>22240</v>
      </c>
      <c r="E141" s="4">
        <v>22240</v>
      </c>
      <c r="F141" s="4">
        <v>58000</v>
      </c>
      <c r="G141" s="4">
        <v>58000</v>
      </c>
      <c r="H141" s="19">
        <v>-0.61655172413793102</v>
      </c>
      <c r="I141" s="14"/>
      <c r="J141" s="1" t="s">
        <v>85</v>
      </c>
    </row>
    <row r="142" spans="1:10" s="3" customFormat="1" x14ac:dyDescent="0.25">
      <c r="A142" s="1" t="s">
        <v>53</v>
      </c>
      <c r="B142" s="1" t="s">
        <v>14</v>
      </c>
      <c r="C142" s="1" t="s">
        <v>29</v>
      </c>
      <c r="D142" s="4">
        <v>946</v>
      </c>
      <c r="E142" s="4">
        <v>946</v>
      </c>
      <c r="F142" s="4">
        <v>2000</v>
      </c>
      <c r="G142" s="4">
        <v>2000</v>
      </c>
      <c r="H142" s="19">
        <v>-0.52700000000000002</v>
      </c>
      <c r="I142" s="14"/>
      <c r="J142" s="1" t="s">
        <v>85</v>
      </c>
    </row>
    <row r="143" spans="1:10" s="3" customFormat="1" x14ac:dyDescent="0.25">
      <c r="A143" s="1" t="s">
        <v>53</v>
      </c>
      <c r="B143" s="1" t="s">
        <v>14</v>
      </c>
      <c r="C143" s="1" t="s">
        <v>30</v>
      </c>
      <c r="D143" s="4">
        <v>41</v>
      </c>
      <c r="E143" s="4">
        <v>41</v>
      </c>
      <c r="F143" s="4">
        <v>61</v>
      </c>
      <c r="G143" s="4">
        <v>61</v>
      </c>
      <c r="H143" s="19">
        <v>-0.32786885245901637</v>
      </c>
      <c r="I143" s="14"/>
      <c r="J143" s="1" t="s">
        <v>85</v>
      </c>
    </row>
    <row r="144" spans="1:10" s="3" customFormat="1" x14ac:dyDescent="0.25">
      <c r="A144" s="1" t="s">
        <v>53</v>
      </c>
      <c r="B144" s="1" t="s">
        <v>14</v>
      </c>
      <c r="C144" s="1" t="s">
        <v>31</v>
      </c>
      <c r="D144" s="4">
        <v>109.05014999999999</v>
      </c>
      <c r="E144" s="4">
        <v>109.05014999999999</v>
      </c>
      <c r="F144" s="4">
        <v>740.62234817851174</v>
      </c>
      <c r="G144" s="4">
        <v>740.62234817851174</v>
      </c>
      <c r="H144" s="19">
        <v>-0.85275876393927597</v>
      </c>
      <c r="I144" s="14"/>
      <c r="J144" s="1" t="s">
        <v>85</v>
      </c>
    </row>
    <row r="145" spans="1:10" s="3" customFormat="1" x14ac:dyDescent="0.25">
      <c r="A145" s="1" t="s">
        <v>53</v>
      </c>
      <c r="B145" s="1" t="s">
        <v>14</v>
      </c>
      <c r="C145" s="1" t="s">
        <v>32</v>
      </c>
      <c r="D145" s="4">
        <v>-900.97544570143896</v>
      </c>
      <c r="E145" s="4">
        <v>-900.97544570143896</v>
      </c>
      <c r="F145" s="4">
        <v>-106.99290000000015</v>
      </c>
      <c r="G145" s="4">
        <v>-106.99290000000015</v>
      </c>
      <c r="H145" s="19">
        <v>-7.4208900375766769</v>
      </c>
      <c r="I145" s="14"/>
      <c r="J145" s="1" t="s">
        <v>85</v>
      </c>
    </row>
    <row r="146" spans="1:10" s="3" customFormat="1" x14ac:dyDescent="0.25">
      <c r="A146" s="1" t="s">
        <v>54</v>
      </c>
      <c r="B146" s="1" t="s">
        <v>16</v>
      </c>
      <c r="C146" s="1" t="s">
        <v>63</v>
      </c>
      <c r="D146" s="4">
        <v>6083.1677900000068</v>
      </c>
      <c r="E146" s="4">
        <v>6083.1677900000068</v>
      </c>
      <c r="F146" s="4">
        <v>22421.813333333354</v>
      </c>
      <c r="G146" s="4">
        <v>22421.813333333354</v>
      </c>
      <c r="H146" s="19">
        <v>-0.72869420953761688</v>
      </c>
      <c r="I146" s="14"/>
      <c r="J146" s="1" t="s">
        <v>85</v>
      </c>
    </row>
    <row r="147" spans="1:10" s="3" customFormat="1" x14ac:dyDescent="0.25">
      <c r="A147" s="1" t="s">
        <v>54</v>
      </c>
      <c r="B147" s="1" t="s">
        <v>16</v>
      </c>
      <c r="C147" s="1" t="s">
        <v>26</v>
      </c>
      <c r="D147" s="4"/>
      <c r="E147" s="4">
        <v>162974.89773000003</v>
      </c>
      <c r="F147" s="4"/>
      <c r="G147" s="4">
        <v>182618.99343</v>
      </c>
      <c r="H147" s="19">
        <v>0</v>
      </c>
      <c r="I147" s="14"/>
      <c r="J147" s="1" t="s">
        <v>85</v>
      </c>
    </row>
    <row r="148" spans="1:10" s="3" customFormat="1" x14ac:dyDescent="0.25">
      <c r="A148" s="1" t="s">
        <v>54</v>
      </c>
      <c r="B148" s="1" t="s">
        <v>16</v>
      </c>
      <c r="C148" s="1" t="s">
        <v>27</v>
      </c>
      <c r="D148" s="4">
        <v>0</v>
      </c>
      <c r="E148" s="4">
        <v>176396.8101767989</v>
      </c>
      <c r="F148" s="14"/>
      <c r="G148" s="4">
        <v>166335.97401262689</v>
      </c>
      <c r="H148" s="19">
        <v>0</v>
      </c>
      <c r="I148" s="14"/>
      <c r="J148" s="1" t="s">
        <v>85</v>
      </c>
    </row>
    <row r="149" spans="1:10" s="3" customFormat="1" x14ac:dyDescent="0.25">
      <c r="A149" s="1" t="s">
        <v>54</v>
      </c>
      <c r="B149" s="1" t="s">
        <v>16</v>
      </c>
      <c r="C149" s="1" t="s">
        <v>21</v>
      </c>
      <c r="D149" s="4">
        <v>7389.51595</v>
      </c>
      <c r="E149" s="4">
        <v>7389.51595</v>
      </c>
      <c r="F149" s="4">
        <v>23027.266666666666</v>
      </c>
      <c r="G149" s="4">
        <v>23027.266666666666</v>
      </c>
      <c r="H149" s="19">
        <v>-0.67909713050325837</v>
      </c>
      <c r="I149" s="14"/>
      <c r="J149" s="1" t="s">
        <v>85</v>
      </c>
    </row>
    <row r="150" spans="1:10" s="3" customFormat="1" x14ac:dyDescent="0.25">
      <c r="A150" s="1" t="s">
        <v>54</v>
      </c>
      <c r="B150" s="1" t="s">
        <v>16</v>
      </c>
      <c r="C150" s="1" t="s">
        <v>28</v>
      </c>
      <c r="D150" s="4">
        <v>285739</v>
      </c>
      <c r="E150" s="4">
        <v>285739</v>
      </c>
      <c r="F150" s="4">
        <v>498000</v>
      </c>
      <c r="G150" s="4">
        <v>498000</v>
      </c>
      <c r="H150" s="19">
        <v>-0.42622690763052207</v>
      </c>
      <c r="I150" s="14"/>
      <c r="J150" s="1" t="s">
        <v>85</v>
      </c>
    </row>
    <row r="151" spans="1:10" s="3" customFormat="1" x14ac:dyDescent="0.25">
      <c r="A151" s="1" t="s">
        <v>54</v>
      </c>
      <c r="B151" s="1" t="s">
        <v>16</v>
      </c>
      <c r="C151" s="1" t="s">
        <v>29</v>
      </c>
      <c r="D151" s="4">
        <v>159543</v>
      </c>
      <c r="E151" s="4">
        <v>159543</v>
      </c>
      <c r="F151" s="4">
        <v>289000</v>
      </c>
      <c r="G151" s="4">
        <v>289000</v>
      </c>
      <c r="H151" s="19">
        <v>-0.44794809688581316</v>
      </c>
      <c r="I151" s="14"/>
      <c r="J151" s="1" t="s">
        <v>85</v>
      </c>
    </row>
    <row r="152" spans="1:10" s="3" customFormat="1" x14ac:dyDescent="0.25">
      <c r="A152" s="1" t="s">
        <v>54</v>
      </c>
      <c r="B152" s="1" t="s">
        <v>16</v>
      </c>
      <c r="C152" s="1" t="s">
        <v>30</v>
      </c>
      <c r="D152" s="4">
        <v>66</v>
      </c>
      <c r="E152" s="4">
        <v>66</v>
      </c>
      <c r="F152" s="4">
        <v>56</v>
      </c>
      <c r="G152" s="4">
        <v>56</v>
      </c>
      <c r="H152" s="19">
        <v>0.17857142857142858</v>
      </c>
      <c r="I152" s="14"/>
      <c r="J152" s="1" t="s">
        <v>85</v>
      </c>
    </row>
    <row r="153" spans="1:10" s="3" customFormat="1" x14ac:dyDescent="0.25">
      <c r="A153" s="1" t="s">
        <v>54</v>
      </c>
      <c r="B153" s="1" t="s">
        <v>16</v>
      </c>
      <c r="C153" s="1" t="s">
        <v>31</v>
      </c>
      <c r="D153" s="4">
        <v>617.26316000000008</v>
      </c>
      <c r="E153" s="4">
        <v>617.26316000000008</v>
      </c>
      <c r="F153" s="4">
        <v>1357.4869582611263</v>
      </c>
      <c r="G153" s="4">
        <v>1357.4869582611263</v>
      </c>
      <c r="H153" s="19">
        <v>-0.5452898046323158</v>
      </c>
      <c r="I153" s="14"/>
      <c r="J153" s="1" t="s">
        <v>85</v>
      </c>
    </row>
    <row r="154" spans="1:10" s="3" customFormat="1" x14ac:dyDescent="0.25">
      <c r="A154" s="1" t="s">
        <v>54</v>
      </c>
      <c r="B154" s="1" t="s">
        <v>16</v>
      </c>
      <c r="C154" s="1" t="s">
        <v>32</v>
      </c>
      <c r="D154" s="4">
        <v>2227.0819654534203</v>
      </c>
      <c r="E154" s="4">
        <v>2227.0819654534203</v>
      </c>
      <c r="F154" s="4">
        <v>2021.0416999999993</v>
      </c>
      <c r="G154" s="4">
        <v>2021.0416999999993</v>
      </c>
      <c r="H154" s="19">
        <v>0.10194755776361319</v>
      </c>
      <c r="I154" s="14"/>
      <c r="J154" s="1" t="s">
        <v>85</v>
      </c>
    </row>
    <row r="155" spans="1:10" s="3" customFormat="1" x14ac:dyDescent="0.25">
      <c r="A155" s="1" t="s">
        <v>55</v>
      </c>
      <c r="B155" s="1" t="s">
        <v>10</v>
      </c>
      <c r="C155" s="1" t="s">
        <v>63</v>
      </c>
      <c r="D155" s="4">
        <v>-23362.693710000021</v>
      </c>
      <c r="E155" s="4">
        <v>-23362.693710000021</v>
      </c>
      <c r="F155" s="4">
        <v>18288.479999999996</v>
      </c>
      <c r="G155" s="4">
        <v>18288.479999999996</v>
      </c>
      <c r="H155" s="19">
        <v>-2.277454097333405</v>
      </c>
      <c r="I155" s="14"/>
      <c r="J155" s="1" t="s">
        <v>85</v>
      </c>
    </row>
    <row r="156" spans="1:10" s="3" customFormat="1" x14ac:dyDescent="0.25">
      <c r="A156" s="1" t="s">
        <v>55</v>
      </c>
      <c r="B156" s="1" t="s">
        <v>10</v>
      </c>
      <c r="C156" s="1" t="s">
        <v>26</v>
      </c>
      <c r="D156" s="4"/>
      <c r="E156" s="4">
        <v>58486.927979999993</v>
      </c>
      <c r="F156" s="4"/>
      <c r="G156" s="4">
        <v>73546.064790000004</v>
      </c>
      <c r="H156" s="19">
        <v>0</v>
      </c>
      <c r="I156" s="14"/>
      <c r="J156" s="1" t="s">
        <v>85</v>
      </c>
    </row>
    <row r="157" spans="1:10" s="3" customFormat="1" x14ac:dyDescent="0.25">
      <c r="A157" s="1" t="s">
        <v>55</v>
      </c>
      <c r="B157" s="1" t="s">
        <v>10</v>
      </c>
      <c r="C157" s="1" t="s">
        <v>27</v>
      </c>
      <c r="D157" s="4">
        <v>0</v>
      </c>
      <c r="E157" s="4">
        <v>147134.06666051093</v>
      </c>
      <c r="F157" s="14"/>
      <c r="G157" s="4">
        <v>150156.8378008107</v>
      </c>
      <c r="H157" s="19">
        <v>0</v>
      </c>
      <c r="I157" s="14"/>
      <c r="J157" s="1" t="s">
        <v>85</v>
      </c>
    </row>
    <row r="158" spans="1:10" s="3" customFormat="1" x14ac:dyDescent="0.25">
      <c r="A158" s="1" t="s">
        <v>55</v>
      </c>
      <c r="B158" s="1" t="s">
        <v>10</v>
      </c>
      <c r="C158" s="1" t="s">
        <v>21</v>
      </c>
      <c r="D158" s="4">
        <v>2320.2820000000002</v>
      </c>
      <c r="E158" s="4">
        <v>2320.2820000000002</v>
      </c>
      <c r="F158" s="4">
        <v>17860.599999999999</v>
      </c>
      <c r="G158" s="4">
        <v>17860.599999999999</v>
      </c>
      <c r="H158" s="19">
        <v>-0.87008935870015569</v>
      </c>
      <c r="I158" s="14"/>
      <c r="J158" s="1" t="s">
        <v>85</v>
      </c>
    </row>
    <row r="159" spans="1:10" s="3" customFormat="1" x14ac:dyDescent="0.25">
      <c r="A159" s="1" t="s">
        <v>55</v>
      </c>
      <c r="B159" s="1" t="s">
        <v>10</v>
      </c>
      <c r="C159" s="1" t="s">
        <v>28</v>
      </c>
      <c r="D159" s="4">
        <v>143948.09</v>
      </c>
      <c r="E159" s="4">
        <v>143948.09</v>
      </c>
      <c r="F159" s="4">
        <v>164000</v>
      </c>
      <c r="G159" s="4">
        <v>164000</v>
      </c>
      <c r="H159" s="19">
        <v>-0.12226774390243905</v>
      </c>
      <c r="I159" s="14"/>
      <c r="J159" s="1" t="s">
        <v>85</v>
      </c>
    </row>
    <row r="160" spans="1:10" s="3" customFormat="1" x14ac:dyDescent="0.25">
      <c r="A160" s="1" t="s">
        <v>55</v>
      </c>
      <c r="B160" s="1" t="s">
        <v>10</v>
      </c>
      <c r="C160" s="1" t="s">
        <v>29</v>
      </c>
      <c r="D160" s="4">
        <v>0</v>
      </c>
      <c r="E160" s="4">
        <v>0</v>
      </c>
      <c r="F160" s="4">
        <v>2000</v>
      </c>
      <c r="G160" s="4">
        <v>2000</v>
      </c>
      <c r="H160" s="19">
        <v>-1</v>
      </c>
      <c r="I160" s="14"/>
      <c r="J160" s="1" t="s">
        <v>85</v>
      </c>
    </row>
    <row r="161" spans="1:10" s="3" customFormat="1" x14ac:dyDescent="0.25">
      <c r="A161" s="1" t="s">
        <v>55</v>
      </c>
      <c r="B161" s="1" t="s">
        <v>10</v>
      </c>
      <c r="C161" s="1" t="s">
        <v>30</v>
      </c>
      <c r="D161" s="4">
        <v>21</v>
      </c>
      <c r="E161" s="4">
        <v>21</v>
      </c>
      <c r="F161" s="4">
        <v>48</v>
      </c>
      <c r="G161" s="4">
        <v>48</v>
      </c>
      <c r="H161" s="19">
        <v>-0.5625</v>
      </c>
      <c r="I161" s="14"/>
      <c r="J161" s="1" t="s">
        <v>85</v>
      </c>
    </row>
    <row r="162" spans="1:10" s="3" customFormat="1" x14ac:dyDescent="0.25">
      <c r="A162" s="1" t="s">
        <v>55</v>
      </c>
      <c r="B162" s="1" t="s">
        <v>10</v>
      </c>
      <c r="C162" s="1" t="s">
        <v>31</v>
      </c>
      <c r="D162" s="4">
        <v>323.08956000000001</v>
      </c>
      <c r="E162" s="4">
        <v>323.08956000000001</v>
      </c>
      <c r="F162" s="4">
        <v>813.66921690726338</v>
      </c>
      <c r="G162" s="4">
        <v>813.66921690726338</v>
      </c>
      <c r="H162" s="19">
        <v>-0.60292271934772779</v>
      </c>
      <c r="I162" s="14"/>
      <c r="J162" s="1" t="s">
        <v>85</v>
      </c>
    </row>
    <row r="163" spans="1:10" s="3" customFormat="1" x14ac:dyDescent="0.25">
      <c r="A163" s="1" t="s">
        <v>55</v>
      </c>
      <c r="B163" s="1" t="s">
        <v>10</v>
      </c>
      <c r="C163" s="1" t="s">
        <v>32</v>
      </c>
      <c r="D163" s="4">
        <v>-1105.8222286991011</v>
      </c>
      <c r="E163" s="4">
        <v>-1105.8222286991011</v>
      </c>
      <c r="F163" s="4">
        <v>-713.9844599999999</v>
      </c>
      <c r="G163" s="4">
        <v>-713.9844599999999</v>
      </c>
      <c r="H163" s="19">
        <v>-0.54880433770099313</v>
      </c>
      <c r="I163" s="14"/>
      <c r="J163" s="1" t="s">
        <v>85</v>
      </c>
    </row>
    <row r="164" spans="1:10" s="3" customFormat="1" x14ac:dyDescent="0.25">
      <c r="A164" s="1" t="s">
        <v>56</v>
      </c>
      <c r="B164" s="1" t="s">
        <v>7</v>
      </c>
      <c r="C164" s="1" t="s">
        <v>63</v>
      </c>
      <c r="D164" s="4">
        <v>-1406.4743900000212</v>
      </c>
      <c r="E164" s="4">
        <v>-1406.4743900000212</v>
      </c>
      <c r="F164" s="4">
        <v>23643.626666666671</v>
      </c>
      <c r="G164" s="4">
        <v>23643.626666666671</v>
      </c>
      <c r="H164" s="19">
        <v>-1.0594864066257188</v>
      </c>
      <c r="I164" s="14"/>
      <c r="J164" s="1" t="s">
        <v>85</v>
      </c>
    </row>
    <row r="165" spans="1:10" s="3" customFormat="1" x14ac:dyDescent="0.25">
      <c r="A165" s="1" t="s">
        <v>56</v>
      </c>
      <c r="B165" s="1" t="s">
        <v>7</v>
      </c>
      <c r="C165" s="1" t="s">
        <v>26</v>
      </c>
      <c r="D165" s="4"/>
      <c r="E165" s="4">
        <v>31098.905369999986</v>
      </c>
      <c r="F165" s="4"/>
      <c r="G165" s="4">
        <v>37323.354439999996</v>
      </c>
      <c r="H165" s="19">
        <v>0</v>
      </c>
      <c r="I165" s="14"/>
      <c r="J165" s="1" t="s">
        <v>85</v>
      </c>
    </row>
    <row r="166" spans="1:10" s="3" customFormat="1" x14ac:dyDescent="0.25">
      <c r="A166" s="1" t="s">
        <v>56</v>
      </c>
      <c r="B166" s="1" t="s">
        <v>7</v>
      </c>
      <c r="C166" s="1" t="s">
        <v>27</v>
      </c>
      <c r="D166" s="4">
        <v>0</v>
      </c>
      <c r="E166" s="4">
        <v>168679.2687305047</v>
      </c>
      <c r="F166" s="14"/>
      <c r="G166" s="4">
        <v>159128.7833796879</v>
      </c>
      <c r="H166" s="19">
        <v>0</v>
      </c>
      <c r="I166" s="14"/>
      <c r="J166" s="1" t="s">
        <v>85</v>
      </c>
    </row>
    <row r="167" spans="1:10" s="3" customFormat="1" x14ac:dyDescent="0.25">
      <c r="A167" s="1" t="s">
        <v>56</v>
      </c>
      <c r="B167" s="1" t="s">
        <v>7</v>
      </c>
      <c r="C167" s="1" t="s">
        <v>21</v>
      </c>
      <c r="D167" s="4">
        <v>4088.80485</v>
      </c>
      <c r="E167" s="4">
        <v>4088.80485</v>
      </c>
      <c r="F167" s="4">
        <v>24554.533333333333</v>
      </c>
      <c r="G167" s="4">
        <v>24554.533333333333</v>
      </c>
      <c r="H167" s="19">
        <v>-0.83348065326701382</v>
      </c>
      <c r="I167" s="14"/>
      <c r="J167" s="1" t="s">
        <v>85</v>
      </c>
    </row>
    <row r="168" spans="1:10" s="3" customFormat="1" x14ac:dyDescent="0.25">
      <c r="A168" s="1" t="s">
        <v>56</v>
      </c>
      <c r="B168" s="1" t="s">
        <v>7</v>
      </c>
      <c r="C168" s="1" t="s">
        <v>28</v>
      </c>
      <c r="D168" s="4">
        <v>117391</v>
      </c>
      <c r="E168" s="4">
        <v>117391</v>
      </c>
      <c r="F168" s="4">
        <v>280000</v>
      </c>
      <c r="G168" s="4">
        <v>280000</v>
      </c>
      <c r="H168" s="19">
        <v>-0.58074642857142855</v>
      </c>
      <c r="I168" s="14"/>
      <c r="J168" s="1" t="s">
        <v>85</v>
      </c>
    </row>
    <row r="169" spans="1:10" s="3" customFormat="1" x14ac:dyDescent="0.25">
      <c r="A169" s="1" t="s">
        <v>56</v>
      </c>
      <c r="B169" s="1" t="s">
        <v>7</v>
      </c>
      <c r="C169" s="1" t="s">
        <v>29</v>
      </c>
      <c r="D169" s="4">
        <v>24470</v>
      </c>
      <c r="E169" s="4">
        <v>24470</v>
      </c>
      <c r="F169" s="4">
        <v>7000</v>
      </c>
      <c r="G169" s="4">
        <v>7000</v>
      </c>
      <c r="H169" s="19">
        <v>2.4957142857142856</v>
      </c>
      <c r="I169" s="14"/>
      <c r="J169" s="1" t="s">
        <v>85</v>
      </c>
    </row>
    <row r="170" spans="1:10" s="3" customFormat="1" x14ac:dyDescent="0.25">
      <c r="A170" s="1" t="s">
        <v>56</v>
      </c>
      <c r="B170" s="1" t="s">
        <v>7</v>
      </c>
      <c r="C170" s="1" t="s">
        <v>30</v>
      </c>
      <c r="D170" s="4">
        <v>76</v>
      </c>
      <c r="E170" s="4">
        <v>76</v>
      </c>
      <c r="F170" s="4">
        <v>108</v>
      </c>
      <c r="G170" s="4">
        <v>108</v>
      </c>
      <c r="H170" s="19">
        <v>-0.29629629629629628</v>
      </c>
      <c r="I170" s="14"/>
      <c r="J170" s="1" t="s">
        <v>85</v>
      </c>
    </row>
    <row r="171" spans="1:10" s="3" customFormat="1" x14ac:dyDescent="0.25">
      <c r="A171" s="1" t="s">
        <v>56</v>
      </c>
      <c r="B171" s="1" t="s">
        <v>7</v>
      </c>
      <c r="C171" s="1" t="s">
        <v>31</v>
      </c>
      <c r="D171" s="4">
        <v>360.12235999999996</v>
      </c>
      <c r="E171" s="4">
        <v>360.12235999999996</v>
      </c>
      <c r="F171" s="4">
        <v>1148.2593477386058</v>
      </c>
      <c r="G171" s="4">
        <v>1148.2593477386058</v>
      </c>
      <c r="H171" s="19">
        <v>-0.68637541622523801</v>
      </c>
      <c r="I171" s="14"/>
      <c r="J171" s="1" t="s">
        <v>85</v>
      </c>
    </row>
    <row r="172" spans="1:10" s="3" customFormat="1" x14ac:dyDescent="0.25">
      <c r="A172" s="1" t="s">
        <v>56</v>
      </c>
      <c r="B172" s="1" t="s">
        <v>7</v>
      </c>
      <c r="C172" s="1" t="s">
        <v>32</v>
      </c>
      <c r="D172" s="4">
        <v>-547.0943432423544</v>
      </c>
      <c r="E172" s="4">
        <v>-547.0943432423544</v>
      </c>
      <c r="F172" s="4">
        <v>314.43135999999856</v>
      </c>
      <c r="G172" s="4">
        <v>314.43135999999856</v>
      </c>
      <c r="H172" s="19">
        <v>-2.7399484047722114</v>
      </c>
      <c r="I172" s="14"/>
      <c r="J172" s="1" t="s">
        <v>85</v>
      </c>
    </row>
    <row r="173" spans="1:10" s="3" customFormat="1" x14ac:dyDescent="0.25">
      <c r="A173" s="1" t="s">
        <v>57</v>
      </c>
      <c r="B173" s="1" t="s">
        <v>24</v>
      </c>
      <c r="C173" s="1" t="s">
        <v>63</v>
      </c>
      <c r="D173" s="4">
        <v>0.98265000000003511</v>
      </c>
      <c r="E173" s="4">
        <v>0.98265000000003511</v>
      </c>
      <c r="F173" s="4">
        <v>0</v>
      </c>
      <c r="G173" s="4">
        <v>0</v>
      </c>
      <c r="H173" s="19">
        <v>0</v>
      </c>
      <c r="I173" s="14"/>
      <c r="J173" s="1" t="s">
        <v>85</v>
      </c>
    </row>
    <row r="174" spans="1:10" s="3" customFormat="1" x14ac:dyDescent="0.25">
      <c r="A174" s="1" t="s">
        <v>57</v>
      </c>
      <c r="B174" s="1" t="s">
        <v>24</v>
      </c>
      <c r="C174" s="1" t="s">
        <v>26</v>
      </c>
      <c r="D174" s="4"/>
      <c r="E174" s="4">
        <v>616.16770999999994</v>
      </c>
      <c r="F174" s="4"/>
      <c r="G174" s="4">
        <v>674.43843000000004</v>
      </c>
      <c r="H174" s="19">
        <v>0</v>
      </c>
      <c r="I174" s="14"/>
      <c r="J174" s="1" t="s">
        <v>85</v>
      </c>
    </row>
    <row r="175" spans="1:10" s="3" customFormat="1" x14ac:dyDescent="0.25">
      <c r="A175" s="1" t="s">
        <v>57</v>
      </c>
      <c r="B175" s="1" t="s">
        <v>24</v>
      </c>
      <c r="C175" s="1" t="s">
        <v>27</v>
      </c>
      <c r="D175" s="4">
        <v>0</v>
      </c>
      <c r="E175" s="4">
        <v>0</v>
      </c>
      <c r="F175" s="14"/>
      <c r="G175" s="4">
        <v>0</v>
      </c>
      <c r="H175" s="19">
        <v>0</v>
      </c>
      <c r="I175" s="14"/>
      <c r="J175" s="1" t="s">
        <v>85</v>
      </c>
    </row>
    <row r="176" spans="1:10" s="3" customFormat="1" x14ac:dyDescent="0.25">
      <c r="A176" s="1" t="s">
        <v>57</v>
      </c>
      <c r="B176" s="1" t="s">
        <v>24</v>
      </c>
      <c r="C176" s="1" t="s">
        <v>21</v>
      </c>
      <c r="D176" s="4">
        <v>0</v>
      </c>
      <c r="E176" s="4">
        <v>0</v>
      </c>
      <c r="F176" s="4">
        <v>0</v>
      </c>
      <c r="G176" s="4">
        <v>0</v>
      </c>
      <c r="H176" s="19">
        <v>0</v>
      </c>
      <c r="I176" s="14"/>
      <c r="J176" s="1" t="s">
        <v>85</v>
      </c>
    </row>
    <row r="177" spans="1:10" s="3" customFormat="1" x14ac:dyDescent="0.25">
      <c r="A177" s="1" t="s">
        <v>57</v>
      </c>
      <c r="B177" s="1" t="s">
        <v>24</v>
      </c>
      <c r="C177" s="1" t="s">
        <v>28</v>
      </c>
      <c r="D177" s="4">
        <v>0</v>
      </c>
      <c r="E177" s="4">
        <v>0</v>
      </c>
      <c r="F177" s="4">
        <v>0</v>
      </c>
      <c r="G177" s="4">
        <v>0</v>
      </c>
      <c r="H177" s="19">
        <v>0</v>
      </c>
      <c r="I177" s="14"/>
      <c r="J177" s="1" t="s">
        <v>85</v>
      </c>
    </row>
    <row r="178" spans="1:10" s="3" customFormat="1" x14ac:dyDescent="0.25">
      <c r="A178" s="1" t="s">
        <v>57</v>
      </c>
      <c r="B178" s="1" t="s">
        <v>24</v>
      </c>
      <c r="C178" s="1" t="s">
        <v>29</v>
      </c>
      <c r="D178" s="4">
        <v>0</v>
      </c>
      <c r="E178" s="4">
        <v>0</v>
      </c>
      <c r="F178" s="4">
        <v>0</v>
      </c>
      <c r="G178" s="4">
        <v>0</v>
      </c>
      <c r="H178" s="19">
        <v>0</v>
      </c>
      <c r="I178" s="14"/>
      <c r="J178" s="1" t="s">
        <v>85</v>
      </c>
    </row>
    <row r="179" spans="1:10" s="3" customFormat="1" x14ac:dyDescent="0.25">
      <c r="A179" s="1" t="s">
        <v>57</v>
      </c>
      <c r="B179" s="1" t="s">
        <v>24</v>
      </c>
      <c r="C179" s="1" t="s">
        <v>30</v>
      </c>
      <c r="D179" s="4">
        <v>0</v>
      </c>
      <c r="E179" s="4">
        <v>0</v>
      </c>
      <c r="F179" s="4">
        <v>0</v>
      </c>
      <c r="G179" s="4">
        <v>0</v>
      </c>
      <c r="H179" s="19">
        <v>0</v>
      </c>
      <c r="I179" s="14"/>
      <c r="J179" s="1" t="s">
        <v>85</v>
      </c>
    </row>
    <row r="180" spans="1:10" s="3" customFormat="1" x14ac:dyDescent="0.25">
      <c r="A180" s="1" t="s">
        <v>57</v>
      </c>
      <c r="B180" s="1" t="s">
        <v>24</v>
      </c>
      <c r="C180" s="1" t="s">
        <v>31</v>
      </c>
      <c r="D180" s="4">
        <v>0</v>
      </c>
      <c r="E180" s="4">
        <v>0</v>
      </c>
      <c r="F180" s="4">
        <v>0.74350123389415745</v>
      </c>
      <c r="G180" s="4">
        <v>0.74350123389415745</v>
      </c>
      <c r="H180" s="19">
        <v>-1</v>
      </c>
      <c r="I180" s="14"/>
      <c r="J180" s="1" t="s">
        <v>85</v>
      </c>
    </row>
    <row r="181" spans="1:10" s="3" customFormat="1" x14ac:dyDescent="0.25">
      <c r="A181" s="1" t="s">
        <v>57</v>
      </c>
      <c r="B181" s="1" t="s">
        <v>24</v>
      </c>
      <c r="C181" s="1" t="s">
        <v>32</v>
      </c>
      <c r="D181" s="4">
        <v>5.9262104992789713</v>
      </c>
      <c r="E181" s="4">
        <v>5.9262104992789713</v>
      </c>
      <c r="F181" s="4">
        <v>-1.54996</v>
      </c>
      <c r="G181" s="4">
        <v>-1.54996</v>
      </c>
      <c r="H181" s="19">
        <v>4.8234602823808173</v>
      </c>
      <c r="I181" s="14"/>
      <c r="J181" s="1" t="s">
        <v>85</v>
      </c>
    </row>
    <row r="182" spans="1:10" s="3" customFormat="1" x14ac:dyDescent="0.25">
      <c r="A182" s="1" t="s">
        <v>58</v>
      </c>
      <c r="B182" s="1" t="s">
        <v>1</v>
      </c>
      <c r="C182" s="1" t="s">
        <v>63</v>
      </c>
      <c r="D182" s="4">
        <v>11885.614090000017</v>
      </c>
      <c r="E182" s="4">
        <v>11885.614090000017</v>
      </c>
      <c r="F182" s="4">
        <v>30401.600000000006</v>
      </c>
      <c r="G182" s="4">
        <v>30401.600000000006</v>
      </c>
      <c r="H182" s="19">
        <v>-0.60904642880637816</v>
      </c>
      <c r="I182" s="14"/>
      <c r="J182" s="1" t="s">
        <v>85</v>
      </c>
    </row>
    <row r="183" spans="1:10" s="3" customFormat="1" x14ac:dyDescent="0.25">
      <c r="A183" s="1" t="s">
        <v>58</v>
      </c>
      <c r="B183" s="1" t="s">
        <v>1</v>
      </c>
      <c r="C183" s="1" t="s">
        <v>26</v>
      </c>
      <c r="D183" s="4"/>
      <c r="E183" s="4">
        <v>230343.87351999999</v>
      </c>
      <c r="F183" s="4"/>
      <c r="G183" s="4">
        <v>217537.34218000001</v>
      </c>
      <c r="H183" s="19">
        <v>0</v>
      </c>
      <c r="I183" s="14"/>
      <c r="J183" s="1" t="s">
        <v>85</v>
      </c>
    </row>
    <row r="184" spans="1:10" s="3" customFormat="1" x14ac:dyDescent="0.25">
      <c r="A184" s="1" t="s">
        <v>58</v>
      </c>
      <c r="B184" s="1" t="s">
        <v>1</v>
      </c>
      <c r="C184" s="1" t="s">
        <v>27</v>
      </c>
      <c r="D184" s="4">
        <v>0</v>
      </c>
      <c r="E184" s="4">
        <v>157134.99824054743</v>
      </c>
      <c r="F184" s="14"/>
      <c r="G184" s="4">
        <v>136665.90709260423</v>
      </c>
      <c r="H184" s="19">
        <v>0</v>
      </c>
      <c r="I184" s="14"/>
      <c r="J184" s="1" t="s">
        <v>85</v>
      </c>
    </row>
    <row r="185" spans="1:10" s="3" customFormat="1" x14ac:dyDescent="0.25">
      <c r="A185" s="1" t="s">
        <v>58</v>
      </c>
      <c r="B185" s="1" t="s">
        <v>1</v>
      </c>
      <c r="C185" s="1" t="s">
        <v>21</v>
      </c>
      <c r="D185" s="4">
        <v>613.53899999999999</v>
      </c>
      <c r="E185" s="4">
        <v>613.53899999999999</v>
      </c>
      <c r="F185" s="4">
        <v>33002</v>
      </c>
      <c r="G185" s="4">
        <v>33002</v>
      </c>
      <c r="H185" s="19">
        <v>-0.98140903581601113</v>
      </c>
      <c r="I185" s="14"/>
      <c r="J185" s="1" t="s">
        <v>85</v>
      </c>
    </row>
    <row r="186" spans="1:10" s="3" customFormat="1" x14ac:dyDescent="0.25">
      <c r="A186" s="1" t="s">
        <v>58</v>
      </c>
      <c r="B186" s="1" t="s">
        <v>1</v>
      </c>
      <c r="C186" s="1" t="s">
        <v>28</v>
      </c>
      <c r="D186" s="4">
        <v>0</v>
      </c>
      <c r="E186" s="4">
        <v>0</v>
      </c>
      <c r="F186" s="4">
        <v>63000</v>
      </c>
      <c r="G186" s="4">
        <v>63000</v>
      </c>
      <c r="H186" s="19">
        <v>-1</v>
      </c>
      <c r="I186" s="14"/>
      <c r="J186" s="1" t="s">
        <v>85</v>
      </c>
    </row>
    <row r="187" spans="1:10" s="3" customFormat="1" x14ac:dyDescent="0.25">
      <c r="A187" s="1" t="s">
        <v>58</v>
      </c>
      <c r="B187" s="1" t="s">
        <v>1</v>
      </c>
      <c r="C187" s="1" t="s">
        <v>29</v>
      </c>
      <c r="D187" s="4">
        <v>34966</v>
      </c>
      <c r="E187" s="4">
        <v>34966</v>
      </c>
      <c r="F187" s="4">
        <v>99000</v>
      </c>
      <c r="G187" s="4">
        <v>99000</v>
      </c>
      <c r="H187" s="19">
        <v>-0.64680808080808083</v>
      </c>
      <c r="I187" s="14"/>
      <c r="J187" s="1" t="s">
        <v>85</v>
      </c>
    </row>
    <row r="188" spans="1:10" s="3" customFormat="1" x14ac:dyDescent="0.25">
      <c r="A188" s="1" t="s">
        <v>58</v>
      </c>
      <c r="B188" s="1" t="s">
        <v>1</v>
      </c>
      <c r="C188" s="1" t="s">
        <v>30</v>
      </c>
      <c r="D188" s="4">
        <v>172</v>
      </c>
      <c r="E188" s="4">
        <v>172</v>
      </c>
      <c r="F188" s="4">
        <v>178</v>
      </c>
      <c r="G188" s="4">
        <v>178</v>
      </c>
      <c r="H188" s="19">
        <v>-3.3707865168539325E-2</v>
      </c>
      <c r="I188" s="14"/>
      <c r="J188" s="1" t="s">
        <v>85</v>
      </c>
    </row>
    <row r="189" spans="1:10" s="3" customFormat="1" x14ac:dyDescent="0.25">
      <c r="A189" s="1" t="s">
        <v>58</v>
      </c>
      <c r="B189" s="1" t="s">
        <v>1</v>
      </c>
      <c r="C189" s="1" t="s">
        <v>31</v>
      </c>
      <c r="D189" s="4">
        <v>183.08942999999999</v>
      </c>
      <c r="E189" s="4">
        <v>183.08942999999999</v>
      </c>
      <c r="F189" s="4">
        <v>1181.1460721540391</v>
      </c>
      <c r="G189" s="4">
        <v>1181.1460721540391</v>
      </c>
      <c r="H189" s="19">
        <v>-0.84499001917171646</v>
      </c>
      <c r="I189" s="14"/>
      <c r="J189" s="1" t="s">
        <v>85</v>
      </c>
    </row>
    <row r="190" spans="1:10" s="3" customFormat="1" x14ac:dyDescent="0.25">
      <c r="A190" s="1" t="s">
        <v>58</v>
      </c>
      <c r="B190" s="1" t="s">
        <v>1</v>
      </c>
      <c r="C190" s="1" t="s">
        <v>32</v>
      </c>
      <c r="D190" s="4">
        <v>-1126.7679568586032</v>
      </c>
      <c r="E190" s="4">
        <v>-1126.7679568586032</v>
      </c>
      <c r="F190" s="4">
        <v>-2104.7757699999997</v>
      </c>
      <c r="G190" s="4">
        <v>-2104.7757699999997</v>
      </c>
      <c r="H190" s="19">
        <v>0.46466128462767164</v>
      </c>
      <c r="I190" s="14"/>
      <c r="J190" s="1" t="s">
        <v>85</v>
      </c>
    </row>
    <row r="191" spans="1:10" x14ac:dyDescent="0.25">
      <c r="A191" s="1" t="s">
        <v>38</v>
      </c>
      <c r="B191" s="1" t="s">
        <v>18</v>
      </c>
      <c r="C191" s="1" t="s">
        <v>63</v>
      </c>
      <c r="D191" s="4">
        <v>0</v>
      </c>
      <c r="E191" s="4">
        <v>0</v>
      </c>
      <c r="F191" s="4">
        <v>0</v>
      </c>
      <c r="G191" s="4">
        <v>0</v>
      </c>
      <c r="H191" s="19">
        <v>0</v>
      </c>
      <c r="J191" s="1" t="s">
        <v>75</v>
      </c>
    </row>
    <row r="192" spans="1:10" x14ac:dyDescent="0.25">
      <c r="A192" s="1" t="s">
        <v>38</v>
      </c>
      <c r="B192" s="1" t="s">
        <v>18</v>
      </c>
      <c r="C192" s="1" t="s">
        <v>26</v>
      </c>
      <c r="E192" s="4">
        <v>0</v>
      </c>
      <c r="G192" s="4">
        <v>0</v>
      </c>
      <c r="H192" s="19">
        <v>0</v>
      </c>
      <c r="J192" s="1" t="s">
        <v>75</v>
      </c>
    </row>
    <row r="193" spans="1:10" x14ac:dyDescent="0.25">
      <c r="A193" s="1" t="s">
        <v>38</v>
      </c>
      <c r="B193" s="1" t="s">
        <v>18</v>
      </c>
      <c r="C193" s="1" t="s">
        <v>27</v>
      </c>
      <c r="D193" s="4">
        <v>0</v>
      </c>
      <c r="E193" s="4">
        <v>518.89382999999998</v>
      </c>
      <c r="G193" s="4">
        <v>0</v>
      </c>
      <c r="H193" s="19">
        <v>0</v>
      </c>
      <c r="J193" s="1" t="s">
        <v>75</v>
      </c>
    </row>
    <row r="194" spans="1:10" x14ac:dyDescent="0.25">
      <c r="A194" s="1" t="s">
        <v>38</v>
      </c>
      <c r="B194" s="1" t="s">
        <v>18</v>
      </c>
      <c r="C194" s="1" t="s">
        <v>21</v>
      </c>
      <c r="D194" s="4">
        <v>0</v>
      </c>
      <c r="E194" s="4">
        <v>0</v>
      </c>
      <c r="F194" s="4">
        <v>0</v>
      </c>
      <c r="G194" s="4">
        <v>0</v>
      </c>
      <c r="H194" s="19">
        <v>0</v>
      </c>
      <c r="J194" s="1" t="s">
        <v>75</v>
      </c>
    </row>
    <row r="195" spans="1:10" x14ac:dyDescent="0.25">
      <c r="A195" s="1" t="s">
        <v>38</v>
      </c>
      <c r="B195" s="1" t="s">
        <v>18</v>
      </c>
      <c r="C195" s="1" t="s">
        <v>28</v>
      </c>
      <c r="D195" s="4">
        <v>0</v>
      </c>
      <c r="E195" s="4">
        <v>0</v>
      </c>
      <c r="F195" s="4">
        <v>0</v>
      </c>
      <c r="G195" s="4">
        <v>0</v>
      </c>
      <c r="H195" s="19">
        <v>0</v>
      </c>
      <c r="J195" s="1" t="s">
        <v>75</v>
      </c>
    </row>
    <row r="196" spans="1:10" x14ac:dyDescent="0.25">
      <c r="A196" s="1" t="s">
        <v>38</v>
      </c>
      <c r="B196" s="1" t="s">
        <v>18</v>
      </c>
      <c r="C196" s="1" t="s">
        <v>29</v>
      </c>
      <c r="D196" s="4">
        <v>210000</v>
      </c>
      <c r="E196" s="4">
        <v>209870</v>
      </c>
      <c r="F196" s="4">
        <v>33000</v>
      </c>
      <c r="G196" s="4">
        <v>66000</v>
      </c>
      <c r="H196" s="19">
        <v>5.3636363636363633</v>
      </c>
      <c r="J196" s="1" t="s">
        <v>75</v>
      </c>
    </row>
    <row r="197" spans="1:10" x14ac:dyDescent="0.25">
      <c r="A197" s="1" t="s">
        <v>38</v>
      </c>
      <c r="B197" s="1" t="s">
        <v>18</v>
      </c>
      <c r="C197" s="1" t="s">
        <v>30</v>
      </c>
      <c r="D197" s="4">
        <v>0</v>
      </c>
      <c r="E197" s="4">
        <v>0</v>
      </c>
      <c r="F197" s="4">
        <v>0</v>
      </c>
      <c r="G197" s="4">
        <v>0</v>
      </c>
      <c r="H197" s="19">
        <v>0</v>
      </c>
      <c r="J197" s="1" t="s">
        <v>75</v>
      </c>
    </row>
    <row r="198" spans="1:10" x14ac:dyDescent="0.25">
      <c r="A198" s="1" t="s">
        <v>38</v>
      </c>
      <c r="B198" s="1" t="s">
        <v>18</v>
      </c>
      <c r="C198" s="1" t="s">
        <v>31</v>
      </c>
      <c r="D198" s="4">
        <v>-6.0000000001991793E-4</v>
      </c>
      <c r="E198" s="4">
        <v>164.02823999999998</v>
      </c>
      <c r="F198" s="4">
        <v>3.8699856995911719E-2</v>
      </c>
      <c r="G198" s="4">
        <v>7.9254469753774856E-2</v>
      </c>
      <c r="H198" s="19">
        <v>-1.0155039332595803</v>
      </c>
      <c r="J198" s="1" t="s">
        <v>75</v>
      </c>
    </row>
    <row r="199" spans="1:10" x14ac:dyDescent="0.25">
      <c r="A199" s="1" t="s">
        <v>38</v>
      </c>
      <c r="B199" s="1" t="s">
        <v>18</v>
      </c>
      <c r="C199" s="1" t="s">
        <v>32</v>
      </c>
      <c r="D199" s="4">
        <v>-22536.01196592375</v>
      </c>
      <c r="E199" s="4">
        <v>-63375.933969999984</v>
      </c>
      <c r="F199" s="4">
        <v>-22536.011370000007</v>
      </c>
      <c r="G199" s="4">
        <v>-61585.702449999997</v>
      </c>
      <c r="H199" s="19">
        <v>-2.6443177214580968E-8</v>
      </c>
      <c r="J199" s="1" t="s">
        <v>75</v>
      </c>
    </row>
    <row r="200" spans="1:10" x14ac:dyDescent="0.25">
      <c r="A200" s="1" t="s">
        <v>39</v>
      </c>
      <c r="B200" s="1" t="s">
        <v>8</v>
      </c>
      <c r="C200" s="1" t="s">
        <v>63</v>
      </c>
      <c r="D200" s="4">
        <v>2668.850380000018</v>
      </c>
      <c r="E200" s="4">
        <v>7554.3369800000219</v>
      </c>
      <c r="F200" s="4">
        <v>19355.146666666667</v>
      </c>
      <c r="G200" s="4">
        <v>38710.293333333335</v>
      </c>
      <c r="H200" s="19">
        <v>-0.86211159099112911</v>
      </c>
      <c r="I200" s="5"/>
      <c r="J200" s="1" t="s">
        <v>75</v>
      </c>
    </row>
    <row r="201" spans="1:10" x14ac:dyDescent="0.25">
      <c r="A201" s="1" t="s">
        <v>39</v>
      </c>
      <c r="B201" s="1" t="s">
        <v>8</v>
      </c>
      <c r="C201" s="1" t="s">
        <v>26</v>
      </c>
      <c r="E201" s="4">
        <v>486177.91011</v>
      </c>
      <c r="G201" s="4">
        <v>477097.90230960003</v>
      </c>
      <c r="H201" s="19">
        <v>0</v>
      </c>
      <c r="J201" s="1" t="s">
        <v>75</v>
      </c>
    </row>
    <row r="202" spans="1:10" x14ac:dyDescent="0.25">
      <c r="A202" s="1" t="s">
        <v>39</v>
      </c>
      <c r="B202" s="1" t="s">
        <v>8</v>
      </c>
      <c r="C202" s="1" t="s">
        <v>27</v>
      </c>
      <c r="D202" s="4">
        <v>0</v>
      </c>
      <c r="E202" s="4">
        <v>642078.65501894278</v>
      </c>
      <c r="G202" s="4">
        <v>543731.57185892807</v>
      </c>
      <c r="H202" s="19">
        <v>0</v>
      </c>
      <c r="J202" s="1" t="s">
        <v>75</v>
      </c>
    </row>
    <row r="203" spans="1:10" x14ac:dyDescent="0.25">
      <c r="A203" s="1" t="s">
        <v>39</v>
      </c>
      <c r="B203" s="1" t="s">
        <v>8</v>
      </c>
      <c r="C203" s="1" t="s">
        <v>21</v>
      </c>
      <c r="D203" s="4">
        <v>9980.6172499999993</v>
      </c>
      <c r="E203" s="4">
        <v>20555.206599999998</v>
      </c>
      <c r="F203" s="4">
        <v>19193.933333333334</v>
      </c>
      <c r="G203" s="4">
        <v>38387.866666666669</v>
      </c>
      <c r="H203" s="19">
        <v>-0.48001188309500575</v>
      </c>
      <c r="J203" s="1" t="s">
        <v>75</v>
      </c>
    </row>
    <row r="204" spans="1:10" x14ac:dyDescent="0.25">
      <c r="A204" s="1" t="s">
        <v>39</v>
      </c>
      <c r="B204" s="1" t="s">
        <v>8</v>
      </c>
      <c r="C204" s="1" t="s">
        <v>28</v>
      </c>
      <c r="D204" s="4">
        <v>1690919</v>
      </c>
      <c r="E204" s="4">
        <v>2450613</v>
      </c>
      <c r="F204" s="4">
        <v>1350000</v>
      </c>
      <c r="G204" s="4">
        <v>2700000</v>
      </c>
      <c r="H204" s="19">
        <v>0.25253259259259259</v>
      </c>
      <c r="J204" s="1" t="s">
        <v>75</v>
      </c>
    </row>
    <row r="205" spans="1:10" x14ac:dyDescent="0.25">
      <c r="A205" s="1" t="s">
        <v>39</v>
      </c>
      <c r="B205" s="1" t="s">
        <v>8</v>
      </c>
      <c r="C205" s="1" t="s">
        <v>29</v>
      </c>
      <c r="D205" s="4">
        <v>98175</v>
      </c>
      <c r="E205" s="4">
        <v>104100</v>
      </c>
      <c r="F205" s="4">
        <v>2000</v>
      </c>
      <c r="G205" s="4">
        <v>4000</v>
      </c>
      <c r="H205" s="19">
        <v>48.087499999999999</v>
      </c>
      <c r="J205" s="1" t="s">
        <v>75</v>
      </c>
    </row>
    <row r="206" spans="1:10" x14ac:dyDescent="0.25">
      <c r="A206" s="1" t="s">
        <v>39</v>
      </c>
      <c r="B206" s="1" t="s">
        <v>8</v>
      </c>
      <c r="C206" s="1" t="s">
        <v>30</v>
      </c>
      <c r="D206" s="4">
        <v>76</v>
      </c>
      <c r="E206" s="4">
        <v>134</v>
      </c>
      <c r="F206" s="4">
        <v>85</v>
      </c>
      <c r="G206" s="4">
        <v>170</v>
      </c>
      <c r="H206" s="19">
        <v>-0.10588235294117647</v>
      </c>
      <c r="I206" s="1"/>
      <c r="J206" s="1" t="s">
        <v>75</v>
      </c>
    </row>
    <row r="207" spans="1:10" x14ac:dyDescent="0.25">
      <c r="A207" s="1" t="s">
        <v>39</v>
      </c>
      <c r="B207" s="1" t="s">
        <v>8</v>
      </c>
      <c r="C207" s="1" t="s">
        <v>31</v>
      </c>
      <c r="D207" s="4">
        <v>2004.0526500000001</v>
      </c>
      <c r="E207" s="4">
        <v>2984.4760200000001</v>
      </c>
      <c r="F207" s="4">
        <v>2095.7823413791825</v>
      </c>
      <c r="G207" s="4">
        <v>4184.332849268214</v>
      </c>
      <c r="H207" s="19">
        <v>-4.3768710885700751E-2</v>
      </c>
      <c r="J207" s="1" t="s">
        <v>75</v>
      </c>
    </row>
    <row r="208" spans="1:10" x14ac:dyDescent="0.25">
      <c r="A208" s="1" t="s">
        <v>39</v>
      </c>
      <c r="B208" s="1" t="s">
        <v>8</v>
      </c>
      <c r="C208" s="1" t="s">
        <v>32</v>
      </c>
      <c r="D208" s="4">
        <v>-855.57071621554644</v>
      </c>
      <c r="E208" s="4">
        <v>-2624.3128700000011</v>
      </c>
      <c r="F208" s="4">
        <v>-855.76558000000227</v>
      </c>
      <c r="G208" s="4">
        <v>-2024.6727600000029</v>
      </c>
      <c r="H208" s="19">
        <v>2.2770696673244664E-4</v>
      </c>
      <c r="J208" s="1" t="s">
        <v>75</v>
      </c>
    </row>
    <row r="209" spans="1:10" x14ac:dyDescent="0.25">
      <c r="A209" s="1" t="s">
        <v>40</v>
      </c>
      <c r="B209" s="1" t="s">
        <v>11</v>
      </c>
      <c r="C209" s="1" t="s">
        <v>63</v>
      </c>
      <c r="D209" s="4">
        <v>-2236.9676099999997</v>
      </c>
      <c r="E209" s="4">
        <v>-24020.754309999989</v>
      </c>
      <c r="F209" s="4">
        <v>19755.146666666667</v>
      </c>
      <c r="G209" s="4">
        <v>39510.293333333335</v>
      </c>
      <c r="H209" s="19">
        <v>-1.11323467487966</v>
      </c>
      <c r="I209" s="5"/>
      <c r="J209" s="1" t="s">
        <v>75</v>
      </c>
    </row>
    <row r="210" spans="1:10" x14ac:dyDescent="0.25">
      <c r="A210" s="1" t="s">
        <v>40</v>
      </c>
      <c r="B210" s="1" t="s">
        <v>11</v>
      </c>
      <c r="C210" s="1" t="s">
        <v>26</v>
      </c>
      <c r="E210" s="4">
        <v>49112.288800000009</v>
      </c>
      <c r="G210" s="4">
        <v>58704.701029200005</v>
      </c>
      <c r="H210" s="19">
        <v>0</v>
      </c>
      <c r="J210" s="1" t="s">
        <v>75</v>
      </c>
    </row>
    <row r="211" spans="1:10" x14ac:dyDescent="0.25">
      <c r="A211" s="1" t="s">
        <v>40</v>
      </c>
      <c r="B211" s="1" t="s">
        <v>11</v>
      </c>
      <c r="C211" s="1" t="s">
        <v>27</v>
      </c>
      <c r="D211" s="4">
        <v>0</v>
      </c>
      <c r="E211" s="4">
        <v>89561.20201426209</v>
      </c>
      <c r="G211" s="4">
        <v>112445.29316520113</v>
      </c>
      <c r="H211" s="19">
        <v>0</v>
      </c>
      <c r="J211" s="1" t="s">
        <v>75</v>
      </c>
    </row>
    <row r="212" spans="1:10" x14ac:dyDescent="0.25">
      <c r="A212" s="1" t="s">
        <v>40</v>
      </c>
      <c r="B212" s="1" t="s">
        <v>11</v>
      </c>
      <c r="C212" s="1" t="s">
        <v>21</v>
      </c>
      <c r="D212" s="4">
        <v>2489.1458499999999</v>
      </c>
      <c r="E212" s="4">
        <v>3632.54585</v>
      </c>
      <c r="F212" s="4">
        <v>19693.933333333331</v>
      </c>
      <c r="G212" s="4">
        <v>39387.866666666661</v>
      </c>
      <c r="H212" s="19">
        <v>-0.87360849618664282</v>
      </c>
      <c r="J212" s="1" t="s">
        <v>75</v>
      </c>
    </row>
    <row r="213" spans="1:10" x14ac:dyDescent="0.25">
      <c r="A213" s="1" t="s">
        <v>40</v>
      </c>
      <c r="B213" s="1" t="s">
        <v>11</v>
      </c>
      <c r="C213" s="1" t="s">
        <v>28</v>
      </c>
      <c r="D213" s="4">
        <v>11000</v>
      </c>
      <c r="E213" s="4">
        <v>19000</v>
      </c>
      <c r="F213" s="4">
        <v>30000</v>
      </c>
      <c r="G213" s="4">
        <v>60000</v>
      </c>
      <c r="H213" s="19">
        <v>-0.6333333333333333</v>
      </c>
      <c r="J213" s="1" t="s">
        <v>75</v>
      </c>
    </row>
    <row r="214" spans="1:10" x14ac:dyDescent="0.25">
      <c r="A214" s="1" t="s">
        <v>40</v>
      </c>
      <c r="B214" s="1" t="s">
        <v>11</v>
      </c>
      <c r="C214" s="1" t="s">
        <v>29</v>
      </c>
      <c r="D214" s="4">
        <v>33903</v>
      </c>
      <c r="E214" s="4">
        <v>33903</v>
      </c>
      <c r="F214" s="4">
        <v>73000</v>
      </c>
      <c r="G214" s="4">
        <v>146000</v>
      </c>
      <c r="H214" s="19">
        <v>-0.53557534246575345</v>
      </c>
      <c r="J214" s="1" t="s">
        <v>75</v>
      </c>
    </row>
    <row r="215" spans="1:10" x14ac:dyDescent="0.25">
      <c r="A215" s="1" t="s">
        <v>40</v>
      </c>
      <c r="B215" s="1" t="s">
        <v>11</v>
      </c>
      <c r="C215" s="1" t="s">
        <v>30</v>
      </c>
      <c r="D215" s="4">
        <v>75</v>
      </c>
      <c r="E215" s="4">
        <v>140</v>
      </c>
      <c r="F215" s="4">
        <v>73</v>
      </c>
      <c r="G215" s="4">
        <v>146</v>
      </c>
      <c r="H215" s="19">
        <v>2.7397260273972601E-2</v>
      </c>
      <c r="I215" s="1"/>
      <c r="J215" s="1" t="s">
        <v>75</v>
      </c>
    </row>
    <row r="216" spans="1:10" x14ac:dyDescent="0.25">
      <c r="A216" s="1" t="s">
        <v>40</v>
      </c>
      <c r="B216" s="1" t="s">
        <v>11</v>
      </c>
      <c r="C216" s="1" t="s">
        <v>31</v>
      </c>
      <c r="D216" s="4">
        <v>172.04722000000004</v>
      </c>
      <c r="E216" s="4">
        <v>295.85891000000004</v>
      </c>
      <c r="F216" s="4">
        <v>757.80392234730425</v>
      </c>
      <c r="G216" s="4">
        <v>1513.1875037348336</v>
      </c>
      <c r="H216" s="19">
        <v>-0.77296604711799022</v>
      </c>
      <c r="J216" s="1" t="s">
        <v>75</v>
      </c>
    </row>
    <row r="217" spans="1:10" x14ac:dyDescent="0.25">
      <c r="A217" s="1" t="s">
        <v>40</v>
      </c>
      <c r="B217" s="1" t="s">
        <v>11</v>
      </c>
      <c r="C217" s="1" t="s">
        <v>32</v>
      </c>
      <c r="D217" s="4">
        <v>-1081.3127807450189</v>
      </c>
      <c r="E217" s="4">
        <v>-2236.7869100000007</v>
      </c>
      <c r="F217" s="4">
        <v>-1081.3127899999997</v>
      </c>
      <c r="G217" s="4">
        <v>-2133.2526599999997</v>
      </c>
      <c r="H217" s="19">
        <v>8.5590227744911327E-9</v>
      </c>
      <c r="J217" s="1" t="s">
        <v>75</v>
      </c>
    </row>
    <row r="218" spans="1:10" x14ac:dyDescent="0.25">
      <c r="A218" s="1" t="s">
        <v>41</v>
      </c>
      <c r="B218" s="1" t="s">
        <v>15</v>
      </c>
      <c r="C218" s="1" t="s">
        <v>63</v>
      </c>
      <c r="D218" s="4">
        <v>3782.6144499999864</v>
      </c>
      <c r="E218" s="4">
        <v>6289.192269999985</v>
      </c>
      <c r="F218" s="4">
        <v>17110.293333333335</v>
      </c>
      <c r="G218" s="4">
        <v>34220.58666666667</v>
      </c>
      <c r="H218" s="19">
        <v>-0.77892755101802347</v>
      </c>
      <c r="I218" s="5"/>
      <c r="J218" s="1" t="s">
        <v>75</v>
      </c>
    </row>
    <row r="219" spans="1:10" x14ac:dyDescent="0.25">
      <c r="A219" s="1" t="s">
        <v>41</v>
      </c>
      <c r="B219" s="1" t="s">
        <v>15</v>
      </c>
      <c r="C219" s="1" t="s">
        <v>26</v>
      </c>
      <c r="E219" s="4">
        <v>46574.060489999982</v>
      </c>
      <c r="G219" s="4">
        <v>36343.057204800003</v>
      </c>
      <c r="H219" s="19">
        <v>0</v>
      </c>
      <c r="J219" s="1" t="s">
        <v>75</v>
      </c>
    </row>
    <row r="220" spans="1:10" x14ac:dyDescent="0.25">
      <c r="A220" s="1" t="s">
        <v>41</v>
      </c>
      <c r="B220" s="1" t="s">
        <v>15</v>
      </c>
      <c r="C220" s="1" t="s">
        <v>27</v>
      </c>
      <c r="D220" s="4">
        <v>0</v>
      </c>
      <c r="E220" s="4">
        <v>103868.98904563687</v>
      </c>
      <c r="G220" s="4">
        <v>123446.31739584974</v>
      </c>
      <c r="H220" s="19">
        <v>0</v>
      </c>
      <c r="J220" s="1" t="s">
        <v>75</v>
      </c>
    </row>
    <row r="221" spans="1:10" x14ac:dyDescent="0.25">
      <c r="A221" s="1" t="s">
        <v>41</v>
      </c>
      <c r="B221" s="1" t="s">
        <v>15</v>
      </c>
      <c r="C221" s="1" t="s">
        <v>21</v>
      </c>
      <c r="D221" s="4">
        <v>1232.3</v>
      </c>
      <c r="E221" s="4">
        <v>3916.3598499999998</v>
      </c>
      <c r="F221" s="4">
        <v>16387.866666666669</v>
      </c>
      <c r="G221" s="4">
        <v>32775.733333333337</v>
      </c>
      <c r="H221" s="19">
        <v>-0.92480412337583096</v>
      </c>
      <c r="J221" s="1" t="s">
        <v>75</v>
      </c>
    </row>
    <row r="222" spans="1:10" x14ac:dyDescent="0.25">
      <c r="A222" s="1" t="s">
        <v>41</v>
      </c>
      <c r="B222" s="1" t="s">
        <v>15</v>
      </c>
      <c r="C222" s="1" t="s">
        <v>28</v>
      </c>
      <c r="D222" s="4">
        <v>9000</v>
      </c>
      <c r="E222" s="4">
        <v>15000</v>
      </c>
      <c r="F222" s="4">
        <v>12000</v>
      </c>
      <c r="G222" s="4">
        <v>24000</v>
      </c>
      <c r="H222" s="19">
        <v>-0.25</v>
      </c>
      <c r="J222" s="1" t="s">
        <v>75</v>
      </c>
    </row>
    <row r="223" spans="1:10" x14ac:dyDescent="0.25">
      <c r="A223" s="1" t="s">
        <v>41</v>
      </c>
      <c r="B223" s="1" t="s">
        <v>15</v>
      </c>
      <c r="C223" s="1" t="s">
        <v>29</v>
      </c>
      <c r="D223" s="4">
        <v>0</v>
      </c>
      <c r="E223" s="4">
        <v>0</v>
      </c>
      <c r="F223" s="4">
        <v>1000</v>
      </c>
      <c r="G223" s="4">
        <v>2000</v>
      </c>
      <c r="H223" s="19">
        <v>-1</v>
      </c>
      <c r="J223" s="1" t="s">
        <v>75</v>
      </c>
    </row>
    <row r="224" spans="1:10" x14ac:dyDescent="0.25">
      <c r="A224" s="1" t="s">
        <v>41</v>
      </c>
      <c r="B224" s="1" t="s">
        <v>15</v>
      </c>
      <c r="C224" s="1" t="s">
        <v>30</v>
      </c>
      <c r="D224" s="4">
        <v>19</v>
      </c>
      <c r="E224" s="4">
        <v>55</v>
      </c>
      <c r="F224" s="4">
        <v>66</v>
      </c>
      <c r="G224" s="4">
        <v>132</v>
      </c>
      <c r="H224" s="19">
        <v>-0.71212121212121215</v>
      </c>
      <c r="I224" s="1"/>
      <c r="J224" s="1" t="s">
        <v>75</v>
      </c>
    </row>
    <row r="225" spans="1:10" x14ac:dyDescent="0.25">
      <c r="A225" s="1" t="s">
        <v>41</v>
      </c>
      <c r="B225" s="1" t="s">
        <v>15</v>
      </c>
      <c r="C225" s="1" t="s">
        <v>31</v>
      </c>
      <c r="D225" s="4">
        <v>100.35928000000004</v>
      </c>
      <c r="E225" s="4">
        <v>183.67586000000003</v>
      </c>
      <c r="F225" s="4">
        <v>672.08317823124855</v>
      </c>
      <c r="G225" s="4">
        <v>1342.471788745285</v>
      </c>
      <c r="H225" s="19">
        <v>-0.85067431643785518</v>
      </c>
      <c r="J225" s="1" t="s">
        <v>75</v>
      </c>
    </row>
    <row r="226" spans="1:10" x14ac:dyDescent="0.25">
      <c r="A226" s="1" t="s">
        <v>41</v>
      </c>
      <c r="B226" s="1" t="s">
        <v>15</v>
      </c>
      <c r="C226" s="1" t="s">
        <v>32</v>
      </c>
      <c r="D226" s="4">
        <v>-804.51439915515823</v>
      </c>
      <c r="E226" s="4">
        <v>-1560.62473</v>
      </c>
      <c r="F226" s="4">
        <v>-793.85172999999963</v>
      </c>
      <c r="G226" s="4">
        <v>-1112.0851699999996</v>
      </c>
      <c r="H226" s="19">
        <v>-1.3431562535183492E-2</v>
      </c>
      <c r="J226" s="1" t="s">
        <v>75</v>
      </c>
    </row>
    <row r="227" spans="1:10" x14ac:dyDescent="0.25">
      <c r="A227" s="1" t="s">
        <v>42</v>
      </c>
      <c r="B227" s="1" t="s">
        <v>12</v>
      </c>
      <c r="C227" s="1" t="s">
        <v>63</v>
      </c>
      <c r="D227" s="4">
        <v>840.78349000000526</v>
      </c>
      <c r="E227" s="4">
        <v>1424.3969099999995</v>
      </c>
      <c r="F227" s="4">
        <v>24332.106666666674</v>
      </c>
      <c r="G227" s="4">
        <v>48664.213333333348</v>
      </c>
      <c r="H227" s="19">
        <v>-0.96544551191073724</v>
      </c>
      <c r="I227" s="5"/>
      <c r="J227" s="1" t="s">
        <v>75</v>
      </c>
    </row>
    <row r="228" spans="1:10" x14ac:dyDescent="0.25">
      <c r="A228" s="1" t="s">
        <v>42</v>
      </c>
      <c r="B228" s="1" t="s">
        <v>12</v>
      </c>
      <c r="C228" s="1" t="s">
        <v>26</v>
      </c>
      <c r="E228" s="4">
        <v>24304.116229999985</v>
      </c>
      <c r="G228" s="4">
        <v>43353.967657200003</v>
      </c>
      <c r="H228" s="19">
        <v>0</v>
      </c>
      <c r="J228" s="1" t="s">
        <v>75</v>
      </c>
    </row>
    <row r="229" spans="1:10" x14ac:dyDescent="0.25">
      <c r="A229" s="1" t="s">
        <v>42</v>
      </c>
      <c r="B229" s="1" t="s">
        <v>12</v>
      </c>
      <c r="C229" s="1" t="s">
        <v>27</v>
      </c>
      <c r="D229" s="4">
        <v>0</v>
      </c>
      <c r="E229" s="4">
        <v>109936.47245562976</v>
      </c>
      <c r="G229" s="4">
        <v>154755.37313356393</v>
      </c>
      <c r="H229" s="19">
        <v>0</v>
      </c>
      <c r="J229" s="1" t="s">
        <v>75</v>
      </c>
    </row>
    <row r="230" spans="1:10" x14ac:dyDescent="0.25">
      <c r="A230" s="1" t="s">
        <v>42</v>
      </c>
      <c r="B230" s="1" t="s">
        <v>12</v>
      </c>
      <c r="C230" s="1" t="s">
        <v>21</v>
      </c>
      <c r="D230" s="4">
        <v>2604.5659999999998</v>
      </c>
      <c r="E230" s="4">
        <v>3668.6659999999997</v>
      </c>
      <c r="F230" s="4">
        <v>25415.133333333331</v>
      </c>
      <c r="G230" s="4">
        <v>50830.266666666663</v>
      </c>
      <c r="H230" s="19">
        <v>-0.89751908967622973</v>
      </c>
      <c r="J230" s="1" t="s">
        <v>75</v>
      </c>
    </row>
    <row r="231" spans="1:10" x14ac:dyDescent="0.25">
      <c r="A231" s="1" t="s">
        <v>42</v>
      </c>
      <c r="B231" s="1" t="s">
        <v>12</v>
      </c>
      <c r="C231" s="1" t="s">
        <v>28</v>
      </c>
      <c r="D231" s="4">
        <v>7000</v>
      </c>
      <c r="E231" s="4">
        <v>19000</v>
      </c>
      <c r="F231" s="4">
        <v>87000</v>
      </c>
      <c r="G231" s="4">
        <v>174000</v>
      </c>
      <c r="H231" s="19">
        <v>-0.91954022988505746</v>
      </c>
      <c r="J231" s="1" t="s">
        <v>75</v>
      </c>
    </row>
    <row r="232" spans="1:10" x14ac:dyDescent="0.25">
      <c r="A232" s="1" t="s">
        <v>42</v>
      </c>
      <c r="B232" s="1" t="s">
        <v>12</v>
      </c>
      <c r="C232" s="1" t="s">
        <v>29</v>
      </c>
      <c r="D232" s="4">
        <v>0</v>
      </c>
      <c r="E232" s="4">
        <v>0</v>
      </c>
      <c r="F232" s="4">
        <v>1000</v>
      </c>
      <c r="G232" s="4">
        <v>2000</v>
      </c>
      <c r="H232" s="19">
        <v>-1</v>
      </c>
      <c r="J232" s="1" t="s">
        <v>75</v>
      </c>
    </row>
    <row r="233" spans="1:10" x14ac:dyDescent="0.25">
      <c r="A233" s="1" t="s">
        <v>42</v>
      </c>
      <c r="B233" s="1" t="s">
        <v>12</v>
      </c>
      <c r="C233" s="1" t="s">
        <v>30</v>
      </c>
      <c r="D233" s="4">
        <v>17</v>
      </c>
      <c r="E233" s="4">
        <v>38</v>
      </c>
      <c r="F233" s="4">
        <v>101</v>
      </c>
      <c r="G233" s="4">
        <v>202</v>
      </c>
      <c r="H233" s="19">
        <v>-0.83168316831683164</v>
      </c>
      <c r="I233" s="1"/>
      <c r="J233" s="1" t="s">
        <v>75</v>
      </c>
    </row>
    <row r="234" spans="1:10" x14ac:dyDescent="0.25">
      <c r="A234" s="1" t="s">
        <v>42</v>
      </c>
      <c r="B234" s="1" t="s">
        <v>12</v>
      </c>
      <c r="C234" s="1" t="s">
        <v>31</v>
      </c>
      <c r="D234" s="4">
        <v>138.43635</v>
      </c>
      <c r="E234" s="4">
        <v>225.39469</v>
      </c>
      <c r="F234" s="4">
        <v>896.66783857972723</v>
      </c>
      <c r="G234" s="4">
        <v>1791.0133145243476</v>
      </c>
      <c r="H234" s="19">
        <v>-0.84561022036959022</v>
      </c>
      <c r="J234" s="1" t="s">
        <v>75</v>
      </c>
    </row>
    <row r="235" spans="1:10" x14ac:dyDescent="0.25">
      <c r="A235" s="1" t="s">
        <v>42</v>
      </c>
      <c r="B235" s="1" t="s">
        <v>12</v>
      </c>
      <c r="C235" s="1" t="s">
        <v>32</v>
      </c>
      <c r="D235" s="4">
        <v>-270.24259707070098</v>
      </c>
      <c r="E235" s="4">
        <v>1859.0002899999999</v>
      </c>
      <c r="F235" s="4">
        <v>-282.26350000000275</v>
      </c>
      <c r="G235" s="4">
        <v>2292.2520199999981</v>
      </c>
      <c r="H235" s="19">
        <v>4.2587521692679542E-2</v>
      </c>
      <c r="J235" s="1" t="s">
        <v>75</v>
      </c>
    </row>
    <row r="236" spans="1:10" x14ac:dyDescent="0.25">
      <c r="A236" s="1" t="s">
        <v>43</v>
      </c>
      <c r="B236" s="1" t="s">
        <v>22</v>
      </c>
      <c r="C236" s="1" t="s">
        <v>63</v>
      </c>
      <c r="D236" s="4">
        <v>9348.1161700000521</v>
      </c>
      <c r="E236" s="4">
        <v>13185.796399999992</v>
      </c>
      <c r="F236" s="4">
        <v>33221.813333333324</v>
      </c>
      <c r="G236" s="4">
        <v>66443.626666666649</v>
      </c>
      <c r="H236" s="19">
        <v>-0.71861511362413932</v>
      </c>
      <c r="I236" s="5"/>
      <c r="J236" s="1" t="s">
        <v>75</v>
      </c>
    </row>
    <row r="237" spans="1:10" x14ac:dyDescent="0.25">
      <c r="A237" s="1" t="s">
        <v>43</v>
      </c>
      <c r="B237" s="1" t="s">
        <v>22</v>
      </c>
      <c r="C237" s="1" t="s">
        <v>26</v>
      </c>
      <c r="E237" s="4">
        <v>155499.38828000004</v>
      </c>
      <c r="G237" s="4">
        <v>188228.3739912</v>
      </c>
      <c r="H237" s="19">
        <v>0</v>
      </c>
      <c r="J237" s="1" t="s">
        <v>75</v>
      </c>
    </row>
    <row r="238" spans="1:10" x14ac:dyDescent="0.25">
      <c r="A238" s="1" t="s">
        <v>43</v>
      </c>
      <c r="B238" s="1" t="s">
        <v>22</v>
      </c>
      <c r="C238" s="1" t="s">
        <v>27</v>
      </c>
      <c r="D238" s="4">
        <v>0</v>
      </c>
      <c r="E238" s="4">
        <v>339401.44931172847</v>
      </c>
      <c r="G238" s="4">
        <v>357161.59309433051</v>
      </c>
      <c r="H238" s="19">
        <v>0</v>
      </c>
      <c r="J238" s="1" t="s">
        <v>75</v>
      </c>
    </row>
    <row r="239" spans="1:10" x14ac:dyDescent="0.25">
      <c r="A239" s="1" t="s">
        <v>43</v>
      </c>
      <c r="B239" s="1" t="s">
        <v>22</v>
      </c>
      <c r="C239" s="1" t="s">
        <v>21</v>
      </c>
      <c r="D239" s="4">
        <v>4744.7929999999997</v>
      </c>
      <c r="E239" s="4">
        <v>10166.606</v>
      </c>
      <c r="F239" s="4">
        <v>36527.266666666663</v>
      </c>
      <c r="G239" s="4">
        <v>73054.533333333326</v>
      </c>
      <c r="H239" s="19">
        <v>-0.87010270866147488</v>
      </c>
      <c r="J239" s="1" t="s">
        <v>75</v>
      </c>
    </row>
    <row r="240" spans="1:10" x14ac:dyDescent="0.25">
      <c r="A240" s="1" t="s">
        <v>43</v>
      </c>
      <c r="B240" s="1" t="s">
        <v>22</v>
      </c>
      <c r="C240" s="1" t="s">
        <v>28</v>
      </c>
      <c r="D240" s="4">
        <v>1154416.1299999999</v>
      </c>
      <c r="E240" s="4">
        <v>1686543.9699999997</v>
      </c>
      <c r="F240" s="4">
        <v>1521000</v>
      </c>
      <c r="G240" s="4">
        <v>3042000</v>
      </c>
      <c r="H240" s="19">
        <v>-0.24101503616042086</v>
      </c>
      <c r="J240" s="1" t="s">
        <v>75</v>
      </c>
    </row>
    <row r="241" spans="1:10" x14ac:dyDescent="0.25">
      <c r="A241" s="1" t="s">
        <v>43</v>
      </c>
      <c r="B241" s="1" t="s">
        <v>22</v>
      </c>
      <c r="C241" s="1" t="s">
        <v>29</v>
      </c>
      <c r="D241" s="4">
        <v>32573</v>
      </c>
      <c r="E241" s="4">
        <v>46313</v>
      </c>
      <c r="F241" s="4">
        <v>87000</v>
      </c>
      <c r="G241" s="4">
        <v>174000</v>
      </c>
      <c r="H241" s="19">
        <v>-0.62559770114942526</v>
      </c>
      <c r="J241" s="1" t="s">
        <v>75</v>
      </c>
    </row>
    <row r="242" spans="1:10" x14ac:dyDescent="0.25">
      <c r="A242" s="1" t="s">
        <v>43</v>
      </c>
      <c r="B242" s="1" t="s">
        <v>22</v>
      </c>
      <c r="C242" s="1" t="s">
        <v>30</v>
      </c>
      <c r="D242" s="4">
        <v>61</v>
      </c>
      <c r="E242" s="4">
        <v>118</v>
      </c>
      <c r="F242" s="4">
        <v>68</v>
      </c>
      <c r="G242" s="4">
        <v>136</v>
      </c>
      <c r="H242" s="19">
        <v>-0.10294117647058823</v>
      </c>
      <c r="I242" s="1"/>
      <c r="J242" s="1" t="s">
        <v>75</v>
      </c>
    </row>
    <row r="243" spans="1:10" x14ac:dyDescent="0.25">
      <c r="A243" s="1" t="s">
        <v>43</v>
      </c>
      <c r="B243" s="1" t="s">
        <v>22</v>
      </c>
      <c r="C243" s="1" t="s">
        <v>31</v>
      </c>
      <c r="D243" s="4">
        <v>1390.6197299999999</v>
      </c>
      <c r="E243" s="4">
        <v>2271.7569199999998</v>
      </c>
      <c r="F243" s="4">
        <v>2827.8742497912308</v>
      </c>
      <c r="G243" s="4">
        <v>5657.6143536001218</v>
      </c>
      <c r="H243" s="19">
        <v>-0.50824555579065689</v>
      </c>
      <c r="J243" s="1" t="s">
        <v>75</v>
      </c>
    </row>
    <row r="244" spans="1:10" x14ac:dyDescent="0.25">
      <c r="A244" s="1" t="s">
        <v>43</v>
      </c>
      <c r="B244" s="1" t="s">
        <v>22</v>
      </c>
      <c r="C244" s="1" t="s">
        <v>32</v>
      </c>
      <c r="D244" s="4">
        <v>89.391008536491071</v>
      </c>
      <c r="E244" s="4">
        <v>461.48727000000179</v>
      </c>
      <c r="F244" s="4">
        <v>102.79348000000061</v>
      </c>
      <c r="G244" s="4">
        <v>1025.5473999999999</v>
      </c>
      <c r="H244" s="19">
        <v>-0.13038250542261495</v>
      </c>
      <c r="J244" s="1" t="s">
        <v>75</v>
      </c>
    </row>
    <row r="245" spans="1:10" x14ac:dyDescent="0.25">
      <c r="A245" s="1" t="s">
        <v>44</v>
      </c>
      <c r="B245" s="1" t="s">
        <v>0</v>
      </c>
      <c r="C245" s="1" t="s">
        <v>63</v>
      </c>
      <c r="D245" s="4">
        <v>-3856.5029000000359</v>
      </c>
      <c r="E245" s="4">
        <v>-8039.4451100000297</v>
      </c>
      <c r="F245" s="4">
        <v>22421.813333333339</v>
      </c>
      <c r="G245" s="4">
        <v>44843.626666666678</v>
      </c>
      <c r="H245" s="19">
        <v>-1.1719978149254671</v>
      </c>
      <c r="I245" s="5"/>
      <c r="J245" s="1" t="s">
        <v>75</v>
      </c>
    </row>
    <row r="246" spans="1:10" x14ac:dyDescent="0.25">
      <c r="A246" s="1" t="s">
        <v>44</v>
      </c>
      <c r="B246" s="1" t="s">
        <v>0</v>
      </c>
      <c r="C246" s="1" t="s">
        <v>26</v>
      </c>
      <c r="E246" s="4">
        <v>69905.67879999998</v>
      </c>
      <c r="G246" s="4">
        <v>87315.391285800011</v>
      </c>
      <c r="H246" s="19">
        <v>0</v>
      </c>
      <c r="J246" s="1" t="s">
        <v>75</v>
      </c>
    </row>
    <row r="247" spans="1:10" x14ac:dyDescent="0.25">
      <c r="A247" s="1" t="s">
        <v>44</v>
      </c>
      <c r="B247" s="1" t="s">
        <v>0</v>
      </c>
      <c r="C247" s="1" t="s">
        <v>27</v>
      </c>
      <c r="D247" s="4">
        <v>0</v>
      </c>
      <c r="E247" s="4">
        <v>181574.04602530249</v>
      </c>
      <c r="G247" s="4">
        <v>184330.83692808211</v>
      </c>
      <c r="H247" s="19">
        <v>0</v>
      </c>
      <c r="J247" s="1" t="s">
        <v>75</v>
      </c>
    </row>
    <row r="248" spans="1:10" x14ac:dyDescent="0.25">
      <c r="A248" s="1" t="s">
        <v>44</v>
      </c>
      <c r="B248" s="1" t="s">
        <v>0</v>
      </c>
      <c r="C248" s="1" t="s">
        <v>21</v>
      </c>
      <c r="D248" s="4">
        <v>1177.848</v>
      </c>
      <c r="E248" s="4">
        <v>4319.6480000000001</v>
      </c>
      <c r="F248" s="4">
        <v>23027.266666666666</v>
      </c>
      <c r="G248" s="4">
        <v>46054.533333333333</v>
      </c>
      <c r="H248" s="19">
        <v>-0.9488498562573644</v>
      </c>
      <c r="J248" s="1" t="s">
        <v>75</v>
      </c>
    </row>
    <row r="249" spans="1:10" x14ac:dyDescent="0.25">
      <c r="A249" s="1" t="s">
        <v>44</v>
      </c>
      <c r="B249" s="1" t="s">
        <v>0</v>
      </c>
      <c r="C249" s="1" t="s">
        <v>28</v>
      </c>
      <c r="D249" s="4">
        <v>29000</v>
      </c>
      <c r="E249" s="4">
        <v>152490.31</v>
      </c>
      <c r="F249" s="4">
        <v>157000</v>
      </c>
      <c r="G249" s="4">
        <v>314000</v>
      </c>
      <c r="H249" s="19">
        <v>-0.8152866242038217</v>
      </c>
      <c r="J249" s="1" t="s">
        <v>75</v>
      </c>
    </row>
    <row r="250" spans="1:10" x14ac:dyDescent="0.25">
      <c r="A250" s="1" t="s">
        <v>44</v>
      </c>
      <c r="B250" s="1" t="s">
        <v>0</v>
      </c>
      <c r="C250" s="1" t="s">
        <v>29</v>
      </c>
      <c r="D250" s="4">
        <v>273316</v>
      </c>
      <c r="E250" s="4">
        <v>298284</v>
      </c>
      <c r="F250" s="4">
        <v>34000</v>
      </c>
      <c r="G250" s="4">
        <v>68000</v>
      </c>
      <c r="H250" s="19">
        <v>7.0387058823529411</v>
      </c>
      <c r="J250" s="1" t="s">
        <v>75</v>
      </c>
    </row>
    <row r="251" spans="1:10" x14ac:dyDescent="0.25">
      <c r="A251" s="1" t="s">
        <v>44</v>
      </c>
      <c r="B251" s="1" t="s">
        <v>0</v>
      </c>
      <c r="C251" s="1" t="s">
        <v>30</v>
      </c>
      <c r="D251" s="4">
        <v>46</v>
      </c>
      <c r="E251" s="4">
        <v>98</v>
      </c>
      <c r="F251" s="4">
        <v>66</v>
      </c>
      <c r="G251" s="4">
        <v>132</v>
      </c>
      <c r="H251" s="19">
        <v>-0.30303030303030304</v>
      </c>
      <c r="I251" s="1"/>
      <c r="J251" s="1" t="s">
        <v>75</v>
      </c>
    </row>
    <row r="252" spans="1:10" x14ac:dyDescent="0.25">
      <c r="A252" s="1" t="s">
        <v>44</v>
      </c>
      <c r="B252" s="1" t="s">
        <v>0</v>
      </c>
      <c r="C252" s="1" t="s">
        <v>31</v>
      </c>
      <c r="D252" s="4">
        <v>197.97441999999984</v>
      </c>
      <c r="E252" s="4">
        <v>603.15225999999984</v>
      </c>
      <c r="F252" s="4">
        <v>1074.0703643177537</v>
      </c>
      <c r="G252" s="4">
        <v>2152.2405899665264</v>
      </c>
      <c r="H252" s="19">
        <v>-0.81567835164528302</v>
      </c>
      <c r="J252" s="1" t="s">
        <v>75</v>
      </c>
    </row>
    <row r="253" spans="1:10" x14ac:dyDescent="0.25">
      <c r="A253" s="1" t="s">
        <v>44</v>
      </c>
      <c r="B253" s="1" t="s">
        <v>0</v>
      </c>
      <c r="C253" s="1" t="s">
        <v>32</v>
      </c>
      <c r="D253" s="4">
        <v>3193.7683143122317</v>
      </c>
      <c r="E253" s="4">
        <v>2760.2202600000046</v>
      </c>
      <c r="F253" s="4">
        <v>3193.4715400000009</v>
      </c>
      <c r="G253" s="4">
        <v>3587.6515000000013</v>
      </c>
      <c r="H253" s="19">
        <v>9.2931566326346287E-5</v>
      </c>
      <c r="J253" s="1" t="s">
        <v>75</v>
      </c>
    </row>
    <row r="254" spans="1:10" x14ac:dyDescent="0.25">
      <c r="A254" s="1" t="s">
        <v>45</v>
      </c>
      <c r="B254" s="1" t="s">
        <v>9</v>
      </c>
      <c r="C254" s="1" t="s">
        <v>63</v>
      </c>
      <c r="D254" s="4">
        <v>5083.6870499999495</v>
      </c>
      <c r="E254" s="4">
        <v>7688.2930800000031</v>
      </c>
      <c r="F254" s="4">
        <v>26176.959999999992</v>
      </c>
      <c r="G254" s="4">
        <v>52353.919999999984</v>
      </c>
      <c r="H254" s="19">
        <v>-0.80579536164627397</v>
      </c>
      <c r="I254" s="5"/>
      <c r="J254" s="1" t="s">
        <v>75</v>
      </c>
    </row>
    <row r="255" spans="1:10" x14ac:dyDescent="0.25">
      <c r="A255" s="1" t="s">
        <v>45</v>
      </c>
      <c r="B255" s="1" t="s">
        <v>9</v>
      </c>
      <c r="C255" s="1" t="s">
        <v>26</v>
      </c>
      <c r="E255" s="4">
        <v>202777.70191999996</v>
      </c>
      <c r="G255" s="4">
        <v>223218.7458948</v>
      </c>
      <c r="H255" s="19">
        <v>0</v>
      </c>
      <c r="J255" s="1" t="s">
        <v>75</v>
      </c>
    </row>
    <row r="256" spans="1:10" x14ac:dyDescent="0.25">
      <c r="A256" s="1" t="s">
        <v>45</v>
      </c>
      <c r="B256" s="1" t="s">
        <v>9</v>
      </c>
      <c r="C256" s="1" t="s">
        <v>27</v>
      </c>
      <c r="D256" s="4">
        <v>0</v>
      </c>
      <c r="E256" s="4">
        <v>133862.47542543174</v>
      </c>
      <c r="G256" s="4">
        <v>171926.70171176875</v>
      </c>
      <c r="H256" s="19">
        <v>0</v>
      </c>
      <c r="J256" s="1" t="s">
        <v>75</v>
      </c>
    </row>
    <row r="257" spans="1:10" x14ac:dyDescent="0.25">
      <c r="A257" s="1" t="s">
        <v>45</v>
      </c>
      <c r="B257" s="1" t="s">
        <v>9</v>
      </c>
      <c r="C257" s="1" t="s">
        <v>21</v>
      </c>
      <c r="D257" s="4">
        <v>880.02099999999996</v>
      </c>
      <c r="E257" s="4">
        <v>4707.5739999999996</v>
      </c>
      <c r="F257" s="4">
        <v>27721.200000000001</v>
      </c>
      <c r="G257" s="4">
        <v>55442.400000000001</v>
      </c>
      <c r="H257" s="19">
        <v>-0.96825458493860295</v>
      </c>
      <c r="J257" s="1" t="s">
        <v>75</v>
      </c>
    </row>
    <row r="258" spans="1:10" x14ac:dyDescent="0.25">
      <c r="A258" s="1" t="s">
        <v>45</v>
      </c>
      <c r="B258" s="1" t="s">
        <v>9</v>
      </c>
      <c r="C258" s="1" t="s">
        <v>28</v>
      </c>
      <c r="D258" s="4">
        <v>49000</v>
      </c>
      <c r="E258" s="4">
        <v>91000</v>
      </c>
      <c r="F258" s="4">
        <v>260000</v>
      </c>
      <c r="G258" s="4">
        <v>520000</v>
      </c>
      <c r="H258" s="19">
        <v>-0.81153846153846154</v>
      </c>
      <c r="J258" s="1" t="s">
        <v>75</v>
      </c>
    </row>
    <row r="259" spans="1:10" x14ac:dyDescent="0.25">
      <c r="A259" s="1" t="s">
        <v>45</v>
      </c>
      <c r="B259" s="1" t="s">
        <v>9</v>
      </c>
      <c r="C259" s="1" t="s">
        <v>29</v>
      </c>
      <c r="D259" s="4">
        <v>0</v>
      </c>
      <c r="E259" s="4">
        <v>1480</v>
      </c>
      <c r="F259" s="4">
        <v>18000</v>
      </c>
      <c r="G259" s="4">
        <v>36000</v>
      </c>
      <c r="H259" s="19">
        <v>-1</v>
      </c>
      <c r="J259" s="1" t="s">
        <v>75</v>
      </c>
    </row>
    <row r="260" spans="1:10" x14ac:dyDescent="0.25">
      <c r="A260" s="1" t="s">
        <v>45</v>
      </c>
      <c r="B260" s="1" t="s">
        <v>9</v>
      </c>
      <c r="C260" s="1" t="s">
        <v>30</v>
      </c>
      <c r="D260" s="4">
        <v>26</v>
      </c>
      <c r="E260" s="4">
        <v>67</v>
      </c>
      <c r="F260" s="4">
        <v>76</v>
      </c>
      <c r="G260" s="4">
        <v>152</v>
      </c>
      <c r="H260" s="19">
        <v>-0.65789473684210531</v>
      </c>
      <c r="I260" s="1"/>
      <c r="J260" s="1" t="s">
        <v>75</v>
      </c>
    </row>
    <row r="261" spans="1:10" x14ac:dyDescent="0.25">
      <c r="A261" s="1" t="s">
        <v>45</v>
      </c>
      <c r="B261" s="1" t="s">
        <v>9</v>
      </c>
      <c r="C261" s="1" t="s">
        <v>31</v>
      </c>
      <c r="D261" s="4">
        <v>151.08113999999998</v>
      </c>
      <c r="E261" s="4">
        <v>365.4375</v>
      </c>
      <c r="F261" s="4">
        <v>1227.0709349967299</v>
      </c>
      <c r="G261" s="4">
        <v>2453.7078388301952</v>
      </c>
      <c r="H261" s="19">
        <v>-0.87687660452946625</v>
      </c>
      <c r="J261" s="1" t="s">
        <v>75</v>
      </c>
    </row>
    <row r="262" spans="1:10" x14ac:dyDescent="0.25">
      <c r="A262" s="1" t="s">
        <v>45</v>
      </c>
      <c r="B262" s="1" t="s">
        <v>9</v>
      </c>
      <c r="C262" s="1" t="s">
        <v>32</v>
      </c>
      <c r="D262" s="4">
        <v>-891.88631297245672</v>
      </c>
      <c r="E262" s="4">
        <v>-1081.5179800000012</v>
      </c>
      <c r="F262" s="4">
        <v>-906.55329000000063</v>
      </c>
      <c r="G262" s="4">
        <v>-1790.0330200000012</v>
      </c>
      <c r="H262" s="19">
        <v>1.6178836025782774E-2</v>
      </c>
      <c r="J262" s="1" t="s">
        <v>75</v>
      </c>
    </row>
    <row r="263" spans="1:10" x14ac:dyDescent="0.25">
      <c r="A263" s="1" t="s">
        <v>46</v>
      </c>
      <c r="B263" s="1" t="s">
        <v>2</v>
      </c>
      <c r="C263" s="1" t="s">
        <v>63</v>
      </c>
      <c r="D263" s="4">
        <v>-11143.852230000077</v>
      </c>
      <c r="E263" s="4">
        <v>64.093249999918044</v>
      </c>
      <c r="F263" s="4">
        <v>25398.773333333374</v>
      </c>
      <c r="G263" s="4">
        <v>50797.546666666749</v>
      </c>
      <c r="H263" s="19">
        <v>-1.4387555290071774</v>
      </c>
      <c r="I263" s="5"/>
      <c r="J263" s="1" t="s">
        <v>75</v>
      </c>
    </row>
    <row r="264" spans="1:10" x14ac:dyDescent="0.25">
      <c r="A264" s="1" t="s">
        <v>46</v>
      </c>
      <c r="B264" s="1" t="s">
        <v>2</v>
      </c>
      <c r="C264" s="1" t="s">
        <v>26</v>
      </c>
      <c r="E264" s="4">
        <v>334659.68217999995</v>
      </c>
      <c r="G264" s="4">
        <v>365151.08829059999</v>
      </c>
      <c r="H264" s="19">
        <v>0</v>
      </c>
      <c r="J264" s="1" t="s">
        <v>75</v>
      </c>
    </row>
    <row r="265" spans="1:10" x14ac:dyDescent="0.25">
      <c r="A265" s="1" t="s">
        <v>46</v>
      </c>
      <c r="B265" s="1" t="s">
        <v>2</v>
      </c>
      <c r="C265" s="1" t="s">
        <v>27</v>
      </c>
      <c r="D265" s="4">
        <v>0</v>
      </c>
      <c r="E265" s="4">
        <v>327661.09304531454</v>
      </c>
      <c r="G265" s="4">
        <v>269034.57918238471</v>
      </c>
      <c r="H265" s="19">
        <v>0</v>
      </c>
      <c r="J265" s="1" t="s">
        <v>75</v>
      </c>
    </row>
    <row r="266" spans="1:10" x14ac:dyDescent="0.25">
      <c r="A266" s="1" t="s">
        <v>46</v>
      </c>
      <c r="B266" s="1" t="s">
        <v>2</v>
      </c>
      <c r="C266" s="1" t="s">
        <v>21</v>
      </c>
      <c r="D266" s="4">
        <v>3042.2775499999998</v>
      </c>
      <c r="E266" s="4">
        <v>8307.8175499999998</v>
      </c>
      <c r="F266" s="4">
        <v>26748.466666666664</v>
      </c>
      <c r="G266" s="4">
        <v>53496.933333333327</v>
      </c>
      <c r="H266" s="19">
        <v>-0.88626347865422817</v>
      </c>
      <c r="J266" s="1" t="s">
        <v>75</v>
      </c>
    </row>
    <row r="267" spans="1:10" x14ac:dyDescent="0.25">
      <c r="A267" s="1" t="s">
        <v>46</v>
      </c>
      <c r="B267" s="1" t="s">
        <v>2</v>
      </c>
      <c r="C267" s="1" t="s">
        <v>28</v>
      </c>
      <c r="D267" s="4">
        <v>129132</v>
      </c>
      <c r="E267" s="4">
        <v>245632</v>
      </c>
      <c r="F267" s="4">
        <v>186000</v>
      </c>
      <c r="G267" s="4">
        <v>372000</v>
      </c>
      <c r="H267" s="19">
        <v>-0.30574193548387096</v>
      </c>
      <c r="J267" s="1" t="s">
        <v>75</v>
      </c>
    </row>
    <row r="268" spans="1:10" x14ac:dyDescent="0.25">
      <c r="A268" s="1" t="s">
        <v>46</v>
      </c>
      <c r="B268" s="1" t="s">
        <v>2</v>
      </c>
      <c r="C268" s="1" t="s">
        <v>29</v>
      </c>
      <c r="D268" s="4">
        <v>77835</v>
      </c>
      <c r="E268" s="4">
        <v>162988</v>
      </c>
      <c r="F268" s="4">
        <v>78000</v>
      </c>
      <c r="G268" s="4">
        <v>156000</v>
      </c>
      <c r="H268" s="19">
        <v>-2.1153846153846153E-3</v>
      </c>
      <c r="J268" s="1" t="s">
        <v>75</v>
      </c>
    </row>
    <row r="269" spans="1:10" x14ac:dyDescent="0.25">
      <c r="A269" s="1" t="s">
        <v>46</v>
      </c>
      <c r="B269" s="1" t="s">
        <v>2</v>
      </c>
      <c r="C269" s="1" t="s">
        <v>30</v>
      </c>
      <c r="D269" s="4">
        <v>99</v>
      </c>
      <c r="E269" s="4">
        <v>171</v>
      </c>
      <c r="F269" s="4">
        <v>98</v>
      </c>
      <c r="G269" s="4">
        <v>196</v>
      </c>
      <c r="H269" s="19">
        <v>1.020408163265306E-2</v>
      </c>
      <c r="I269" s="1"/>
      <c r="J269" s="1" t="s">
        <v>75</v>
      </c>
    </row>
    <row r="270" spans="1:10" x14ac:dyDescent="0.25">
      <c r="A270" s="1" t="s">
        <v>46</v>
      </c>
      <c r="B270" s="1" t="s">
        <v>2</v>
      </c>
      <c r="C270" s="1" t="s">
        <v>31</v>
      </c>
      <c r="D270" s="4">
        <v>305.94188000000003</v>
      </c>
      <c r="E270" s="4">
        <v>703.32586000000003</v>
      </c>
      <c r="F270" s="4">
        <v>1155.3748382293277</v>
      </c>
      <c r="G270" s="4">
        <v>2309.0346003496657</v>
      </c>
      <c r="H270" s="19">
        <v>-0.73520119196219302</v>
      </c>
      <c r="J270" s="1" t="s">
        <v>75</v>
      </c>
    </row>
    <row r="271" spans="1:10" x14ac:dyDescent="0.25">
      <c r="A271" s="1" t="s">
        <v>46</v>
      </c>
      <c r="B271" s="1" t="s">
        <v>2</v>
      </c>
      <c r="C271" s="1" t="s">
        <v>32</v>
      </c>
      <c r="D271" s="4">
        <v>-2513.5719272524284</v>
      </c>
      <c r="E271" s="4">
        <v>-4076.4089500000009</v>
      </c>
      <c r="F271" s="4">
        <v>-2516.2448900000009</v>
      </c>
      <c r="G271" s="4">
        <v>-5017.0273900000011</v>
      </c>
      <c r="H271" s="19">
        <v>1.0622824345099633E-3</v>
      </c>
      <c r="J271" s="1" t="s">
        <v>75</v>
      </c>
    </row>
    <row r="272" spans="1:10" x14ac:dyDescent="0.25">
      <c r="A272" s="1" t="s">
        <v>47</v>
      </c>
      <c r="B272" s="1" t="s">
        <v>6</v>
      </c>
      <c r="C272" s="1" t="s">
        <v>63</v>
      </c>
      <c r="D272" s="4">
        <v>7452.917369999981</v>
      </c>
      <c r="E272" s="4">
        <v>6730.4120499999772</v>
      </c>
      <c r="F272" s="4">
        <v>22176.960000000006</v>
      </c>
      <c r="G272" s="4">
        <v>44353.920000000013</v>
      </c>
      <c r="H272" s="19">
        <v>-0.66393421956841792</v>
      </c>
      <c r="I272" s="5"/>
      <c r="J272" s="1" t="s">
        <v>75</v>
      </c>
    </row>
    <row r="273" spans="1:10" x14ac:dyDescent="0.25">
      <c r="A273" s="1" t="s">
        <v>47</v>
      </c>
      <c r="B273" s="1" t="s">
        <v>6</v>
      </c>
      <c r="C273" s="1" t="s">
        <v>26</v>
      </c>
      <c r="E273" s="4">
        <v>45803.419519999989</v>
      </c>
      <c r="G273" s="4">
        <v>68737.115192400015</v>
      </c>
      <c r="H273" s="19">
        <v>0</v>
      </c>
      <c r="J273" s="1" t="s">
        <v>75</v>
      </c>
    </row>
    <row r="274" spans="1:10" x14ac:dyDescent="0.25">
      <c r="A274" s="1" t="s">
        <v>47</v>
      </c>
      <c r="B274" s="1" t="s">
        <v>6</v>
      </c>
      <c r="C274" s="1" t="s">
        <v>27</v>
      </c>
      <c r="D274" s="4">
        <v>0</v>
      </c>
      <c r="E274" s="4">
        <v>211411.16981963208</v>
      </c>
      <c r="G274" s="4">
        <v>223684.10732619578</v>
      </c>
      <c r="H274" s="19">
        <v>0</v>
      </c>
      <c r="J274" s="1" t="s">
        <v>75</v>
      </c>
    </row>
    <row r="275" spans="1:10" x14ac:dyDescent="0.25">
      <c r="A275" s="1" t="s">
        <v>47</v>
      </c>
      <c r="B275" s="1" t="s">
        <v>6</v>
      </c>
      <c r="C275" s="1" t="s">
        <v>21</v>
      </c>
      <c r="D275" s="4">
        <v>8599.8324499999999</v>
      </c>
      <c r="E275" s="4">
        <v>12553.3454</v>
      </c>
      <c r="F275" s="4">
        <v>22721.200000000001</v>
      </c>
      <c r="G275" s="4">
        <v>45442.400000000001</v>
      </c>
      <c r="H275" s="19">
        <v>-0.62150623866697186</v>
      </c>
      <c r="J275" s="1" t="s">
        <v>75</v>
      </c>
    </row>
    <row r="276" spans="1:10" x14ac:dyDescent="0.25">
      <c r="A276" s="1" t="s">
        <v>47</v>
      </c>
      <c r="B276" s="1" t="s">
        <v>6</v>
      </c>
      <c r="C276" s="1" t="s">
        <v>28</v>
      </c>
      <c r="D276" s="4">
        <v>4000</v>
      </c>
      <c r="E276" s="4">
        <v>14000</v>
      </c>
      <c r="F276" s="4">
        <v>34000</v>
      </c>
      <c r="G276" s="4">
        <v>68000</v>
      </c>
      <c r="H276" s="19">
        <v>-0.88235294117647056</v>
      </c>
      <c r="J276" s="1" t="s">
        <v>75</v>
      </c>
    </row>
    <row r="277" spans="1:10" x14ac:dyDescent="0.25">
      <c r="A277" s="1" t="s">
        <v>47</v>
      </c>
      <c r="B277" s="1" t="s">
        <v>6</v>
      </c>
      <c r="C277" s="1" t="s">
        <v>29</v>
      </c>
      <c r="D277" s="4">
        <v>0</v>
      </c>
      <c r="E277" s="4">
        <v>7781</v>
      </c>
      <c r="F277" s="4">
        <v>2000</v>
      </c>
      <c r="G277" s="4">
        <v>4000</v>
      </c>
      <c r="H277" s="19">
        <v>-1</v>
      </c>
      <c r="J277" s="1" t="s">
        <v>75</v>
      </c>
    </row>
    <row r="278" spans="1:10" x14ac:dyDescent="0.25">
      <c r="A278" s="1" t="s">
        <v>47</v>
      </c>
      <c r="B278" s="1" t="s">
        <v>6</v>
      </c>
      <c r="C278" s="1" t="s">
        <v>30</v>
      </c>
      <c r="D278" s="4">
        <v>38</v>
      </c>
      <c r="E278" s="4">
        <v>84</v>
      </c>
      <c r="F278" s="4">
        <v>73</v>
      </c>
      <c r="G278" s="4">
        <v>146</v>
      </c>
      <c r="H278" s="19">
        <v>-0.47945205479452052</v>
      </c>
      <c r="I278" s="1"/>
      <c r="J278" s="1" t="s">
        <v>75</v>
      </c>
    </row>
    <row r="279" spans="1:10" x14ac:dyDescent="0.25">
      <c r="A279" s="1" t="s">
        <v>47</v>
      </c>
      <c r="B279" s="1" t="s">
        <v>6</v>
      </c>
      <c r="C279" s="1" t="s">
        <v>31</v>
      </c>
      <c r="D279" s="4">
        <v>434.9936899999999</v>
      </c>
      <c r="E279" s="4">
        <v>659.55042999999989</v>
      </c>
      <c r="F279" s="4">
        <v>854.06157166062394</v>
      </c>
      <c r="G279" s="4">
        <v>1705.2377150494219</v>
      </c>
      <c r="H279" s="19">
        <v>-0.49067642845210213</v>
      </c>
      <c r="J279" s="1" t="s">
        <v>75</v>
      </c>
    </row>
    <row r="280" spans="1:10" x14ac:dyDescent="0.25">
      <c r="A280" s="1" t="s">
        <v>47</v>
      </c>
      <c r="B280" s="1" t="s">
        <v>6</v>
      </c>
      <c r="C280" s="1" t="s">
        <v>32</v>
      </c>
      <c r="D280" s="4">
        <v>2276.3329996575667</v>
      </c>
      <c r="E280" s="4">
        <v>1901.4806099999969</v>
      </c>
      <c r="F280" s="4">
        <v>2282.4774099999995</v>
      </c>
      <c r="G280" s="4">
        <v>3259.1198599999984</v>
      </c>
      <c r="H280" s="19">
        <v>-2.6919917434945488E-3</v>
      </c>
      <c r="J280" s="1" t="s">
        <v>75</v>
      </c>
    </row>
    <row r="281" spans="1:10" x14ac:dyDescent="0.25">
      <c r="A281" s="1" t="s">
        <v>48</v>
      </c>
      <c r="B281" s="1" t="s">
        <v>17</v>
      </c>
      <c r="C281" s="1" t="s">
        <v>63</v>
      </c>
      <c r="D281" s="4">
        <v>6991.5691899999219</v>
      </c>
      <c r="E281" s="4">
        <v>-1352.4146199999668</v>
      </c>
      <c r="F281" s="4">
        <v>27376.959999999992</v>
      </c>
      <c r="G281" s="4">
        <v>54753.919999999984</v>
      </c>
      <c r="H281" s="19">
        <v>-0.7446184970866041</v>
      </c>
      <c r="I281" s="5"/>
      <c r="J281" s="1" t="s">
        <v>75</v>
      </c>
    </row>
    <row r="282" spans="1:10" x14ac:dyDescent="0.25">
      <c r="A282" s="1" t="s">
        <v>48</v>
      </c>
      <c r="B282" s="1" t="s">
        <v>17</v>
      </c>
      <c r="C282" s="1" t="s">
        <v>26</v>
      </c>
      <c r="E282" s="4">
        <v>221652.83687</v>
      </c>
      <c r="G282" s="4">
        <v>206162.4470628</v>
      </c>
      <c r="H282" s="19">
        <v>0</v>
      </c>
      <c r="J282" s="1" t="s">
        <v>75</v>
      </c>
    </row>
    <row r="283" spans="1:10" x14ac:dyDescent="0.25">
      <c r="A283" s="1" t="s">
        <v>48</v>
      </c>
      <c r="B283" s="1" t="s">
        <v>17</v>
      </c>
      <c r="C283" s="1" t="s">
        <v>27</v>
      </c>
      <c r="D283" s="4">
        <v>0</v>
      </c>
      <c r="E283" s="4">
        <v>141540.69142496347</v>
      </c>
      <c r="G283" s="4">
        <v>163661.95622112497</v>
      </c>
      <c r="H283" s="19">
        <v>0</v>
      </c>
      <c r="J283" s="1" t="s">
        <v>75</v>
      </c>
    </row>
    <row r="284" spans="1:10" x14ac:dyDescent="0.25">
      <c r="A284" s="1" t="s">
        <v>48</v>
      </c>
      <c r="B284" s="1" t="s">
        <v>17</v>
      </c>
      <c r="C284" s="1" t="s">
        <v>21</v>
      </c>
      <c r="D284" s="4">
        <v>2091.502</v>
      </c>
      <c r="E284" s="4">
        <v>8821.31185</v>
      </c>
      <c r="F284" s="4">
        <v>29221.199999999997</v>
      </c>
      <c r="G284" s="4">
        <v>58442.399999999994</v>
      </c>
      <c r="H284" s="19">
        <v>-0.92842518445512157</v>
      </c>
      <c r="J284" s="1" t="s">
        <v>75</v>
      </c>
    </row>
    <row r="285" spans="1:10" x14ac:dyDescent="0.25">
      <c r="A285" s="1" t="s">
        <v>48</v>
      </c>
      <c r="B285" s="1" t="s">
        <v>17</v>
      </c>
      <c r="C285" s="1" t="s">
        <v>28</v>
      </c>
      <c r="D285" s="4">
        <v>837351</v>
      </c>
      <c r="E285" s="4">
        <v>1151396</v>
      </c>
      <c r="F285" s="4">
        <v>828000</v>
      </c>
      <c r="G285" s="4">
        <v>1656000</v>
      </c>
      <c r="H285" s="19">
        <v>1.1293478260869565E-2</v>
      </c>
      <c r="J285" s="1" t="s">
        <v>75</v>
      </c>
    </row>
    <row r="286" spans="1:10" x14ac:dyDescent="0.25">
      <c r="A286" s="1" t="s">
        <v>48</v>
      </c>
      <c r="B286" s="1" t="s">
        <v>17</v>
      </c>
      <c r="C286" s="1" t="s">
        <v>29</v>
      </c>
      <c r="D286" s="4">
        <v>1289</v>
      </c>
      <c r="E286" s="4">
        <v>2379</v>
      </c>
      <c r="F286" s="4">
        <v>59000</v>
      </c>
      <c r="G286" s="4">
        <v>118000</v>
      </c>
      <c r="H286" s="19">
        <v>-0.97815254237288141</v>
      </c>
      <c r="J286" s="1" t="s">
        <v>75</v>
      </c>
    </row>
    <row r="287" spans="1:10" x14ac:dyDescent="0.25">
      <c r="A287" s="1" t="s">
        <v>48</v>
      </c>
      <c r="B287" s="1" t="s">
        <v>17</v>
      </c>
      <c r="C287" s="1" t="s">
        <v>30</v>
      </c>
      <c r="D287" s="4">
        <v>83</v>
      </c>
      <c r="E287" s="4">
        <v>163</v>
      </c>
      <c r="F287" s="4">
        <v>91</v>
      </c>
      <c r="G287" s="4">
        <v>182</v>
      </c>
      <c r="H287" s="19">
        <v>-8.7912087912087919E-2</v>
      </c>
      <c r="I287" s="1"/>
      <c r="J287" s="1" t="s">
        <v>75</v>
      </c>
    </row>
    <row r="288" spans="1:10" x14ac:dyDescent="0.25">
      <c r="A288" s="1" t="s">
        <v>48</v>
      </c>
      <c r="B288" s="1" t="s">
        <v>17</v>
      </c>
      <c r="C288" s="1" t="s">
        <v>31</v>
      </c>
      <c r="D288" s="4">
        <v>1125.4133400000001</v>
      </c>
      <c r="E288" s="4">
        <v>1811.67031</v>
      </c>
      <c r="F288" s="4">
        <v>1904.7568050649763</v>
      </c>
      <c r="G288" s="4">
        <v>3812.9827037184377</v>
      </c>
      <c r="H288" s="19">
        <v>-0.40915641461031071</v>
      </c>
      <c r="J288" s="1" t="s">
        <v>75</v>
      </c>
    </row>
    <row r="289" spans="1:10" x14ac:dyDescent="0.25">
      <c r="A289" s="1" t="s">
        <v>48</v>
      </c>
      <c r="B289" s="1" t="s">
        <v>17</v>
      </c>
      <c r="C289" s="1" t="s">
        <v>32</v>
      </c>
      <c r="D289" s="4">
        <v>-421.8905616340698</v>
      </c>
      <c r="E289" s="4">
        <v>-157.11754999999818</v>
      </c>
      <c r="F289" s="4">
        <v>-416.16525000000024</v>
      </c>
      <c r="G289" s="4">
        <v>-1343.1957500000003</v>
      </c>
      <c r="H289" s="19">
        <v>-1.3757303460751593E-2</v>
      </c>
      <c r="J289" s="1" t="s">
        <v>75</v>
      </c>
    </row>
    <row r="290" spans="1:10" x14ac:dyDescent="0.25">
      <c r="A290" s="1" t="s">
        <v>49</v>
      </c>
      <c r="B290" s="1" t="s">
        <v>5</v>
      </c>
      <c r="C290" s="1" t="s">
        <v>63</v>
      </c>
      <c r="D290" s="4">
        <v>2359.161839999997</v>
      </c>
      <c r="E290" s="4">
        <v>-8235.3054500000035</v>
      </c>
      <c r="F290" s="4">
        <v>14955.146666666675</v>
      </c>
      <c r="G290" s="4">
        <v>29910.293333333349</v>
      </c>
      <c r="H290" s="19">
        <v>-0.84225083895310093</v>
      </c>
      <c r="I290" s="5"/>
      <c r="J290" s="1" t="s">
        <v>75</v>
      </c>
    </row>
    <row r="291" spans="1:10" x14ac:dyDescent="0.25">
      <c r="A291" s="1" t="s">
        <v>49</v>
      </c>
      <c r="B291" s="1" t="s">
        <v>5</v>
      </c>
      <c r="C291" s="1" t="s">
        <v>26</v>
      </c>
      <c r="E291" s="4">
        <v>29672.360679999994</v>
      </c>
      <c r="G291" s="4">
        <v>36563.021653199998</v>
      </c>
      <c r="H291" s="19">
        <v>0</v>
      </c>
      <c r="J291" s="1" t="s">
        <v>75</v>
      </c>
    </row>
    <row r="292" spans="1:10" x14ac:dyDescent="0.25">
      <c r="A292" s="1" t="s">
        <v>49</v>
      </c>
      <c r="B292" s="1" t="s">
        <v>5</v>
      </c>
      <c r="C292" s="1" t="s">
        <v>27</v>
      </c>
      <c r="D292" s="4">
        <v>0</v>
      </c>
      <c r="E292" s="4">
        <v>68534.196536319811</v>
      </c>
      <c r="G292" s="4">
        <v>81073.391366215859</v>
      </c>
      <c r="H292" s="19">
        <v>0</v>
      </c>
      <c r="J292" s="1" t="s">
        <v>75</v>
      </c>
    </row>
    <row r="293" spans="1:10" x14ac:dyDescent="0.25">
      <c r="A293" s="1" t="s">
        <v>49</v>
      </c>
      <c r="B293" s="1" t="s">
        <v>5</v>
      </c>
      <c r="C293" s="1" t="s">
        <v>21</v>
      </c>
      <c r="D293" s="4">
        <v>2744.8327999999997</v>
      </c>
      <c r="E293" s="4">
        <v>5562.6757999999991</v>
      </c>
      <c r="F293" s="4">
        <v>13693.933333333334</v>
      </c>
      <c r="G293" s="4">
        <v>27387.866666666669</v>
      </c>
      <c r="H293" s="19">
        <v>-0.79955848088447923</v>
      </c>
      <c r="J293" s="1" t="s">
        <v>75</v>
      </c>
    </row>
    <row r="294" spans="1:10" x14ac:dyDescent="0.25">
      <c r="A294" s="1" t="s">
        <v>49</v>
      </c>
      <c r="B294" s="1" t="s">
        <v>5</v>
      </c>
      <c r="C294" s="1" t="s">
        <v>28</v>
      </c>
      <c r="D294" s="4">
        <v>158000</v>
      </c>
      <c r="E294" s="4">
        <v>168789.14</v>
      </c>
      <c r="F294" s="4">
        <v>118000</v>
      </c>
      <c r="G294" s="4">
        <v>236000</v>
      </c>
      <c r="H294" s="19">
        <v>0.33898305084745761</v>
      </c>
      <c r="J294" s="1" t="s">
        <v>75</v>
      </c>
    </row>
    <row r="295" spans="1:10" x14ac:dyDescent="0.25">
      <c r="A295" s="1" t="s">
        <v>49</v>
      </c>
      <c r="B295" s="1" t="s">
        <v>5</v>
      </c>
      <c r="C295" s="1" t="s">
        <v>29</v>
      </c>
      <c r="D295" s="4">
        <v>0</v>
      </c>
      <c r="E295" s="4">
        <v>790</v>
      </c>
      <c r="F295" s="4">
        <v>26000</v>
      </c>
      <c r="G295" s="4">
        <v>52000</v>
      </c>
      <c r="H295" s="19">
        <v>-1</v>
      </c>
      <c r="J295" s="1" t="s">
        <v>75</v>
      </c>
    </row>
    <row r="296" spans="1:10" x14ac:dyDescent="0.25">
      <c r="A296" s="1" t="s">
        <v>49</v>
      </c>
      <c r="B296" s="1" t="s">
        <v>5</v>
      </c>
      <c r="C296" s="1" t="s">
        <v>30</v>
      </c>
      <c r="D296" s="4">
        <v>39</v>
      </c>
      <c r="E296" s="4">
        <v>74</v>
      </c>
      <c r="F296" s="4">
        <v>58</v>
      </c>
      <c r="G296" s="4">
        <v>116</v>
      </c>
      <c r="H296" s="19">
        <v>-0.32758620689655171</v>
      </c>
      <c r="I296" s="1"/>
      <c r="J296" s="1" t="s">
        <v>75</v>
      </c>
    </row>
    <row r="297" spans="1:10" x14ac:dyDescent="0.25">
      <c r="A297" s="1" t="s">
        <v>49</v>
      </c>
      <c r="B297" s="1" t="s">
        <v>5</v>
      </c>
      <c r="C297" s="1" t="s">
        <v>31</v>
      </c>
      <c r="D297" s="4">
        <v>342.08076</v>
      </c>
      <c r="E297" s="4">
        <v>515.19812999999999</v>
      </c>
      <c r="F297" s="4">
        <v>641.43378196609785</v>
      </c>
      <c r="G297" s="4">
        <v>1279.4313475289628</v>
      </c>
      <c r="H297" s="19">
        <v>-0.46669357053277211</v>
      </c>
      <c r="J297" s="1" t="s">
        <v>75</v>
      </c>
    </row>
    <row r="298" spans="1:10" x14ac:dyDescent="0.25">
      <c r="A298" s="1" t="s">
        <v>49</v>
      </c>
      <c r="B298" s="1" t="s">
        <v>5</v>
      </c>
      <c r="C298" s="1" t="s">
        <v>32</v>
      </c>
      <c r="D298" s="4">
        <v>282.76491407127907</v>
      </c>
      <c r="E298" s="4">
        <v>-460.72126000000031</v>
      </c>
      <c r="F298" s="4">
        <v>277.9846299999997</v>
      </c>
      <c r="G298" s="4">
        <v>-226.75680000000045</v>
      </c>
      <c r="H298" s="19">
        <v>1.7196217183947808E-2</v>
      </c>
      <c r="J298" s="1" t="s">
        <v>75</v>
      </c>
    </row>
    <row r="299" spans="1:10" x14ac:dyDescent="0.25">
      <c r="A299" s="1" t="s">
        <v>50</v>
      </c>
      <c r="B299" s="1" t="s">
        <v>4</v>
      </c>
      <c r="C299" s="1" t="s">
        <v>63</v>
      </c>
      <c r="D299" s="4">
        <v>-26322.644469999825</v>
      </c>
      <c r="E299" s="4">
        <v>-20688.232149999822</v>
      </c>
      <c r="F299" s="4">
        <v>26710.293333333335</v>
      </c>
      <c r="G299" s="4">
        <v>53420.58666666667</v>
      </c>
      <c r="H299" s="19">
        <v>-1.9854869110385343</v>
      </c>
      <c r="I299" s="5"/>
      <c r="J299" s="1" t="s">
        <v>75</v>
      </c>
    </row>
    <row r="300" spans="1:10" x14ac:dyDescent="0.25">
      <c r="A300" s="1" t="s">
        <v>50</v>
      </c>
      <c r="B300" s="1" t="s">
        <v>4</v>
      </c>
      <c r="C300" s="1" t="s">
        <v>26</v>
      </c>
      <c r="E300" s="4">
        <v>684472.01187000016</v>
      </c>
      <c r="G300" s="4">
        <v>754005.64610340004</v>
      </c>
      <c r="H300" s="19">
        <v>0</v>
      </c>
      <c r="J300" s="1" t="s">
        <v>75</v>
      </c>
    </row>
    <row r="301" spans="1:10" x14ac:dyDescent="0.25">
      <c r="A301" s="1" t="s">
        <v>50</v>
      </c>
      <c r="B301" s="1" t="s">
        <v>4</v>
      </c>
      <c r="C301" s="1" t="s">
        <v>27</v>
      </c>
      <c r="D301" s="4">
        <v>0</v>
      </c>
      <c r="E301" s="4">
        <v>401393.34420102549</v>
      </c>
      <c r="G301" s="4">
        <v>372812.85656688345</v>
      </c>
      <c r="H301" s="19">
        <v>0</v>
      </c>
      <c r="J301" s="1" t="s">
        <v>75</v>
      </c>
    </row>
    <row r="302" spans="1:10" x14ac:dyDescent="0.25">
      <c r="A302" s="1" t="s">
        <v>50</v>
      </c>
      <c r="B302" s="1" t="s">
        <v>4</v>
      </c>
      <c r="C302" s="1" t="s">
        <v>21</v>
      </c>
      <c r="D302" s="4">
        <v>3243.1</v>
      </c>
      <c r="E302" s="4">
        <v>5852.0564999999997</v>
      </c>
      <c r="F302" s="4">
        <v>28387.866666666669</v>
      </c>
      <c r="G302" s="4">
        <v>56775.733333333337</v>
      </c>
      <c r="H302" s="19">
        <v>-0.88575753021243819</v>
      </c>
      <c r="J302" s="1" t="s">
        <v>75</v>
      </c>
    </row>
    <row r="303" spans="1:10" x14ac:dyDescent="0.25">
      <c r="A303" s="1" t="s">
        <v>50</v>
      </c>
      <c r="B303" s="1" t="s">
        <v>4</v>
      </c>
      <c r="C303" s="1" t="s">
        <v>28</v>
      </c>
      <c r="D303" s="4">
        <v>2210495.7399999998</v>
      </c>
      <c r="E303" s="4">
        <v>4397016</v>
      </c>
      <c r="F303" s="4">
        <v>5552000</v>
      </c>
      <c r="G303" s="4">
        <v>11104000</v>
      </c>
      <c r="H303" s="19">
        <v>-0.60185595461095109</v>
      </c>
      <c r="J303" s="1" t="s">
        <v>75</v>
      </c>
    </row>
    <row r="304" spans="1:10" x14ac:dyDescent="0.25">
      <c r="A304" s="1" t="s">
        <v>50</v>
      </c>
      <c r="B304" s="1" t="s">
        <v>4</v>
      </c>
      <c r="C304" s="1" t="s">
        <v>29</v>
      </c>
      <c r="D304" s="4">
        <v>77918</v>
      </c>
      <c r="E304" s="4">
        <v>797755</v>
      </c>
      <c r="F304" s="4">
        <v>153000</v>
      </c>
      <c r="G304" s="4">
        <v>306000</v>
      </c>
      <c r="H304" s="19">
        <v>-0.49073202614379086</v>
      </c>
      <c r="J304" s="1" t="s">
        <v>75</v>
      </c>
    </row>
    <row r="305" spans="1:10" x14ac:dyDescent="0.25">
      <c r="A305" s="1" t="s">
        <v>50</v>
      </c>
      <c r="B305" s="1" t="s">
        <v>4</v>
      </c>
      <c r="C305" s="1" t="s">
        <v>30</v>
      </c>
      <c r="D305" s="4">
        <v>45</v>
      </c>
      <c r="E305" s="4">
        <v>82</v>
      </c>
      <c r="F305" s="4">
        <v>98</v>
      </c>
      <c r="G305" s="4">
        <v>196</v>
      </c>
      <c r="H305" s="19">
        <v>-0.54081632653061229</v>
      </c>
      <c r="I305" s="1"/>
      <c r="J305" s="1" t="s">
        <v>75</v>
      </c>
    </row>
    <row r="306" spans="1:10" x14ac:dyDescent="0.25">
      <c r="A306" s="1" t="s">
        <v>50</v>
      </c>
      <c r="B306" s="1" t="s">
        <v>4</v>
      </c>
      <c r="C306" s="1" t="s">
        <v>31</v>
      </c>
      <c r="D306" s="4">
        <v>2449.1826399999995</v>
      </c>
      <c r="E306" s="4">
        <v>4903.6425699999991</v>
      </c>
      <c r="F306" s="4">
        <v>6542.0029829988871</v>
      </c>
      <c r="G306" s="4">
        <v>13082.881391659945</v>
      </c>
      <c r="H306" s="19">
        <v>-0.62562190106533977</v>
      </c>
      <c r="J306" s="1" t="s">
        <v>75</v>
      </c>
    </row>
    <row r="307" spans="1:10" x14ac:dyDescent="0.25">
      <c r="A307" s="1" t="s">
        <v>50</v>
      </c>
      <c r="B307" s="1" t="s">
        <v>4</v>
      </c>
      <c r="C307" s="1" t="s">
        <v>32</v>
      </c>
      <c r="D307" s="4">
        <v>4822.5422370256247</v>
      </c>
      <c r="E307" s="4">
        <v>7607.1160900000004</v>
      </c>
      <c r="F307" s="4">
        <v>4840.7881800000005</v>
      </c>
      <c r="G307" s="4">
        <v>3503.3898200000008</v>
      </c>
      <c r="H307" s="19">
        <v>-3.7692091237869021E-3</v>
      </c>
      <c r="J307" s="1" t="s">
        <v>75</v>
      </c>
    </row>
    <row r="308" spans="1:10" x14ac:dyDescent="0.25">
      <c r="A308" s="1" t="s">
        <v>51</v>
      </c>
      <c r="B308" s="1" t="s">
        <v>3</v>
      </c>
      <c r="C308" s="1" t="s">
        <v>63</v>
      </c>
      <c r="D308" s="4">
        <v>481.54388999998628</v>
      </c>
      <c r="E308" s="4">
        <v>6661.5892699999968</v>
      </c>
      <c r="F308" s="4">
        <v>19691.306666666656</v>
      </c>
      <c r="G308" s="4">
        <v>39382.613333333313</v>
      </c>
      <c r="H308" s="19">
        <v>-0.97554535622487959</v>
      </c>
      <c r="I308" s="5"/>
      <c r="J308" s="1" t="s">
        <v>75</v>
      </c>
    </row>
    <row r="309" spans="1:10" x14ac:dyDescent="0.25">
      <c r="A309" s="1" t="s">
        <v>51</v>
      </c>
      <c r="B309" s="1" t="s">
        <v>3</v>
      </c>
      <c r="C309" s="1" t="s">
        <v>26</v>
      </c>
      <c r="E309" s="4">
        <v>85116.598219999985</v>
      </c>
      <c r="G309" s="4">
        <v>66895.645768799994</v>
      </c>
      <c r="H309" s="19">
        <v>0</v>
      </c>
      <c r="J309" s="1" t="s">
        <v>75</v>
      </c>
    </row>
    <row r="310" spans="1:10" x14ac:dyDescent="0.25">
      <c r="A310" s="1" t="s">
        <v>51</v>
      </c>
      <c r="B310" s="1" t="s">
        <v>3</v>
      </c>
      <c r="C310" s="1" t="s">
        <v>27</v>
      </c>
      <c r="D310" s="4">
        <v>0</v>
      </c>
      <c r="E310" s="4">
        <v>165258.47632362475</v>
      </c>
      <c r="G310" s="4">
        <v>170420.61868446314</v>
      </c>
      <c r="H310" s="19">
        <v>0</v>
      </c>
      <c r="J310" s="1" t="s">
        <v>75</v>
      </c>
    </row>
    <row r="311" spans="1:10" x14ac:dyDescent="0.25">
      <c r="A311" s="1" t="s">
        <v>51</v>
      </c>
      <c r="B311" s="1" t="s">
        <v>3</v>
      </c>
      <c r="C311" s="1" t="s">
        <v>21</v>
      </c>
      <c r="D311" s="4">
        <v>5511.6255999999994</v>
      </c>
      <c r="E311" s="4">
        <v>11828.2606</v>
      </c>
      <c r="F311" s="4">
        <v>19614.133333333335</v>
      </c>
      <c r="G311" s="4">
        <v>39228.26666666667</v>
      </c>
      <c r="H311" s="19">
        <v>-0.71899724008538068</v>
      </c>
      <c r="J311" s="1" t="s">
        <v>75</v>
      </c>
    </row>
    <row r="312" spans="1:10" x14ac:dyDescent="0.25">
      <c r="A312" s="1" t="s">
        <v>51</v>
      </c>
      <c r="B312" s="1" t="s">
        <v>3</v>
      </c>
      <c r="C312" s="1" t="s">
        <v>28</v>
      </c>
      <c r="D312" s="4">
        <v>56980</v>
      </c>
      <c r="E312" s="4">
        <v>114980</v>
      </c>
      <c r="F312" s="4">
        <v>91000</v>
      </c>
      <c r="G312" s="4">
        <v>182000</v>
      </c>
      <c r="H312" s="19">
        <v>-0.37384615384615383</v>
      </c>
      <c r="J312" s="1" t="s">
        <v>75</v>
      </c>
    </row>
    <row r="313" spans="1:10" x14ac:dyDescent="0.25">
      <c r="A313" s="1" t="s">
        <v>51</v>
      </c>
      <c r="B313" s="1" t="s">
        <v>3</v>
      </c>
      <c r="C313" s="1" t="s">
        <v>29</v>
      </c>
      <c r="D313" s="4">
        <v>6281</v>
      </c>
      <c r="E313" s="4">
        <v>7213</v>
      </c>
      <c r="F313" s="4">
        <v>25000</v>
      </c>
      <c r="G313" s="4">
        <v>50000</v>
      </c>
      <c r="H313" s="19">
        <v>-0.74875999999999998</v>
      </c>
      <c r="J313" s="1" t="s">
        <v>75</v>
      </c>
    </row>
    <row r="314" spans="1:10" x14ac:dyDescent="0.25">
      <c r="A314" s="1" t="s">
        <v>51</v>
      </c>
      <c r="B314" s="1" t="s">
        <v>3</v>
      </c>
      <c r="C314" s="1" t="s">
        <v>30</v>
      </c>
      <c r="D314" s="4">
        <v>57</v>
      </c>
      <c r="E314" s="4">
        <v>109</v>
      </c>
      <c r="F314" s="4">
        <v>68</v>
      </c>
      <c r="G314" s="4">
        <v>136</v>
      </c>
      <c r="H314" s="19">
        <v>-0.16176470588235295</v>
      </c>
      <c r="I314" s="1"/>
      <c r="J314" s="1" t="s">
        <v>75</v>
      </c>
    </row>
    <row r="315" spans="1:10" x14ac:dyDescent="0.25">
      <c r="A315" s="1" t="s">
        <v>51</v>
      </c>
      <c r="B315" s="1" t="s">
        <v>3</v>
      </c>
      <c r="C315" s="1" t="s">
        <v>31</v>
      </c>
      <c r="D315" s="4">
        <v>262.83137000000011</v>
      </c>
      <c r="E315" s="4">
        <v>536.14499000000012</v>
      </c>
      <c r="F315" s="4">
        <v>853.49529397350182</v>
      </c>
      <c r="G315" s="4">
        <v>1708.960165751859</v>
      </c>
      <c r="H315" s="19">
        <v>-0.69205293590270212</v>
      </c>
      <c r="J315" s="1" t="s">
        <v>75</v>
      </c>
    </row>
    <row r="316" spans="1:10" x14ac:dyDescent="0.25">
      <c r="A316" s="1" t="s">
        <v>51</v>
      </c>
      <c r="B316" s="1" t="s">
        <v>3</v>
      </c>
      <c r="C316" s="1" t="s">
        <v>32</v>
      </c>
      <c r="D316" s="4">
        <v>2026.1295476773478</v>
      </c>
      <c r="E316" s="4">
        <v>256.56604688524658</v>
      </c>
      <c r="F316" s="4">
        <v>2023.3310468852374</v>
      </c>
      <c r="G316" s="4">
        <v>733.03626688524662</v>
      </c>
      <c r="H316" s="19">
        <v>1.3831156282697753E-3</v>
      </c>
      <c r="J316" s="1" t="s">
        <v>75</v>
      </c>
    </row>
    <row r="317" spans="1:10" x14ac:dyDescent="0.25">
      <c r="A317" s="1" t="s">
        <v>52</v>
      </c>
      <c r="B317" s="1" t="s">
        <v>13</v>
      </c>
      <c r="C317" s="1" t="s">
        <v>63</v>
      </c>
      <c r="D317" s="4">
        <v>1650.7025300000096</v>
      </c>
      <c r="E317" s="4">
        <v>2090.2163399999554</v>
      </c>
      <c r="F317" s="4">
        <v>23066.666666666715</v>
      </c>
      <c r="G317" s="4">
        <v>46133.33333333343</v>
      </c>
      <c r="H317" s="19">
        <v>-0.92843775158959507</v>
      </c>
      <c r="I317" s="5"/>
      <c r="J317" s="1" t="s">
        <v>75</v>
      </c>
    </row>
    <row r="318" spans="1:10" x14ac:dyDescent="0.25">
      <c r="A318" s="1" t="s">
        <v>52</v>
      </c>
      <c r="B318" s="1" t="s">
        <v>13</v>
      </c>
      <c r="C318" s="1" t="s">
        <v>26</v>
      </c>
      <c r="E318" s="4">
        <v>253227.98369999998</v>
      </c>
      <c r="G318" s="4">
        <v>253469.818134</v>
      </c>
      <c r="H318" s="19">
        <v>0</v>
      </c>
      <c r="J318" s="1" t="s">
        <v>75</v>
      </c>
    </row>
    <row r="319" spans="1:10" x14ac:dyDescent="0.25">
      <c r="A319" s="1" t="s">
        <v>52</v>
      </c>
      <c r="B319" s="1" t="s">
        <v>13</v>
      </c>
      <c r="C319" s="1" t="s">
        <v>27</v>
      </c>
      <c r="D319" s="4">
        <v>0</v>
      </c>
      <c r="E319" s="4">
        <v>223154.90373999992</v>
      </c>
      <c r="G319" s="4">
        <v>248625.03201409199</v>
      </c>
      <c r="H319" s="19">
        <v>0</v>
      </c>
      <c r="J319" s="1" t="s">
        <v>75</v>
      </c>
    </row>
    <row r="320" spans="1:10" x14ac:dyDescent="0.25">
      <c r="A320" s="1" t="s">
        <v>52</v>
      </c>
      <c r="B320" s="1" t="s">
        <v>13</v>
      </c>
      <c r="C320" s="1" t="s">
        <v>21</v>
      </c>
      <c r="D320" s="4">
        <v>2663.9528999999998</v>
      </c>
      <c r="E320" s="4">
        <v>9639.1479999999992</v>
      </c>
      <c r="F320" s="4">
        <v>23833.333333333332</v>
      </c>
      <c r="G320" s="4">
        <v>47666.666666666664</v>
      </c>
      <c r="H320" s="19">
        <v>-0.88822575244755242</v>
      </c>
      <c r="J320" s="1" t="s">
        <v>75</v>
      </c>
    </row>
    <row r="321" spans="1:10" x14ac:dyDescent="0.25">
      <c r="A321" s="1" t="s">
        <v>52</v>
      </c>
      <c r="B321" s="1" t="s">
        <v>13</v>
      </c>
      <c r="C321" s="1" t="s">
        <v>28</v>
      </c>
      <c r="D321" s="4">
        <v>738718.02</v>
      </c>
      <c r="E321" s="4">
        <v>3269893.12</v>
      </c>
      <c r="F321" s="4">
        <v>1211000</v>
      </c>
      <c r="G321" s="4">
        <v>2422000</v>
      </c>
      <c r="H321" s="19">
        <v>-0.38999337737407103</v>
      </c>
      <c r="J321" s="1" t="s">
        <v>75</v>
      </c>
    </row>
    <row r="322" spans="1:10" x14ac:dyDescent="0.25">
      <c r="A322" s="1" t="s">
        <v>52</v>
      </c>
      <c r="B322" s="1" t="s">
        <v>13</v>
      </c>
      <c r="C322" s="1" t="s">
        <v>29</v>
      </c>
      <c r="D322" s="4">
        <v>6832</v>
      </c>
      <c r="E322" s="4">
        <v>7702</v>
      </c>
      <c r="F322" s="4">
        <v>12000</v>
      </c>
      <c r="G322" s="4">
        <v>24000</v>
      </c>
      <c r="H322" s="19">
        <v>-0.43066666666666664</v>
      </c>
      <c r="J322" s="1" t="s">
        <v>75</v>
      </c>
    </row>
    <row r="323" spans="1:10" x14ac:dyDescent="0.25">
      <c r="A323" s="1" t="s">
        <v>52</v>
      </c>
      <c r="B323" s="1" t="s">
        <v>13</v>
      </c>
      <c r="C323" s="1" t="s">
        <v>30</v>
      </c>
      <c r="D323" s="4">
        <v>29</v>
      </c>
      <c r="E323" s="4">
        <v>67</v>
      </c>
      <c r="F323" s="4">
        <v>65</v>
      </c>
      <c r="G323" s="4">
        <v>130</v>
      </c>
      <c r="H323" s="19">
        <v>-0.55384615384615388</v>
      </c>
      <c r="I323" s="1"/>
      <c r="J323" s="1" t="s">
        <v>75</v>
      </c>
    </row>
    <row r="324" spans="1:10" x14ac:dyDescent="0.25">
      <c r="A324" s="1" t="s">
        <v>52</v>
      </c>
      <c r="B324" s="1" t="s">
        <v>13</v>
      </c>
      <c r="C324" s="1" t="s">
        <v>31</v>
      </c>
      <c r="D324" s="4">
        <v>900.66904999999997</v>
      </c>
      <c r="E324" s="4">
        <v>3704.1083100000001</v>
      </c>
      <c r="F324" s="4">
        <v>2001.3719121083273</v>
      </c>
      <c r="G324" s="4">
        <v>4000.7291591778694</v>
      </c>
      <c r="H324" s="19">
        <v>-0.54997417294060136</v>
      </c>
      <c r="J324" s="1" t="s">
        <v>75</v>
      </c>
    </row>
    <row r="325" spans="1:10" x14ac:dyDescent="0.25">
      <c r="A325" s="1" t="s">
        <v>52</v>
      </c>
      <c r="B325" s="1" t="s">
        <v>13</v>
      </c>
      <c r="C325" s="1" t="s">
        <v>32</v>
      </c>
      <c r="D325" s="4">
        <v>-647.5465419749529</v>
      </c>
      <c r="E325" s="4">
        <v>1104.956539999999</v>
      </c>
      <c r="F325" s="4">
        <v>-659.04588000000035</v>
      </c>
      <c r="G325" s="4">
        <v>359.13393999999926</v>
      </c>
      <c r="H325" s="19">
        <v>1.7448463565309661E-2</v>
      </c>
      <c r="J325" s="1" t="s">
        <v>75</v>
      </c>
    </row>
    <row r="326" spans="1:10" x14ac:dyDescent="0.25">
      <c r="A326" s="1" t="s">
        <v>53</v>
      </c>
      <c r="B326" s="1" t="s">
        <v>14</v>
      </c>
      <c r="C326" s="1" t="s">
        <v>63</v>
      </c>
      <c r="D326" s="4">
        <v>7158.3134599999939</v>
      </c>
      <c r="E326" s="4">
        <v>9010.6687399999973</v>
      </c>
      <c r="F326" s="4">
        <v>19776.960000000003</v>
      </c>
      <c r="G326" s="4">
        <v>39553.920000000006</v>
      </c>
      <c r="H326" s="19">
        <v>-0.63804783647233987</v>
      </c>
      <c r="I326" s="5"/>
      <c r="J326" s="1" t="s">
        <v>75</v>
      </c>
    </row>
    <row r="327" spans="1:10" x14ac:dyDescent="0.25">
      <c r="A327" s="1" t="s">
        <v>53</v>
      </c>
      <c r="B327" s="1" t="s">
        <v>14</v>
      </c>
      <c r="C327" s="1" t="s">
        <v>26</v>
      </c>
      <c r="E327" s="4">
        <v>37305.203589999997</v>
      </c>
      <c r="G327" s="4">
        <v>23031.166928400002</v>
      </c>
      <c r="H327" s="19">
        <v>0</v>
      </c>
      <c r="J327" s="1" t="s">
        <v>75</v>
      </c>
    </row>
    <row r="328" spans="1:10" x14ac:dyDescent="0.25">
      <c r="A328" s="1" t="s">
        <v>53</v>
      </c>
      <c r="B328" s="1" t="s">
        <v>14</v>
      </c>
      <c r="C328" s="1" t="s">
        <v>27</v>
      </c>
      <c r="D328" s="4">
        <v>0</v>
      </c>
      <c r="E328" s="4">
        <v>154975.63131602525</v>
      </c>
      <c r="G328" s="4">
        <v>168438.30043881913</v>
      </c>
      <c r="H328" s="19">
        <v>0</v>
      </c>
      <c r="J328" s="1" t="s">
        <v>75</v>
      </c>
    </row>
    <row r="329" spans="1:10" x14ac:dyDescent="0.25">
      <c r="A329" s="1" t="s">
        <v>53</v>
      </c>
      <c r="B329" s="1" t="s">
        <v>14</v>
      </c>
      <c r="C329" s="1" t="s">
        <v>21</v>
      </c>
      <c r="D329" s="4">
        <v>4781.0940000000001</v>
      </c>
      <c r="E329" s="4">
        <v>5516.3940000000002</v>
      </c>
      <c r="F329" s="4">
        <v>19721.2</v>
      </c>
      <c r="G329" s="4">
        <v>39442.400000000001</v>
      </c>
      <c r="H329" s="19">
        <v>-0.7575657667890392</v>
      </c>
      <c r="J329" s="1" t="s">
        <v>75</v>
      </c>
    </row>
    <row r="330" spans="1:10" x14ac:dyDescent="0.25">
      <c r="A330" s="1" t="s">
        <v>53</v>
      </c>
      <c r="B330" s="1" t="s">
        <v>14</v>
      </c>
      <c r="C330" s="1" t="s">
        <v>28</v>
      </c>
      <c r="D330" s="4">
        <v>63880</v>
      </c>
      <c r="E330" s="4">
        <v>86120</v>
      </c>
      <c r="F330" s="4">
        <v>58000</v>
      </c>
      <c r="G330" s="4">
        <v>116000</v>
      </c>
      <c r="H330" s="19">
        <v>0.10137931034482758</v>
      </c>
      <c r="J330" s="1" t="s">
        <v>75</v>
      </c>
    </row>
    <row r="331" spans="1:10" x14ac:dyDescent="0.25">
      <c r="A331" s="1" t="s">
        <v>53</v>
      </c>
      <c r="B331" s="1" t="s">
        <v>14</v>
      </c>
      <c r="C331" s="1" t="s">
        <v>29</v>
      </c>
      <c r="D331" s="4">
        <v>3290</v>
      </c>
      <c r="E331" s="4">
        <v>4236</v>
      </c>
      <c r="F331" s="4">
        <v>2000</v>
      </c>
      <c r="G331" s="4">
        <v>4000</v>
      </c>
      <c r="H331" s="19">
        <v>0.64500000000000002</v>
      </c>
      <c r="J331" s="1" t="s">
        <v>75</v>
      </c>
    </row>
    <row r="332" spans="1:10" x14ac:dyDescent="0.25">
      <c r="A332" s="1" t="s">
        <v>53</v>
      </c>
      <c r="B332" s="1" t="s">
        <v>14</v>
      </c>
      <c r="C332" s="1" t="s">
        <v>30</v>
      </c>
      <c r="D332" s="4">
        <v>49</v>
      </c>
      <c r="E332" s="4">
        <v>90</v>
      </c>
      <c r="F332" s="4">
        <v>61</v>
      </c>
      <c r="G332" s="4">
        <v>122</v>
      </c>
      <c r="H332" s="19">
        <v>-0.19672131147540983</v>
      </c>
      <c r="I332" s="1"/>
      <c r="J332" s="1" t="s">
        <v>75</v>
      </c>
    </row>
    <row r="333" spans="1:10" x14ac:dyDescent="0.25">
      <c r="A333" s="1" t="s">
        <v>53</v>
      </c>
      <c r="B333" s="1" t="s">
        <v>14</v>
      </c>
      <c r="C333" s="1" t="s">
        <v>31</v>
      </c>
      <c r="D333" s="4">
        <v>287.50962000000004</v>
      </c>
      <c r="E333" s="4">
        <v>396.55977000000001</v>
      </c>
      <c r="F333" s="4">
        <v>741.93462465090317</v>
      </c>
      <c r="G333" s="4">
        <v>1482.5569728294149</v>
      </c>
      <c r="H333" s="19">
        <v>-0.6124865851418112</v>
      </c>
      <c r="J333" s="1" t="s">
        <v>75</v>
      </c>
    </row>
    <row r="334" spans="1:10" x14ac:dyDescent="0.25">
      <c r="A334" s="1" t="s">
        <v>53</v>
      </c>
      <c r="B334" s="1" t="s">
        <v>14</v>
      </c>
      <c r="C334" s="1" t="s">
        <v>32</v>
      </c>
      <c r="D334" s="4">
        <v>52.913855701438152</v>
      </c>
      <c r="E334" s="4">
        <v>-848.06159000000082</v>
      </c>
      <c r="F334" s="4">
        <v>36.313549999999125</v>
      </c>
      <c r="G334" s="4">
        <v>-70.679350000001023</v>
      </c>
      <c r="H334" s="19">
        <v>0.45713805732128715</v>
      </c>
      <c r="J334" s="1" t="s">
        <v>75</v>
      </c>
    </row>
    <row r="335" spans="1:10" x14ac:dyDescent="0.25">
      <c r="A335" s="1" t="s">
        <v>54</v>
      </c>
      <c r="B335" s="1" t="s">
        <v>16</v>
      </c>
      <c r="C335" s="1" t="s">
        <v>63</v>
      </c>
      <c r="D335" s="4">
        <v>-18174.085100000055</v>
      </c>
      <c r="E335" s="4">
        <v>-12090.917310000048</v>
      </c>
      <c r="F335" s="4">
        <v>22421.813333333354</v>
      </c>
      <c r="G335" s="4">
        <v>44843.626666666707</v>
      </c>
      <c r="H335" s="19">
        <v>-1.8105537598505281</v>
      </c>
      <c r="I335" s="5"/>
      <c r="J335" s="1" t="s">
        <v>75</v>
      </c>
    </row>
    <row r="336" spans="1:10" x14ac:dyDescent="0.25">
      <c r="A336" s="1" t="s">
        <v>54</v>
      </c>
      <c r="B336" s="1" t="s">
        <v>16</v>
      </c>
      <c r="C336" s="1" t="s">
        <v>26</v>
      </c>
      <c r="E336" s="4">
        <v>144800.81262999997</v>
      </c>
      <c r="G336" s="4">
        <v>186271.37329860003</v>
      </c>
      <c r="H336" s="19">
        <v>0</v>
      </c>
      <c r="J336" s="1" t="s">
        <v>75</v>
      </c>
    </row>
    <row r="337" spans="1:10" x14ac:dyDescent="0.25">
      <c r="A337" s="1" t="s">
        <v>54</v>
      </c>
      <c r="B337" s="1" t="s">
        <v>16</v>
      </c>
      <c r="C337" s="1" t="s">
        <v>27</v>
      </c>
      <c r="D337" s="4">
        <v>0</v>
      </c>
      <c r="E337" s="4">
        <v>177331.40934679887</v>
      </c>
      <c r="G337" s="4">
        <v>182396.9376853166</v>
      </c>
      <c r="H337" s="19">
        <v>0</v>
      </c>
      <c r="J337" s="1" t="s">
        <v>75</v>
      </c>
    </row>
    <row r="338" spans="1:10" x14ac:dyDescent="0.25">
      <c r="A338" s="1" t="s">
        <v>54</v>
      </c>
      <c r="B338" s="1" t="s">
        <v>16</v>
      </c>
      <c r="C338" s="1" t="s">
        <v>21</v>
      </c>
      <c r="D338" s="4">
        <v>5774.5968000000003</v>
      </c>
      <c r="E338" s="4">
        <v>13164.11275</v>
      </c>
      <c r="F338" s="4">
        <v>23027.266666666666</v>
      </c>
      <c r="G338" s="4">
        <v>46054.533333333333</v>
      </c>
      <c r="H338" s="19">
        <v>-0.74922786609497727</v>
      </c>
      <c r="J338" s="1" t="s">
        <v>75</v>
      </c>
    </row>
    <row r="339" spans="1:10" x14ac:dyDescent="0.25">
      <c r="A339" s="1" t="s">
        <v>54</v>
      </c>
      <c r="B339" s="1" t="s">
        <v>16</v>
      </c>
      <c r="C339" s="1" t="s">
        <v>28</v>
      </c>
      <c r="D339" s="4">
        <v>253781</v>
      </c>
      <c r="E339" s="4">
        <v>539520</v>
      </c>
      <c r="F339" s="4">
        <v>498000</v>
      </c>
      <c r="G339" s="4">
        <v>996000</v>
      </c>
      <c r="H339" s="19">
        <v>-0.49039959839357428</v>
      </c>
      <c r="J339" s="1" t="s">
        <v>75</v>
      </c>
    </row>
    <row r="340" spans="1:10" x14ac:dyDescent="0.25">
      <c r="A340" s="1" t="s">
        <v>54</v>
      </c>
      <c r="B340" s="1" t="s">
        <v>16</v>
      </c>
      <c r="C340" s="1" t="s">
        <v>29</v>
      </c>
      <c r="D340" s="4">
        <v>42019</v>
      </c>
      <c r="E340" s="4">
        <v>201562</v>
      </c>
      <c r="F340" s="4">
        <v>289000</v>
      </c>
      <c r="G340" s="4">
        <v>578000</v>
      </c>
      <c r="H340" s="19">
        <v>-0.85460553633217995</v>
      </c>
      <c r="J340" s="1" t="s">
        <v>75</v>
      </c>
    </row>
    <row r="341" spans="1:10" x14ac:dyDescent="0.25">
      <c r="A341" s="1" t="s">
        <v>54</v>
      </c>
      <c r="B341" s="1" t="s">
        <v>16</v>
      </c>
      <c r="C341" s="1" t="s">
        <v>30</v>
      </c>
      <c r="D341" s="4">
        <v>33</v>
      </c>
      <c r="E341" s="4">
        <v>99</v>
      </c>
      <c r="F341" s="4">
        <v>56</v>
      </c>
      <c r="G341" s="4">
        <v>112</v>
      </c>
      <c r="H341" s="19">
        <v>-0.4107142857142857</v>
      </c>
      <c r="I341" s="1"/>
      <c r="J341" s="1" t="s">
        <v>75</v>
      </c>
    </row>
    <row r="342" spans="1:10" x14ac:dyDescent="0.25">
      <c r="A342" s="1" t="s">
        <v>54</v>
      </c>
      <c r="B342" s="1" t="s">
        <v>16</v>
      </c>
      <c r="C342" s="1" t="s">
        <v>31</v>
      </c>
      <c r="D342" s="4">
        <v>535.65473000000009</v>
      </c>
      <c r="E342" s="4">
        <v>1152.9178900000002</v>
      </c>
      <c r="F342" s="4">
        <v>1357.9760246545547</v>
      </c>
      <c r="G342" s="4">
        <v>2715.4629829156811</v>
      </c>
      <c r="H342" s="19">
        <v>-0.60554919948880448</v>
      </c>
      <c r="J342" s="1" t="s">
        <v>75</v>
      </c>
    </row>
    <row r="343" spans="1:10" x14ac:dyDescent="0.25">
      <c r="A343" s="1" t="s">
        <v>54</v>
      </c>
      <c r="B343" s="1" t="s">
        <v>16</v>
      </c>
      <c r="C343" s="1" t="s">
        <v>32</v>
      </c>
      <c r="D343" s="4">
        <v>621.10635454658325</v>
      </c>
      <c r="E343" s="4">
        <v>2848.1883200000034</v>
      </c>
      <c r="F343" s="4">
        <v>622.61337000000231</v>
      </c>
      <c r="G343" s="4">
        <v>2643.6550700000016</v>
      </c>
      <c r="H343" s="19">
        <v>-2.4204675421908338E-3</v>
      </c>
      <c r="J343" s="1" t="s">
        <v>75</v>
      </c>
    </row>
    <row r="344" spans="1:10" x14ac:dyDescent="0.25">
      <c r="A344" s="1" t="s">
        <v>55</v>
      </c>
      <c r="B344" s="1" t="s">
        <v>10</v>
      </c>
      <c r="C344" s="1" t="s">
        <v>63</v>
      </c>
      <c r="D344" s="4">
        <v>9840.489980000013</v>
      </c>
      <c r="E344" s="4">
        <v>-13522.203730000008</v>
      </c>
      <c r="F344" s="4">
        <v>18288.479999999996</v>
      </c>
      <c r="G344" s="4">
        <v>36576.959999999992</v>
      </c>
      <c r="H344" s="19">
        <v>-0.46192958736865963</v>
      </c>
      <c r="I344" s="5"/>
      <c r="J344" s="1" t="s">
        <v>75</v>
      </c>
    </row>
    <row r="345" spans="1:10" x14ac:dyDescent="0.25">
      <c r="A345" s="1" t="s">
        <v>55</v>
      </c>
      <c r="B345" s="1" t="s">
        <v>10</v>
      </c>
      <c r="C345" s="1" t="s">
        <v>26</v>
      </c>
      <c r="E345" s="4">
        <v>68327.417960000006</v>
      </c>
      <c r="G345" s="4">
        <v>75016.986085800003</v>
      </c>
      <c r="H345" s="19">
        <v>0</v>
      </c>
      <c r="J345" s="1" t="s">
        <v>75</v>
      </c>
    </row>
    <row r="346" spans="1:10" x14ac:dyDescent="0.25">
      <c r="A346" s="1" t="s">
        <v>55</v>
      </c>
      <c r="B346" s="1" t="s">
        <v>10</v>
      </c>
      <c r="C346" s="1" t="s">
        <v>27</v>
      </c>
      <c r="D346" s="4">
        <v>0</v>
      </c>
      <c r="E346" s="4">
        <v>151043.3903405109</v>
      </c>
      <c r="G346" s="4">
        <v>163811.85953632696</v>
      </c>
      <c r="H346" s="19">
        <v>0</v>
      </c>
      <c r="J346" s="1" t="s">
        <v>75</v>
      </c>
    </row>
    <row r="347" spans="1:10" x14ac:dyDescent="0.25">
      <c r="A347" s="1" t="s">
        <v>55</v>
      </c>
      <c r="B347" s="1" t="s">
        <v>10</v>
      </c>
      <c r="C347" s="1" t="s">
        <v>21</v>
      </c>
      <c r="D347" s="4">
        <v>3303.7797999999998</v>
      </c>
      <c r="E347" s="4">
        <v>5624.0617999999995</v>
      </c>
      <c r="F347" s="4">
        <v>17860.599999999999</v>
      </c>
      <c r="G347" s="4">
        <v>35721.199999999997</v>
      </c>
      <c r="H347" s="19">
        <v>-0.81502414252600697</v>
      </c>
      <c r="J347" s="1" t="s">
        <v>75</v>
      </c>
    </row>
    <row r="348" spans="1:10" x14ac:dyDescent="0.25">
      <c r="A348" s="1" t="s">
        <v>55</v>
      </c>
      <c r="B348" s="1" t="s">
        <v>10</v>
      </c>
      <c r="C348" s="1" t="s">
        <v>28</v>
      </c>
      <c r="D348" s="4">
        <v>132911</v>
      </c>
      <c r="E348" s="4">
        <v>276859.08999999997</v>
      </c>
      <c r="F348" s="4">
        <v>164000</v>
      </c>
      <c r="G348" s="4">
        <v>328000</v>
      </c>
      <c r="H348" s="19">
        <v>-0.18956707317073171</v>
      </c>
      <c r="J348" s="1" t="s">
        <v>75</v>
      </c>
    </row>
    <row r="349" spans="1:10" x14ac:dyDescent="0.25">
      <c r="A349" s="1" t="s">
        <v>55</v>
      </c>
      <c r="B349" s="1" t="s">
        <v>10</v>
      </c>
      <c r="C349" s="1" t="s">
        <v>29</v>
      </c>
      <c r="D349" s="4">
        <v>1000</v>
      </c>
      <c r="E349" s="4">
        <v>1000</v>
      </c>
      <c r="F349" s="4">
        <v>2000</v>
      </c>
      <c r="G349" s="4">
        <v>4000</v>
      </c>
      <c r="H349" s="19">
        <v>-0.5</v>
      </c>
      <c r="J349" s="1" t="s">
        <v>75</v>
      </c>
    </row>
    <row r="350" spans="1:10" x14ac:dyDescent="0.25">
      <c r="A350" s="1" t="s">
        <v>55</v>
      </c>
      <c r="B350" s="1" t="s">
        <v>10</v>
      </c>
      <c r="C350" s="1" t="s">
        <v>30</v>
      </c>
      <c r="D350" s="4">
        <v>34</v>
      </c>
      <c r="E350" s="4">
        <v>55</v>
      </c>
      <c r="F350" s="4">
        <v>48</v>
      </c>
      <c r="G350" s="4">
        <v>96</v>
      </c>
      <c r="H350" s="19">
        <v>-0.29166666666666669</v>
      </c>
      <c r="I350" s="1"/>
      <c r="J350" s="1" t="s">
        <v>75</v>
      </c>
    </row>
    <row r="351" spans="1:10" x14ac:dyDescent="0.25">
      <c r="A351" s="1" t="s">
        <v>55</v>
      </c>
      <c r="B351" s="1" t="s">
        <v>10</v>
      </c>
      <c r="C351" s="1" t="s">
        <v>31</v>
      </c>
      <c r="D351" s="4">
        <v>383.09165000000007</v>
      </c>
      <c r="E351" s="4">
        <v>706.18121000000008</v>
      </c>
      <c r="F351" s="4">
        <v>813.60221901287321</v>
      </c>
      <c r="G351" s="4">
        <v>1627.2714359201366</v>
      </c>
      <c r="H351" s="19">
        <v>-0.52914134075888186</v>
      </c>
      <c r="J351" s="1" t="s">
        <v>75</v>
      </c>
    </row>
    <row r="352" spans="1:10" x14ac:dyDescent="0.25">
      <c r="A352" s="1" t="s">
        <v>55</v>
      </c>
      <c r="B352" s="1" t="s">
        <v>10</v>
      </c>
      <c r="C352" s="1" t="s">
        <v>32</v>
      </c>
      <c r="D352" s="4">
        <v>-556.76936130089803</v>
      </c>
      <c r="E352" s="4">
        <v>-1662.5915899999991</v>
      </c>
      <c r="F352" s="4">
        <v>-563.53572000000077</v>
      </c>
      <c r="G352" s="4">
        <v>-1277.5201800000007</v>
      </c>
      <c r="H352" s="19">
        <v>1.2006973930778922E-2</v>
      </c>
      <c r="J352" s="1" t="s">
        <v>75</v>
      </c>
    </row>
    <row r="353" spans="1:10" x14ac:dyDescent="0.25">
      <c r="A353" s="1" t="s">
        <v>56</v>
      </c>
      <c r="B353" s="1" t="s">
        <v>7</v>
      </c>
      <c r="C353" s="1" t="s">
        <v>63</v>
      </c>
      <c r="D353" s="4">
        <v>1110.9736500000145</v>
      </c>
      <c r="E353" s="4">
        <v>-295.50074000000677</v>
      </c>
      <c r="F353" s="4">
        <v>23643.626666666671</v>
      </c>
      <c r="G353" s="4">
        <v>47287.253333333341</v>
      </c>
      <c r="H353" s="19">
        <v>-0.95301170731280871</v>
      </c>
      <c r="I353" s="5"/>
      <c r="J353" s="1" t="s">
        <v>75</v>
      </c>
    </row>
    <row r="354" spans="1:10" x14ac:dyDescent="0.25">
      <c r="A354" s="1" t="s">
        <v>56</v>
      </c>
      <c r="B354" s="1" t="s">
        <v>7</v>
      </c>
      <c r="C354" s="1" t="s">
        <v>26</v>
      </c>
      <c r="E354" s="4">
        <v>32209.87902</v>
      </c>
      <c r="G354" s="4">
        <v>38069.821528799999</v>
      </c>
      <c r="H354" s="19">
        <v>0</v>
      </c>
      <c r="J354" s="1" t="s">
        <v>75</v>
      </c>
    </row>
    <row r="355" spans="1:10" x14ac:dyDescent="0.25">
      <c r="A355" s="1" t="s">
        <v>56</v>
      </c>
      <c r="B355" s="1" t="s">
        <v>7</v>
      </c>
      <c r="C355" s="1" t="s">
        <v>27</v>
      </c>
      <c r="D355" s="4">
        <v>0</v>
      </c>
      <c r="E355" s="4">
        <v>170586.61546050469</v>
      </c>
      <c r="G355" s="4">
        <v>178213.41026210159</v>
      </c>
      <c r="H355" s="19">
        <v>0</v>
      </c>
      <c r="J355" s="1" t="s">
        <v>75</v>
      </c>
    </row>
    <row r="356" spans="1:10" x14ac:dyDescent="0.25">
      <c r="A356" s="1" t="s">
        <v>56</v>
      </c>
      <c r="B356" s="1" t="s">
        <v>7</v>
      </c>
      <c r="C356" s="1" t="s">
        <v>21</v>
      </c>
      <c r="D356" s="4">
        <v>5067.8177000000005</v>
      </c>
      <c r="E356" s="4">
        <v>9156.62255</v>
      </c>
      <c r="F356" s="4">
        <v>24554.533333333333</v>
      </c>
      <c r="G356" s="4">
        <v>49109.066666666666</v>
      </c>
      <c r="H356" s="19">
        <v>-0.79360969189667629</v>
      </c>
      <c r="J356" s="1" t="s">
        <v>75</v>
      </c>
    </row>
    <row r="357" spans="1:10" x14ac:dyDescent="0.25">
      <c r="A357" s="1" t="s">
        <v>56</v>
      </c>
      <c r="B357" s="1" t="s">
        <v>7</v>
      </c>
      <c r="C357" s="1" t="s">
        <v>28</v>
      </c>
      <c r="D357" s="4">
        <v>110366</v>
      </c>
      <c r="E357" s="4">
        <v>227757</v>
      </c>
      <c r="F357" s="4">
        <v>280000</v>
      </c>
      <c r="G357" s="4">
        <v>560000</v>
      </c>
      <c r="H357" s="19">
        <v>-0.60583571428571426</v>
      </c>
      <c r="J357" s="1" t="s">
        <v>75</v>
      </c>
    </row>
    <row r="358" spans="1:10" x14ac:dyDescent="0.25">
      <c r="A358" s="1" t="s">
        <v>56</v>
      </c>
      <c r="B358" s="1" t="s">
        <v>7</v>
      </c>
      <c r="C358" s="1" t="s">
        <v>29</v>
      </c>
      <c r="D358" s="4">
        <v>392</v>
      </c>
      <c r="E358" s="4">
        <v>24862</v>
      </c>
      <c r="F358" s="4">
        <v>7000</v>
      </c>
      <c r="G358" s="4">
        <v>14000</v>
      </c>
      <c r="H358" s="19">
        <v>-0.94399999999999995</v>
      </c>
      <c r="J358" s="1" t="s">
        <v>75</v>
      </c>
    </row>
    <row r="359" spans="1:10" x14ac:dyDescent="0.25">
      <c r="A359" s="1" t="s">
        <v>56</v>
      </c>
      <c r="B359" s="1" t="s">
        <v>7</v>
      </c>
      <c r="C359" s="1" t="s">
        <v>30</v>
      </c>
      <c r="D359" s="4">
        <v>178</v>
      </c>
      <c r="E359" s="4">
        <v>254</v>
      </c>
      <c r="F359" s="4">
        <v>108</v>
      </c>
      <c r="G359" s="4">
        <v>216</v>
      </c>
      <c r="H359" s="19">
        <v>0.64814814814814814</v>
      </c>
      <c r="I359" s="1"/>
      <c r="J359" s="1" t="s">
        <v>75</v>
      </c>
    </row>
    <row r="360" spans="1:10" x14ac:dyDescent="0.25">
      <c r="A360" s="1" t="s">
        <v>56</v>
      </c>
      <c r="B360" s="1" t="s">
        <v>7</v>
      </c>
      <c r="C360" s="1" t="s">
        <v>31</v>
      </c>
      <c r="D360" s="4">
        <v>417.8765800000001</v>
      </c>
      <c r="E360" s="4">
        <v>777.99894000000006</v>
      </c>
      <c r="F360" s="4">
        <v>1150.3412102808793</v>
      </c>
      <c r="G360" s="4">
        <v>2298.6005580194851</v>
      </c>
      <c r="H360" s="19">
        <v>-0.63673684271646058</v>
      </c>
      <c r="J360" s="1" t="s">
        <v>75</v>
      </c>
    </row>
    <row r="361" spans="1:10" x14ac:dyDescent="0.25">
      <c r="A361" s="1" t="s">
        <v>56</v>
      </c>
      <c r="B361" s="1" t="s">
        <v>7</v>
      </c>
      <c r="C361" s="1" t="s">
        <v>32</v>
      </c>
      <c r="D361" s="4">
        <v>703.44527324235514</v>
      </c>
      <c r="E361" s="4">
        <v>156.35093000000074</v>
      </c>
      <c r="F361" s="4">
        <v>720.0456100000016</v>
      </c>
      <c r="G361" s="4">
        <v>1034.4769700000002</v>
      </c>
      <c r="H361" s="19">
        <v>-2.3054562831993967E-2</v>
      </c>
      <c r="J361" s="1" t="s">
        <v>75</v>
      </c>
    </row>
    <row r="362" spans="1:10" x14ac:dyDescent="0.25">
      <c r="A362" s="1" t="s">
        <v>57</v>
      </c>
      <c r="B362" s="1" t="s">
        <v>24</v>
      </c>
      <c r="C362" s="1" t="s">
        <v>63</v>
      </c>
      <c r="D362" s="4">
        <v>4.3369999999999891</v>
      </c>
      <c r="E362" s="4">
        <v>5.3196500000000242</v>
      </c>
      <c r="F362" s="4">
        <v>0</v>
      </c>
      <c r="G362" s="4">
        <v>0</v>
      </c>
      <c r="H362" s="19">
        <v>0</v>
      </c>
      <c r="I362" s="5"/>
      <c r="J362" s="1" t="s">
        <v>75</v>
      </c>
    </row>
    <row r="363" spans="1:10" x14ac:dyDescent="0.25">
      <c r="A363" s="1" t="s">
        <v>57</v>
      </c>
      <c r="B363" s="1" t="s">
        <v>24</v>
      </c>
      <c r="C363" s="1" t="s">
        <v>26</v>
      </c>
      <c r="E363" s="4">
        <v>620.50470999999993</v>
      </c>
      <c r="G363" s="4">
        <v>687.92719860000011</v>
      </c>
      <c r="H363" s="19">
        <v>0</v>
      </c>
      <c r="J363" s="1" t="s">
        <v>75</v>
      </c>
    </row>
    <row r="364" spans="1:10" x14ac:dyDescent="0.25">
      <c r="A364" s="1" t="s">
        <v>57</v>
      </c>
      <c r="B364" s="1" t="s">
        <v>24</v>
      </c>
      <c r="C364" s="1" t="s">
        <v>27</v>
      </c>
      <c r="D364" s="4">
        <v>0</v>
      </c>
      <c r="E364" s="4">
        <v>0</v>
      </c>
      <c r="G364" s="4">
        <v>0</v>
      </c>
      <c r="H364" s="19">
        <v>0</v>
      </c>
      <c r="J364" s="1" t="s">
        <v>75</v>
      </c>
    </row>
    <row r="365" spans="1:10" x14ac:dyDescent="0.25">
      <c r="A365" s="1" t="s">
        <v>57</v>
      </c>
      <c r="B365" s="1" t="s">
        <v>24</v>
      </c>
      <c r="C365" s="1" t="s">
        <v>21</v>
      </c>
      <c r="D365" s="4">
        <v>0</v>
      </c>
      <c r="E365" s="4">
        <v>0</v>
      </c>
      <c r="F365" s="4">
        <v>0</v>
      </c>
      <c r="G365" s="4">
        <v>0</v>
      </c>
      <c r="H365" s="19">
        <v>0</v>
      </c>
      <c r="J365" s="1" t="s">
        <v>75</v>
      </c>
    </row>
    <row r="366" spans="1:10" x14ac:dyDescent="0.25">
      <c r="A366" s="1" t="s">
        <v>57</v>
      </c>
      <c r="B366" s="1" t="s">
        <v>24</v>
      </c>
      <c r="C366" s="1" t="s">
        <v>28</v>
      </c>
      <c r="D366" s="4">
        <v>0</v>
      </c>
      <c r="E366" s="4">
        <v>0</v>
      </c>
      <c r="F366" s="4">
        <v>0</v>
      </c>
      <c r="G366" s="4">
        <v>0</v>
      </c>
      <c r="H366" s="19">
        <v>0</v>
      </c>
      <c r="J366" s="1" t="s">
        <v>75</v>
      </c>
    </row>
    <row r="367" spans="1:10" x14ac:dyDescent="0.25">
      <c r="A367" s="1" t="s">
        <v>57</v>
      </c>
      <c r="B367" s="1" t="s">
        <v>24</v>
      </c>
      <c r="C367" s="1" t="s">
        <v>29</v>
      </c>
      <c r="D367" s="4">
        <v>0</v>
      </c>
      <c r="E367" s="4">
        <v>0</v>
      </c>
      <c r="F367" s="4">
        <v>0</v>
      </c>
      <c r="G367" s="4">
        <v>0</v>
      </c>
      <c r="H367" s="19">
        <v>0</v>
      </c>
      <c r="J367" s="1" t="s">
        <v>75</v>
      </c>
    </row>
    <row r="368" spans="1:10" x14ac:dyDescent="0.25">
      <c r="A368" s="1" t="s">
        <v>57</v>
      </c>
      <c r="B368" s="1" t="s">
        <v>24</v>
      </c>
      <c r="C368" s="1" t="s">
        <v>30</v>
      </c>
      <c r="D368" s="4">
        <v>0</v>
      </c>
      <c r="E368" s="4">
        <v>0</v>
      </c>
      <c r="F368" s="4">
        <v>0</v>
      </c>
      <c r="G368" s="4">
        <v>0</v>
      </c>
      <c r="H368" s="19">
        <v>0</v>
      </c>
      <c r="I368" s="1"/>
      <c r="J368" s="1" t="s">
        <v>75</v>
      </c>
    </row>
    <row r="369" spans="1:10" x14ac:dyDescent="0.25">
      <c r="A369" s="1" t="s">
        <v>57</v>
      </c>
      <c r="B369" s="1" t="s">
        <v>24</v>
      </c>
      <c r="C369" s="1" t="s">
        <v>31</v>
      </c>
      <c r="D369" s="4">
        <v>0</v>
      </c>
      <c r="E369" s="4">
        <v>0</v>
      </c>
      <c r="F369" s="4">
        <v>0.70949737825838144</v>
      </c>
      <c r="G369" s="4">
        <v>1.4529986121525389</v>
      </c>
      <c r="H369" s="19">
        <v>-1</v>
      </c>
      <c r="J369" s="1" t="s">
        <v>75</v>
      </c>
    </row>
    <row r="370" spans="1:10" x14ac:dyDescent="0.25">
      <c r="A370" s="1" t="s">
        <v>57</v>
      </c>
      <c r="B370" s="1" t="s">
        <v>24</v>
      </c>
      <c r="C370" s="1" t="s">
        <v>32</v>
      </c>
      <c r="D370" s="4">
        <v>-4.6636904992789718</v>
      </c>
      <c r="E370" s="4">
        <v>1.2625199999999994</v>
      </c>
      <c r="F370" s="4">
        <v>-5.6636900000000008</v>
      </c>
      <c r="G370" s="4">
        <v>-7.2136500000000003</v>
      </c>
      <c r="H370" s="19">
        <v>0.17656324776268278</v>
      </c>
      <c r="J370" s="1" t="s">
        <v>75</v>
      </c>
    </row>
    <row r="371" spans="1:10" x14ac:dyDescent="0.25">
      <c r="A371" s="1" t="s">
        <v>58</v>
      </c>
      <c r="B371" s="1" t="s">
        <v>1</v>
      </c>
      <c r="C371" s="1" t="s">
        <v>63</v>
      </c>
      <c r="D371" s="4">
        <v>-1156.8919499999902</v>
      </c>
      <c r="E371" s="4">
        <v>10728.722140000027</v>
      </c>
      <c r="F371" s="4">
        <v>30401.600000000006</v>
      </c>
      <c r="G371" s="4">
        <v>60803.200000000012</v>
      </c>
      <c r="H371" s="19">
        <v>-1.0380536534261351</v>
      </c>
      <c r="I371" s="5"/>
      <c r="J371" s="1" t="s">
        <v>75</v>
      </c>
    </row>
    <row r="372" spans="1:10" x14ac:dyDescent="0.25">
      <c r="A372" s="1" t="s">
        <v>58</v>
      </c>
      <c r="B372" s="1" t="s">
        <v>1</v>
      </c>
      <c r="C372" s="1" t="s">
        <v>26</v>
      </c>
      <c r="E372" s="4">
        <v>229186.98157</v>
      </c>
      <c r="G372" s="4">
        <v>221888.08902360001</v>
      </c>
      <c r="H372" s="19">
        <v>0</v>
      </c>
      <c r="J372" s="1" t="s">
        <v>75</v>
      </c>
    </row>
    <row r="373" spans="1:10" x14ac:dyDescent="0.25">
      <c r="A373" s="1" t="s">
        <v>58</v>
      </c>
      <c r="B373" s="1" t="s">
        <v>1</v>
      </c>
      <c r="C373" s="1" t="s">
        <v>27</v>
      </c>
      <c r="D373" s="4">
        <v>0</v>
      </c>
      <c r="E373" s="4">
        <v>156329.0647005474</v>
      </c>
      <c r="G373" s="4">
        <v>166950.67792088425</v>
      </c>
      <c r="H373" s="19">
        <v>0</v>
      </c>
      <c r="J373" s="1" t="s">
        <v>75</v>
      </c>
    </row>
    <row r="374" spans="1:10" x14ac:dyDescent="0.25">
      <c r="A374" s="1" t="s">
        <v>58</v>
      </c>
      <c r="B374" s="1" t="s">
        <v>1</v>
      </c>
      <c r="C374" s="1" t="s">
        <v>21</v>
      </c>
      <c r="D374" s="4">
        <v>5006.6149999999998</v>
      </c>
      <c r="E374" s="4">
        <v>5620.1539999999995</v>
      </c>
      <c r="F374" s="4">
        <v>33002</v>
      </c>
      <c r="G374" s="4">
        <v>66004</v>
      </c>
      <c r="H374" s="19">
        <v>-0.84829358826737777</v>
      </c>
      <c r="J374" s="1" t="s">
        <v>75</v>
      </c>
    </row>
    <row r="375" spans="1:10" x14ac:dyDescent="0.25">
      <c r="A375" s="1" t="s">
        <v>58</v>
      </c>
      <c r="B375" s="1" t="s">
        <v>1</v>
      </c>
      <c r="C375" s="1" t="s">
        <v>28</v>
      </c>
      <c r="D375" s="4">
        <v>18400</v>
      </c>
      <c r="E375" s="4">
        <v>18400</v>
      </c>
      <c r="F375" s="4">
        <v>63000</v>
      </c>
      <c r="G375" s="4">
        <v>126000</v>
      </c>
      <c r="H375" s="19">
        <v>-0.70793650793650797</v>
      </c>
      <c r="J375" s="1" t="s">
        <v>75</v>
      </c>
    </row>
    <row r="376" spans="1:10" x14ac:dyDescent="0.25">
      <c r="A376" s="1" t="s">
        <v>58</v>
      </c>
      <c r="B376" s="1" t="s">
        <v>1</v>
      </c>
      <c r="C376" s="1" t="s">
        <v>29</v>
      </c>
      <c r="D376" s="4">
        <v>175972</v>
      </c>
      <c r="E376" s="4">
        <v>210938</v>
      </c>
      <c r="F376" s="4">
        <v>99000</v>
      </c>
      <c r="G376" s="4">
        <v>198000</v>
      </c>
      <c r="H376" s="19">
        <v>0.77749494949494946</v>
      </c>
      <c r="J376" s="1" t="s">
        <v>75</v>
      </c>
    </row>
    <row r="377" spans="1:10" x14ac:dyDescent="0.25">
      <c r="A377" s="1" t="s">
        <v>58</v>
      </c>
      <c r="B377" s="1" t="s">
        <v>1</v>
      </c>
      <c r="C377" s="1" t="s">
        <v>30</v>
      </c>
      <c r="D377" s="4">
        <v>134</v>
      </c>
      <c r="E377" s="4">
        <v>306</v>
      </c>
      <c r="F377" s="4">
        <v>178</v>
      </c>
      <c r="G377" s="4">
        <v>356</v>
      </c>
      <c r="H377" s="19">
        <v>-0.24719101123595505</v>
      </c>
      <c r="I377" s="1"/>
      <c r="J377" s="1" t="s">
        <v>75</v>
      </c>
    </row>
    <row r="378" spans="1:10" x14ac:dyDescent="0.25">
      <c r="A378" s="1" t="s">
        <v>58</v>
      </c>
      <c r="B378" s="1" t="s">
        <v>1</v>
      </c>
      <c r="C378" s="1" t="s">
        <v>31</v>
      </c>
      <c r="D378" s="4">
        <v>472.4274200000001</v>
      </c>
      <c r="E378" s="4">
        <v>655.51685000000009</v>
      </c>
      <c r="F378" s="4">
        <v>1180.1487556893783</v>
      </c>
      <c r="G378" s="4">
        <v>2361.2948278434174</v>
      </c>
      <c r="H378" s="19">
        <v>-0.59968824461960824</v>
      </c>
      <c r="J378" s="1" t="s">
        <v>75</v>
      </c>
    </row>
    <row r="379" spans="1:10" x14ac:dyDescent="0.25">
      <c r="A379" s="1" t="s">
        <v>58</v>
      </c>
      <c r="B379" s="1" t="s">
        <v>1</v>
      </c>
      <c r="C379" s="1" t="s">
        <v>32</v>
      </c>
      <c r="D379" s="4">
        <v>-1656.9533431413959</v>
      </c>
      <c r="E379" s="4">
        <v>-2783.7212999999988</v>
      </c>
      <c r="F379" s="4">
        <v>-1656.9534900000003</v>
      </c>
      <c r="G379" s="4">
        <v>-3761.7292600000001</v>
      </c>
      <c r="H379" s="19">
        <v>8.8631699895580855E-8</v>
      </c>
      <c r="J379" s="1" t="s">
        <v>75</v>
      </c>
    </row>
    <row r="380" spans="1:10" x14ac:dyDescent="0.25">
      <c r="A380" s="1" t="s">
        <v>38</v>
      </c>
      <c r="B380" s="1" t="s">
        <v>18</v>
      </c>
      <c r="C380" s="1" t="s">
        <v>63</v>
      </c>
      <c r="D380" s="4">
        <v>0</v>
      </c>
      <c r="E380" s="4">
        <v>0</v>
      </c>
      <c r="F380" s="4">
        <v>0</v>
      </c>
      <c r="G380" s="4">
        <v>0</v>
      </c>
      <c r="H380" s="19">
        <v>0</v>
      </c>
      <c r="J380" s="1" t="s">
        <v>76</v>
      </c>
    </row>
    <row r="381" spans="1:10" x14ac:dyDescent="0.25">
      <c r="A381" s="1" t="s">
        <v>38</v>
      </c>
      <c r="B381" s="1" t="s">
        <v>18</v>
      </c>
      <c r="C381" s="1" t="s">
        <v>26</v>
      </c>
      <c r="E381" s="4">
        <v>0</v>
      </c>
      <c r="G381" s="4">
        <v>0</v>
      </c>
      <c r="H381" s="19">
        <v>0</v>
      </c>
      <c r="J381" s="1" t="s">
        <v>76</v>
      </c>
    </row>
    <row r="382" spans="1:10" x14ac:dyDescent="0.25">
      <c r="A382" s="1" t="s">
        <v>38</v>
      </c>
      <c r="B382" s="1" t="s">
        <v>18</v>
      </c>
      <c r="C382" s="1" t="s">
        <v>27</v>
      </c>
      <c r="D382" s="4">
        <v>0</v>
      </c>
      <c r="E382" s="4">
        <v>0</v>
      </c>
      <c r="G382" s="4">
        <v>0</v>
      </c>
      <c r="H382" s="19">
        <v>0</v>
      </c>
      <c r="J382" s="1" t="s">
        <v>76</v>
      </c>
    </row>
    <row r="383" spans="1:10" x14ac:dyDescent="0.25">
      <c r="A383" s="1" t="s">
        <v>38</v>
      </c>
      <c r="B383" s="1" t="s">
        <v>18</v>
      </c>
      <c r="C383" s="1" t="s">
        <v>21</v>
      </c>
      <c r="D383" s="4">
        <v>0</v>
      </c>
      <c r="E383" s="4">
        <v>0</v>
      </c>
      <c r="F383" s="4">
        <v>0</v>
      </c>
      <c r="G383" s="4">
        <v>0</v>
      </c>
      <c r="H383" s="19">
        <v>0</v>
      </c>
      <c r="J383" s="1" t="s">
        <v>76</v>
      </c>
    </row>
    <row r="384" spans="1:10" x14ac:dyDescent="0.25">
      <c r="A384" s="1" t="s">
        <v>38</v>
      </c>
      <c r="B384" s="1" t="s">
        <v>18</v>
      </c>
      <c r="C384" s="1" t="s">
        <v>28</v>
      </c>
      <c r="D384" s="4">
        <v>0</v>
      </c>
      <c r="E384" s="4">
        <v>0</v>
      </c>
      <c r="F384" s="4">
        <v>0</v>
      </c>
      <c r="G384" s="4">
        <v>0</v>
      </c>
      <c r="H384" s="19">
        <v>0</v>
      </c>
      <c r="J384" s="1" t="s">
        <v>76</v>
      </c>
    </row>
    <row r="385" spans="1:10" x14ac:dyDescent="0.25">
      <c r="A385" s="1" t="s">
        <v>38</v>
      </c>
      <c r="B385" s="1" t="s">
        <v>18</v>
      </c>
      <c r="C385" s="1" t="s">
        <v>29</v>
      </c>
      <c r="D385" s="4">
        <v>0</v>
      </c>
      <c r="E385" s="4">
        <v>209870</v>
      </c>
      <c r="F385" s="4">
        <v>33000</v>
      </c>
      <c r="G385" s="4">
        <v>99000</v>
      </c>
      <c r="H385" s="19">
        <v>-1</v>
      </c>
      <c r="J385" s="1" t="s">
        <v>76</v>
      </c>
    </row>
    <row r="386" spans="1:10" x14ac:dyDescent="0.25">
      <c r="A386" s="1" t="s">
        <v>38</v>
      </c>
      <c r="B386" s="1" t="s">
        <v>18</v>
      </c>
      <c r="C386" s="1" t="s">
        <v>30</v>
      </c>
      <c r="D386" s="4">
        <v>0</v>
      </c>
      <c r="E386" s="4">
        <v>0</v>
      </c>
      <c r="F386" s="4">
        <v>0</v>
      </c>
      <c r="G386" s="4">
        <v>0</v>
      </c>
      <c r="H386" s="19">
        <v>0</v>
      </c>
      <c r="I386" s="5"/>
      <c r="J386" s="1" t="s">
        <v>76</v>
      </c>
    </row>
    <row r="387" spans="1:10" x14ac:dyDescent="0.25">
      <c r="A387" s="1" t="s">
        <v>38</v>
      </c>
      <c r="B387" s="1" t="s">
        <v>18</v>
      </c>
      <c r="C387" s="1" t="s">
        <v>31</v>
      </c>
      <c r="D387" s="4">
        <v>-64.93474999999998</v>
      </c>
      <c r="E387" s="4">
        <v>99.093490000000003</v>
      </c>
      <c r="F387" s="4">
        <v>4.2320117751897271E-2</v>
      </c>
      <c r="G387" s="4">
        <v>0.12157458750567213</v>
      </c>
      <c r="H387" s="19">
        <v>-1535.3707307404377</v>
      </c>
      <c r="J387" s="1" t="s">
        <v>76</v>
      </c>
    </row>
    <row r="388" spans="1:10" x14ac:dyDescent="0.25">
      <c r="A388" s="1" t="s">
        <v>38</v>
      </c>
      <c r="B388" s="1" t="s">
        <v>18</v>
      </c>
      <c r="C388" s="1" t="s">
        <v>32</v>
      </c>
      <c r="D388" s="4">
        <v>-28583.163938150017</v>
      </c>
      <c r="E388" s="4">
        <v>-91959.097908149997</v>
      </c>
      <c r="F388" s="4">
        <v>-28564.808278149983</v>
      </c>
      <c r="G388" s="4">
        <v>-90150.51072814998</v>
      </c>
      <c r="H388" s="19">
        <v>-6.4259699632132931E-4</v>
      </c>
      <c r="J388" s="1" t="s">
        <v>76</v>
      </c>
    </row>
    <row r="389" spans="1:10" x14ac:dyDescent="0.25">
      <c r="A389" s="1" t="s">
        <v>39</v>
      </c>
      <c r="B389" s="1" t="s">
        <v>8</v>
      </c>
      <c r="C389" s="1" t="s">
        <v>63</v>
      </c>
      <c r="D389" s="4">
        <v>2405.4233600000734</v>
      </c>
      <c r="E389" s="4">
        <v>9959.7603400000953</v>
      </c>
      <c r="F389" s="4">
        <v>19355.146666666667</v>
      </c>
      <c r="G389" s="4">
        <v>58065.440000000002</v>
      </c>
      <c r="H389" s="19">
        <v>-0.87572177047138156</v>
      </c>
      <c r="J389" s="1" t="s">
        <v>76</v>
      </c>
    </row>
    <row r="390" spans="1:10" x14ac:dyDescent="0.25">
      <c r="A390" s="1" t="s">
        <v>39</v>
      </c>
      <c r="B390" s="1" t="s">
        <v>8</v>
      </c>
      <c r="C390" s="1" t="s">
        <v>26</v>
      </c>
      <c r="E390" s="4">
        <v>488583.33347000007</v>
      </c>
      <c r="G390" s="4">
        <v>477097.90230960003</v>
      </c>
      <c r="H390" s="19">
        <v>0</v>
      </c>
      <c r="J390" s="1" t="s">
        <v>76</v>
      </c>
    </row>
    <row r="391" spans="1:10" x14ac:dyDescent="0.25">
      <c r="A391" s="1" t="s">
        <v>39</v>
      </c>
      <c r="B391" s="1" t="s">
        <v>8</v>
      </c>
      <c r="C391" s="1" t="s">
        <v>27</v>
      </c>
      <c r="D391" s="4">
        <v>0</v>
      </c>
      <c r="E391" s="4">
        <v>652524.70130894263</v>
      </c>
      <c r="G391" s="4">
        <v>544661.10964351892</v>
      </c>
      <c r="H391" s="19">
        <v>0</v>
      </c>
      <c r="J391" s="1" t="s">
        <v>76</v>
      </c>
    </row>
    <row r="392" spans="1:10" x14ac:dyDescent="0.25">
      <c r="A392" s="1" t="s">
        <v>39</v>
      </c>
      <c r="B392" s="1" t="s">
        <v>8</v>
      </c>
      <c r="C392" s="1" t="s">
        <v>21</v>
      </c>
      <c r="D392" s="4">
        <v>15772.87125</v>
      </c>
      <c r="E392" s="4">
        <v>36328.077850000001</v>
      </c>
      <c r="F392" s="4">
        <v>19193.933333333334</v>
      </c>
      <c r="G392" s="4">
        <v>57581.8</v>
      </c>
      <c r="H392" s="19">
        <v>-0.17823663466581458</v>
      </c>
      <c r="J392" s="1" t="s">
        <v>76</v>
      </c>
    </row>
    <row r="393" spans="1:10" x14ac:dyDescent="0.25">
      <c r="A393" s="1" t="s">
        <v>39</v>
      </c>
      <c r="B393" s="1" t="s">
        <v>8</v>
      </c>
      <c r="C393" s="1" t="s">
        <v>28</v>
      </c>
      <c r="D393" s="4">
        <v>1757933</v>
      </c>
      <c r="E393" s="4">
        <v>4208546</v>
      </c>
      <c r="F393" s="4">
        <v>1350000</v>
      </c>
      <c r="G393" s="4">
        <v>4050000</v>
      </c>
      <c r="H393" s="19">
        <v>0.3021725925925926</v>
      </c>
      <c r="J393" s="1" t="s">
        <v>76</v>
      </c>
    </row>
    <row r="394" spans="1:10" x14ac:dyDescent="0.25">
      <c r="A394" s="1" t="s">
        <v>39</v>
      </c>
      <c r="B394" s="1" t="s">
        <v>8</v>
      </c>
      <c r="C394" s="1" t="s">
        <v>29</v>
      </c>
      <c r="D394" s="4">
        <v>128656</v>
      </c>
      <c r="E394" s="4">
        <v>232756</v>
      </c>
      <c r="F394" s="4">
        <v>2000</v>
      </c>
      <c r="G394" s="4">
        <v>6000</v>
      </c>
      <c r="H394" s="19">
        <v>63.328000000000003</v>
      </c>
      <c r="J394" s="1" t="s">
        <v>76</v>
      </c>
    </row>
    <row r="395" spans="1:10" x14ac:dyDescent="0.25">
      <c r="A395" s="1" t="s">
        <v>39</v>
      </c>
      <c r="B395" s="1" t="s">
        <v>8</v>
      </c>
      <c r="C395" s="1" t="s">
        <v>30</v>
      </c>
      <c r="D395" s="4">
        <v>30</v>
      </c>
      <c r="E395" s="4">
        <v>164</v>
      </c>
      <c r="F395" s="4">
        <v>85</v>
      </c>
      <c r="G395" s="4">
        <v>255</v>
      </c>
      <c r="H395" s="19">
        <v>-0.6470588235294118</v>
      </c>
      <c r="I395" s="5"/>
      <c r="J395" s="1" t="s">
        <v>76</v>
      </c>
    </row>
    <row r="396" spans="1:10" x14ac:dyDescent="0.25">
      <c r="A396" s="1" t="s">
        <v>39</v>
      </c>
      <c r="B396" s="1" t="s">
        <v>8</v>
      </c>
      <c r="C396" s="1" t="s">
        <v>31</v>
      </c>
      <c r="D396" s="4">
        <v>2337.0491099999999</v>
      </c>
      <c r="E396" s="4">
        <v>5321.52513</v>
      </c>
      <c r="F396" s="4">
        <v>2105.8044671115349</v>
      </c>
      <c r="G396" s="4">
        <v>6290.1373163797489</v>
      </c>
      <c r="H396" s="19">
        <v>0.1098129700549339</v>
      </c>
      <c r="J396" s="1" t="s">
        <v>76</v>
      </c>
    </row>
    <row r="397" spans="1:10" x14ac:dyDescent="0.25">
      <c r="A397" s="1" t="s">
        <v>39</v>
      </c>
      <c r="B397" s="1" t="s">
        <v>8</v>
      </c>
      <c r="C397" s="1" t="s">
        <v>32</v>
      </c>
      <c r="D397" s="4">
        <v>-2458.9389764119583</v>
      </c>
      <c r="E397" s="4">
        <v>-5083.2518464119594</v>
      </c>
      <c r="F397" s="4">
        <v>-2458.9422764119518</v>
      </c>
      <c r="G397" s="4">
        <v>-4483.6150364119549</v>
      </c>
      <c r="H397" s="19">
        <v>1.3420404476930611E-6</v>
      </c>
      <c r="J397" s="1" t="s">
        <v>76</v>
      </c>
    </row>
    <row r="398" spans="1:10" x14ac:dyDescent="0.25">
      <c r="A398" s="1" t="s">
        <v>40</v>
      </c>
      <c r="B398" s="1" t="s">
        <v>11</v>
      </c>
      <c r="C398" s="1" t="s">
        <v>63</v>
      </c>
      <c r="D398" s="4">
        <v>915.82266000001982</v>
      </c>
      <c r="E398" s="4">
        <v>-23104.93164999997</v>
      </c>
      <c r="F398" s="4">
        <v>19755.146666666667</v>
      </c>
      <c r="G398" s="4">
        <v>59265.440000000002</v>
      </c>
      <c r="H398" s="19">
        <v>-0.95364131304854804</v>
      </c>
      <c r="J398" s="1" t="s">
        <v>76</v>
      </c>
    </row>
    <row r="399" spans="1:10" x14ac:dyDescent="0.25">
      <c r="A399" s="1" t="s">
        <v>40</v>
      </c>
      <c r="B399" s="1" t="s">
        <v>11</v>
      </c>
      <c r="C399" s="1" t="s">
        <v>26</v>
      </c>
      <c r="E399" s="4">
        <v>50028.111460000029</v>
      </c>
      <c r="G399" s="4">
        <v>58704.701029200005</v>
      </c>
      <c r="H399" s="19">
        <v>0</v>
      </c>
      <c r="J399" s="1" t="s">
        <v>76</v>
      </c>
    </row>
    <row r="400" spans="1:10" x14ac:dyDescent="0.25">
      <c r="A400" s="1" t="s">
        <v>40</v>
      </c>
      <c r="B400" s="1" t="s">
        <v>11</v>
      </c>
      <c r="C400" s="1" t="s">
        <v>27</v>
      </c>
      <c r="D400" s="4">
        <v>0</v>
      </c>
      <c r="E400" s="4">
        <v>91434.311924262089</v>
      </c>
      <c r="G400" s="4">
        <v>128331.71402511603</v>
      </c>
      <c r="H400" s="19">
        <v>0</v>
      </c>
      <c r="J400" s="1" t="s">
        <v>76</v>
      </c>
    </row>
    <row r="401" spans="1:10" x14ac:dyDescent="0.25">
      <c r="A401" s="1" t="s">
        <v>40</v>
      </c>
      <c r="B401" s="1" t="s">
        <v>11</v>
      </c>
      <c r="C401" s="1" t="s">
        <v>21</v>
      </c>
      <c r="D401" s="4">
        <v>2719.0390000000002</v>
      </c>
      <c r="E401" s="4">
        <v>6351.5848500000002</v>
      </c>
      <c r="F401" s="4">
        <v>19693.933333333331</v>
      </c>
      <c r="G401" s="4">
        <v>59081.799999999988</v>
      </c>
      <c r="H401" s="19">
        <v>-0.86193519831826382</v>
      </c>
      <c r="J401" s="1" t="s">
        <v>76</v>
      </c>
    </row>
    <row r="402" spans="1:10" x14ac:dyDescent="0.25">
      <c r="A402" s="1" t="s">
        <v>40</v>
      </c>
      <c r="B402" s="1" t="s">
        <v>11</v>
      </c>
      <c r="C402" s="1" t="s">
        <v>28</v>
      </c>
      <c r="D402" s="4">
        <v>20000</v>
      </c>
      <c r="E402" s="4">
        <v>39000</v>
      </c>
      <c r="F402" s="4">
        <v>30000</v>
      </c>
      <c r="G402" s="4">
        <v>90000</v>
      </c>
      <c r="H402" s="19">
        <v>-0.33333333333333331</v>
      </c>
      <c r="J402" s="1" t="s">
        <v>76</v>
      </c>
    </row>
    <row r="403" spans="1:10" x14ac:dyDescent="0.25">
      <c r="A403" s="1" t="s">
        <v>40</v>
      </c>
      <c r="B403" s="1" t="s">
        <v>11</v>
      </c>
      <c r="C403" s="1" t="s">
        <v>29</v>
      </c>
      <c r="D403" s="4">
        <v>84411</v>
      </c>
      <c r="E403" s="4">
        <v>118314</v>
      </c>
      <c r="F403" s="4">
        <v>73000</v>
      </c>
      <c r="G403" s="4">
        <v>219000</v>
      </c>
      <c r="H403" s="19">
        <v>0.15631506849315069</v>
      </c>
      <c r="J403" s="1" t="s">
        <v>76</v>
      </c>
    </row>
    <row r="404" spans="1:10" x14ac:dyDescent="0.25">
      <c r="A404" s="1" t="s">
        <v>40</v>
      </c>
      <c r="B404" s="1" t="s">
        <v>11</v>
      </c>
      <c r="C404" s="1" t="s">
        <v>30</v>
      </c>
      <c r="D404" s="4">
        <v>41</v>
      </c>
      <c r="E404" s="4">
        <v>181</v>
      </c>
      <c r="F404" s="4">
        <v>73</v>
      </c>
      <c r="G404" s="4">
        <v>219</v>
      </c>
      <c r="H404" s="19">
        <v>-0.43835616438356162</v>
      </c>
      <c r="I404" s="5"/>
      <c r="J404" s="1" t="s">
        <v>76</v>
      </c>
    </row>
    <row r="405" spans="1:10" x14ac:dyDescent="0.25">
      <c r="A405" s="1" t="s">
        <v>40</v>
      </c>
      <c r="B405" s="1" t="s">
        <v>11</v>
      </c>
      <c r="C405" s="1" t="s">
        <v>31</v>
      </c>
      <c r="D405" s="4">
        <v>231.73335999999995</v>
      </c>
      <c r="E405" s="4">
        <v>527.59226999999998</v>
      </c>
      <c r="F405" s="4">
        <v>764.97394359961936</v>
      </c>
      <c r="G405" s="4">
        <v>2278.161447334453</v>
      </c>
      <c r="H405" s="19">
        <v>-0.69707025717821425</v>
      </c>
      <c r="J405" s="1" t="s">
        <v>76</v>
      </c>
    </row>
    <row r="406" spans="1:10" x14ac:dyDescent="0.25">
      <c r="A406" s="1" t="s">
        <v>40</v>
      </c>
      <c r="B406" s="1" t="s">
        <v>11</v>
      </c>
      <c r="C406" s="1" t="s">
        <v>32</v>
      </c>
      <c r="D406" s="4">
        <v>-740.8713149858587</v>
      </c>
      <c r="E406" s="4">
        <v>-2977.6582249858593</v>
      </c>
      <c r="F406" s="4">
        <v>-740.87131498586086</v>
      </c>
      <c r="G406" s="4">
        <v>-2874.1239749858605</v>
      </c>
      <c r="H406" s="19">
        <v>2.9155534477022205E-15</v>
      </c>
      <c r="J406" s="1" t="s">
        <v>76</v>
      </c>
    </row>
    <row r="407" spans="1:10" x14ac:dyDescent="0.25">
      <c r="A407" s="1" t="s">
        <v>41</v>
      </c>
      <c r="B407" s="1" t="s">
        <v>15</v>
      </c>
      <c r="C407" s="1" t="s">
        <v>63</v>
      </c>
      <c r="D407" s="4">
        <v>-1498.4920300000013</v>
      </c>
      <c r="E407" s="4">
        <v>4790.7002399999838</v>
      </c>
      <c r="F407" s="4">
        <v>17110.293333333335</v>
      </c>
      <c r="G407" s="4">
        <v>51330.880000000005</v>
      </c>
      <c r="H407" s="19">
        <v>-1.0875783951103117</v>
      </c>
      <c r="J407" s="1" t="s">
        <v>76</v>
      </c>
    </row>
    <row r="408" spans="1:10" x14ac:dyDescent="0.25">
      <c r="A408" s="1" t="s">
        <v>41</v>
      </c>
      <c r="B408" s="1" t="s">
        <v>15</v>
      </c>
      <c r="C408" s="1" t="s">
        <v>26</v>
      </c>
      <c r="E408" s="4">
        <v>45075.56845999998</v>
      </c>
      <c r="G408" s="4">
        <v>36343.057204800003</v>
      </c>
      <c r="H408" s="19">
        <v>0</v>
      </c>
      <c r="J408" s="1" t="s">
        <v>76</v>
      </c>
    </row>
    <row r="409" spans="1:10" x14ac:dyDescent="0.25">
      <c r="A409" s="1" t="s">
        <v>41</v>
      </c>
      <c r="B409" s="1" t="s">
        <v>15</v>
      </c>
      <c r="C409" s="1" t="s">
        <v>27</v>
      </c>
      <c r="D409" s="4">
        <v>0</v>
      </c>
      <c r="E409" s="4">
        <v>101932.50290563689</v>
      </c>
      <c r="G409" s="4">
        <v>136368.04567565728</v>
      </c>
      <c r="H409" s="19">
        <v>0</v>
      </c>
      <c r="J409" s="1" t="s">
        <v>76</v>
      </c>
    </row>
    <row r="410" spans="1:10" x14ac:dyDescent="0.25">
      <c r="A410" s="1" t="s">
        <v>41</v>
      </c>
      <c r="B410" s="1" t="s">
        <v>15</v>
      </c>
      <c r="C410" s="1" t="s">
        <v>21</v>
      </c>
      <c r="D410" s="4">
        <v>644.46199999999999</v>
      </c>
      <c r="E410" s="4">
        <v>4560.8218500000003</v>
      </c>
      <c r="F410" s="4">
        <v>16387.866666666669</v>
      </c>
      <c r="G410" s="4">
        <v>49163.600000000006</v>
      </c>
      <c r="H410" s="19">
        <v>-0.96067444206689501</v>
      </c>
      <c r="J410" s="1" t="s">
        <v>76</v>
      </c>
    </row>
    <row r="411" spans="1:10" x14ac:dyDescent="0.25">
      <c r="A411" s="1" t="s">
        <v>41</v>
      </c>
      <c r="B411" s="1" t="s">
        <v>15</v>
      </c>
      <c r="C411" s="1" t="s">
        <v>28</v>
      </c>
      <c r="D411" s="4">
        <v>10000</v>
      </c>
      <c r="E411" s="4">
        <v>25000</v>
      </c>
      <c r="F411" s="4">
        <v>12000</v>
      </c>
      <c r="G411" s="4">
        <v>36000</v>
      </c>
      <c r="H411" s="19">
        <v>-0.16666666666666666</v>
      </c>
      <c r="J411" s="1" t="s">
        <v>76</v>
      </c>
    </row>
    <row r="412" spans="1:10" x14ac:dyDescent="0.25">
      <c r="A412" s="1" t="s">
        <v>41</v>
      </c>
      <c r="B412" s="1" t="s">
        <v>15</v>
      </c>
      <c r="C412" s="1" t="s">
        <v>29</v>
      </c>
      <c r="D412" s="4">
        <v>0</v>
      </c>
      <c r="E412" s="4">
        <v>0</v>
      </c>
      <c r="F412" s="4">
        <v>1000</v>
      </c>
      <c r="G412" s="4">
        <v>3000</v>
      </c>
      <c r="H412" s="19">
        <v>-1</v>
      </c>
      <c r="J412" s="1" t="s">
        <v>76</v>
      </c>
    </row>
    <row r="413" spans="1:10" x14ac:dyDescent="0.25">
      <c r="A413" s="1" t="s">
        <v>41</v>
      </c>
      <c r="B413" s="1" t="s">
        <v>15</v>
      </c>
      <c r="C413" s="1" t="s">
        <v>30</v>
      </c>
      <c r="D413" s="4">
        <v>22</v>
      </c>
      <c r="E413" s="4">
        <v>77</v>
      </c>
      <c r="F413" s="4">
        <v>66</v>
      </c>
      <c r="G413" s="4">
        <v>198</v>
      </c>
      <c r="H413" s="19">
        <v>-0.66666666666666663</v>
      </c>
      <c r="I413" s="5"/>
      <c r="J413" s="1" t="s">
        <v>76</v>
      </c>
    </row>
    <row r="414" spans="1:10" x14ac:dyDescent="0.25">
      <c r="A414" s="1" t="s">
        <v>41</v>
      </c>
      <c r="B414" s="1" t="s">
        <v>15</v>
      </c>
      <c r="C414" s="1" t="s">
        <v>31</v>
      </c>
      <c r="D414" s="4">
        <v>90.30636999999993</v>
      </c>
      <c r="E414" s="4">
        <v>273.98222999999996</v>
      </c>
      <c r="F414" s="4">
        <v>678.94785429861258</v>
      </c>
      <c r="G414" s="4">
        <v>2021.4196430438976</v>
      </c>
      <c r="H414" s="19">
        <v>-0.86699071301537445</v>
      </c>
      <c r="J414" s="1" t="s">
        <v>76</v>
      </c>
    </row>
    <row r="415" spans="1:10" x14ac:dyDescent="0.25">
      <c r="A415" s="1" t="s">
        <v>41</v>
      </c>
      <c r="B415" s="1" t="s">
        <v>15</v>
      </c>
      <c r="C415" s="1" t="s">
        <v>32</v>
      </c>
      <c r="D415" s="4">
        <v>-1115.2602318159011</v>
      </c>
      <c r="E415" s="4">
        <v>-2675.8849618159011</v>
      </c>
      <c r="F415" s="4">
        <v>-1116.9427418159014</v>
      </c>
      <c r="G415" s="4">
        <v>-2229.027911815901</v>
      </c>
      <c r="H415" s="19">
        <v>1.5063529552687114E-3</v>
      </c>
      <c r="J415" s="1" t="s">
        <v>76</v>
      </c>
    </row>
    <row r="416" spans="1:10" x14ac:dyDescent="0.25">
      <c r="A416" s="1" t="s">
        <v>42</v>
      </c>
      <c r="B416" s="1" t="s">
        <v>12</v>
      </c>
      <c r="C416" s="1" t="s">
        <v>63</v>
      </c>
      <c r="D416" s="4">
        <v>-243.40330999999787</v>
      </c>
      <c r="E416" s="4">
        <v>1180.9936000000016</v>
      </c>
      <c r="F416" s="4">
        <v>24332.106666666674</v>
      </c>
      <c r="G416" s="4">
        <v>72996.320000000022</v>
      </c>
      <c r="H416" s="19">
        <v>-1.0100033800334043</v>
      </c>
      <c r="J416" s="1" t="s">
        <v>76</v>
      </c>
    </row>
    <row r="417" spans="1:10" x14ac:dyDescent="0.25">
      <c r="A417" s="1" t="s">
        <v>42</v>
      </c>
      <c r="B417" s="1" t="s">
        <v>12</v>
      </c>
      <c r="C417" s="1" t="s">
        <v>26</v>
      </c>
      <c r="E417" s="4">
        <v>24060.712919999987</v>
      </c>
      <c r="G417" s="4">
        <v>43353.967657200003</v>
      </c>
      <c r="H417" s="19">
        <v>0</v>
      </c>
      <c r="J417" s="1" t="s">
        <v>76</v>
      </c>
    </row>
    <row r="418" spans="1:10" x14ac:dyDescent="0.25">
      <c r="A418" s="1" t="s">
        <v>42</v>
      </c>
      <c r="B418" s="1" t="s">
        <v>12</v>
      </c>
      <c r="C418" s="1" t="s">
        <v>27</v>
      </c>
      <c r="D418" s="4">
        <v>0</v>
      </c>
      <c r="E418" s="4">
        <v>113824.25192497759</v>
      </c>
      <c r="G418" s="4">
        <v>175332.10129107995</v>
      </c>
      <c r="H418" s="19">
        <v>0</v>
      </c>
      <c r="J418" s="1" t="s">
        <v>76</v>
      </c>
    </row>
    <row r="419" spans="1:10" x14ac:dyDescent="0.25">
      <c r="A419" s="1" t="s">
        <v>42</v>
      </c>
      <c r="B419" s="1" t="s">
        <v>12</v>
      </c>
      <c r="C419" s="1" t="s">
        <v>21</v>
      </c>
      <c r="D419" s="4">
        <v>4966.2850200000003</v>
      </c>
      <c r="E419" s="4">
        <v>8634.9510200000004</v>
      </c>
      <c r="F419" s="4">
        <v>25415.133333333331</v>
      </c>
      <c r="G419" s="4">
        <v>76245.399999999994</v>
      </c>
      <c r="H419" s="19">
        <v>-0.80459339107670758</v>
      </c>
      <c r="J419" s="1" t="s">
        <v>76</v>
      </c>
    </row>
    <row r="420" spans="1:10" x14ac:dyDescent="0.25">
      <c r="A420" s="1" t="s">
        <v>42</v>
      </c>
      <c r="B420" s="1" t="s">
        <v>12</v>
      </c>
      <c r="C420" s="1" t="s">
        <v>28</v>
      </c>
      <c r="D420" s="4">
        <v>7000</v>
      </c>
      <c r="E420" s="4">
        <v>26000</v>
      </c>
      <c r="F420" s="4">
        <v>87000</v>
      </c>
      <c r="G420" s="4">
        <v>261000</v>
      </c>
      <c r="H420" s="19">
        <v>-0.91954022988505746</v>
      </c>
      <c r="J420" s="1" t="s">
        <v>76</v>
      </c>
    </row>
    <row r="421" spans="1:10" x14ac:dyDescent="0.25">
      <c r="A421" s="1" t="s">
        <v>42</v>
      </c>
      <c r="B421" s="1" t="s">
        <v>12</v>
      </c>
      <c r="C421" s="1" t="s">
        <v>29</v>
      </c>
      <c r="D421" s="4">
        <v>27984</v>
      </c>
      <c r="E421" s="4">
        <v>27984</v>
      </c>
      <c r="F421" s="4">
        <v>1000</v>
      </c>
      <c r="G421" s="4">
        <v>3000</v>
      </c>
      <c r="H421" s="19">
        <v>26.984000000000002</v>
      </c>
      <c r="J421" s="1" t="s">
        <v>76</v>
      </c>
    </row>
    <row r="422" spans="1:10" x14ac:dyDescent="0.25">
      <c r="A422" s="1" t="s">
        <v>42</v>
      </c>
      <c r="B422" s="1" t="s">
        <v>12</v>
      </c>
      <c r="C422" s="1" t="s">
        <v>30</v>
      </c>
      <c r="D422" s="4">
        <v>13</v>
      </c>
      <c r="E422" s="4">
        <v>51</v>
      </c>
      <c r="F422" s="4">
        <v>101</v>
      </c>
      <c r="G422" s="4">
        <v>303</v>
      </c>
      <c r="H422" s="19">
        <v>-0.87128712871287128</v>
      </c>
      <c r="I422" s="5"/>
      <c r="J422" s="1" t="s">
        <v>76</v>
      </c>
    </row>
    <row r="423" spans="1:10" x14ac:dyDescent="0.25">
      <c r="A423" s="1" t="s">
        <v>42</v>
      </c>
      <c r="B423" s="1" t="s">
        <v>12</v>
      </c>
      <c r="C423" s="1" t="s">
        <v>31</v>
      </c>
      <c r="D423" s="4">
        <v>217.32746</v>
      </c>
      <c r="E423" s="4">
        <v>442.72215</v>
      </c>
      <c r="F423" s="4">
        <v>898.7987388777683</v>
      </c>
      <c r="G423" s="4">
        <v>2689.8120534021159</v>
      </c>
      <c r="H423" s="19">
        <v>-0.75820230870444594</v>
      </c>
      <c r="J423" s="1" t="s">
        <v>76</v>
      </c>
    </row>
    <row r="424" spans="1:10" x14ac:dyDescent="0.25">
      <c r="A424" s="1" t="s">
        <v>42</v>
      </c>
      <c r="B424" s="1" t="s">
        <v>12</v>
      </c>
      <c r="C424" s="1" t="s">
        <v>32</v>
      </c>
      <c r="D424" s="4">
        <v>-1667.2377957847384</v>
      </c>
      <c r="E424" s="4">
        <v>191.76249421526154</v>
      </c>
      <c r="F424" s="4">
        <v>-1679.2589257847353</v>
      </c>
      <c r="G424" s="4">
        <v>612.99309421526289</v>
      </c>
      <c r="H424" s="19">
        <v>7.1585922905720457E-3</v>
      </c>
      <c r="J424" s="1" t="s">
        <v>76</v>
      </c>
    </row>
    <row r="425" spans="1:10" x14ac:dyDescent="0.25">
      <c r="A425" s="1" t="s">
        <v>43</v>
      </c>
      <c r="B425" s="1" t="s">
        <v>22</v>
      </c>
      <c r="C425" s="1" t="s">
        <v>63</v>
      </c>
      <c r="D425" s="4">
        <v>-15003.207850000064</v>
      </c>
      <c r="E425" s="4">
        <v>-1817.4114500000724</v>
      </c>
      <c r="F425" s="4">
        <v>33221.813333333324</v>
      </c>
      <c r="G425" s="4">
        <v>99665.439999999973</v>
      </c>
      <c r="H425" s="19">
        <v>-1.4516071323218982</v>
      </c>
      <c r="J425" s="1" t="s">
        <v>76</v>
      </c>
    </row>
    <row r="426" spans="1:10" x14ac:dyDescent="0.25">
      <c r="A426" s="1" t="s">
        <v>43</v>
      </c>
      <c r="B426" s="1" t="s">
        <v>22</v>
      </c>
      <c r="C426" s="1" t="s">
        <v>26</v>
      </c>
      <c r="E426" s="4">
        <v>140496.18042999998</v>
      </c>
      <c r="G426" s="4">
        <v>188228.3739912</v>
      </c>
      <c r="H426" s="19">
        <v>0</v>
      </c>
      <c r="J426" s="1" t="s">
        <v>76</v>
      </c>
    </row>
    <row r="427" spans="1:10" x14ac:dyDescent="0.25">
      <c r="A427" s="1" t="s">
        <v>43</v>
      </c>
      <c r="B427" s="1" t="s">
        <v>22</v>
      </c>
      <c r="C427" s="1" t="s">
        <v>27</v>
      </c>
      <c r="D427" s="4">
        <v>0</v>
      </c>
      <c r="E427" s="4">
        <v>344933.01701172855</v>
      </c>
      <c r="G427" s="4">
        <v>382055.99482462846</v>
      </c>
      <c r="H427" s="19">
        <v>0</v>
      </c>
      <c r="J427" s="1" t="s">
        <v>76</v>
      </c>
    </row>
    <row r="428" spans="1:10" x14ac:dyDescent="0.25">
      <c r="A428" s="1" t="s">
        <v>43</v>
      </c>
      <c r="B428" s="1" t="s">
        <v>22</v>
      </c>
      <c r="C428" s="1" t="s">
        <v>21</v>
      </c>
      <c r="D428" s="4">
        <v>6662.3750999999993</v>
      </c>
      <c r="E428" s="4">
        <v>16828.981099999997</v>
      </c>
      <c r="F428" s="4">
        <v>36527.266666666663</v>
      </c>
      <c r="G428" s="4">
        <v>109581.79999999999</v>
      </c>
      <c r="H428" s="19">
        <v>-0.81760542991628182</v>
      </c>
      <c r="J428" s="1" t="s">
        <v>76</v>
      </c>
    </row>
    <row r="429" spans="1:10" x14ac:dyDescent="0.25">
      <c r="A429" s="1" t="s">
        <v>43</v>
      </c>
      <c r="B429" s="1" t="s">
        <v>22</v>
      </c>
      <c r="C429" s="1" t="s">
        <v>28</v>
      </c>
      <c r="D429" s="4">
        <v>694006.42</v>
      </c>
      <c r="E429" s="4">
        <v>2380550.3899999997</v>
      </c>
      <c r="F429" s="4">
        <v>1521000</v>
      </c>
      <c r="G429" s="4">
        <v>4563000</v>
      </c>
      <c r="H429" s="19">
        <v>-0.54371701512163051</v>
      </c>
      <c r="J429" s="1" t="s">
        <v>76</v>
      </c>
    </row>
    <row r="430" spans="1:10" x14ac:dyDescent="0.25">
      <c r="A430" s="1" t="s">
        <v>43</v>
      </c>
      <c r="B430" s="1" t="s">
        <v>22</v>
      </c>
      <c r="C430" s="1" t="s">
        <v>29</v>
      </c>
      <c r="D430" s="4">
        <v>135969</v>
      </c>
      <c r="E430" s="4">
        <v>182282</v>
      </c>
      <c r="F430" s="4">
        <v>87000</v>
      </c>
      <c r="G430" s="4">
        <v>261000</v>
      </c>
      <c r="H430" s="19">
        <v>0.56286206896551727</v>
      </c>
      <c r="J430" s="1" t="s">
        <v>76</v>
      </c>
    </row>
    <row r="431" spans="1:10" x14ac:dyDescent="0.25">
      <c r="A431" s="1" t="s">
        <v>43</v>
      </c>
      <c r="B431" s="1" t="s">
        <v>22</v>
      </c>
      <c r="C431" s="1" t="s">
        <v>30</v>
      </c>
      <c r="D431" s="4">
        <v>42</v>
      </c>
      <c r="E431" s="4">
        <v>160</v>
      </c>
      <c r="F431" s="4">
        <v>68</v>
      </c>
      <c r="G431" s="4">
        <v>204</v>
      </c>
      <c r="H431" s="19">
        <v>-0.38235294117647056</v>
      </c>
      <c r="I431" s="5"/>
      <c r="J431" s="1" t="s">
        <v>76</v>
      </c>
    </row>
    <row r="432" spans="1:10" x14ac:dyDescent="0.25">
      <c r="A432" s="1" t="s">
        <v>43</v>
      </c>
      <c r="B432" s="1" t="s">
        <v>22</v>
      </c>
      <c r="C432" s="1" t="s">
        <v>31</v>
      </c>
      <c r="D432" s="4">
        <v>938.68507</v>
      </c>
      <c r="E432" s="4">
        <v>3210.4419899999998</v>
      </c>
      <c r="F432" s="4">
        <v>2842.7184974379761</v>
      </c>
      <c r="G432" s="4">
        <v>8500.3328510380979</v>
      </c>
      <c r="H432" s="19">
        <v>-0.66979316775614683</v>
      </c>
      <c r="J432" s="1" t="s">
        <v>76</v>
      </c>
    </row>
    <row r="433" spans="1:10" x14ac:dyDescent="0.25">
      <c r="A433" s="1" t="s">
        <v>43</v>
      </c>
      <c r="B433" s="1" t="s">
        <v>22</v>
      </c>
      <c r="C433" s="1" t="s">
        <v>32</v>
      </c>
      <c r="D433" s="4">
        <v>4909.3633179365252</v>
      </c>
      <c r="E433" s="4">
        <v>5370.8505879365266</v>
      </c>
      <c r="F433" s="4">
        <v>4925.8435679365339</v>
      </c>
      <c r="G433" s="4">
        <v>5951.3909679365343</v>
      </c>
      <c r="H433" s="19">
        <v>-3.3456705988965029E-3</v>
      </c>
      <c r="J433" s="1" t="s">
        <v>76</v>
      </c>
    </row>
    <row r="434" spans="1:10" x14ac:dyDescent="0.25">
      <c r="A434" s="1" t="s">
        <v>44</v>
      </c>
      <c r="B434" s="1" t="s">
        <v>0</v>
      </c>
      <c r="C434" s="1" t="s">
        <v>63</v>
      </c>
      <c r="D434" s="4">
        <v>22362.78479000002</v>
      </c>
      <c r="E434" s="4">
        <v>14323.33967999999</v>
      </c>
      <c r="F434" s="4">
        <v>22421.813333333339</v>
      </c>
      <c r="G434" s="4">
        <v>67265.440000000017</v>
      </c>
      <c r="H434" s="19">
        <v>-2.6326391383146783E-3</v>
      </c>
      <c r="J434" s="1" t="s">
        <v>76</v>
      </c>
    </row>
    <row r="435" spans="1:10" x14ac:dyDescent="0.25">
      <c r="A435" s="1" t="s">
        <v>44</v>
      </c>
      <c r="B435" s="1" t="s">
        <v>0</v>
      </c>
      <c r="C435" s="1" t="s">
        <v>26</v>
      </c>
      <c r="E435" s="4">
        <v>92268.463589999999</v>
      </c>
      <c r="G435" s="4">
        <v>87315.391285800011</v>
      </c>
      <c r="H435" s="19">
        <v>0</v>
      </c>
      <c r="J435" s="1" t="s">
        <v>76</v>
      </c>
    </row>
    <row r="436" spans="1:10" x14ac:dyDescent="0.25">
      <c r="A436" s="1" t="s">
        <v>44</v>
      </c>
      <c r="B436" s="1" t="s">
        <v>0</v>
      </c>
      <c r="C436" s="1" t="s">
        <v>27</v>
      </c>
      <c r="D436" s="4">
        <v>0</v>
      </c>
      <c r="E436" s="4">
        <v>182297.14449530252</v>
      </c>
      <c r="G436" s="4">
        <v>208100.43496900969</v>
      </c>
      <c r="H436" s="19">
        <v>0</v>
      </c>
      <c r="J436" s="1" t="s">
        <v>76</v>
      </c>
    </row>
    <row r="437" spans="1:10" x14ac:dyDescent="0.25">
      <c r="A437" s="1" t="s">
        <v>44</v>
      </c>
      <c r="B437" s="1" t="s">
        <v>0</v>
      </c>
      <c r="C437" s="1" t="s">
        <v>21</v>
      </c>
      <c r="D437" s="4">
        <v>2656.1909999999998</v>
      </c>
      <c r="E437" s="4">
        <v>6975.8389999999999</v>
      </c>
      <c r="F437" s="4">
        <v>23027.266666666666</v>
      </c>
      <c r="G437" s="4">
        <v>69081.8</v>
      </c>
      <c r="H437" s="19">
        <v>-0.88465018282673591</v>
      </c>
      <c r="J437" s="1" t="s">
        <v>76</v>
      </c>
    </row>
    <row r="438" spans="1:10" x14ac:dyDescent="0.25">
      <c r="A438" s="1" t="s">
        <v>44</v>
      </c>
      <c r="B438" s="1" t="s">
        <v>0</v>
      </c>
      <c r="C438" s="1" t="s">
        <v>28</v>
      </c>
      <c r="D438" s="4">
        <v>7000</v>
      </c>
      <c r="E438" s="4">
        <v>159490.31</v>
      </c>
      <c r="F438" s="4">
        <v>157000</v>
      </c>
      <c r="G438" s="4">
        <v>471000</v>
      </c>
      <c r="H438" s="19">
        <v>-0.95541401273885351</v>
      </c>
      <c r="J438" s="1" t="s">
        <v>76</v>
      </c>
    </row>
    <row r="439" spans="1:10" x14ac:dyDescent="0.25">
      <c r="A439" s="1" t="s">
        <v>44</v>
      </c>
      <c r="B439" s="1" t="s">
        <v>0</v>
      </c>
      <c r="C439" s="1" t="s">
        <v>29</v>
      </c>
      <c r="D439" s="4">
        <v>8195</v>
      </c>
      <c r="E439" s="4">
        <v>306479</v>
      </c>
      <c r="F439" s="4">
        <v>34000</v>
      </c>
      <c r="G439" s="4">
        <v>102000</v>
      </c>
      <c r="H439" s="19">
        <v>-0.75897058823529406</v>
      </c>
      <c r="J439" s="1" t="s">
        <v>76</v>
      </c>
    </row>
    <row r="440" spans="1:10" x14ac:dyDescent="0.25">
      <c r="A440" s="1" t="s">
        <v>44</v>
      </c>
      <c r="B440" s="1" t="s">
        <v>0</v>
      </c>
      <c r="C440" s="1" t="s">
        <v>30</v>
      </c>
      <c r="D440" s="4">
        <v>30</v>
      </c>
      <c r="E440" s="4">
        <v>128</v>
      </c>
      <c r="F440" s="4">
        <v>66</v>
      </c>
      <c r="G440" s="4">
        <v>198</v>
      </c>
      <c r="H440" s="19">
        <v>-0.54545454545454541</v>
      </c>
      <c r="I440" s="5"/>
      <c r="J440" s="1" t="s">
        <v>76</v>
      </c>
    </row>
    <row r="441" spans="1:10" x14ac:dyDescent="0.25">
      <c r="A441" s="1" t="s">
        <v>44</v>
      </c>
      <c r="B441" s="1" t="s">
        <v>0</v>
      </c>
      <c r="C441" s="1" t="s">
        <v>31</v>
      </c>
      <c r="D441" s="4">
        <v>225.37441000000013</v>
      </c>
      <c r="E441" s="4">
        <v>828.52666999999997</v>
      </c>
      <c r="F441" s="4">
        <v>1086.7366400553606</v>
      </c>
      <c r="G441" s="4">
        <v>3238.977230021887</v>
      </c>
      <c r="H441" s="19">
        <v>-0.79261359036489365</v>
      </c>
      <c r="J441" s="1" t="s">
        <v>76</v>
      </c>
    </row>
    <row r="442" spans="1:10" x14ac:dyDescent="0.25">
      <c r="A442" s="1" t="s">
        <v>44</v>
      </c>
      <c r="B442" s="1" t="s">
        <v>0</v>
      </c>
      <c r="C442" s="1" t="s">
        <v>32</v>
      </c>
      <c r="D442" s="4">
        <v>1589.7034460130101</v>
      </c>
      <c r="E442" s="4">
        <v>4349.9237060130145</v>
      </c>
      <c r="F442" s="4">
        <v>1588.262526013013</v>
      </c>
      <c r="G442" s="4">
        <v>5175.9140260130143</v>
      </c>
      <c r="H442" s="19">
        <v>9.0723037054470167E-4</v>
      </c>
      <c r="J442" s="1" t="s">
        <v>76</v>
      </c>
    </row>
    <row r="443" spans="1:10" x14ac:dyDescent="0.25">
      <c r="A443" s="1" t="s">
        <v>45</v>
      </c>
      <c r="B443" s="1" t="s">
        <v>9</v>
      </c>
      <c r="C443" s="1" t="s">
        <v>63</v>
      </c>
      <c r="D443" s="4">
        <v>-23081.39982999998</v>
      </c>
      <c r="E443" s="4">
        <v>-15393.106749999977</v>
      </c>
      <c r="F443" s="4">
        <v>26176.959999999992</v>
      </c>
      <c r="G443" s="4">
        <v>78530.879999999976</v>
      </c>
      <c r="H443" s="19">
        <v>-1.8817448561635877</v>
      </c>
      <c r="J443" s="1" t="s">
        <v>76</v>
      </c>
    </row>
    <row r="444" spans="1:10" x14ac:dyDescent="0.25">
      <c r="A444" s="1" t="s">
        <v>45</v>
      </c>
      <c r="B444" s="1" t="s">
        <v>9</v>
      </c>
      <c r="C444" s="1" t="s">
        <v>26</v>
      </c>
      <c r="E444" s="4">
        <v>179696.30208999998</v>
      </c>
      <c r="G444" s="4">
        <v>223218.7458948</v>
      </c>
      <c r="H444" s="19">
        <v>0</v>
      </c>
      <c r="J444" s="1" t="s">
        <v>76</v>
      </c>
    </row>
    <row r="445" spans="1:10" x14ac:dyDescent="0.25">
      <c r="A445" s="1" t="s">
        <v>45</v>
      </c>
      <c r="B445" s="1" t="s">
        <v>9</v>
      </c>
      <c r="C445" s="1" t="s">
        <v>27</v>
      </c>
      <c r="D445" s="4">
        <v>0</v>
      </c>
      <c r="E445" s="4">
        <v>133120.91111543172</v>
      </c>
      <c r="G445" s="4">
        <v>194506.6775205179</v>
      </c>
      <c r="H445" s="19">
        <v>0</v>
      </c>
      <c r="J445" s="1" t="s">
        <v>76</v>
      </c>
    </row>
    <row r="446" spans="1:10" x14ac:dyDescent="0.25">
      <c r="A446" s="1" t="s">
        <v>45</v>
      </c>
      <c r="B446" s="1" t="s">
        <v>9</v>
      </c>
      <c r="C446" s="1" t="s">
        <v>21</v>
      </c>
      <c r="D446" s="4">
        <v>1985.35211</v>
      </c>
      <c r="E446" s="4">
        <v>6692.9261099999994</v>
      </c>
      <c r="F446" s="4">
        <v>27721.200000000001</v>
      </c>
      <c r="G446" s="4">
        <v>83163.600000000006</v>
      </c>
      <c r="H446" s="19">
        <v>-0.92838145138017114</v>
      </c>
      <c r="J446" s="1" t="s">
        <v>76</v>
      </c>
    </row>
    <row r="447" spans="1:10" x14ac:dyDescent="0.25">
      <c r="A447" s="1" t="s">
        <v>45</v>
      </c>
      <c r="B447" s="1" t="s">
        <v>9</v>
      </c>
      <c r="C447" s="1" t="s">
        <v>28</v>
      </c>
      <c r="D447" s="4">
        <v>37900</v>
      </c>
      <c r="E447" s="4">
        <v>128900</v>
      </c>
      <c r="F447" s="4">
        <v>260000</v>
      </c>
      <c r="G447" s="4">
        <v>780000</v>
      </c>
      <c r="H447" s="19">
        <v>-0.85423076923076924</v>
      </c>
      <c r="J447" s="1" t="s">
        <v>76</v>
      </c>
    </row>
    <row r="448" spans="1:10" x14ac:dyDescent="0.25">
      <c r="A448" s="1" t="s">
        <v>45</v>
      </c>
      <c r="B448" s="1" t="s">
        <v>9</v>
      </c>
      <c r="C448" s="1" t="s">
        <v>29</v>
      </c>
      <c r="D448" s="4">
        <v>822</v>
      </c>
      <c r="E448" s="4">
        <v>2302</v>
      </c>
      <c r="F448" s="4">
        <v>18000</v>
      </c>
      <c r="G448" s="4">
        <v>54000</v>
      </c>
      <c r="H448" s="19">
        <v>-0.95433333333333337</v>
      </c>
      <c r="J448" s="1" t="s">
        <v>76</v>
      </c>
    </row>
    <row r="449" spans="1:10" x14ac:dyDescent="0.25">
      <c r="A449" s="1" t="s">
        <v>45</v>
      </c>
      <c r="B449" s="1" t="s">
        <v>9</v>
      </c>
      <c r="C449" s="1" t="s">
        <v>30</v>
      </c>
      <c r="D449" s="4">
        <v>13</v>
      </c>
      <c r="E449" s="4">
        <v>80</v>
      </c>
      <c r="F449" s="4">
        <v>76</v>
      </c>
      <c r="G449" s="4">
        <v>228</v>
      </c>
      <c r="H449" s="19">
        <v>-0.82894736842105265</v>
      </c>
      <c r="I449" s="5"/>
      <c r="J449" s="1" t="s">
        <v>76</v>
      </c>
    </row>
    <row r="450" spans="1:10" x14ac:dyDescent="0.25">
      <c r="A450" s="1" t="s">
        <v>45</v>
      </c>
      <c r="B450" s="1" t="s">
        <v>9</v>
      </c>
      <c r="C450" s="1" t="s">
        <v>31</v>
      </c>
      <c r="D450" s="4">
        <v>257.73715000000004</v>
      </c>
      <c r="E450" s="4">
        <v>623.17465000000004</v>
      </c>
      <c r="F450" s="4">
        <v>1238.27787225159</v>
      </c>
      <c r="G450" s="4">
        <v>3691.9857110817852</v>
      </c>
      <c r="H450" s="19">
        <v>-0.79185838996593672</v>
      </c>
      <c r="J450" s="1" t="s">
        <v>76</v>
      </c>
    </row>
    <row r="451" spans="1:10" x14ac:dyDescent="0.25">
      <c r="A451" s="1" t="s">
        <v>45</v>
      </c>
      <c r="B451" s="1" t="s">
        <v>9</v>
      </c>
      <c r="C451" s="1" t="s">
        <v>32</v>
      </c>
      <c r="D451" s="4">
        <v>-167.06698611406424</v>
      </c>
      <c r="E451" s="4">
        <v>-1248.5849661140653</v>
      </c>
      <c r="F451" s="4">
        <v>-182.15686611406363</v>
      </c>
      <c r="G451" s="4">
        <v>-1972.1898861140648</v>
      </c>
      <c r="H451" s="19">
        <v>8.2840028607817404E-2</v>
      </c>
      <c r="J451" s="1" t="s">
        <v>76</v>
      </c>
    </row>
    <row r="452" spans="1:10" x14ac:dyDescent="0.25">
      <c r="A452" s="1" t="s">
        <v>46</v>
      </c>
      <c r="B452" s="1" t="s">
        <v>2</v>
      </c>
      <c r="C452" s="1" t="s">
        <v>63</v>
      </c>
      <c r="D452" s="4">
        <v>9362.6050900000264</v>
      </c>
      <c r="E452" s="4">
        <v>9426.6983399999444</v>
      </c>
      <c r="F452" s="4">
        <v>25398.773333333374</v>
      </c>
      <c r="G452" s="4">
        <v>76196.320000000123</v>
      </c>
      <c r="H452" s="19">
        <v>-0.63137569806520799</v>
      </c>
      <c r="J452" s="1" t="s">
        <v>76</v>
      </c>
    </row>
    <row r="453" spans="1:10" x14ac:dyDescent="0.25">
      <c r="A453" s="1" t="s">
        <v>46</v>
      </c>
      <c r="B453" s="1" t="s">
        <v>2</v>
      </c>
      <c r="C453" s="1" t="s">
        <v>26</v>
      </c>
      <c r="E453" s="4">
        <v>344022.28726999997</v>
      </c>
      <c r="G453" s="4">
        <v>365151.08829059999</v>
      </c>
      <c r="H453" s="19">
        <v>0</v>
      </c>
      <c r="J453" s="1" t="s">
        <v>76</v>
      </c>
    </row>
    <row r="454" spans="1:10" x14ac:dyDescent="0.25">
      <c r="A454" s="1" t="s">
        <v>46</v>
      </c>
      <c r="B454" s="1" t="s">
        <v>2</v>
      </c>
      <c r="C454" s="1" t="s">
        <v>27</v>
      </c>
      <c r="D454" s="4">
        <v>0</v>
      </c>
      <c r="E454" s="4">
        <v>336422.72712531453</v>
      </c>
      <c r="G454" s="4">
        <v>306256.55630112649</v>
      </c>
      <c r="H454" s="19">
        <v>0</v>
      </c>
      <c r="J454" s="1" t="s">
        <v>76</v>
      </c>
    </row>
    <row r="455" spans="1:10" x14ac:dyDescent="0.25">
      <c r="A455" s="1" t="s">
        <v>46</v>
      </c>
      <c r="B455" s="1" t="s">
        <v>2</v>
      </c>
      <c r="C455" s="1" t="s">
        <v>21</v>
      </c>
      <c r="D455" s="4">
        <v>8987.6816999999992</v>
      </c>
      <c r="E455" s="4">
        <v>17295.499250000001</v>
      </c>
      <c r="F455" s="4">
        <v>26748.466666666664</v>
      </c>
      <c r="G455" s="4">
        <v>80245.399999999994</v>
      </c>
      <c r="H455" s="19">
        <v>-0.66399263883038784</v>
      </c>
      <c r="J455" s="1" t="s">
        <v>76</v>
      </c>
    </row>
    <row r="456" spans="1:10" x14ac:dyDescent="0.25">
      <c r="A456" s="1" t="s">
        <v>46</v>
      </c>
      <c r="B456" s="1" t="s">
        <v>2</v>
      </c>
      <c r="C456" s="1" t="s">
        <v>28</v>
      </c>
      <c r="D456" s="4">
        <v>29000</v>
      </c>
      <c r="E456" s="4">
        <v>274632</v>
      </c>
      <c r="F456" s="4">
        <v>186000</v>
      </c>
      <c r="G456" s="4">
        <v>558000</v>
      </c>
      <c r="H456" s="19">
        <v>-0.84408602150537637</v>
      </c>
      <c r="J456" s="1" t="s">
        <v>76</v>
      </c>
    </row>
    <row r="457" spans="1:10" x14ac:dyDescent="0.25">
      <c r="A457" s="1" t="s">
        <v>46</v>
      </c>
      <c r="B457" s="1" t="s">
        <v>2</v>
      </c>
      <c r="C457" s="1" t="s">
        <v>29</v>
      </c>
      <c r="D457" s="4">
        <v>64396</v>
      </c>
      <c r="E457" s="4">
        <v>227384</v>
      </c>
      <c r="F457" s="4">
        <v>78000</v>
      </c>
      <c r="G457" s="4">
        <v>234000</v>
      </c>
      <c r="H457" s="19">
        <v>-0.1744102564102564</v>
      </c>
      <c r="J457" s="1" t="s">
        <v>76</v>
      </c>
    </row>
    <row r="458" spans="1:10" x14ac:dyDescent="0.25">
      <c r="A458" s="1" t="s">
        <v>46</v>
      </c>
      <c r="B458" s="1" t="s">
        <v>2</v>
      </c>
      <c r="C458" s="1" t="s">
        <v>30</v>
      </c>
      <c r="D458" s="4">
        <v>53</v>
      </c>
      <c r="E458" s="4">
        <v>224</v>
      </c>
      <c r="F458" s="4">
        <v>98</v>
      </c>
      <c r="G458" s="4">
        <v>294</v>
      </c>
      <c r="H458" s="19">
        <v>-0.45918367346938777</v>
      </c>
      <c r="I458" s="5"/>
      <c r="J458" s="1" t="s">
        <v>76</v>
      </c>
    </row>
    <row r="459" spans="1:10" x14ac:dyDescent="0.25">
      <c r="A459" s="1" t="s">
        <v>46</v>
      </c>
      <c r="B459" s="1" t="s">
        <v>2</v>
      </c>
      <c r="C459" s="1" t="s">
        <v>31</v>
      </c>
      <c r="D459" s="4">
        <v>457.97938999999963</v>
      </c>
      <c r="E459" s="4">
        <v>1161.3052499999997</v>
      </c>
      <c r="F459" s="4">
        <v>1164.6932820458478</v>
      </c>
      <c r="G459" s="4">
        <v>3473.7278823955135</v>
      </c>
      <c r="H459" s="19">
        <v>-0.60678111820518643</v>
      </c>
      <c r="J459" s="1" t="s">
        <v>76</v>
      </c>
    </row>
    <row r="460" spans="1:10" x14ac:dyDescent="0.25">
      <c r="A460" s="1" t="s">
        <v>46</v>
      </c>
      <c r="B460" s="1" t="s">
        <v>2</v>
      </c>
      <c r="C460" s="1" t="s">
        <v>32</v>
      </c>
      <c r="D460" s="4">
        <v>-3037.3454211833441</v>
      </c>
      <c r="E460" s="4">
        <v>-7113.754371183345</v>
      </c>
      <c r="F460" s="4">
        <v>-3039.3773611833485</v>
      </c>
      <c r="G460" s="4">
        <v>-8056.4047511833496</v>
      </c>
      <c r="H460" s="19">
        <v>6.6853824271866102E-4</v>
      </c>
      <c r="J460" s="1" t="s">
        <v>76</v>
      </c>
    </row>
    <row r="461" spans="1:10" x14ac:dyDescent="0.25">
      <c r="A461" s="1" t="s">
        <v>47</v>
      </c>
      <c r="B461" s="1" t="s">
        <v>6</v>
      </c>
      <c r="C461" s="1" t="s">
        <v>63</v>
      </c>
      <c r="D461" s="4">
        <v>4358.6690300000046</v>
      </c>
      <c r="E461" s="4">
        <v>11089.081079999982</v>
      </c>
      <c r="F461" s="4">
        <v>22176.960000000006</v>
      </c>
      <c r="G461" s="4">
        <v>66530.880000000019</v>
      </c>
      <c r="H461" s="19">
        <v>-0.80345958012279395</v>
      </c>
      <c r="J461" s="1" t="s">
        <v>76</v>
      </c>
    </row>
    <row r="462" spans="1:10" x14ac:dyDescent="0.25">
      <c r="A462" s="1" t="s">
        <v>47</v>
      </c>
      <c r="B462" s="1" t="s">
        <v>6</v>
      </c>
      <c r="C462" s="1" t="s">
        <v>26</v>
      </c>
      <c r="E462" s="4">
        <v>50162.088549999993</v>
      </c>
      <c r="G462" s="4">
        <v>68737.115192400015</v>
      </c>
      <c r="H462" s="19">
        <v>0</v>
      </c>
      <c r="J462" s="1" t="s">
        <v>76</v>
      </c>
    </row>
    <row r="463" spans="1:10" x14ac:dyDescent="0.25">
      <c r="A463" s="1" t="s">
        <v>47</v>
      </c>
      <c r="B463" s="1" t="s">
        <v>6</v>
      </c>
      <c r="C463" s="1" t="s">
        <v>27</v>
      </c>
      <c r="D463" s="4">
        <v>0</v>
      </c>
      <c r="E463" s="4">
        <v>210514.49270963206</v>
      </c>
      <c r="G463" s="4">
        <v>239849.5029770745</v>
      </c>
      <c r="H463" s="19">
        <v>0</v>
      </c>
      <c r="J463" s="1" t="s">
        <v>76</v>
      </c>
    </row>
    <row r="464" spans="1:10" x14ac:dyDescent="0.25">
      <c r="A464" s="1" t="s">
        <v>47</v>
      </c>
      <c r="B464" s="1" t="s">
        <v>6</v>
      </c>
      <c r="C464" s="1" t="s">
        <v>21</v>
      </c>
      <c r="D464" s="4">
        <v>8478.2108500000013</v>
      </c>
      <c r="E464" s="4">
        <v>21031.556250000001</v>
      </c>
      <c r="F464" s="4">
        <v>22721.200000000001</v>
      </c>
      <c r="G464" s="4">
        <v>68163.600000000006</v>
      </c>
      <c r="H464" s="19">
        <v>-0.62685901932996491</v>
      </c>
      <c r="J464" s="1" t="s">
        <v>76</v>
      </c>
    </row>
    <row r="465" spans="1:10" x14ac:dyDescent="0.25">
      <c r="A465" s="1" t="s">
        <v>47</v>
      </c>
      <c r="B465" s="1" t="s">
        <v>6</v>
      </c>
      <c r="C465" s="1" t="s">
        <v>28</v>
      </c>
      <c r="D465" s="4">
        <v>7000</v>
      </c>
      <c r="E465" s="4">
        <v>21000</v>
      </c>
      <c r="F465" s="4">
        <v>34000</v>
      </c>
      <c r="G465" s="4">
        <v>102000</v>
      </c>
      <c r="H465" s="19">
        <v>-0.79411764705882348</v>
      </c>
      <c r="J465" s="1" t="s">
        <v>76</v>
      </c>
    </row>
    <row r="466" spans="1:10" x14ac:dyDescent="0.25">
      <c r="A466" s="1" t="s">
        <v>47</v>
      </c>
      <c r="B466" s="1" t="s">
        <v>6</v>
      </c>
      <c r="C466" s="1" t="s">
        <v>29</v>
      </c>
      <c r="D466" s="4">
        <v>0</v>
      </c>
      <c r="E466" s="4">
        <v>7781</v>
      </c>
      <c r="F466" s="4">
        <v>2000</v>
      </c>
      <c r="G466" s="4">
        <v>6000</v>
      </c>
      <c r="H466" s="19">
        <v>-1</v>
      </c>
      <c r="J466" s="1" t="s">
        <v>76</v>
      </c>
    </row>
    <row r="467" spans="1:10" x14ac:dyDescent="0.25">
      <c r="A467" s="1" t="s">
        <v>47</v>
      </c>
      <c r="B467" s="1" t="s">
        <v>6</v>
      </c>
      <c r="C467" s="1" t="s">
        <v>30</v>
      </c>
      <c r="D467" s="4">
        <v>30</v>
      </c>
      <c r="E467" s="4">
        <v>114</v>
      </c>
      <c r="F467" s="4">
        <v>73</v>
      </c>
      <c r="G467" s="4">
        <v>219</v>
      </c>
      <c r="H467" s="19">
        <v>-0.58904109589041098</v>
      </c>
      <c r="I467" s="5"/>
      <c r="J467" s="1" t="s">
        <v>76</v>
      </c>
    </row>
    <row r="468" spans="1:10" x14ac:dyDescent="0.25">
      <c r="A468" s="1" t="s">
        <v>47</v>
      </c>
      <c r="B468" s="1" t="s">
        <v>6</v>
      </c>
      <c r="C468" s="1" t="s">
        <v>31</v>
      </c>
      <c r="D468" s="4">
        <v>363.22296000000017</v>
      </c>
      <c r="E468" s="4">
        <v>1022.7733900000001</v>
      </c>
      <c r="F468" s="4">
        <v>862.28796314593569</v>
      </c>
      <c r="G468" s="4">
        <v>2567.5256781953576</v>
      </c>
      <c r="H468" s="19">
        <v>-0.57876837492334632</v>
      </c>
      <c r="J468" s="1" t="s">
        <v>76</v>
      </c>
    </row>
    <row r="469" spans="1:10" x14ac:dyDescent="0.25">
      <c r="A469" s="1" t="s">
        <v>47</v>
      </c>
      <c r="B469" s="1" t="s">
        <v>6</v>
      </c>
      <c r="C469" s="1" t="s">
        <v>32</v>
      </c>
      <c r="D469" s="4">
        <v>1035.2281217025261</v>
      </c>
      <c r="E469" s="4">
        <v>2936.708731702523</v>
      </c>
      <c r="F469" s="4">
        <v>1038.9069717025254</v>
      </c>
      <c r="G469" s="4">
        <v>4298.0268317025239</v>
      </c>
      <c r="H469" s="19">
        <v>-3.5410774017336265E-3</v>
      </c>
      <c r="J469" s="1" t="s">
        <v>76</v>
      </c>
    </row>
    <row r="470" spans="1:10" x14ac:dyDescent="0.25">
      <c r="A470" s="1" t="s">
        <v>48</v>
      </c>
      <c r="B470" s="1" t="s">
        <v>17</v>
      </c>
      <c r="C470" s="1" t="s">
        <v>63</v>
      </c>
      <c r="D470" s="4">
        <v>-11560.332379999949</v>
      </c>
      <c r="E470" s="4">
        <v>-12912.746999999916</v>
      </c>
      <c r="F470" s="4">
        <v>27376.959999999992</v>
      </c>
      <c r="G470" s="4">
        <v>82130.879999999976</v>
      </c>
      <c r="H470" s="19">
        <v>-1.4222650133542933</v>
      </c>
      <c r="J470" s="1" t="s">
        <v>76</v>
      </c>
    </row>
    <row r="471" spans="1:10" x14ac:dyDescent="0.25">
      <c r="A471" s="1" t="s">
        <v>48</v>
      </c>
      <c r="B471" s="1" t="s">
        <v>17</v>
      </c>
      <c r="C471" s="1" t="s">
        <v>26</v>
      </c>
      <c r="E471" s="4">
        <v>210092.50449000005</v>
      </c>
      <c r="G471" s="4">
        <v>206162.4470628</v>
      </c>
      <c r="H471" s="19">
        <v>0</v>
      </c>
      <c r="J471" s="1" t="s">
        <v>76</v>
      </c>
    </row>
    <row r="472" spans="1:10" x14ac:dyDescent="0.25">
      <c r="A472" s="1" t="s">
        <v>48</v>
      </c>
      <c r="B472" s="1" t="s">
        <v>17</v>
      </c>
      <c r="C472" s="1" t="s">
        <v>27</v>
      </c>
      <c r="D472" s="4">
        <v>0</v>
      </c>
      <c r="E472" s="4">
        <v>146686.97216496352</v>
      </c>
      <c r="G472" s="4">
        <v>186806.54641506667</v>
      </c>
      <c r="H472" s="19">
        <v>0</v>
      </c>
      <c r="J472" s="1" t="s">
        <v>76</v>
      </c>
    </row>
    <row r="473" spans="1:10" x14ac:dyDescent="0.25">
      <c r="A473" s="1" t="s">
        <v>48</v>
      </c>
      <c r="B473" s="1" t="s">
        <v>17</v>
      </c>
      <c r="C473" s="1" t="s">
        <v>21</v>
      </c>
      <c r="D473" s="4">
        <v>6457.5559999999996</v>
      </c>
      <c r="E473" s="4">
        <v>15278.867849999999</v>
      </c>
      <c r="F473" s="4">
        <v>29221.199999999997</v>
      </c>
      <c r="G473" s="4">
        <v>87663.599999999991</v>
      </c>
      <c r="H473" s="19">
        <v>-0.77901126579332813</v>
      </c>
      <c r="J473" s="1" t="s">
        <v>76</v>
      </c>
    </row>
    <row r="474" spans="1:10" x14ac:dyDescent="0.25">
      <c r="A474" s="1" t="s">
        <v>48</v>
      </c>
      <c r="B474" s="1" t="s">
        <v>17</v>
      </c>
      <c r="C474" s="1" t="s">
        <v>28</v>
      </c>
      <c r="D474" s="4">
        <v>477439</v>
      </c>
      <c r="E474" s="4">
        <v>1628835</v>
      </c>
      <c r="F474" s="4">
        <v>828000</v>
      </c>
      <c r="G474" s="4">
        <v>2484000</v>
      </c>
      <c r="H474" s="19">
        <v>-0.42338285024154587</v>
      </c>
      <c r="J474" s="1" t="s">
        <v>76</v>
      </c>
    </row>
    <row r="475" spans="1:10" x14ac:dyDescent="0.25">
      <c r="A475" s="1" t="s">
        <v>48</v>
      </c>
      <c r="B475" s="1" t="s">
        <v>17</v>
      </c>
      <c r="C475" s="1" t="s">
        <v>29</v>
      </c>
      <c r="D475" s="4">
        <v>975</v>
      </c>
      <c r="E475" s="4">
        <v>3354</v>
      </c>
      <c r="F475" s="4">
        <v>59000</v>
      </c>
      <c r="G475" s="4">
        <v>177000</v>
      </c>
      <c r="H475" s="19">
        <v>-0.9834745762711864</v>
      </c>
      <c r="J475" s="1" t="s">
        <v>76</v>
      </c>
    </row>
    <row r="476" spans="1:10" x14ac:dyDescent="0.25">
      <c r="A476" s="1" t="s">
        <v>48</v>
      </c>
      <c r="B476" s="1" t="s">
        <v>17</v>
      </c>
      <c r="C476" s="1" t="s">
        <v>30</v>
      </c>
      <c r="D476" s="4">
        <v>50</v>
      </c>
      <c r="E476" s="4">
        <v>213</v>
      </c>
      <c r="F476" s="4">
        <v>91</v>
      </c>
      <c r="G476" s="4">
        <v>273</v>
      </c>
      <c r="H476" s="19">
        <v>-0.45054945054945056</v>
      </c>
      <c r="I476" s="5"/>
      <c r="J476" s="1" t="s">
        <v>76</v>
      </c>
    </row>
    <row r="477" spans="1:10" x14ac:dyDescent="0.25">
      <c r="A477" s="1" t="s">
        <v>48</v>
      </c>
      <c r="B477" s="1" t="s">
        <v>17</v>
      </c>
      <c r="C477" s="1" t="s">
        <v>31</v>
      </c>
      <c r="D477" s="4">
        <v>845.77310000000034</v>
      </c>
      <c r="E477" s="4">
        <v>2657.4434100000003</v>
      </c>
      <c r="F477" s="4">
        <v>1918.4398806460149</v>
      </c>
      <c r="G477" s="4">
        <v>5731.4225843644526</v>
      </c>
      <c r="H477" s="19">
        <v>-0.55913494682189624</v>
      </c>
      <c r="J477" s="1" t="s">
        <v>76</v>
      </c>
    </row>
    <row r="478" spans="1:10" x14ac:dyDescent="0.25">
      <c r="A478" s="1" t="s">
        <v>48</v>
      </c>
      <c r="B478" s="1" t="s">
        <v>17</v>
      </c>
      <c r="C478" s="1" t="s">
        <v>32</v>
      </c>
      <c r="D478" s="4">
        <v>-3721.7943997566804</v>
      </c>
      <c r="E478" s="4">
        <v>-3878.911949756678</v>
      </c>
      <c r="F478" s="4">
        <v>-3715.4265297566794</v>
      </c>
      <c r="G478" s="4">
        <v>-5058.6222797566797</v>
      </c>
      <c r="H478" s="19">
        <v>-1.7139001266748169E-3</v>
      </c>
      <c r="J478" s="1" t="s">
        <v>76</v>
      </c>
    </row>
    <row r="479" spans="1:10" x14ac:dyDescent="0.25">
      <c r="A479" s="1" t="s">
        <v>49</v>
      </c>
      <c r="B479" s="1" t="s">
        <v>5</v>
      </c>
      <c r="C479" s="1" t="s">
        <v>63</v>
      </c>
      <c r="D479" s="4">
        <v>1758.2063499999931</v>
      </c>
      <c r="E479" s="4">
        <v>-6477.0991000000104</v>
      </c>
      <c r="F479" s="4">
        <v>14955.146666666675</v>
      </c>
      <c r="G479" s="4">
        <v>44865.440000000024</v>
      </c>
      <c r="H479" s="19">
        <v>-0.88243469695159626</v>
      </c>
      <c r="J479" s="1" t="s">
        <v>76</v>
      </c>
    </row>
    <row r="480" spans="1:10" x14ac:dyDescent="0.25">
      <c r="A480" s="1" t="s">
        <v>49</v>
      </c>
      <c r="B480" s="1" t="s">
        <v>5</v>
      </c>
      <c r="C480" s="1" t="s">
        <v>26</v>
      </c>
      <c r="E480" s="4">
        <v>31430.567029999987</v>
      </c>
      <c r="G480" s="4">
        <v>36563.021653199998</v>
      </c>
      <c r="H480" s="19">
        <v>0</v>
      </c>
      <c r="J480" s="1" t="s">
        <v>76</v>
      </c>
    </row>
    <row r="481" spans="1:10" x14ac:dyDescent="0.25">
      <c r="A481" s="1" t="s">
        <v>49</v>
      </c>
      <c r="B481" s="1" t="s">
        <v>5</v>
      </c>
      <c r="C481" s="1" t="s">
        <v>27</v>
      </c>
      <c r="D481" s="4">
        <v>0</v>
      </c>
      <c r="E481" s="4">
        <v>71666.794586319826</v>
      </c>
      <c r="G481" s="4">
        <v>91891.624257867952</v>
      </c>
      <c r="H481" s="19">
        <v>0</v>
      </c>
      <c r="J481" s="1" t="s">
        <v>76</v>
      </c>
    </row>
    <row r="482" spans="1:10" x14ac:dyDescent="0.25">
      <c r="A482" s="1" t="s">
        <v>49</v>
      </c>
      <c r="B482" s="1" t="s">
        <v>5</v>
      </c>
      <c r="C482" s="1" t="s">
        <v>21</v>
      </c>
      <c r="D482" s="4">
        <v>2561.3807000000002</v>
      </c>
      <c r="E482" s="4">
        <v>8124.0564999999988</v>
      </c>
      <c r="F482" s="4">
        <v>13693.933333333334</v>
      </c>
      <c r="G482" s="4">
        <v>41081.800000000003</v>
      </c>
      <c r="H482" s="19">
        <v>-0.8129550774308818</v>
      </c>
      <c r="J482" s="1" t="s">
        <v>76</v>
      </c>
    </row>
    <row r="483" spans="1:10" x14ac:dyDescent="0.25">
      <c r="A483" s="1" t="s">
        <v>49</v>
      </c>
      <c r="B483" s="1" t="s">
        <v>5</v>
      </c>
      <c r="C483" s="1" t="s">
        <v>28</v>
      </c>
      <c r="D483" s="4">
        <v>13000</v>
      </c>
      <c r="E483" s="4">
        <v>181789.14</v>
      </c>
      <c r="F483" s="4">
        <v>118000</v>
      </c>
      <c r="G483" s="4">
        <v>354000</v>
      </c>
      <c r="H483" s="19">
        <v>-0.88983050847457623</v>
      </c>
      <c r="J483" s="1" t="s">
        <v>76</v>
      </c>
    </row>
    <row r="484" spans="1:10" x14ac:dyDescent="0.25">
      <c r="A484" s="1" t="s">
        <v>49</v>
      </c>
      <c r="B484" s="1" t="s">
        <v>5</v>
      </c>
      <c r="C484" s="1" t="s">
        <v>29</v>
      </c>
      <c r="D484" s="4">
        <v>0</v>
      </c>
      <c r="E484" s="4">
        <v>790</v>
      </c>
      <c r="F484" s="4">
        <v>26000</v>
      </c>
      <c r="G484" s="4">
        <v>78000</v>
      </c>
      <c r="H484" s="19">
        <v>-1</v>
      </c>
      <c r="J484" s="1" t="s">
        <v>76</v>
      </c>
    </row>
    <row r="485" spans="1:10" x14ac:dyDescent="0.25">
      <c r="A485" s="1" t="s">
        <v>49</v>
      </c>
      <c r="B485" s="1" t="s">
        <v>5</v>
      </c>
      <c r="C485" s="1" t="s">
        <v>30</v>
      </c>
      <c r="D485" s="4">
        <v>54</v>
      </c>
      <c r="E485" s="4">
        <v>128</v>
      </c>
      <c r="F485" s="4">
        <v>58</v>
      </c>
      <c r="G485" s="4">
        <v>174</v>
      </c>
      <c r="H485" s="19">
        <v>-6.8965517241379309E-2</v>
      </c>
      <c r="I485" s="5"/>
      <c r="J485" s="1" t="s">
        <v>76</v>
      </c>
    </row>
    <row r="486" spans="1:10" x14ac:dyDescent="0.25">
      <c r="A486" s="1" t="s">
        <v>49</v>
      </c>
      <c r="B486" s="1" t="s">
        <v>5</v>
      </c>
      <c r="C486" s="1" t="s">
        <v>31</v>
      </c>
      <c r="D486" s="4">
        <v>179.01418000000001</v>
      </c>
      <c r="E486" s="4">
        <v>694.21231</v>
      </c>
      <c r="F486" s="4">
        <v>649.82986912183105</v>
      </c>
      <c r="G486" s="4">
        <v>1929.2612166507938</v>
      </c>
      <c r="H486" s="19">
        <v>-0.72452146553079089</v>
      </c>
      <c r="J486" s="1" t="s">
        <v>76</v>
      </c>
    </row>
    <row r="487" spans="1:10" x14ac:dyDescent="0.25">
      <c r="A487" s="1" t="s">
        <v>49</v>
      </c>
      <c r="B487" s="1" t="s">
        <v>5</v>
      </c>
      <c r="C487" s="1" t="s">
        <v>32</v>
      </c>
      <c r="D487" s="4">
        <v>787.57989232970704</v>
      </c>
      <c r="E487" s="4">
        <v>326.85863232970672</v>
      </c>
      <c r="F487" s="4">
        <v>792.26813232970608</v>
      </c>
      <c r="G487" s="4">
        <v>565.51133232970562</v>
      </c>
      <c r="H487" s="19">
        <v>-5.9174915772681972E-3</v>
      </c>
      <c r="J487" s="1" t="s">
        <v>76</v>
      </c>
    </row>
    <row r="488" spans="1:10" x14ac:dyDescent="0.25">
      <c r="A488" s="1" t="s">
        <v>50</v>
      </c>
      <c r="B488" s="1" t="s">
        <v>4</v>
      </c>
      <c r="C488" s="1" t="s">
        <v>63</v>
      </c>
      <c r="D488" s="4">
        <v>8763.4978799998062</v>
      </c>
      <c r="E488" s="4">
        <v>-11924.734270000015</v>
      </c>
      <c r="F488" s="4">
        <v>26710.293333333335</v>
      </c>
      <c r="G488" s="4">
        <v>80130.880000000005</v>
      </c>
      <c r="H488" s="19">
        <v>-0.67190559195157451</v>
      </c>
      <c r="J488" s="1" t="s">
        <v>76</v>
      </c>
    </row>
    <row r="489" spans="1:10" x14ac:dyDescent="0.25">
      <c r="A489" s="1" t="s">
        <v>50</v>
      </c>
      <c r="B489" s="1" t="s">
        <v>4</v>
      </c>
      <c r="C489" s="1" t="s">
        <v>26</v>
      </c>
      <c r="E489" s="4">
        <v>693235.50974999997</v>
      </c>
      <c r="G489" s="4">
        <v>754005.64610340004</v>
      </c>
      <c r="H489" s="19">
        <v>0</v>
      </c>
      <c r="J489" s="1" t="s">
        <v>76</v>
      </c>
    </row>
    <row r="490" spans="1:10" x14ac:dyDescent="0.25">
      <c r="A490" s="1" t="s">
        <v>50</v>
      </c>
      <c r="B490" s="1" t="s">
        <v>4</v>
      </c>
      <c r="C490" s="1" t="s">
        <v>27</v>
      </c>
      <c r="D490" s="4">
        <v>0</v>
      </c>
      <c r="E490" s="4">
        <v>404335.81550102553</v>
      </c>
      <c r="G490" s="4">
        <v>399461.20976295805</v>
      </c>
      <c r="H490" s="19">
        <v>0</v>
      </c>
      <c r="J490" s="1" t="s">
        <v>76</v>
      </c>
    </row>
    <row r="491" spans="1:10" x14ac:dyDescent="0.25">
      <c r="A491" s="1" t="s">
        <v>50</v>
      </c>
      <c r="B491" s="1" t="s">
        <v>4</v>
      </c>
      <c r="C491" s="1" t="s">
        <v>21</v>
      </c>
      <c r="D491" s="4">
        <v>3900.1420499999999</v>
      </c>
      <c r="E491" s="4">
        <v>9752.1985499999992</v>
      </c>
      <c r="F491" s="4">
        <v>28387.866666666669</v>
      </c>
      <c r="G491" s="4">
        <v>85163.6</v>
      </c>
      <c r="H491" s="19">
        <v>-0.86261235844891482</v>
      </c>
      <c r="J491" s="1" t="s">
        <v>76</v>
      </c>
    </row>
    <row r="492" spans="1:10" x14ac:dyDescent="0.25">
      <c r="A492" s="1" t="s">
        <v>50</v>
      </c>
      <c r="B492" s="1" t="s">
        <v>4</v>
      </c>
      <c r="C492" s="1" t="s">
        <v>28</v>
      </c>
      <c r="D492" s="4">
        <v>1785872.5999999999</v>
      </c>
      <c r="E492" s="4">
        <v>6182888.5999999996</v>
      </c>
      <c r="F492" s="4">
        <v>5552000</v>
      </c>
      <c r="G492" s="4">
        <v>16656000</v>
      </c>
      <c r="H492" s="19">
        <v>-0.67833706772334301</v>
      </c>
      <c r="J492" s="1" t="s">
        <v>76</v>
      </c>
    </row>
    <row r="493" spans="1:10" x14ac:dyDescent="0.25">
      <c r="A493" s="1" t="s">
        <v>50</v>
      </c>
      <c r="B493" s="1" t="s">
        <v>4</v>
      </c>
      <c r="C493" s="1" t="s">
        <v>29</v>
      </c>
      <c r="D493" s="4">
        <v>35571</v>
      </c>
      <c r="E493" s="4">
        <v>833326</v>
      </c>
      <c r="F493" s="4">
        <v>153000</v>
      </c>
      <c r="G493" s="4">
        <v>459000</v>
      </c>
      <c r="H493" s="19">
        <v>-0.76750980392156865</v>
      </c>
      <c r="J493" s="1" t="s">
        <v>76</v>
      </c>
    </row>
    <row r="494" spans="1:10" x14ac:dyDescent="0.25">
      <c r="A494" s="1" t="s">
        <v>50</v>
      </c>
      <c r="B494" s="1" t="s">
        <v>4</v>
      </c>
      <c r="C494" s="1" t="s">
        <v>30</v>
      </c>
      <c r="D494" s="4">
        <v>49</v>
      </c>
      <c r="E494" s="4">
        <v>131</v>
      </c>
      <c r="F494" s="4">
        <v>98</v>
      </c>
      <c r="G494" s="4">
        <v>294</v>
      </c>
      <c r="H494" s="19">
        <v>-0.5</v>
      </c>
      <c r="I494" s="5"/>
      <c r="J494" s="1" t="s">
        <v>76</v>
      </c>
    </row>
    <row r="495" spans="1:10" x14ac:dyDescent="0.25">
      <c r="A495" s="1" t="s">
        <v>50</v>
      </c>
      <c r="B495" s="1" t="s">
        <v>4</v>
      </c>
      <c r="C495" s="1" t="s">
        <v>31</v>
      </c>
      <c r="D495" s="4">
        <v>1989.7886200000012</v>
      </c>
      <c r="E495" s="4">
        <v>6893.4311900000002</v>
      </c>
      <c r="F495" s="4">
        <v>6551.9866498466927</v>
      </c>
      <c r="G495" s="4">
        <v>19634.868041506637</v>
      </c>
      <c r="H495" s="19">
        <v>-0.69630758938641013</v>
      </c>
      <c r="J495" s="1" t="s">
        <v>76</v>
      </c>
    </row>
    <row r="496" spans="1:10" x14ac:dyDescent="0.25">
      <c r="A496" s="1" t="s">
        <v>50</v>
      </c>
      <c r="B496" s="1" t="s">
        <v>4</v>
      </c>
      <c r="C496" s="1" t="s">
        <v>32</v>
      </c>
      <c r="D496" s="4">
        <v>860.74247998075464</v>
      </c>
      <c r="E496" s="4">
        <v>8467.8585699807554</v>
      </c>
      <c r="F496" s="4">
        <v>866.77670998075473</v>
      </c>
      <c r="G496" s="4">
        <v>4370.1665299807555</v>
      </c>
      <c r="H496" s="19">
        <v>-6.9616891299883596E-3</v>
      </c>
      <c r="J496" s="1" t="s">
        <v>76</v>
      </c>
    </row>
    <row r="497" spans="1:10" x14ac:dyDescent="0.25">
      <c r="A497" s="1" t="s">
        <v>51</v>
      </c>
      <c r="B497" s="1" t="s">
        <v>3</v>
      </c>
      <c r="C497" s="1" t="s">
        <v>63</v>
      </c>
      <c r="D497" s="4">
        <v>-21.423509999978705</v>
      </c>
      <c r="E497" s="4">
        <v>6640.1657600000181</v>
      </c>
      <c r="F497" s="4">
        <v>19691.306666666656</v>
      </c>
      <c r="G497" s="4">
        <v>59073.919999999969</v>
      </c>
      <c r="H497" s="19">
        <v>-1.0010879679222224</v>
      </c>
      <c r="J497" s="1" t="s">
        <v>76</v>
      </c>
    </row>
    <row r="498" spans="1:10" x14ac:dyDescent="0.25">
      <c r="A498" s="1" t="s">
        <v>51</v>
      </c>
      <c r="B498" s="1" t="s">
        <v>3</v>
      </c>
      <c r="C498" s="1" t="s">
        <v>26</v>
      </c>
      <c r="E498" s="4">
        <v>85095.174710000007</v>
      </c>
      <c r="G498" s="4">
        <v>66895.645768799994</v>
      </c>
      <c r="H498" s="19">
        <v>0</v>
      </c>
      <c r="J498" s="1" t="s">
        <v>76</v>
      </c>
    </row>
    <row r="499" spans="1:10" x14ac:dyDescent="0.25">
      <c r="A499" s="1" t="s">
        <v>51</v>
      </c>
      <c r="B499" s="1" t="s">
        <v>3</v>
      </c>
      <c r="C499" s="1" t="s">
        <v>27</v>
      </c>
      <c r="D499" s="4">
        <v>0</v>
      </c>
      <c r="E499" s="4">
        <v>167897.65994362475</v>
      </c>
      <c r="G499" s="4">
        <v>184301.03205405321</v>
      </c>
      <c r="H499" s="19">
        <v>0</v>
      </c>
      <c r="J499" s="1" t="s">
        <v>76</v>
      </c>
    </row>
    <row r="500" spans="1:10" x14ac:dyDescent="0.25">
      <c r="A500" s="1" t="s">
        <v>51</v>
      </c>
      <c r="B500" s="1" t="s">
        <v>3</v>
      </c>
      <c r="C500" s="1" t="s">
        <v>21</v>
      </c>
      <c r="D500" s="4">
        <v>5498.4469500000005</v>
      </c>
      <c r="E500" s="4">
        <v>17326.707549999999</v>
      </c>
      <c r="F500" s="4">
        <v>19614.133333333335</v>
      </c>
      <c r="G500" s="4">
        <v>58842.400000000009</v>
      </c>
      <c r="H500" s="19">
        <v>-0.71966913569127022</v>
      </c>
      <c r="J500" s="1" t="s">
        <v>76</v>
      </c>
    </row>
    <row r="501" spans="1:10" x14ac:dyDescent="0.25">
      <c r="A501" s="1" t="s">
        <v>51</v>
      </c>
      <c r="B501" s="1" t="s">
        <v>3</v>
      </c>
      <c r="C501" s="1" t="s">
        <v>28</v>
      </c>
      <c r="D501" s="4">
        <v>9600</v>
      </c>
      <c r="E501" s="4">
        <v>124580</v>
      </c>
      <c r="F501" s="4">
        <v>91000</v>
      </c>
      <c r="G501" s="4">
        <v>273000</v>
      </c>
      <c r="H501" s="19">
        <v>-0.89450549450549455</v>
      </c>
      <c r="J501" s="1" t="s">
        <v>76</v>
      </c>
    </row>
    <row r="502" spans="1:10" x14ac:dyDescent="0.25">
      <c r="A502" s="1" t="s">
        <v>51</v>
      </c>
      <c r="B502" s="1" t="s">
        <v>3</v>
      </c>
      <c r="C502" s="1" t="s">
        <v>29</v>
      </c>
      <c r="D502" s="4">
        <v>10000</v>
      </c>
      <c r="E502" s="4">
        <v>17213</v>
      </c>
      <c r="F502" s="4">
        <v>25000</v>
      </c>
      <c r="G502" s="4">
        <v>75000</v>
      </c>
      <c r="H502" s="19">
        <v>-0.6</v>
      </c>
      <c r="J502" s="1" t="s">
        <v>76</v>
      </c>
    </row>
    <row r="503" spans="1:10" x14ac:dyDescent="0.25">
      <c r="A503" s="1" t="s">
        <v>51</v>
      </c>
      <c r="B503" s="1" t="s">
        <v>3</v>
      </c>
      <c r="C503" s="1" t="s">
        <v>30</v>
      </c>
      <c r="D503" s="4">
        <v>32</v>
      </c>
      <c r="E503" s="4">
        <v>141</v>
      </c>
      <c r="F503" s="4">
        <v>68</v>
      </c>
      <c r="G503" s="4">
        <v>204</v>
      </c>
      <c r="H503" s="19">
        <v>-0.52941176470588236</v>
      </c>
      <c r="I503" s="5"/>
      <c r="J503" s="1" t="s">
        <v>76</v>
      </c>
    </row>
    <row r="504" spans="1:10" x14ac:dyDescent="0.25">
      <c r="A504" s="1" t="s">
        <v>51</v>
      </c>
      <c r="B504" s="1" t="s">
        <v>3</v>
      </c>
      <c r="C504" s="1" t="s">
        <v>31</v>
      </c>
      <c r="D504" s="4">
        <v>296.26787999999999</v>
      </c>
      <c r="E504" s="4">
        <v>832.41287000000011</v>
      </c>
      <c r="F504" s="4">
        <v>869.62082771566952</v>
      </c>
      <c r="G504" s="4">
        <v>2578.5809934675285</v>
      </c>
      <c r="H504" s="19">
        <v>-0.65931372552536482</v>
      </c>
      <c r="J504" s="1" t="s">
        <v>76</v>
      </c>
    </row>
    <row r="505" spans="1:10" x14ac:dyDescent="0.25">
      <c r="A505" s="1" t="s">
        <v>51</v>
      </c>
      <c r="B505" s="1" t="s">
        <v>3</v>
      </c>
      <c r="C505" s="1" t="s">
        <v>32</v>
      </c>
      <c r="D505" s="4">
        <v>-542.80412318133926</v>
      </c>
      <c r="E505" s="4">
        <v>-286.23807629609263</v>
      </c>
      <c r="F505" s="4">
        <v>-577.45586318133951</v>
      </c>
      <c r="G505" s="4">
        <v>155.58040370390705</v>
      </c>
      <c r="H505" s="19">
        <v>6.0007599211298501E-2</v>
      </c>
      <c r="J505" s="1" t="s">
        <v>76</v>
      </c>
    </row>
    <row r="506" spans="1:10" x14ac:dyDescent="0.25">
      <c r="A506" s="1" t="s">
        <v>52</v>
      </c>
      <c r="B506" s="1" t="s">
        <v>13</v>
      </c>
      <c r="C506" s="1" t="s">
        <v>63</v>
      </c>
      <c r="D506" s="4">
        <v>-1638.0911799999594</v>
      </c>
      <c r="E506" s="4">
        <v>452.12515999999596</v>
      </c>
      <c r="F506" s="4">
        <v>23066.666666666715</v>
      </c>
      <c r="G506" s="4">
        <v>69200.000000000146</v>
      </c>
      <c r="H506" s="19">
        <v>-1.0710155135838131</v>
      </c>
      <c r="J506" s="1" t="s">
        <v>76</v>
      </c>
    </row>
    <row r="507" spans="1:10" x14ac:dyDescent="0.25">
      <c r="A507" s="1" t="s">
        <v>52</v>
      </c>
      <c r="B507" s="1" t="s">
        <v>13</v>
      </c>
      <c r="C507" s="1" t="s">
        <v>26</v>
      </c>
      <c r="E507" s="4">
        <v>251589.89252000002</v>
      </c>
      <c r="G507" s="4">
        <v>253469.818134</v>
      </c>
      <c r="H507" s="19">
        <v>0</v>
      </c>
      <c r="J507" s="1" t="s">
        <v>76</v>
      </c>
    </row>
    <row r="508" spans="1:10" x14ac:dyDescent="0.25">
      <c r="A508" s="1" t="s">
        <v>52</v>
      </c>
      <c r="B508" s="1" t="s">
        <v>13</v>
      </c>
      <c r="C508" s="1" t="s">
        <v>27</v>
      </c>
      <c r="D508" s="4">
        <v>0</v>
      </c>
      <c r="E508" s="4">
        <v>220655.58603999994</v>
      </c>
      <c r="G508" s="4">
        <v>264144.02752437023</v>
      </c>
      <c r="H508" s="19">
        <v>0</v>
      </c>
      <c r="J508" s="1" t="s">
        <v>76</v>
      </c>
    </row>
    <row r="509" spans="1:10" x14ac:dyDescent="0.25">
      <c r="A509" s="1" t="s">
        <v>52</v>
      </c>
      <c r="B509" s="1" t="s">
        <v>13</v>
      </c>
      <c r="C509" s="1" t="s">
        <v>21</v>
      </c>
      <c r="D509" s="4">
        <v>4726.12565</v>
      </c>
      <c r="E509" s="4">
        <v>14365.273649999999</v>
      </c>
      <c r="F509" s="4">
        <v>23833.333333333332</v>
      </c>
      <c r="G509" s="4">
        <v>71500</v>
      </c>
      <c r="H509" s="19">
        <v>-0.8017010216783218</v>
      </c>
      <c r="J509" s="1" t="s">
        <v>76</v>
      </c>
    </row>
    <row r="510" spans="1:10" x14ac:dyDescent="0.25">
      <c r="A510" s="1" t="s">
        <v>52</v>
      </c>
      <c r="B510" s="1" t="s">
        <v>13</v>
      </c>
      <c r="C510" s="1" t="s">
        <v>28</v>
      </c>
      <c r="D510" s="4">
        <v>792088.19</v>
      </c>
      <c r="E510" s="4">
        <v>4061981.31</v>
      </c>
      <c r="F510" s="4">
        <v>1211000</v>
      </c>
      <c r="G510" s="4">
        <v>3633000</v>
      </c>
      <c r="H510" s="19">
        <v>-0.3459222213047069</v>
      </c>
      <c r="J510" s="1" t="s">
        <v>76</v>
      </c>
    </row>
    <row r="511" spans="1:10" x14ac:dyDescent="0.25">
      <c r="A511" s="1" t="s">
        <v>52</v>
      </c>
      <c r="B511" s="1" t="s">
        <v>13</v>
      </c>
      <c r="C511" s="1" t="s">
        <v>29</v>
      </c>
      <c r="D511" s="4">
        <v>19044</v>
      </c>
      <c r="E511" s="4">
        <v>26746</v>
      </c>
      <c r="F511" s="4">
        <v>12000</v>
      </c>
      <c r="G511" s="4">
        <v>36000</v>
      </c>
      <c r="H511" s="19">
        <v>0.58699999999999997</v>
      </c>
      <c r="J511" s="1" t="s">
        <v>76</v>
      </c>
    </row>
    <row r="512" spans="1:10" x14ac:dyDescent="0.25">
      <c r="A512" s="1" t="s">
        <v>52</v>
      </c>
      <c r="B512" s="1" t="s">
        <v>13</v>
      </c>
      <c r="C512" s="1" t="s">
        <v>30</v>
      </c>
      <c r="D512" s="4">
        <v>13</v>
      </c>
      <c r="E512" s="4">
        <v>80</v>
      </c>
      <c r="F512" s="4">
        <v>65</v>
      </c>
      <c r="G512" s="4">
        <v>195</v>
      </c>
      <c r="H512" s="19">
        <v>-0.8</v>
      </c>
      <c r="I512" s="5"/>
      <c r="J512" s="1" t="s">
        <v>76</v>
      </c>
    </row>
    <row r="513" spans="1:10" x14ac:dyDescent="0.25">
      <c r="A513" s="1" t="s">
        <v>52</v>
      </c>
      <c r="B513" s="1" t="s">
        <v>13</v>
      </c>
      <c r="C513" s="1" t="s">
        <v>31</v>
      </c>
      <c r="D513" s="4">
        <v>959.63604000000078</v>
      </c>
      <c r="E513" s="4">
        <v>4663.7443500000008</v>
      </c>
      <c r="F513" s="4">
        <v>2006.3768786606097</v>
      </c>
      <c r="G513" s="4">
        <v>6007.1060378384791</v>
      </c>
      <c r="H513" s="19">
        <v>-0.521706988250073</v>
      </c>
      <c r="J513" s="1" t="s">
        <v>76</v>
      </c>
    </row>
    <row r="514" spans="1:10" x14ac:dyDescent="0.25">
      <c r="A514" s="1" t="s">
        <v>52</v>
      </c>
      <c r="B514" s="1" t="s">
        <v>13</v>
      </c>
      <c r="C514" s="1" t="s">
        <v>32</v>
      </c>
      <c r="D514" s="4">
        <v>-4776.9562494193597</v>
      </c>
      <c r="E514" s="4">
        <v>-3671.99970941936</v>
      </c>
      <c r="F514" s="4">
        <v>-4791.7591994193535</v>
      </c>
      <c r="G514" s="4">
        <v>-4432.6252594193547</v>
      </c>
      <c r="H514" s="19">
        <v>3.0892516472421304E-3</v>
      </c>
      <c r="J514" s="1" t="s">
        <v>76</v>
      </c>
    </row>
    <row r="515" spans="1:10" x14ac:dyDescent="0.25">
      <c r="A515" s="1" t="s">
        <v>53</v>
      </c>
      <c r="B515" s="1" t="s">
        <v>14</v>
      </c>
      <c r="C515" s="1" t="s">
        <v>63</v>
      </c>
      <c r="D515" s="4">
        <v>-1496.4169799999945</v>
      </c>
      <c r="E515" s="4">
        <v>7514.2517600000028</v>
      </c>
      <c r="F515" s="4">
        <v>19776.960000000003</v>
      </c>
      <c r="G515" s="4">
        <v>59330.880000000005</v>
      </c>
      <c r="H515" s="19">
        <v>-1.0756646613028491</v>
      </c>
      <c r="J515" s="1" t="s">
        <v>76</v>
      </c>
    </row>
    <row r="516" spans="1:10" x14ac:dyDescent="0.25">
      <c r="A516" s="1" t="s">
        <v>53</v>
      </c>
      <c r="B516" s="1" t="s">
        <v>14</v>
      </c>
      <c r="C516" s="1" t="s">
        <v>26</v>
      </c>
      <c r="E516" s="4">
        <v>35808.786610000003</v>
      </c>
      <c r="G516" s="4">
        <v>23031.166928400002</v>
      </c>
      <c r="H516" s="19">
        <v>0</v>
      </c>
      <c r="J516" s="1" t="s">
        <v>76</v>
      </c>
    </row>
    <row r="517" spans="1:10" x14ac:dyDescent="0.25">
      <c r="A517" s="1" t="s">
        <v>53</v>
      </c>
      <c r="B517" s="1" t="s">
        <v>14</v>
      </c>
      <c r="C517" s="1" t="s">
        <v>27</v>
      </c>
      <c r="D517" s="4">
        <v>0</v>
      </c>
      <c r="E517" s="4">
        <v>156101.32050602528</v>
      </c>
      <c r="G517" s="4">
        <v>181550.4644061267</v>
      </c>
      <c r="H517" s="19">
        <v>0</v>
      </c>
      <c r="J517" s="1" t="s">
        <v>76</v>
      </c>
    </row>
    <row r="518" spans="1:10" x14ac:dyDescent="0.25">
      <c r="A518" s="1" t="s">
        <v>53</v>
      </c>
      <c r="B518" s="1" t="s">
        <v>14</v>
      </c>
      <c r="C518" s="1" t="s">
        <v>21</v>
      </c>
      <c r="D518" s="4">
        <v>1739.556</v>
      </c>
      <c r="E518" s="4">
        <v>7255.9500000000007</v>
      </c>
      <c r="F518" s="4">
        <v>19721.2</v>
      </c>
      <c r="G518" s="4">
        <v>59163.600000000006</v>
      </c>
      <c r="H518" s="19">
        <v>-0.91179258868628676</v>
      </c>
      <c r="J518" s="1" t="s">
        <v>76</v>
      </c>
    </row>
    <row r="519" spans="1:10" x14ac:dyDescent="0.25">
      <c r="A519" s="1" t="s">
        <v>53</v>
      </c>
      <c r="B519" s="1" t="s">
        <v>14</v>
      </c>
      <c r="C519" s="1" t="s">
        <v>28</v>
      </c>
      <c r="D519" s="4">
        <v>22000</v>
      </c>
      <c r="E519" s="4">
        <v>108120</v>
      </c>
      <c r="F519" s="4">
        <v>58000</v>
      </c>
      <c r="G519" s="4">
        <v>174000</v>
      </c>
      <c r="H519" s="19">
        <v>-0.62068965517241381</v>
      </c>
      <c r="J519" s="1" t="s">
        <v>76</v>
      </c>
    </row>
    <row r="520" spans="1:10" x14ac:dyDescent="0.25">
      <c r="A520" s="1" t="s">
        <v>53</v>
      </c>
      <c r="B520" s="1" t="s">
        <v>14</v>
      </c>
      <c r="C520" s="1" t="s">
        <v>29</v>
      </c>
      <c r="D520" s="4">
        <v>1800</v>
      </c>
      <c r="E520" s="4">
        <v>6036</v>
      </c>
      <c r="F520" s="4">
        <v>2000</v>
      </c>
      <c r="G520" s="4">
        <v>6000</v>
      </c>
      <c r="H520" s="19">
        <v>-0.1</v>
      </c>
      <c r="J520" s="1" t="s">
        <v>76</v>
      </c>
    </row>
    <row r="521" spans="1:10" x14ac:dyDescent="0.25">
      <c r="A521" s="1" t="s">
        <v>53</v>
      </c>
      <c r="B521" s="1" t="s">
        <v>14</v>
      </c>
      <c r="C521" s="1" t="s">
        <v>30</v>
      </c>
      <c r="D521" s="4">
        <v>24</v>
      </c>
      <c r="E521" s="4">
        <v>114</v>
      </c>
      <c r="F521" s="4">
        <v>61</v>
      </c>
      <c r="G521" s="4">
        <v>183</v>
      </c>
      <c r="H521" s="19">
        <v>-0.60655737704918034</v>
      </c>
      <c r="I521" s="5"/>
      <c r="J521" s="1" t="s">
        <v>76</v>
      </c>
    </row>
    <row r="522" spans="1:10" x14ac:dyDescent="0.25">
      <c r="A522" s="1" t="s">
        <v>53</v>
      </c>
      <c r="B522" s="1" t="s">
        <v>14</v>
      </c>
      <c r="C522" s="1" t="s">
        <v>31</v>
      </c>
      <c r="D522" s="4">
        <v>164.23067999999995</v>
      </c>
      <c r="E522" s="4">
        <v>560.79044999999996</v>
      </c>
      <c r="F522" s="4">
        <v>749.84174418687326</v>
      </c>
      <c r="G522" s="4">
        <v>2232.3987170162882</v>
      </c>
      <c r="H522" s="19">
        <v>-0.78097954498640076</v>
      </c>
      <c r="J522" s="1" t="s">
        <v>76</v>
      </c>
    </row>
    <row r="523" spans="1:10" x14ac:dyDescent="0.25">
      <c r="A523" s="1" t="s">
        <v>53</v>
      </c>
      <c r="B523" s="1" t="s">
        <v>14</v>
      </c>
      <c r="C523" s="1" t="s">
        <v>32</v>
      </c>
      <c r="D523" s="4">
        <v>-312.55467367678557</v>
      </c>
      <c r="E523" s="4">
        <v>-1160.6162636767863</v>
      </c>
      <c r="F523" s="4">
        <v>-310.32965367678725</v>
      </c>
      <c r="G523" s="4">
        <v>-381.00900367678827</v>
      </c>
      <c r="H523" s="19">
        <v>-7.1698594498987639E-3</v>
      </c>
      <c r="J523" s="1" t="s">
        <v>76</v>
      </c>
    </row>
    <row r="524" spans="1:10" x14ac:dyDescent="0.25">
      <c r="A524" s="1" t="s">
        <v>54</v>
      </c>
      <c r="B524" s="1" t="s">
        <v>16</v>
      </c>
      <c r="C524" s="1" t="s">
        <v>63</v>
      </c>
      <c r="D524" s="4">
        <v>-8542.3567499999772</v>
      </c>
      <c r="E524" s="4">
        <v>-20633.274060000025</v>
      </c>
      <c r="F524" s="4">
        <v>22421.813333333354</v>
      </c>
      <c r="G524" s="4">
        <v>67265.440000000061</v>
      </c>
      <c r="H524" s="19">
        <v>-1.380984206005341</v>
      </c>
      <c r="J524" s="1" t="s">
        <v>76</v>
      </c>
    </row>
    <row r="525" spans="1:10" x14ac:dyDescent="0.25">
      <c r="A525" s="1" t="s">
        <v>54</v>
      </c>
      <c r="B525" s="1" t="s">
        <v>16</v>
      </c>
      <c r="C525" s="1" t="s">
        <v>26</v>
      </c>
      <c r="E525" s="4">
        <v>136258.45587999999</v>
      </c>
      <c r="G525" s="4">
        <v>186271.37329860003</v>
      </c>
      <c r="H525" s="19">
        <v>0</v>
      </c>
      <c r="J525" s="1" t="s">
        <v>76</v>
      </c>
    </row>
    <row r="526" spans="1:10" x14ac:dyDescent="0.25">
      <c r="A526" s="1" t="s">
        <v>54</v>
      </c>
      <c r="B526" s="1" t="s">
        <v>16</v>
      </c>
      <c r="C526" s="1" t="s">
        <v>27</v>
      </c>
      <c r="D526" s="4">
        <v>0</v>
      </c>
      <c r="E526" s="4">
        <v>176474.30587679887</v>
      </c>
      <c r="G526" s="4">
        <v>198353.97347518214</v>
      </c>
      <c r="H526" s="19">
        <v>0</v>
      </c>
      <c r="J526" s="1" t="s">
        <v>76</v>
      </c>
    </row>
    <row r="527" spans="1:10" x14ac:dyDescent="0.25">
      <c r="A527" s="1" t="s">
        <v>54</v>
      </c>
      <c r="B527" s="1" t="s">
        <v>16</v>
      </c>
      <c r="C527" s="1" t="s">
        <v>21</v>
      </c>
      <c r="D527" s="4">
        <v>988.86855000000003</v>
      </c>
      <c r="E527" s="4">
        <v>14152.981299999999</v>
      </c>
      <c r="F527" s="4">
        <v>23027.266666666666</v>
      </c>
      <c r="G527" s="4">
        <v>69081.8</v>
      </c>
      <c r="H527" s="19">
        <v>-0.95705662489975651</v>
      </c>
      <c r="J527" s="1" t="s">
        <v>76</v>
      </c>
    </row>
    <row r="528" spans="1:10" x14ac:dyDescent="0.25">
      <c r="A528" s="1" t="s">
        <v>54</v>
      </c>
      <c r="B528" s="1" t="s">
        <v>16</v>
      </c>
      <c r="C528" s="1" t="s">
        <v>28</v>
      </c>
      <c r="D528" s="4">
        <v>230599</v>
      </c>
      <c r="E528" s="4">
        <v>770119</v>
      </c>
      <c r="F528" s="4">
        <v>498000</v>
      </c>
      <c r="G528" s="4">
        <v>1494000</v>
      </c>
      <c r="H528" s="19">
        <v>-0.5369497991967872</v>
      </c>
      <c r="J528" s="1" t="s">
        <v>76</v>
      </c>
    </row>
    <row r="529" spans="1:10" x14ac:dyDescent="0.25">
      <c r="A529" s="1" t="s">
        <v>54</v>
      </c>
      <c r="B529" s="1" t="s">
        <v>16</v>
      </c>
      <c r="C529" s="1" t="s">
        <v>29</v>
      </c>
      <c r="D529" s="4">
        <v>42269</v>
      </c>
      <c r="E529" s="4">
        <v>243831</v>
      </c>
      <c r="F529" s="4">
        <v>289000</v>
      </c>
      <c r="G529" s="4">
        <v>867000</v>
      </c>
      <c r="H529" s="19">
        <v>-0.85374048442906569</v>
      </c>
      <c r="J529" s="1" t="s">
        <v>76</v>
      </c>
    </row>
    <row r="530" spans="1:10" x14ac:dyDescent="0.25">
      <c r="A530" s="1" t="s">
        <v>54</v>
      </c>
      <c r="B530" s="1" t="s">
        <v>16</v>
      </c>
      <c r="C530" s="1" t="s">
        <v>30</v>
      </c>
      <c r="D530" s="4">
        <v>53</v>
      </c>
      <c r="E530" s="4">
        <v>152</v>
      </c>
      <c r="F530" s="4">
        <v>56</v>
      </c>
      <c r="G530" s="4">
        <v>168</v>
      </c>
      <c r="H530" s="19">
        <v>-5.3571428571428568E-2</v>
      </c>
      <c r="I530" s="5"/>
      <c r="J530" s="1" t="s">
        <v>76</v>
      </c>
    </row>
    <row r="531" spans="1:10" x14ac:dyDescent="0.25">
      <c r="A531" s="1" t="s">
        <v>54</v>
      </c>
      <c r="B531" s="1" t="s">
        <v>16</v>
      </c>
      <c r="C531" s="1" t="s">
        <v>31</v>
      </c>
      <c r="D531" s="4">
        <v>393.50728999999978</v>
      </c>
      <c r="E531" s="4">
        <v>1546.42518</v>
      </c>
      <c r="F531" s="4">
        <v>1368.3477524950486</v>
      </c>
      <c r="G531" s="4">
        <v>4083.8107354107296</v>
      </c>
      <c r="H531" s="19">
        <v>-0.71242157610704027</v>
      </c>
      <c r="J531" s="1" t="s">
        <v>76</v>
      </c>
    </row>
    <row r="532" spans="1:10" x14ac:dyDescent="0.25">
      <c r="A532" s="1" t="s">
        <v>54</v>
      </c>
      <c r="B532" s="1" t="s">
        <v>16</v>
      </c>
      <c r="C532" s="1" t="s">
        <v>32</v>
      </c>
      <c r="D532" s="4">
        <v>672.47302795471342</v>
      </c>
      <c r="E532" s="4">
        <v>3520.6613479547168</v>
      </c>
      <c r="F532" s="4">
        <v>706.3240779547109</v>
      </c>
      <c r="G532" s="4">
        <v>3349.9791479547125</v>
      </c>
      <c r="H532" s="19">
        <v>-4.7925663383894999E-2</v>
      </c>
      <c r="J532" s="1" t="s">
        <v>76</v>
      </c>
    </row>
    <row r="533" spans="1:10" x14ac:dyDescent="0.25">
      <c r="A533" s="1" t="s">
        <v>55</v>
      </c>
      <c r="B533" s="1" t="s">
        <v>10</v>
      </c>
      <c r="C533" s="1" t="s">
        <v>63</v>
      </c>
      <c r="D533" s="4">
        <v>-18004.063700000013</v>
      </c>
      <c r="E533" s="4">
        <v>-31526.267430000022</v>
      </c>
      <c r="F533" s="4">
        <v>18288.479999999996</v>
      </c>
      <c r="G533" s="4">
        <v>54865.439999999988</v>
      </c>
      <c r="H533" s="19">
        <v>-1.9844483357829639</v>
      </c>
      <c r="J533" s="1" t="s">
        <v>76</v>
      </c>
    </row>
    <row r="534" spans="1:10" x14ac:dyDescent="0.25">
      <c r="A534" s="1" t="s">
        <v>55</v>
      </c>
      <c r="B534" s="1" t="s">
        <v>10</v>
      </c>
      <c r="C534" s="1" t="s">
        <v>26</v>
      </c>
      <c r="E534" s="4">
        <v>50323.354259999993</v>
      </c>
      <c r="G534" s="4">
        <v>75016.986085800003</v>
      </c>
      <c r="H534" s="19">
        <v>0</v>
      </c>
      <c r="J534" s="1" t="s">
        <v>76</v>
      </c>
    </row>
    <row r="535" spans="1:10" x14ac:dyDescent="0.25">
      <c r="A535" s="1" t="s">
        <v>55</v>
      </c>
      <c r="B535" s="1" t="s">
        <v>10</v>
      </c>
      <c r="C535" s="1" t="s">
        <v>27</v>
      </c>
      <c r="D535" s="4">
        <v>0</v>
      </c>
      <c r="E535" s="4">
        <v>153035.51497051091</v>
      </c>
      <c r="G535" s="4">
        <v>177381.59172881747</v>
      </c>
      <c r="H535" s="19">
        <v>0</v>
      </c>
      <c r="J535" s="1" t="s">
        <v>76</v>
      </c>
    </row>
    <row r="536" spans="1:10" x14ac:dyDescent="0.25">
      <c r="A536" s="1" t="s">
        <v>55</v>
      </c>
      <c r="B536" s="1" t="s">
        <v>10</v>
      </c>
      <c r="C536" s="1" t="s">
        <v>21</v>
      </c>
      <c r="D536" s="4">
        <v>1669.2860000000001</v>
      </c>
      <c r="E536" s="4">
        <v>7293.3477999999996</v>
      </c>
      <c r="F536" s="4">
        <v>17860.599999999999</v>
      </c>
      <c r="G536" s="4">
        <v>53581.799999999996</v>
      </c>
      <c r="H536" s="19">
        <v>-0.90653807822805499</v>
      </c>
      <c r="J536" s="1" t="s">
        <v>76</v>
      </c>
    </row>
    <row r="537" spans="1:10" x14ac:dyDescent="0.25">
      <c r="A537" s="1" t="s">
        <v>55</v>
      </c>
      <c r="B537" s="1" t="s">
        <v>10</v>
      </c>
      <c r="C537" s="1" t="s">
        <v>28</v>
      </c>
      <c r="D537" s="4">
        <v>44500</v>
      </c>
      <c r="E537" s="4">
        <v>321359.08999999997</v>
      </c>
      <c r="F537" s="4">
        <v>164000</v>
      </c>
      <c r="G537" s="4">
        <v>492000</v>
      </c>
      <c r="H537" s="19">
        <v>-0.72865853658536583</v>
      </c>
      <c r="J537" s="1" t="s">
        <v>76</v>
      </c>
    </row>
    <row r="538" spans="1:10" x14ac:dyDescent="0.25">
      <c r="A538" s="1" t="s">
        <v>55</v>
      </c>
      <c r="B538" s="1" t="s">
        <v>10</v>
      </c>
      <c r="C538" s="1" t="s">
        <v>29</v>
      </c>
      <c r="D538" s="4">
        <v>0</v>
      </c>
      <c r="E538" s="4">
        <v>1000</v>
      </c>
      <c r="F538" s="4">
        <v>2000</v>
      </c>
      <c r="G538" s="4">
        <v>6000</v>
      </c>
      <c r="H538" s="19">
        <v>-1</v>
      </c>
      <c r="J538" s="1" t="s">
        <v>76</v>
      </c>
    </row>
    <row r="539" spans="1:10" x14ac:dyDescent="0.25">
      <c r="A539" s="1" t="s">
        <v>55</v>
      </c>
      <c r="B539" s="1" t="s">
        <v>10</v>
      </c>
      <c r="C539" s="1" t="s">
        <v>30</v>
      </c>
      <c r="D539" s="4">
        <v>30</v>
      </c>
      <c r="E539" s="4">
        <v>85</v>
      </c>
      <c r="F539" s="4">
        <v>48</v>
      </c>
      <c r="G539" s="4">
        <v>144</v>
      </c>
      <c r="H539" s="19">
        <v>-0.375</v>
      </c>
      <c r="I539" s="5"/>
      <c r="J539" s="1" t="s">
        <v>76</v>
      </c>
    </row>
    <row r="540" spans="1:10" x14ac:dyDescent="0.25">
      <c r="A540" s="1" t="s">
        <v>55</v>
      </c>
      <c r="B540" s="1" t="s">
        <v>10</v>
      </c>
      <c r="C540" s="1" t="s">
        <v>31</v>
      </c>
      <c r="D540" s="4">
        <v>191.19176000000004</v>
      </c>
      <c r="E540" s="4">
        <v>897.37297000000012</v>
      </c>
      <c r="F540" s="4">
        <v>817.16322296402291</v>
      </c>
      <c r="G540" s="4">
        <v>2444.4346588841595</v>
      </c>
      <c r="H540" s="19">
        <v>-0.76602990121544223</v>
      </c>
      <c r="J540" s="1" t="s">
        <v>76</v>
      </c>
    </row>
    <row r="541" spans="1:10" x14ac:dyDescent="0.25">
      <c r="A541" s="1" t="s">
        <v>55</v>
      </c>
      <c r="B541" s="1" t="s">
        <v>10</v>
      </c>
      <c r="C541" s="1" t="s">
        <v>32</v>
      </c>
      <c r="D541" s="4">
        <v>-583.59786156195423</v>
      </c>
      <c r="E541" s="4">
        <v>-2246.1894515619533</v>
      </c>
      <c r="F541" s="4">
        <v>-591.33004156195148</v>
      </c>
      <c r="G541" s="4">
        <v>-1868.8502215619521</v>
      </c>
      <c r="H541" s="19">
        <v>1.3075912699401001E-2</v>
      </c>
      <c r="J541" s="1" t="s">
        <v>76</v>
      </c>
    </row>
    <row r="542" spans="1:10" x14ac:dyDescent="0.25">
      <c r="A542" s="1" t="s">
        <v>56</v>
      </c>
      <c r="B542" s="1" t="s">
        <v>7</v>
      </c>
      <c r="C542" s="1" t="s">
        <v>63</v>
      </c>
      <c r="D542" s="4">
        <v>2204.8544899999979</v>
      </c>
      <c r="E542" s="4">
        <v>1909.3537499999911</v>
      </c>
      <c r="F542" s="4">
        <v>23643.626666666671</v>
      </c>
      <c r="G542" s="4">
        <v>70930.880000000005</v>
      </c>
      <c r="H542" s="19">
        <v>-0.90674634982676106</v>
      </c>
      <c r="J542" s="1" t="s">
        <v>76</v>
      </c>
    </row>
    <row r="543" spans="1:10" x14ac:dyDescent="0.25">
      <c r="A543" s="1" t="s">
        <v>56</v>
      </c>
      <c r="B543" s="1" t="s">
        <v>7</v>
      </c>
      <c r="C543" s="1" t="s">
        <v>26</v>
      </c>
      <c r="E543" s="4">
        <v>34414.733509999998</v>
      </c>
      <c r="G543" s="4">
        <v>38069.821528799999</v>
      </c>
      <c r="H543" s="19">
        <v>0</v>
      </c>
      <c r="J543" s="1" t="s">
        <v>76</v>
      </c>
    </row>
    <row r="544" spans="1:10" x14ac:dyDescent="0.25">
      <c r="A544" s="1" t="s">
        <v>56</v>
      </c>
      <c r="B544" s="1" t="s">
        <v>7</v>
      </c>
      <c r="C544" s="1" t="s">
        <v>27</v>
      </c>
      <c r="D544" s="4">
        <v>0</v>
      </c>
      <c r="E544" s="4">
        <v>170920.2037305047</v>
      </c>
      <c r="G544" s="4">
        <v>197265.80271298008</v>
      </c>
      <c r="H544" s="19">
        <v>0</v>
      </c>
      <c r="J544" s="1" t="s">
        <v>76</v>
      </c>
    </row>
    <row r="545" spans="1:10" x14ac:dyDescent="0.25">
      <c r="A545" s="1" t="s">
        <v>56</v>
      </c>
      <c r="B545" s="1" t="s">
        <v>7</v>
      </c>
      <c r="C545" s="1" t="s">
        <v>21</v>
      </c>
      <c r="D545" s="4">
        <v>4245.8260500000006</v>
      </c>
      <c r="E545" s="4">
        <v>13402.4486</v>
      </c>
      <c r="F545" s="4">
        <v>24554.533333333333</v>
      </c>
      <c r="G545" s="4">
        <v>73663.600000000006</v>
      </c>
      <c r="H545" s="19">
        <v>-0.82708585855157768</v>
      </c>
      <c r="J545" s="1" t="s">
        <v>76</v>
      </c>
    </row>
    <row r="546" spans="1:10" x14ac:dyDescent="0.25">
      <c r="A546" s="1" t="s">
        <v>56</v>
      </c>
      <c r="B546" s="1" t="s">
        <v>7</v>
      </c>
      <c r="C546" s="1" t="s">
        <v>28</v>
      </c>
      <c r="D546" s="4">
        <v>149129.15</v>
      </c>
      <c r="E546" s="4">
        <v>376886.15</v>
      </c>
      <c r="F546" s="4">
        <v>280000</v>
      </c>
      <c r="G546" s="4">
        <v>840000</v>
      </c>
      <c r="H546" s="19">
        <v>-0.46739589285714289</v>
      </c>
      <c r="J546" s="1" t="s">
        <v>76</v>
      </c>
    </row>
    <row r="547" spans="1:10" x14ac:dyDescent="0.25">
      <c r="A547" s="1" t="s">
        <v>56</v>
      </c>
      <c r="B547" s="1" t="s">
        <v>7</v>
      </c>
      <c r="C547" s="1" t="s">
        <v>29</v>
      </c>
      <c r="D547" s="4">
        <v>1000</v>
      </c>
      <c r="E547" s="4">
        <v>25862</v>
      </c>
      <c r="F547" s="4">
        <v>7000</v>
      </c>
      <c r="G547" s="4">
        <v>21000</v>
      </c>
      <c r="H547" s="19">
        <v>-0.8571428571428571</v>
      </c>
      <c r="J547" s="1" t="s">
        <v>76</v>
      </c>
    </row>
    <row r="548" spans="1:10" x14ac:dyDescent="0.25">
      <c r="A548" s="1" t="s">
        <v>56</v>
      </c>
      <c r="B548" s="1" t="s">
        <v>7</v>
      </c>
      <c r="C548" s="1" t="s">
        <v>30</v>
      </c>
      <c r="D548" s="4">
        <v>47</v>
      </c>
      <c r="E548" s="4">
        <v>301</v>
      </c>
      <c r="F548" s="4">
        <v>108</v>
      </c>
      <c r="G548" s="4">
        <v>324</v>
      </c>
      <c r="H548" s="19">
        <v>-0.56481481481481477</v>
      </c>
      <c r="I548" s="5"/>
      <c r="J548" s="1" t="s">
        <v>76</v>
      </c>
    </row>
    <row r="549" spans="1:10" x14ac:dyDescent="0.25">
      <c r="A549" s="1" t="s">
        <v>56</v>
      </c>
      <c r="B549" s="1" t="s">
        <v>7</v>
      </c>
      <c r="C549" s="1" t="s">
        <v>31</v>
      </c>
      <c r="D549" s="4">
        <v>479.01132999999993</v>
      </c>
      <c r="E549" s="4">
        <v>1257.01027</v>
      </c>
      <c r="F549" s="4">
        <v>1161.6603341216774</v>
      </c>
      <c r="G549" s="4">
        <v>3460.2608921411625</v>
      </c>
      <c r="H549" s="19">
        <v>-0.58764940496812534</v>
      </c>
      <c r="J549" s="1" t="s">
        <v>76</v>
      </c>
    </row>
    <row r="550" spans="1:10" x14ac:dyDescent="0.25">
      <c r="A550" s="1" t="s">
        <v>56</v>
      </c>
      <c r="B550" s="1" t="s">
        <v>7</v>
      </c>
      <c r="C550" s="1" t="s">
        <v>32</v>
      </c>
      <c r="D550" s="4">
        <v>698.31919455414209</v>
      </c>
      <c r="E550" s="4">
        <v>854.67012455414283</v>
      </c>
      <c r="F550" s="4">
        <v>696.09417455414268</v>
      </c>
      <c r="G550" s="4">
        <v>1730.5711445541428</v>
      </c>
      <c r="H550" s="19">
        <v>3.1964353119670308E-3</v>
      </c>
      <c r="J550" s="1" t="s">
        <v>76</v>
      </c>
    </row>
    <row r="551" spans="1:10" x14ac:dyDescent="0.25">
      <c r="A551" s="1" t="s">
        <v>57</v>
      </c>
      <c r="B551" s="1" t="s">
        <v>24</v>
      </c>
      <c r="C551" s="1" t="s">
        <v>63</v>
      </c>
      <c r="D551" s="4">
        <v>-4.9132799999998724</v>
      </c>
      <c r="E551" s="4">
        <v>0.40637000000015178</v>
      </c>
      <c r="F551" s="4">
        <v>0</v>
      </c>
      <c r="G551" s="4">
        <v>0</v>
      </c>
      <c r="H551" s="19">
        <v>0</v>
      </c>
      <c r="J551" s="1" t="s">
        <v>76</v>
      </c>
    </row>
    <row r="552" spans="1:10" x14ac:dyDescent="0.25">
      <c r="A552" s="1" t="s">
        <v>57</v>
      </c>
      <c r="B552" s="1" t="s">
        <v>24</v>
      </c>
      <c r="C552" s="1" t="s">
        <v>26</v>
      </c>
      <c r="E552" s="4">
        <v>615.59143000000006</v>
      </c>
      <c r="G552" s="4">
        <v>687.92719860000011</v>
      </c>
      <c r="H552" s="19">
        <v>0</v>
      </c>
      <c r="J552" s="1" t="s">
        <v>76</v>
      </c>
    </row>
    <row r="553" spans="1:10" x14ac:dyDescent="0.25">
      <c r="A553" s="1" t="s">
        <v>57</v>
      </c>
      <c r="B553" s="1" t="s">
        <v>24</v>
      </c>
      <c r="C553" s="1" t="s">
        <v>27</v>
      </c>
      <c r="D553" s="4">
        <v>0</v>
      </c>
      <c r="E553" s="4">
        <v>0</v>
      </c>
      <c r="G553" s="4">
        <v>0</v>
      </c>
      <c r="H553" s="19">
        <v>0</v>
      </c>
      <c r="J553" s="1" t="s">
        <v>76</v>
      </c>
    </row>
    <row r="554" spans="1:10" x14ac:dyDescent="0.25">
      <c r="A554" s="1" t="s">
        <v>57</v>
      </c>
      <c r="B554" s="1" t="s">
        <v>24</v>
      </c>
      <c r="C554" s="1" t="s">
        <v>21</v>
      </c>
      <c r="D554" s="4">
        <v>0</v>
      </c>
      <c r="E554" s="4">
        <v>0</v>
      </c>
      <c r="F554" s="4">
        <v>0</v>
      </c>
      <c r="G554" s="4">
        <v>0</v>
      </c>
      <c r="H554" s="19">
        <v>0</v>
      </c>
      <c r="J554" s="1" t="s">
        <v>76</v>
      </c>
    </row>
    <row r="555" spans="1:10" x14ac:dyDescent="0.25">
      <c r="A555" s="1" t="s">
        <v>57</v>
      </c>
      <c r="B555" s="1" t="s">
        <v>24</v>
      </c>
      <c r="C555" s="1" t="s">
        <v>28</v>
      </c>
      <c r="D555" s="4">
        <v>0</v>
      </c>
      <c r="E555" s="4">
        <v>0</v>
      </c>
      <c r="F555" s="4">
        <v>0</v>
      </c>
      <c r="G555" s="4">
        <v>0</v>
      </c>
      <c r="H555" s="19">
        <v>0</v>
      </c>
      <c r="J555" s="1" t="s">
        <v>76</v>
      </c>
    </row>
    <row r="556" spans="1:10" x14ac:dyDescent="0.25">
      <c r="A556" s="1" t="s">
        <v>57</v>
      </c>
      <c r="B556" s="1" t="s">
        <v>24</v>
      </c>
      <c r="C556" s="1" t="s">
        <v>29</v>
      </c>
      <c r="D556" s="4">
        <v>0</v>
      </c>
      <c r="E556" s="4">
        <v>0</v>
      </c>
      <c r="F556" s="4">
        <v>0</v>
      </c>
      <c r="G556" s="4">
        <v>0</v>
      </c>
      <c r="H556" s="19">
        <v>0</v>
      </c>
      <c r="J556" s="1" t="s">
        <v>76</v>
      </c>
    </row>
    <row r="557" spans="1:10" x14ac:dyDescent="0.25">
      <c r="A557" s="1" t="s">
        <v>57</v>
      </c>
      <c r="B557" s="1" t="s">
        <v>24</v>
      </c>
      <c r="C557" s="1" t="s">
        <v>30</v>
      </c>
      <c r="D557" s="4">
        <v>0</v>
      </c>
      <c r="E557" s="4">
        <v>0</v>
      </c>
      <c r="F557" s="4">
        <v>0</v>
      </c>
      <c r="G557" s="4">
        <v>0</v>
      </c>
      <c r="H557" s="19">
        <v>0</v>
      </c>
      <c r="I557" s="5"/>
      <c r="J557" s="1" t="s">
        <v>76</v>
      </c>
    </row>
    <row r="558" spans="1:10" x14ac:dyDescent="0.25">
      <c r="A558" s="1" t="s">
        <v>57</v>
      </c>
      <c r="B558" s="1" t="s">
        <v>24</v>
      </c>
      <c r="C558" s="1" t="s">
        <v>31</v>
      </c>
      <c r="D558" s="4">
        <v>0</v>
      </c>
      <c r="E558" s="4">
        <v>0</v>
      </c>
      <c r="F558" s="4">
        <v>0.77586882545144986</v>
      </c>
      <c r="G558" s="4">
        <v>2.2288674376039888</v>
      </c>
      <c r="H558" s="19">
        <v>-1</v>
      </c>
      <c r="J558" s="1" t="s">
        <v>76</v>
      </c>
    </row>
    <row r="559" spans="1:10" x14ac:dyDescent="0.25">
      <c r="A559" s="1" t="s">
        <v>57</v>
      </c>
      <c r="B559" s="1" t="s">
        <v>24</v>
      </c>
      <c r="C559" s="1" t="s">
        <v>32</v>
      </c>
      <c r="D559" s="4">
        <v>6.0259200000000011</v>
      </c>
      <c r="E559" s="4">
        <v>7.2884400000000005</v>
      </c>
      <c r="F559" s="4">
        <v>6.0259200000000011</v>
      </c>
      <c r="G559" s="4">
        <v>-1.1877299999999995</v>
      </c>
      <c r="H559" s="19">
        <v>0</v>
      </c>
      <c r="J559" s="1" t="s">
        <v>76</v>
      </c>
    </row>
    <row r="560" spans="1:10" x14ac:dyDescent="0.25">
      <c r="A560" s="1" t="s">
        <v>58</v>
      </c>
      <c r="B560" s="1" t="s">
        <v>1</v>
      </c>
      <c r="C560" s="1" t="s">
        <v>63</v>
      </c>
      <c r="D560" s="4">
        <v>1554.2964199999406</v>
      </c>
      <c r="E560" s="4">
        <v>12283.018559999968</v>
      </c>
      <c r="F560" s="4">
        <v>30401.600000000006</v>
      </c>
      <c r="G560" s="4">
        <v>91204.800000000017</v>
      </c>
      <c r="H560" s="19">
        <v>-0.94887451910425968</v>
      </c>
      <c r="J560" s="1" t="s">
        <v>76</v>
      </c>
    </row>
    <row r="561" spans="1:10" x14ac:dyDescent="0.25">
      <c r="A561" s="1" t="s">
        <v>58</v>
      </c>
      <c r="B561" s="1" t="s">
        <v>1</v>
      </c>
      <c r="C561" s="1" t="s">
        <v>26</v>
      </c>
      <c r="E561" s="4">
        <v>230741.27798999994</v>
      </c>
      <c r="G561" s="4">
        <v>221888.08902360001</v>
      </c>
      <c r="H561" s="19">
        <v>0</v>
      </c>
      <c r="J561" s="1" t="s">
        <v>76</v>
      </c>
    </row>
    <row r="562" spans="1:10" x14ac:dyDescent="0.25">
      <c r="A562" s="1" t="s">
        <v>58</v>
      </c>
      <c r="B562" s="1" t="s">
        <v>1</v>
      </c>
      <c r="C562" s="1" t="s">
        <v>27</v>
      </c>
      <c r="D562" s="4">
        <v>0</v>
      </c>
      <c r="E562" s="4">
        <v>156806.35254054744</v>
      </c>
      <c r="G562" s="4">
        <v>193219.66967572513</v>
      </c>
      <c r="H562" s="19">
        <v>0</v>
      </c>
      <c r="J562" s="1" t="s">
        <v>76</v>
      </c>
    </row>
    <row r="563" spans="1:10" x14ac:dyDescent="0.25">
      <c r="A563" s="1" t="s">
        <v>58</v>
      </c>
      <c r="B563" s="1" t="s">
        <v>1</v>
      </c>
      <c r="C563" s="1" t="s">
        <v>21</v>
      </c>
      <c r="D563" s="4">
        <v>1569.9549999999999</v>
      </c>
      <c r="E563" s="4">
        <v>7190.1089999999995</v>
      </c>
      <c r="F563" s="4">
        <v>33002</v>
      </c>
      <c r="G563" s="4">
        <v>99006</v>
      </c>
      <c r="H563" s="19">
        <v>-0.95242848918247369</v>
      </c>
      <c r="J563" s="1" t="s">
        <v>76</v>
      </c>
    </row>
    <row r="564" spans="1:10" x14ac:dyDescent="0.25">
      <c r="A564" s="1" t="s">
        <v>58</v>
      </c>
      <c r="B564" s="1" t="s">
        <v>1</v>
      </c>
      <c r="C564" s="1" t="s">
        <v>28</v>
      </c>
      <c r="D564" s="4">
        <v>8000</v>
      </c>
      <c r="E564" s="4">
        <v>26400</v>
      </c>
      <c r="F564" s="4">
        <v>63000</v>
      </c>
      <c r="G564" s="4">
        <v>189000</v>
      </c>
      <c r="H564" s="19">
        <v>-0.87301587301587302</v>
      </c>
      <c r="J564" s="1" t="s">
        <v>76</v>
      </c>
    </row>
    <row r="565" spans="1:10" x14ac:dyDescent="0.25">
      <c r="A565" s="1" t="s">
        <v>58</v>
      </c>
      <c r="B565" s="1" t="s">
        <v>1</v>
      </c>
      <c r="C565" s="1" t="s">
        <v>29</v>
      </c>
      <c r="D565" s="4">
        <v>69598</v>
      </c>
      <c r="E565" s="4">
        <v>280536</v>
      </c>
      <c r="F565" s="4">
        <v>99000</v>
      </c>
      <c r="G565" s="4">
        <v>297000</v>
      </c>
      <c r="H565" s="19">
        <v>-0.29698989898989897</v>
      </c>
      <c r="J565" s="1" t="s">
        <v>76</v>
      </c>
    </row>
    <row r="566" spans="1:10" x14ac:dyDescent="0.25">
      <c r="A566" s="1" t="s">
        <v>58</v>
      </c>
      <c r="B566" s="1" t="s">
        <v>1</v>
      </c>
      <c r="C566" s="1" t="s">
        <v>30</v>
      </c>
      <c r="D566" s="4">
        <v>110</v>
      </c>
      <c r="E566" s="4">
        <v>416</v>
      </c>
      <c r="F566" s="4">
        <v>178</v>
      </c>
      <c r="G566" s="4">
        <v>534</v>
      </c>
      <c r="H566" s="19">
        <v>-0.38202247191011235</v>
      </c>
      <c r="I566" s="5"/>
      <c r="J566" s="1" t="s">
        <v>76</v>
      </c>
    </row>
    <row r="567" spans="1:10" x14ac:dyDescent="0.25">
      <c r="A567" s="1" t="s">
        <v>58</v>
      </c>
      <c r="B567" s="1" t="s">
        <v>1</v>
      </c>
      <c r="C567" s="1" t="s">
        <v>31</v>
      </c>
      <c r="D567" s="4">
        <v>291.59858999999994</v>
      </c>
      <c r="E567" s="4">
        <v>947.11544000000004</v>
      </c>
      <c r="F567" s="4">
        <v>1186.2881077338307</v>
      </c>
      <c r="G567" s="4">
        <v>3547.582935577248</v>
      </c>
      <c r="H567" s="19">
        <v>-0.75419243596984087</v>
      </c>
      <c r="J567" s="1" t="s">
        <v>76</v>
      </c>
    </row>
    <row r="568" spans="1:10" x14ac:dyDescent="0.25">
      <c r="A568" s="1" t="s">
        <v>58</v>
      </c>
      <c r="B568" s="1" t="s">
        <v>1</v>
      </c>
      <c r="C568" s="1" t="s">
        <v>32</v>
      </c>
      <c r="D568" s="4">
        <v>-2367.9183559209855</v>
      </c>
      <c r="E568" s="4">
        <v>-5151.6396559209843</v>
      </c>
      <c r="F568" s="4">
        <v>-2367.9179559209797</v>
      </c>
      <c r="G568" s="4">
        <v>-6129.6472159209798</v>
      </c>
      <c r="H568" s="19">
        <v>-1.6892477410845557E-7</v>
      </c>
      <c r="J568" s="1" t="s">
        <v>76</v>
      </c>
    </row>
    <row r="569" spans="1:10" x14ac:dyDescent="0.25">
      <c r="A569" s="1" t="s">
        <v>38</v>
      </c>
      <c r="B569" s="1" t="s">
        <v>18</v>
      </c>
      <c r="C569" s="1" t="s">
        <v>63</v>
      </c>
      <c r="D569" s="4">
        <v>0</v>
      </c>
      <c r="E569" s="4">
        <v>0</v>
      </c>
      <c r="F569" s="4">
        <v>0</v>
      </c>
      <c r="G569" s="4">
        <v>0</v>
      </c>
      <c r="H569" s="19">
        <v>0</v>
      </c>
      <c r="J569" s="1" t="s">
        <v>77</v>
      </c>
    </row>
    <row r="570" spans="1:10" x14ac:dyDescent="0.25">
      <c r="A570" s="1" t="s">
        <v>38</v>
      </c>
      <c r="B570" s="1" t="s">
        <v>18</v>
      </c>
      <c r="C570" s="1" t="s">
        <v>26</v>
      </c>
      <c r="E570" s="4">
        <v>0</v>
      </c>
      <c r="G570" s="4">
        <v>0</v>
      </c>
      <c r="H570" s="19">
        <v>0</v>
      </c>
      <c r="J570" s="1" t="s">
        <v>77</v>
      </c>
    </row>
    <row r="571" spans="1:10" x14ac:dyDescent="0.25">
      <c r="A571" s="1" t="s">
        <v>38</v>
      </c>
      <c r="B571" s="1" t="s">
        <v>18</v>
      </c>
      <c r="C571" s="1" t="s">
        <v>27</v>
      </c>
      <c r="D571" s="4">
        <v>0</v>
      </c>
      <c r="E571" s="4">
        <v>0</v>
      </c>
      <c r="G571" s="4">
        <v>0</v>
      </c>
      <c r="H571" s="19">
        <v>0</v>
      </c>
      <c r="J571" s="1" t="s">
        <v>77</v>
      </c>
    </row>
    <row r="572" spans="1:10" x14ac:dyDescent="0.25">
      <c r="A572" s="1" t="s">
        <v>38</v>
      </c>
      <c r="B572" s="1" t="s">
        <v>18</v>
      </c>
      <c r="C572" s="1" t="s">
        <v>21</v>
      </c>
      <c r="D572" s="4">
        <v>0</v>
      </c>
      <c r="E572" s="4">
        <v>0</v>
      </c>
      <c r="F572" s="4">
        <v>0</v>
      </c>
      <c r="G572" s="4">
        <v>0</v>
      </c>
      <c r="H572" s="19">
        <v>0</v>
      </c>
      <c r="J572" s="1" t="s">
        <v>77</v>
      </c>
    </row>
    <row r="573" spans="1:10" x14ac:dyDescent="0.25">
      <c r="A573" s="1" t="s">
        <v>38</v>
      </c>
      <c r="B573" s="1" t="s">
        <v>18</v>
      </c>
      <c r="C573" s="1" t="s">
        <v>28</v>
      </c>
      <c r="D573" s="4">
        <v>0</v>
      </c>
      <c r="E573" s="4">
        <v>0</v>
      </c>
      <c r="F573" s="4">
        <v>0</v>
      </c>
      <c r="G573" s="4">
        <v>0</v>
      </c>
      <c r="H573" s="19">
        <v>0</v>
      </c>
      <c r="J573" s="1" t="s">
        <v>77</v>
      </c>
    </row>
    <row r="574" spans="1:10" x14ac:dyDescent="0.25">
      <c r="A574" s="1" t="s">
        <v>38</v>
      </c>
      <c r="B574" s="1" t="s">
        <v>18</v>
      </c>
      <c r="C574" s="1" t="s">
        <v>29</v>
      </c>
      <c r="D574" s="4">
        <v>0</v>
      </c>
      <c r="E574" s="4">
        <v>209870</v>
      </c>
      <c r="F574" s="4">
        <v>0</v>
      </c>
      <c r="G574" s="4">
        <v>99000</v>
      </c>
      <c r="H574" s="19">
        <v>0</v>
      </c>
      <c r="J574" s="1" t="s">
        <v>77</v>
      </c>
    </row>
    <row r="575" spans="1:10" x14ac:dyDescent="0.25">
      <c r="A575" s="1" t="s">
        <v>38</v>
      </c>
      <c r="B575" s="1" t="s">
        <v>18</v>
      </c>
      <c r="C575" s="1" t="s">
        <v>30</v>
      </c>
      <c r="D575" s="4">
        <v>0</v>
      </c>
      <c r="E575" s="4">
        <v>0</v>
      </c>
      <c r="F575" s="4">
        <v>0</v>
      </c>
      <c r="G575" s="4">
        <v>0</v>
      </c>
      <c r="H575" s="19">
        <v>0</v>
      </c>
      <c r="J575" s="1" t="s">
        <v>77</v>
      </c>
    </row>
    <row r="576" spans="1:10" x14ac:dyDescent="0.25">
      <c r="A576" s="1" t="s">
        <v>38</v>
      </c>
      <c r="B576" s="1" t="s">
        <v>18</v>
      </c>
      <c r="C576" s="1" t="s">
        <v>31</v>
      </c>
      <c r="D576" s="4">
        <v>354.6703</v>
      </c>
      <c r="E576" s="4">
        <v>453.76379000000003</v>
      </c>
      <c r="F576" s="4">
        <v>117.38327080666403</v>
      </c>
      <c r="G576" s="4">
        <v>117.50484539416971</v>
      </c>
      <c r="H576" s="19">
        <v>2.0214722895578476</v>
      </c>
      <c r="J576" s="1" t="s">
        <v>77</v>
      </c>
    </row>
    <row r="577" spans="1:10" x14ac:dyDescent="0.25">
      <c r="A577" s="1" t="s">
        <v>38</v>
      </c>
      <c r="B577" s="1" t="s">
        <v>18</v>
      </c>
      <c r="C577" s="1" t="s">
        <v>32</v>
      </c>
      <c r="D577" s="4">
        <v>-53905.796570189341</v>
      </c>
      <c r="E577" s="4">
        <v>-145864.89447833935</v>
      </c>
      <c r="F577" s="4">
        <v>-18820.359002195852</v>
      </c>
      <c r="G577" s="4">
        <v>-108970.86973034583</v>
      </c>
      <c r="H577" s="19">
        <v>-1.8642278589850449</v>
      </c>
      <c r="J577" s="1" t="s">
        <v>77</v>
      </c>
    </row>
    <row r="578" spans="1:10" x14ac:dyDescent="0.25">
      <c r="A578" s="1" t="s">
        <v>39</v>
      </c>
      <c r="B578" s="1" t="s">
        <v>8</v>
      </c>
      <c r="C578" s="1" t="s">
        <v>63</v>
      </c>
      <c r="D578" s="4">
        <v>799.3063100000727</v>
      </c>
      <c r="E578" s="4">
        <v>10759.066650000168</v>
      </c>
      <c r="F578" s="4">
        <v>7465.9829260652068</v>
      </c>
      <c r="G578" s="4">
        <v>65531.422926065206</v>
      </c>
      <c r="H578" s="19">
        <v>-0.89294024404883943</v>
      </c>
      <c r="J578" s="1" t="s">
        <v>77</v>
      </c>
    </row>
    <row r="579" spans="1:10" x14ac:dyDescent="0.25">
      <c r="A579" s="1" t="s">
        <v>39</v>
      </c>
      <c r="B579" s="1" t="s">
        <v>8</v>
      </c>
      <c r="C579" s="1" t="s">
        <v>26</v>
      </c>
      <c r="E579" s="4">
        <v>489382.63978000014</v>
      </c>
      <c r="G579" s="4">
        <v>501109.87596213032</v>
      </c>
      <c r="H579" s="19">
        <v>0</v>
      </c>
      <c r="J579" s="1" t="s">
        <v>77</v>
      </c>
    </row>
    <row r="580" spans="1:10" x14ac:dyDescent="0.25">
      <c r="A580" s="1" t="s">
        <v>39</v>
      </c>
      <c r="B580" s="1" t="s">
        <v>8</v>
      </c>
      <c r="C580" s="1" t="s">
        <v>27</v>
      </c>
      <c r="D580" s="4">
        <v>0</v>
      </c>
      <c r="E580" s="4">
        <v>658657.48782894283</v>
      </c>
      <c r="G580" s="4">
        <v>512153.98187454953</v>
      </c>
      <c r="H580" s="19">
        <v>0</v>
      </c>
      <c r="J580" s="1" t="s">
        <v>77</v>
      </c>
    </row>
    <row r="581" spans="1:10" x14ac:dyDescent="0.25">
      <c r="A581" s="1" t="s">
        <v>39</v>
      </c>
      <c r="B581" s="1" t="s">
        <v>8</v>
      </c>
      <c r="C581" s="1" t="s">
        <v>21</v>
      </c>
      <c r="D581" s="4">
        <v>7002.9337500000001</v>
      </c>
      <c r="E581" s="4">
        <v>43331.011599999998</v>
      </c>
      <c r="F581" s="4">
        <v>21166.644999582291</v>
      </c>
      <c r="G581" s="4">
        <v>78748.444999582294</v>
      </c>
      <c r="H581" s="19">
        <v>-0.66915239755104328</v>
      </c>
      <c r="J581" s="1" t="s">
        <v>77</v>
      </c>
    </row>
    <row r="582" spans="1:10" x14ac:dyDescent="0.25">
      <c r="A582" s="1" t="s">
        <v>39</v>
      </c>
      <c r="B582" s="1" t="s">
        <v>8</v>
      </c>
      <c r="C582" s="1" t="s">
        <v>28</v>
      </c>
      <c r="D582" s="4">
        <v>1854108</v>
      </c>
      <c r="E582" s="4">
        <v>6062654</v>
      </c>
      <c r="F582" s="4">
        <v>124221.61012837839</v>
      </c>
      <c r="G582" s="4">
        <v>4174221.6101283785</v>
      </c>
      <c r="H582" s="19">
        <v>13.925808787085021</v>
      </c>
      <c r="J582" s="1" t="s">
        <v>77</v>
      </c>
    </row>
    <row r="583" spans="1:10" x14ac:dyDescent="0.25">
      <c r="A583" s="1" t="s">
        <v>39</v>
      </c>
      <c r="B583" s="1" t="s">
        <v>8</v>
      </c>
      <c r="C583" s="1" t="s">
        <v>29</v>
      </c>
      <c r="D583" s="4">
        <v>1239</v>
      </c>
      <c r="E583" s="4">
        <v>233995</v>
      </c>
      <c r="F583" s="4">
        <v>28000</v>
      </c>
      <c r="G583" s="4">
        <v>34000</v>
      </c>
      <c r="H583" s="19">
        <v>-0.95574999999999999</v>
      </c>
      <c r="J583" s="1" t="s">
        <v>77</v>
      </c>
    </row>
    <row r="584" spans="1:10" x14ac:dyDescent="0.25">
      <c r="A584" s="1" t="s">
        <v>39</v>
      </c>
      <c r="B584" s="1" t="s">
        <v>8</v>
      </c>
      <c r="C584" s="1" t="s">
        <v>30</v>
      </c>
      <c r="D584" s="4">
        <v>21</v>
      </c>
      <c r="E584" s="4">
        <v>185</v>
      </c>
      <c r="F584" s="4">
        <v>85</v>
      </c>
      <c r="G584" s="4">
        <v>340</v>
      </c>
      <c r="H584" s="19">
        <v>-0.75294117647058822</v>
      </c>
      <c r="J584" s="1" t="s">
        <v>77</v>
      </c>
    </row>
    <row r="585" spans="1:10" x14ac:dyDescent="0.25">
      <c r="A585" s="1" t="s">
        <v>39</v>
      </c>
      <c r="B585" s="1" t="s">
        <v>8</v>
      </c>
      <c r="C585" s="1" t="s">
        <v>31</v>
      </c>
      <c r="D585" s="4">
        <v>2498.7341500000002</v>
      </c>
      <c r="E585" s="4">
        <v>7820.2592800000002</v>
      </c>
      <c r="F585" s="4">
        <v>-9.3724204995451146</v>
      </c>
      <c r="G585" s="4">
        <v>6280.7648958802038</v>
      </c>
      <c r="H585" s="19">
        <v>267.60499815616203</v>
      </c>
      <c r="J585" s="1" t="s">
        <v>77</v>
      </c>
    </row>
    <row r="586" spans="1:10" x14ac:dyDescent="0.25">
      <c r="A586" s="1" t="s">
        <v>39</v>
      </c>
      <c r="B586" s="1" t="s">
        <v>8</v>
      </c>
      <c r="C586" s="1" t="s">
        <v>32</v>
      </c>
      <c r="D586" s="4">
        <v>-1030.3587791835555</v>
      </c>
      <c r="E586" s="4">
        <v>-6113.6106255955146</v>
      </c>
      <c r="F586" s="4">
        <v>4382.1499191513167</v>
      </c>
      <c r="G586" s="4">
        <v>-101.46511726063781</v>
      </c>
      <c r="H586" s="19">
        <v>-1.2351263188601962</v>
      </c>
      <c r="J586" s="1" t="s">
        <v>77</v>
      </c>
    </row>
    <row r="587" spans="1:10" x14ac:dyDescent="0.25">
      <c r="A587" s="1" t="s">
        <v>40</v>
      </c>
      <c r="B587" s="1" t="s">
        <v>11</v>
      </c>
      <c r="C587" s="1" t="s">
        <v>63</v>
      </c>
      <c r="D587" s="4">
        <v>4743.3586200000063</v>
      </c>
      <c r="E587" s="4">
        <v>-18361.573029999963</v>
      </c>
      <c r="F587" s="4">
        <v>2986.0037593984976</v>
      </c>
      <c r="G587" s="4">
        <v>62251.443759398499</v>
      </c>
      <c r="H587" s="19">
        <v>0.58853069259213242</v>
      </c>
      <c r="J587" s="1" t="s">
        <v>77</v>
      </c>
    </row>
    <row r="588" spans="1:10" x14ac:dyDescent="0.25">
      <c r="A588" s="1" t="s">
        <v>40</v>
      </c>
      <c r="B588" s="1" t="s">
        <v>11</v>
      </c>
      <c r="C588" s="1" t="s">
        <v>26</v>
      </c>
      <c r="E588" s="4">
        <v>54771.470080000036</v>
      </c>
      <c r="G588" s="4">
        <v>55084.296318797002</v>
      </c>
      <c r="H588" s="19">
        <v>0</v>
      </c>
      <c r="J588" s="1" t="s">
        <v>77</v>
      </c>
    </row>
    <row r="589" spans="1:10" x14ac:dyDescent="0.25">
      <c r="A589" s="1" t="s">
        <v>40</v>
      </c>
      <c r="B589" s="1" t="s">
        <v>11</v>
      </c>
      <c r="C589" s="1" t="s">
        <v>27</v>
      </c>
      <c r="D589" s="4">
        <v>0</v>
      </c>
      <c r="E589" s="4">
        <v>90437.526144262112</v>
      </c>
      <c r="G589" s="4">
        <v>76113.816078896096</v>
      </c>
      <c r="H589" s="19">
        <v>0</v>
      </c>
      <c r="J589" s="1" t="s">
        <v>77</v>
      </c>
    </row>
    <row r="590" spans="1:10" x14ac:dyDescent="0.25">
      <c r="A590" s="1" t="s">
        <v>40</v>
      </c>
      <c r="B590" s="1" t="s">
        <v>11</v>
      </c>
      <c r="C590" s="1" t="s">
        <v>21</v>
      </c>
      <c r="D590" s="4">
        <v>1105.442</v>
      </c>
      <c r="E590" s="4">
        <v>7457.0268500000002</v>
      </c>
      <c r="F590" s="4">
        <v>5348.7727218045111</v>
      </c>
      <c r="G590" s="4">
        <v>64430.572721804499</v>
      </c>
      <c r="H590" s="19">
        <v>-0.79332791698297134</v>
      </c>
      <c r="J590" s="1" t="s">
        <v>77</v>
      </c>
    </row>
    <row r="591" spans="1:10" x14ac:dyDescent="0.25">
      <c r="A591" s="1" t="s">
        <v>40</v>
      </c>
      <c r="B591" s="1" t="s">
        <v>11</v>
      </c>
      <c r="C591" s="1" t="s">
        <v>28</v>
      </c>
      <c r="D591" s="4">
        <v>10500</v>
      </c>
      <c r="E591" s="4">
        <v>49500</v>
      </c>
      <c r="F591" s="4">
        <v>62110.805064189197</v>
      </c>
      <c r="G591" s="4">
        <v>152110.80506418919</v>
      </c>
      <c r="H591" s="19">
        <v>-0.83094728865374323</v>
      </c>
      <c r="J591" s="1" t="s">
        <v>77</v>
      </c>
    </row>
    <row r="592" spans="1:10" x14ac:dyDescent="0.25">
      <c r="A592" s="1" t="s">
        <v>40</v>
      </c>
      <c r="B592" s="1" t="s">
        <v>11</v>
      </c>
      <c r="C592" s="1" t="s">
        <v>29</v>
      </c>
      <c r="D592" s="4">
        <v>54845</v>
      </c>
      <c r="E592" s="4">
        <v>173159</v>
      </c>
      <c r="F592" s="4">
        <v>14000</v>
      </c>
      <c r="G592" s="4">
        <v>233000</v>
      </c>
      <c r="H592" s="19">
        <v>2.9175</v>
      </c>
      <c r="J592" s="1" t="s">
        <v>77</v>
      </c>
    </row>
    <row r="593" spans="1:10" x14ac:dyDescent="0.25">
      <c r="A593" s="1" t="s">
        <v>40</v>
      </c>
      <c r="B593" s="1" t="s">
        <v>11</v>
      </c>
      <c r="C593" s="1" t="s">
        <v>30</v>
      </c>
      <c r="D593" s="4">
        <v>48</v>
      </c>
      <c r="E593" s="4">
        <v>229</v>
      </c>
      <c r="F593" s="4">
        <v>73</v>
      </c>
      <c r="G593" s="4">
        <v>292</v>
      </c>
      <c r="H593" s="19">
        <v>-0.34246575342465752</v>
      </c>
      <c r="J593" s="1" t="s">
        <v>77</v>
      </c>
    </row>
    <row r="594" spans="1:10" x14ac:dyDescent="0.25">
      <c r="A594" s="1" t="s">
        <v>40</v>
      </c>
      <c r="B594" s="1" t="s">
        <v>11</v>
      </c>
      <c r="C594" s="1" t="s">
        <v>31</v>
      </c>
      <c r="D594" s="4">
        <v>119.54642000000013</v>
      </c>
      <c r="E594" s="4">
        <v>647.13869000000011</v>
      </c>
      <c r="F594" s="4">
        <v>-1373.99490293128</v>
      </c>
      <c r="G594" s="4">
        <v>904.16654440317302</v>
      </c>
      <c r="H594" s="19">
        <v>1.0870064508572483</v>
      </c>
      <c r="J594" s="1" t="s">
        <v>77</v>
      </c>
    </row>
    <row r="595" spans="1:10" x14ac:dyDescent="0.25">
      <c r="A595" s="1" t="s">
        <v>40</v>
      </c>
      <c r="B595" s="1" t="s">
        <v>11</v>
      </c>
      <c r="C595" s="1" t="s">
        <v>32</v>
      </c>
      <c r="D595" s="4">
        <v>-1308.6718885957403</v>
      </c>
      <c r="E595" s="4">
        <v>-4286.3301135816</v>
      </c>
      <c r="F595" s="4">
        <v>79.015023048315015</v>
      </c>
      <c r="G595" s="4">
        <v>-2795.1089519375455</v>
      </c>
      <c r="H595" s="19">
        <v>-17.562317368376032</v>
      </c>
      <c r="J595" s="1" t="s">
        <v>77</v>
      </c>
    </row>
    <row r="596" spans="1:10" x14ac:dyDescent="0.25">
      <c r="A596" s="1" t="s">
        <v>41</v>
      </c>
      <c r="B596" s="1" t="s">
        <v>15</v>
      </c>
      <c r="C596" s="1" t="s">
        <v>63</v>
      </c>
      <c r="D596" s="4">
        <v>-8785.0823099999907</v>
      </c>
      <c r="E596" s="4">
        <v>-3994.3820700000069</v>
      </c>
      <c r="F596" s="4">
        <v>2986.0037593984976</v>
      </c>
      <c r="G596" s="4">
        <v>54316.883759398501</v>
      </c>
      <c r="H596" s="19">
        <v>-3.9420868216755571</v>
      </c>
      <c r="J596" s="1" t="s">
        <v>77</v>
      </c>
    </row>
    <row r="597" spans="1:10" x14ac:dyDescent="0.25">
      <c r="A597" s="1" t="s">
        <v>41</v>
      </c>
      <c r="B597" s="1" t="s">
        <v>15</v>
      </c>
      <c r="C597" s="1" t="s">
        <v>26</v>
      </c>
      <c r="E597" s="4">
        <v>36290.48614999999</v>
      </c>
      <c r="G597" s="4">
        <v>52546.068008796974</v>
      </c>
      <c r="H597" s="19">
        <v>0</v>
      </c>
      <c r="J597" s="1" t="s">
        <v>77</v>
      </c>
    </row>
    <row r="598" spans="1:10" x14ac:dyDescent="0.25">
      <c r="A598" s="1" t="s">
        <v>41</v>
      </c>
      <c r="B598" s="1" t="s">
        <v>15</v>
      </c>
      <c r="C598" s="1" t="s">
        <v>27</v>
      </c>
      <c r="D598" s="4">
        <v>0</v>
      </c>
      <c r="E598" s="4">
        <v>100460.12674563688</v>
      </c>
      <c r="G598" s="4">
        <v>83420.542987762878</v>
      </c>
      <c r="H598" s="19">
        <v>0</v>
      </c>
      <c r="J598" s="1" t="s">
        <v>77</v>
      </c>
    </row>
    <row r="599" spans="1:10" x14ac:dyDescent="0.25">
      <c r="A599" s="1" t="s">
        <v>41</v>
      </c>
      <c r="B599" s="1" t="s">
        <v>15</v>
      </c>
      <c r="C599" s="1" t="s">
        <v>21</v>
      </c>
      <c r="D599" s="4">
        <v>460.94200000000001</v>
      </c>
      <c r="E599" s="4">
        <v>5021.7638500000003</v>
      </c>
      <c r="F599" s="4">
        <v>5348.7727218045111</v>
      </c>
      <c r="G599" s="4">
        <v>54512.372721804517</v>
      </c>
      <c r="H599" s="19">
        <v>-0.91382284797390079</v>
      </c>
      <c r="J599" s="1" t="s">
        <v>77</v>
      </c>
    </row>
    <row r="600" spans="1:10" x14ac:dyDescent="0.25">
      <c r="A600" s="1" t="s">
        <v>41</v>
      </c>
      <c r="B600" s="1" t="s">
        <v>15</v>
      </c>
      <c r="C600" s="1" t="s">
        <v>28</v>
      </c>
      <c r="D600" s="4">
        <v>2000</v>
      </c>
      <c r="E600" s="4">
        <v>27000</v>
      </c>
      <c r="F600" s="4">
        <v>62110.805064189197</v>
      </c>
      <c r="G600" s="4">
        <v>98110.80506418919</v>
      </c>
      <c r="H600" s="19">
        <v>-0.96779948355309398</v>
      </c>
      <c r="J600" s="1" t="s">
        <v>77</v>
      </c>
    </row>
    <row r="601" spans="1:10" x14ac:dyDescent="0.25">
      <c r="A601" s="1" t="s">
        <v>41</v>
      </c>
      <c r="B601" s="1" t="s">
        <v>15</v>
      </c>
      <c r="C601" s="1" t="s">
        <v>29</v>
      </c>
      <c r="D601" s="4">
        <v>0</v>
      </c>
      <c r="E601" s="4">
        <v>0</v>
      </c>
      <c r="F601" s="4">
        <v>14000</v>
      </c>
      <c r="G601" s="4">
        <v>17000</v>
      </c>
      <c r="H601" s="19">
        <v>-1</v>
      </c>
      <c r="J601" s="1" t="s">
        <v>77</v>
      </c>
    </row>
    <row r="602" spans="1:10" x14ac:dyDescent="0.25">
      <c r="A602" s="1" t="s">
        <v>41</v>
      </c>
      <c r="B602" s="1" t="s">
        <v>15</v>
      </c>
      <c r="C602" s="1" t="s">
        <v>30</v>
      </c>
      <c r="D602" s="4">
        <v>25</v>
      </c>
      <c r="E602" s="4">
        <v>102</v>
      </c>
      <c r="F602" s="4">
        <v>66</v>
      </c>
      <c r="G602" s="4">
        <v>264</v>
      </c>
      <c r="H602" s="19">
        <v>-0.62121212121212122</v>
      </c>
      <c r="J602" s="1" t="s">
        <v>77</v>
      </c>
    </row>
    <row r="603" spans="1:10" x14ac:dyDescent="0.25">
      <c r="A603" s="1" t="s">
        <v>41</v>
      </c>
      <c r="B603" s="1" t="s">
        <v>15</v>
      </c>
      <c r="C603" s="1" t="s">
        <v>31</v>
      </c>
      <c r="D603" s="4">
        <v>60.143310000000042</v>
      </c>
      <c r="E603" s="4">
        <v>334.12554</v>
      </c>
      <c r="F603" s="4">
        <v>-1363.6787452939009</v>
      </c>
      <c r="G603" s="4">
        <v>657.74089774999675</v>
      </c>
      <c r="H603" s="19">
        <v>1.0441037232614769</v>
      </c>
      <c r="J603" s="1" t="s">
        <v>77</v>
      </c>
    </row>
    <row r="604" spans="1:10" x14ac:dyDescent="0.25">
      <c r="A604" s="1" t="s">
        <v>41</v>
      </c>
      <c r="B604" s="1" t="s">
        <v>15</v>
      </c>
      <c r="C604" s="1" t="s">
        <v>32</v>
      </c>
      <c r="D604" s="4">
        <v>-1036.8595674556905</v>
      </c>
      <c r="E604" s="4">
        <v>-3712.7445292715915</v>
      </c>
      <c r="F604" s="4">
        <v>471.75479851069599</v>
      </c>
      <c r="G604" s="4">
        <v>-1757.273113305205</v>
      </c>
      <c r="H604" s="19">
        <v>-3.1978781577399937</v>
      </c>
      <c r="J604" s="1" t="s">
        <v>77</v>
      </c>
    </row>
    <row r="605" spans="1:10" x14ac:dyDescent="0.25">
      <c r="A605" s="1" t="s">
        <v>42</v>
      </c>
      <c r="B605" s="1" t="s">
        <v>12</v>
      </c>
      <c r="C605" s="1" t="s">
        <v>63</v>
      </c>
      <c r="D605" s="4">
        <v>358.92621000000509</v>
      </c>
      <c r="E605" s="4">
        <v>1539.9198100000067</v>
      </c>
      <c r="F605" s="4">
        <v>4554.5513784461173</v>
      </c>
      <c r="G605" s="4">
        <v>77550.871378446143</v>
      </c>
      <c r="H605" s="19">
        <v>-0.92119394860741244</v>
      </c>
      <c r="J605" s="1" t="s">
        <v>77</v>
      </c>
    </row>
    <row r="606" spans="1:10" x14ac:dyDescent="0.25">
      <c r="A606" s="1" t="s">
        <v>42</v>
      </c>
      <c r="B606" s="1" t="s">
        <v>12</v>
      </c>
      <c r="C606" s="1" t="s">
        <v>26</v>
      </c>
      <c r="E606" s="4">
        <v>24419.639129999992</v>
      </c>
      <c r="G606" s="4">
        <v>33413.218986892214</v>
      </c>
      <c r="H606" s="19">
        <v>0</v>
      </c>
      <c r="J606" s="1" t="s">
        <v>77</v>
      </c>
    </row>
    <row r="607" spans="1:10" x14ac:dyDescent="0.25">
      <c r="A607" s="1" t="s">
        <v>42</v>
      </c>
      <c r="B607" s="1" t="s">
        <v>12</v>
      </c>
      <c r="C607" s="1" t="s">
        <v>27</v>
      </c>
      <c r="D607" s="4">
        <v>0</v>
      </c>
      <c r="E607" s="4">
        <v>110021.30089497763</v>
      </c>
      <c r="G607" s="4">
        <v>86161.412800098609</v>
      </c>
      <c r="H607" s="19">
        <v>0</v>
      </c>
      <c r="J607" s="1" t="s">
        <v>77</v>
      </c>
    </row>
    <row r="608" spans="1:10" x14ac:dyDescent="0.25">
      <c r="A608" s="1" t="s">
        <v>42</v>
      </c>
      <c r="B608" s="1" t="s">
        <v>12</v>
      </c>
      <c r="C608" s="1" t="s">
        <v>21</v>
      </c>
      <c r="D608" s="4">
        <v>1175.8</v>
      </c>
      <c r="E608" s="4">
        <v>9810.7510199999997</v>
      </c>
      <c r="F608" s="4">
        <v>8158.4827535505428</v>
      </c>
      <c r="G608" s="4">
        <v>84403.882753550541</v>
      </c>
      <c r="H608" s="19">
        <v>-0.85588006550748719</v>
      </c>
      <c r="J608" s="1" t="s">
        <v>77</v>
      </c>
    </row>
    <row r="609" spans="1:10" x14ac:dyDescent="0.25">
      <c r="A609" s="1" t="s">
        <v>42</v>
      </c>
      <c r="B609" s="1" t="s">
        <v>12</v>
      </c>
      <c r="C609" s="1" t="s">
        <v>28</v>
      </c>
      <c r="D609" s="4">
        <v>2000</v>
      </c>
      <c r="E609" s="4">
        <v>28000</v>
      </c>
      <c r="F609" s="4">
        <v>124221.61012837839</v>
      </c>
      <c r="G609" s="4">
        <v>385221.61012837838</v>
      </c>
      <c r="H609" s="19">
        <v>-0.98389974177654693</v>
      </c>
      <c r="J609" s="1" t="s">
        <v>77</v>
      </c>
    </row>
    <row r="610" spans="1:10" x14ac:dyDescent="0.25">
      <c r="A610" s="1" t="s">
        <v>42</v>
      </c>
      <c r="B610" s="1" t="s">
        <v>12</v>
      </c>
      <c r="C610" s="1" t="s">
        <v>29</v>
      </c>
      <c r="D610" s="4">
        <v>0</v>
      </c>
      <c r="E610" s="4">
        <v>27984</v>
      </c>
      <c r="F610" s="4">
        <v>28000</v>
      </c>
      <c r="G610" s="4">
        <v>31000</v>
      </c>
      <c r="H610" s="19">
        <v>-1</v>
      </c>
      <c r="J610" s="1" t="s">
        <v>77</v>
      </c>
    </row>
    <row r="611" spans="1:10" x14ac:dyDescent="0.25">
      <c r="A611" s="1" t="s">
        <v>42</v>
      </c>
      <c r="B611" s="1" t="s">
        <v>12</v>
      </c>
      <c r="C611" s="1" t="s">
        <v>30</v>
      </c>
      <c r="D611" s="4">
        <v>12</v>
      </c>
      <c r="E611" s="4">
        <v>63</v>
      </c>
      <c r="F611" s="4">
        <v>101</v>
      </c>
      <c r="G611" s="4">
        <v>404</v>
      </c>
      <c r="H611" s="19">
        <v>-0.88118811881188119</v>
      </c>
      <c r="J611" s="1" t="s">
        <v>77</v>
      </c>
    </row>
    <row r="612" spans="1:10" x14ac:dyDescent="0.25">
      <c r="A612" s="1" t="s">
        <v>42</v>
      </c>
      <c r="B612" s="1" t="s">
        <v>12</v>
      </c>
      <c r="C612" s="1" t="s">
        <v>31</v>
      </c>
      <c r="D612" s="4">
        <v>26.078370000000007</v>
      </c>
      <c r="E612" s="4">
        <v>468.80052000000001</v>
      </c>
      <c r="F612" s="4">
        <v>-1823.3459347779396</v>
      </c>
      <c r="G612" s="4">
        <v>866.46611862417626</v>
      </c>
      <c r="H612" s="19">
        <v>1.014302480677193</v>
      </c>
      <c r="J612" s="1" t="s">
        <v>77</v>
      </c>
    </row>
    <row r="613" spans="1:10" x14ac:dyDescent="0.25">
      <c r="A613" s="1" t="s">
        <v>42</v>
      </c>
      <c r="B613" s="1" t="s">
        <v>12</v>
      </c>
      <c r="C613" s="1" t="s">
        <v>32</v>
      </c>
      <c r="D613" s="4">
        <v>-1416.3555877426272</v>
      </c>
      <c r="E613" s="4">
        <v>-1224.5930935273655</v>
      </c>
      <c r="F613" s="4">
        <v>423.01027928382916</v>
      </c>
      <c r="G613" s="4">
        <v>1036.003373499092</v>
      </c>
      <c r="H613" s="19">
        <v>-4.3482769972884947</v>
      </c>
      <c r="J613" s="1" t="s">
        <v>77</v>
      </c>
    </row>
    <row r="614" spans="1:10" x14ac:dyDescent="0.25">
      <c r="A614" s="1" t="s">
        <v>43</v>
      </c>
      <c r="B614" s="1" t="s">
        <v>22</v>
      </c>
      <c r="C614" s="1" t="s">
        <v>63</v>
      </c>
      <c r="D614" s="4">
        <v>-4274.3180999999749</v>
      </c>
      <c r="E614" s="4">
        <v>-6091.7295500000473</v>
      </c>
      <c r="F614" s="4">
        <v>8734.8787593984907</v>
      </c>
      <c r="G614" s="4">
        <v>108400.31875939846</v>
      </c>
      <c r="H614" s="19">
        <v>-1.4893391445646484</v>
      </c>
      <c r="J614" s="1" t="s">
        <v>77</v>
      </c>
    </row>
    <row r="615" spans="1:10" x14ac:dyDescent="0.25">
      <c r="A615" s="1" t="s">
        <v>43</v>
      </c>
      <c r="B615" s="1" t="s">
        <v>22</v>
      </c>
      <c r="C615" s="1" t="s">
        <v>26</v>
      </c>
      <c r="E615" s="4">
        <v>136221.86233</v>
      </c>
      <c r="G615" s="4">
        <v>172969.14579879702</v>
      </c>
      <c r="H615" s="19">
        <v>0</v>
      </c>
      <c r="J615" s="1" t="s">
        <v>77</v>
      </c>
    </row>
    <row r="616" spans="1:10" x14ac:dyDescent="0.25">
      <c r="A616" s="1" t="s">
        <v>43</v>
      </c>
      <c r="B616" s="1" t="s">
        <v>22</v>
      </c>
      <c r="C616" s="1" t="s">
        <v>27</v>
      </c>
      <c r="D616" s="4">
        <v>0</v>
      </c>
      <c r="E616" s="4">
        <v>347751.11884172849</v>
      </c>
      <c r="G616" s="4">
        <v>216930.07196041453</v>
      </c>
      <c r="H616" s="19">
        <v>0</v>
      </c>
      <c r="J616" s="1" t="s">
        <v>77</v>
      </c>
    </row>
    <row r="617" spans="1:10" x14ac:dyDescent="0.25">
      <c r="A617" s="1" t="s">
        <v>43</v>
      </c>
      <c r="B617" s="1" t="s">
        <v>22</v>
      </c>
      <c r="C617" s="1" t="s">
        <v>21</v>
      </c>
      <c r="D617" s="4">
        <v>2212.8872999999999</v>
      </c>
      <c r="E617" s="4">
        <v>19041.868399999996</v>
      </c>
      <c r="F617" s="4">
        <v>10575.010092174882</v>
      </c>
      <c r="G617" s="4">
        <v>120156.81009217487</v>
      </c>
      <c r="H617" s="19">
        <v>-0.79074371743271854</v>
      </c>
      <c r="J617" s="1" t="s">
        <v>77</v>
      </c>
    </row>
    <row r="618" spans="1:10" x14ac:dyDescent="0.25">
      <c r="A618" s="1" t="s">
        <v>43</v>
      </c>
      <c r="B618" s="1" t="s">
        <v>22</v>
      </c>
      <c r="C618" s="1" t="s">
        <v>28</v>
      </c>
      <c r="D618" s="4">
        <v>447043</v>
      </c>
      <c r="E618" s="4">
        <v>2827593.3899999997</v>
      </c>
      <c r="F618" s="4">
        <v>1608965.6169009011</v>
      </c>
      <c r="G618" s="4">
        <v>6171965.6169009013</v>
      </c>
      <c r="H618" s="19">
        <v>-0.72215503221189459</v>
      </c>
      <c r="J618" s="1" t="s">
        <v>77</v>
      </c>
    </row>
    <row r="619" spans="1:10" x14ac:dyDescent="0.25">
      <c r="A619" s="1" t="s">
        <v>43</v>
      </c>
      <c r="B619" s="1" t="s">
        <v>22</v>
      </c>
      <c r="C619" s="1" t="s">
        <v>29</v>
      </c>
      <c r="D619" s="4">
        <v>122781</v>
      </c>
      <c r="E619" s="4">
        <v>305063</v>
      </c>
      <c r="F619" s="4">
        <v>97666</v>
      </c>
      <c r="G619" s="4">
        <v>358666</v>
      </c>
      <c r="H619" s="19">
        <v>0.25715192595171299</v>
      </c>
      <c r="J619" s="1" t="s">
        <v>77</v>
      </c>
    </row>
    <row r="620" spans="1:10" x14ac:dyDescent="0.25">
      <c r="A620" s="1" t="s">
        <v>43</v>
      </c>
      <c r="B620" s="1" t="s">
        <v>22</v>
      </c>
      <c r="C620" s="1" t="s">
        <v>30</v>
      </c>
      <c r="D620" s="4">
        <v>24</v>
      </c>
      <c r="E620" s="4">
        <v>184</v>
      </c>
      <c r="F620" s="4">
        <v>68</v>
      </c>
      <c r="G620" s="4">
        <v>272</v>
      </c>
      <c r="H620" s="19">
        <v>-0.6470588235294118</v>
      </c>
      <c r="J620" s="1" t="s">
        <v>77</v>
      </c>
    </row>
    <row r="621" spans="1:10" x14ac:dyDescent="0.25">
      <c r="A621" s="1" t="s">
        <v>43</v>
      </c>
      <c r="B621" s="1" t="s">
        <v>22</v>
      </c>
      <c r="C621" s="1" t="s">
        <v>31</v>
      </c>
      <c r="D621" s="4">
        <v>626.71722</v>
      </c>
      <c r="E621" s="4">
        <v>3837.1592099999998</v>
      </c>
      <c r="F621" s="4">
        <v>-3112.4086198703917</v>
      </c>
      <c r="G621" s="4">
        <v>5387.9242311677062</v>
      </c>
      <c r="H621" s="19">
        <v>1.201360841889102</v>
      </c>
      <c r="J621" s="1" t="s">
        <v>77</v>
      </c>
    </row>
    <row r="622" spans="1:10" x14ac:dyDescent="0.25">
      <c r="A622" s="1" t="s">
        <v>43</v>
      </c>
      <c r="B622" s="1" t="s">
        <v>22</v>
      </c>
      <c r="C622" s="1" t="s">
        <v>32</v>
      </c>
      <c r="D622" s="4">
        <v>-2436.1116565257325</v>
      </c>
      <c r="E622" s="4">
        <v>2934.7389314107936</v>
      </c>
      <c r="F622" s="4">
        <v>4550.32323557783</v>
      </c>
      <c r="G622" s="4">
        <v>10501.714203514364</v>
      </c>
      <c r="H622" s="19">
        <v>-1.5353711220948854</v>
      </c>
      <c r="J622" s="1" t="s">
        <v>77</v>
      </c>
    </row>
    <row r="623" spans="1:10" x14ac:dyDescent="0.25">
      <c r="A623" s="1" t="s">
        <v>44</v>
      </c>
      <c r="B623" s="1" t="s">
        <v>0</v>
      </c>
      <c r="C623" s="1" t="s">
        <v>63</v>
      </c>
      <c r="D623" s="4">
        <v>42.811040000015055</v>
      </c>
      <c r="E623" s="4">
        <v>14366.150720000005</v>
      </c>
      <c r="F623" s="4">
        <v>5601.4829260651622</v>
      </c>
      <c r="G623" s="4">
        <v>72866.922926065177</v>
      </c>
      <c r="H623" s="19">
        <v>-0.99235719530612077</v>
      </c>
      <c r="J623" s="1" t="s">
        <v>77</v>
      </c>
    </row>
    <row r="624" spans="1:10" x14ac:dyDescent="0.25">
      <c r="A624" s="1" t="s">
        <v>44</v>
      </c>
      <c r="B624" s="1" t="s">
        <v>0</v>
      </c>
      <c r="C624" s="1" t="s">
        <v>26</v>
      </c>
      <c r="E624" s="4">
        <v>92311.274630000014</v>
      </c>
      <c r="G624" s="4">
        <v>81108.644652130301</v>
      </c>
      <c r="H624" s="19">
        <v>0</v>
      </c>
      <c r="J624" s="1" t="s">
        <v>77</v>
      </c>
    </row>
    <row r="625" spans="1:10" x14ac:dyDescent="0.25">
      <c r="A625" s="1" t="s">
        <v>44</v>
      </c>
      <c r="B625" s="1" t="s">
        <v>0</v>
      </c>
      <c r="C625" s="1" t="s">
        <v>27</v>
      </c>
      <c r="D625" s="4">
        <v>0</v>
      </c>
      <c r="E625" s="4">
        <v>181495.66352530249</v>
      </c>
      <c r="G625" s="4">
        <v>141387.11130683607</v>
      </c>
      <c r="H625" s="19">
        <v>0</v>
      </c>
      <c r="J625" s="1" t="s">
        <v>77</v>
      </c>
    </row>
    <row r="626" spans="1:10" x14ac:dyDescent="0.25">
      <c r="A626" s="1" t="s">
        <v>44</v>
      </c>
      <c r="B626" s="1" t="s">
        <v>0</v>
      </c>
      <c r="C626" s="1" t="s">
        <v>21</v>
      </c>
      <c r="D626" s="4">
        <v>1889.0029999999999</v>
      </c>
      <c r="E626" s="4">
        <v>8864.8420000000006</v>
      </c>
      <c r="F626" s="4">
        <v>11147.112999582288</v>
      </c>
      <c r="G626" s="4">
        <v>80228.912999582288</v>
      </c>
      <c r="H626" s="19">
        <v>-0.83053881304775623</v>
      </c>
      <c r="J626" s="1" t="s">
        <v>77</v>
      </c>
    </row>
    <row r="627" spans="1:10" x14ac:dyDescent="0.25">
      <c r="A627" s="1" t="s">
        <v>44</v>
      </c>
      <c r="B627" s="1" t="s">
        <v>0</v>
      </c>
      <c r="C627" s="1" t="s">
        <v>28</v>
      </c>
      <c r="D627" s="4">
        <v>14000</v>
      </c>
      <c r="E627" s="4">
        <v>173490.31</v>
      </c>
      <c r="F627" s="4">
        <v>124221.61012837839</v>
      </c>
      <c r="G627" s="4">
        <v>595221.61012837838</v>
      </c>
      <c r="H627" s="19">
        <v>-0.88729819243582886</v>
      </c>
      <c r="J627" s="1" t="s">
        <v>77</v>
      </c>
    </row>
    <row r="628" spans="1:10" x14ac:dyDescent="0.25">
      <c r="A628" s="1" t="s">
        <v>44</v>
      </c>
      <c r="B628" s="1" t="s">
        <v>0</v>
      </c>
      <c r="C628" s="1" t="s">
        <v>29</v>
      </c>
      <c r="D628" s="4">
        <v>7118</v>
      </c>
      <c r="E628" s="4">
        <v>313597</v>
      </c>
      <c r="F628" s="4">
        <v>28000</v>
      </c>
      <c r="G628" s="4">
        <v>130000</v>
      </c>
      <c r="H628" s="19">
        <v>-0.74578571428571427</v>
      </c>
      <c r="J628" s="1" t="s">
        <v>77</v>
      </c>
    </row>
    <row r="629" spans="1:10" x14ac:dyDescent="0.25">
      <c r="A629" s="1" t="s">
        <v>44</v>
      </c>
      <c r="B629" s="1" t="s">
        <v>0</v>
      </c>
      <c r="C629" s="1" t="s">
        <v>30</v>
      </c>
      <c r="D629" s="4">
        <v>20</v>
      </c>
      <c r="E629" s="4">
        <v>148</v>
      </c>
      <c r="F629" s="4">
        <v>66</v>
      </c>
      <c r="G629" s="4">
        <v>264</v>
      </c>
      <c r="H629" s="19">
        <v>-0.69696969696969702</v>
      </c>
      <c r="J629" s="1" t="s">
        <v>77</v>
      </c>
    </row>
    <row r="630" spans="1:10" x14ac:dyDescent="0.25">
      <c r="A630" s="1" t="s">
        <v>44</v>
      </c>
      <c r="B630" s="1" t="s">
        <v>0</v>
      </c>
      <c r="C630" s="1" t="s">
        <v>31</v>
      </c>
      <c r="D630" s="4">
        <v>-92.480380000000082</v>
      </c>
      <c r="E630" s="4">
        <v>736.04628999999989</v>
      </c>
      <c r="F630" s="4">
        <v>-1701.1688798672039</v>
      </c>
      <c r="G630" s="4">
        <v>1537.808350154683</v>
      </c>
      <c r="H630" s="19">
        <v>0.94563715507938328</v>
      </c>
      <c r="J630" s="1" t="s">
        <v>77</v>
      </c>
    </row>
    <row r="631" spans="1:10" x14ac:dyDescent="0.25">
      <c r="A631" s="1" t="s">
        <v>44</v>
      </c>
      <c r="B631" s="1" t="s">
        <v>0</v>
      </c>
      <c r="C631" s="1" t="s">
        <v>32</v>
      </c>
      <c r="D631" s="4">
        <v>-2547.6280808565057</v>
      </c>
      <c r="E631" s="4">
        <v>1802.2956251565085</v>
      </c>
      <c r="F631" s="4">
        <v>1078.7911151979524</v>
      </c>
      <c r="G631" s="4">
        <v>6254.7051412109668</v>
      </c>
      <c r="H631" s="19">
        <v>-3.3615582710736631</v>
      </c>
      <c r="J631" s="1" t="s">
        <v>77</v>
      </c>
    </row>
    <row r="632" spans="1:10" x14ac:dyDescent="0.25">
      <c r="A632" s="1" t="s">
        <v>45</v>
      </c>
      <c r="B632" s="1" t="s">
        <v>9</v>
      </c>
      <c r="C632" s="1" t="s">
        <v>63</v>
      </c>
      <c r="D632" s="4">
        <v>-10067.824450000015</v>
      </c>
      <c r="E632" s="4">
        <v>-25460.931199999992</v>
      </c>
      <c r="F632" s="4">
        <v>2789.9353070175348</v>
      </c>
      <c r="G632" s="4">
        <v>81320.815307017503</v>
      </c>
      <c r="H632" s="19">
        <v>-4.6086229041499198</v>
      </c>
      <c r="J632" s="1" t="s">
        <v>77</v>
      </c>
    </row>
    <row r="633" spans="1:10" x14ac:dyDescent="0.25">
      <c r="A633" s="1" t="s">
        <v>45</v>
      </c>
      <c r="B633" s="1" t="s">
        <v>9</v>
      </c>
      <c r="C633" s="1" t="s">
        <v>26</v>
      </c>
      <c r="E633" s="4">
        <v>169628.47763999997</v>
      </c>
      <c r="G633" s="4">
        <v>208357.57253403505</v>
      </c>
      <c r="H633" s="19">
        <v>0</v>
      </c>
      <c r="J633" s="1" t="s">
        <v>77</v>
      </c>
    </row>
    <row r="634" spans="1:10" x14ac:dyDescent="0.25">
      <c r="A634" s="1" t="s">
        <v>45</v>
      </c>
      <c r="B634" s="1" t="s">
        <v>9</v>
      </c>
      <c r="C634" s="1" t="s">
        <v>27</v>
      </c>
      <c r="D634" s="4">
        <v>0</v>
      </c>
      <c r="E634" s="4">
        <v>128457.12297543175</v>
      </c>
      <c r="G634" s="4">
        <v>132400.81461661839</v>
      </c>
      <c r="H634" s="19">
        <v>0</v>
      </c>
      <c r="J634" s="1" t="s">
        <v>77</v>
      </c>
    </row>
    <row r="635" spans="1:10" x14ac:dyDescent="0.25">
      <c r="A635" s="1" t="s">
        <v>45</v>
      </c>
      <c r="B635" s="1" t="s">
        <v>9</v>
      </c>
      <c r="C635" s="1" t="s">
        <v>21</v>
      </c>
      <c r="D635" s="4">
        <v>20</v>
      </c>
      <c r="E635" s="4">
        <v>6712.9261099999994</v>
      </c>
      <c r="F635" s="4">
        <v>4997.5589678362567</v>
      </c>
      <c r="G635" s="4">
        <v>88161.158967836265</v>
      </c>
      <c r="H635" s="19">
        <v>-0.99599804622042121</v>
      </c>
      <c r="J635" s="1" t="s">
        <v>77</v>
      </c>
    </row>
    <row r="636" spans="1:10" x14ac:dyDescent="0.25">
      <c r="A636" s="1" t="s">
        <v>45</v>
      </c>
      <c r="B636" s="1" t="s">
        <v>9</v>
      </c>
      <c r="C636" s="1" t="s">
        <v>28</v>
      </c>
      <c r="D636" s="4">
        <v>35000</v>
      </c>
      <c r="E636" s="4">
        <v>163900</v>
      </c>
      <c r="F636" s="4">
        <v>62110.805064189197</v>
      </c>
      <c r="G636" s="4">
        <v>842110.80506418925</v>
      </c>
      <c r="H636" s="19">
        <v>-0.43649096217914407</v>
      </c>
      <c r="J636" s="1" t="s">
        <v>77</v>
      </c>
    </row>
    <row r="637" spans="1:10" x14ac:dyDescent="0.25">
      <c r="A637" s="1" t="s">
        <v>45</v>
      </c>
      <c r="B637" s="1" t="s">
        <v>9</v>
      </c>
      <c r="C637" s="1" t="s">
        <v>29</v>
      </c>
      <c r="D637" s="4">
        <v>816</v>
      </c>
      <c r="E637" s="4">
        <v>3118</v>
      </c>
      <c r="F637" s="4">
        <v>14000</v>
      </c>
      <c r="G637" s="4">
        <v>68000</v>
      </c>
      <c r="H637" s="19">
        <v>-0.94171428571428573</v>
      </c>
      <c r="J637" s="1" t="s">
        <v>77</v>
      </c>
    </row>
    <row r="638" spans="1:10" x14ac:dyDescent="0.25">
      <c r="A638" s="1" t="s">
        <v>45</v>
      </c>
      <c r="B638" s="1" t="s">
        <v>9</v>
      </c>
      <c r="C638" s="1" t="s">
        <v>30</v>
      </c>
      <c r="D638" s="4">
        <v>14</v>
      </c>
      <c r="E638" s="4">
        <v>94</v>
      </c>
      <c r="F638" s="4">
        <v>76</v>
      </c>
      <c r="G638" s="4">
        <v>304</v>
      </c>
      <c r="H638" s="19">
        <v>-0.81578947368421051</v>
      </c>
      <c r="J638" s="1" t="s">
        <v>77</v>
      </c>
    </row>
    <row r="639" spans="1:10" x14ac:dyDescent="0.25">
      <c r="A639" s="1" t="s">
        <v>45</v>
      </c>
      <c r="B639" s="1" t="s">
        <v>9</v>
      </c>
      <c r="C639" s="1" t="s">
        <v>31</v>
      </c>
      <c r="D639" s="4">
        <v>113.37011999999982</v>
      </c>
      <c r="E639" s="4">
        <v>736.54476999999986</v>
      </c>
      <c r="F639" s="4">
        <v>-2692.8910250248696</v>
      </c>
      <c r="G639" s="4">
        <v>999.09468605691563</v>
      </c>
      <c r="H639" s="19">
        <v>1.0420997801048979</v>
      </c>
      <c r="J639" s="1" t="s">
        <v>77</v>
      </c>
    </row>
    <row r="640" spans="1:10" x14ac:dyDescent="0.25">
      <c r="A640" s="1" t="s">
        <v>45</v>
      </c>
      <c r="B640" s="1" t="s">
        <v>9</v>
      </c>
      <c r="C640" s="1" t="s">
        <v>32</v>
      </c>
      <c r="D640" s="4">
        <v>-174.76315408437793</v>
      </c>
      <c r="E640" s="4">
        <v>-1423.3481201984432</v>
      </c>
      <c r="F640" s="4">
        <v>312.06171336721832</v>
      </c>
      <c r="G640" s="4">
        <v>-1660.1281727468465</v>
      </c>
      <c r="H640" s="19">
        <v>-1.5600275413431623</v>
      </c>
      <c r="J640" s="1" t="s">
        <v>77</v>
      </c>
    </row>
    <row r="641" spans="1:10" x14ac:dyDescent="0.25">
      <c r="A641" s="1" t="s">
        <v>46</v>
      </c>
      <c r="B641" s="1" t="s">
        <v>2</v>
      </c>
      <c r="C641" s="1" t="s">
        <v>63</v>
      </c>
      <c r="D641" s="4">
        <v>1814.0634000000427</v>
      </c>
      <c r="E641" s="4">
        <v>11240.761739999987</v>
      </c>
      <c r="F641" s="4">
        <v>6907.3728070175648</v>
      </c>
      <c r="G641" s="4">
        <v>83103.692807017695</v>
      </c>
      <c r="H641" s="19">
        <v>-0.73737288391947808</v>
      </c>
      <c r="J641" s="1" t="s">
        <v>77</v>
      </c>
    </row>
    <row r="642" spans="1:10" x14ac:dyDescent="0.25">
      <c r="A642" s="1" t="s">
        <v>46</v>
      </c>
      <c r="B642" s="1" t="s">
        <v>2</v>
      </c>
      <c r="C642" s="1" t="s">
        <v>26</v>
      </c>
      <c r="E642" s="4">
        <v>345836.35067000001</v>
      </c>
      <c r="G642" s="4">
        <v>348474.42779403506</v>
      </c>
      <c r="H642" s="19">
        <v>0</v>
      </c>
      <c r="J642" s="1" t="s">
        <v>77</v>
      </c>
    </row>
    <row r="643" spans="1:10" x14ac:dyDescent="0.25">
      <c r="A643" s="1" t="s">
        <v>46</v>
      </c>
      <c r="B643" s="1" t="s">
        <v>2</v>
      </c>
      <c r="C643" s="1" t="s">
        <v>27</v>
      </c>
      <c r="D643" s="4">
        <v>0</v>
      </c>
      <c r="E643" s="4">
        <v>336272.55622898531</v>
      </c>
      <c r="G643" s="4">
        <v>252410.07778717196</v>
      </c>
      <c r="H643" s="19">
        <v>0</v>
      </c>
      <c r="J643" s="1" t="s">
        <v>77</v>
      </c>
    </row>
    <row r="644" spans="1:10" x14ac:dyDescent="0.25">
      <c r="A644" s="1" t="s">
        <v>46</v>
      </c>
      <c r="B644" s="1" t="s">
        <v>2</v>
      </c>
      <c r="C644" s="1" t="s">
        <v>21</v>
      </c>
      <c r="D644" s="4">
        <v>5373.1700499999997</v>
      </c>
      <c r="E644" s="4">
        <v>22668.669300000001</v>
      </c>
      <c r="F644" s="4">
        <v>12373.04780116959</v>
      </c>
      <c r="G644" s="4">
        <v>92618.44780116959</v>
      </c>
      <c r="H644" s="19">
        <v>-0.56573593375335629</v>
      </c>
      <c r="J644" s="1" t="s">
        <v>77</v>
      </c>
    </row>
    <row r="645" spans="1:10" x14ac:dyDescent="0.25">
      <c r="A645" s="1" t="s">
        <v>46</v>
      </c>
      <c r="B645" s="1" t="s">
        <v>2</v>
      </c>
      <c r="C645" s="1" t="s">
        <v>28</v>
      </c>
      <c r="D645" s="4">
        <v>20000</v>
      </c>
      <c r="E645" s="4">
        <v>294632</v>
      </c>
      <c r="F645" s="4">
        <v>248443.22025675679</v>
      </c>
      <c r="G645" s="4">
        <v>806443.22025675676</v>
      </c>
      <c r="H645" s="19">
        <v>-0.91949870888273488</v>
      </c>
      <c r="J645" s="1" t="s">
        <v>77</v>
      </c>
    </row>
    <row r="646" spans="1:10" x14ac:dyDescent="0.25">
      <c r="A646" s="1" t="s">
        <v>46</v>
      </c>
      <c r="B646" s="1" t="s">
        <v>2</v>
      </c>
      <c r="C646" s="1" t="s">
        <v>29</v>
      </c>
      <c r="D646" s="4">
        <v>64702</v>
      </c>
      <c r="E646" s="4">
        <v>292086</v>
      </c>
      <c r="F646" s="4">
        <v>56000</v>
      </c>
      <c r="G646" s="4">
        <v>290000</v>
      </c>
      <c r="H646" s="19">
        <v>0.15539285714285714</v>
      </c>
      <c r="J646" s="1" t="s">
        <v>77</v>
      </c>
    </row>
    <row r="647" spans="1:10" x14ac:dyDescent="0.25">
      <c r="A647" s="1" t="s">
        <v>46</v>
      </c>
      <c r="B647" s="1" t="s">
        <v>2</v>
      </c>
      <c r="C647" s="1" t="s">
        <v>30</v>
      </c>
      <c r="D647" s="4">
        <v>33</v>
      </c>
      <c r="E647" s="4">
        <v>257</v>
      </c>
      <c r="F647" s="4">
        <v>98</v>
      </c>
      <c r="G647" s="4">
        <v>392</v>
      </c>
      <c r="H647" s="19">
        <v>-0.66326530612244894</v>
      </c>
      <c r="J647" s="1" t="s">
        <v>77</v>
      </c>
    </row>
    <row r="648" spans="1:10" x14ac:dyDescent="0.25">
      <c r="A648" s="1" t="s">
        <v>46</v>
      </c>
      <c r="B648" s="1" t="s">
        <v>2</v>
      </c>
      <c r="C648" s="1" t="s">
        <v>31</v>
      </c>
      <c r="D648" s="4">
        <v>185.33564000000024</v>
      </c>
      <c r="E648" s="4">
        <v>1346.6408899999999</v>
      </c>
      <c r="F648" s="4">
        <v>-1505.6322471249991</v>
      </c>
      <c r="G648" s="4">
        <v>1968.0956352705143</v>
      </c>
      <c r="H648" s="19">
        <v>1.1230948927627566</v>
      </c>
      <c r="J648" s="1" t="s">
        <v>77</v>
      </c>
    </row>
    <row r="649" spans="1:10" x14ac:dyDescent="0.25">
      <c r="A649" s="1" t="s">
        <v>46</v>
      </c>
      <c r="B649" s="1" t="s">
        <v>2</v>
      </c>
      <c r="C649" s="1" t="s">
        <v>32</v>
      </c>
      <c r="D649" s="4">
        <v>2779.4818384492964</v>
      </c>
      <c r="E649" s="4">
        <v>-4334.2725327340486</v>
      </c>
      <c r="F649" s="4">
        <v>4406.3104681935947</v>
      </c>
      <c r="G649" s="4">
        <v>-3650.0942829897544</v>
      </c>
      <c r="H649" s="19">
        <v>-0.36920426771725662</v>
      </c>
      <c r="J649" s="1" t="s">
        <v>77</v>
      </c>
    </row>
    <row r="650" spans="1:10" x14ac:dyDescent="0.25">
      <c r="A650" s="1" t="s">
        <v>47</v>
      </c>
      <c r="B650" s="1" t="s">
        <v>6</v>
      </c>
      <c r="C650" s="1" t="s">
        <v>63</v>
      </c>
      <c r="D650" s="4">
        <v>-3193.7531799999997</v>
      </c>
      <c r="E650" s="4">
        <v>7895.327899999982</v>
      </c>
      <c r="F650" s="4">
        <v>2867.6228070175425</v>
      </c>
      <c r="G650" s="4">
        <v>69398.502807017561</v>
      </c>
      <c r="H650" s="19">
        <v>-2.1137284764873407</v>
      </c>
      <c r="J650" s="1" t="s">
        <v>77</v>
      </c>
    </row>
    <row r="651" spans="1:10" x14ac:dyDescent="0.25">
      <c r="A651" s="1" t="s">
        <v>47</v>
      </c>
      <c r="B651" s="1" t="s">
        <v>6</v>
      </c>
      <c r="C651" s="1" t="s">
        <v>26</v>
      </c>
      <c r="E651" s="4">
        <v>46968.335369999993</v>
      </c>
      <c r="G651" s="4">
        <v>51538.665134035087</v>
      </c>
      <c r="H651" s="19">
        <v>0</v>
      </c>
      <c r="J651" s="1" t="s">
        <v>77</v>
      </c>
    </row>
    <row r="652" spans="1:10" x14ac:dyDescent="0.25">
      <c r="A652" s="1" t="s">
        <v>47</v>
      </c>
      <c r="B652" s="1" t="s">
        <v>6</v>
      </c>
      <c r="C652" s="1" t="s">
        <v>27</v>
      </c>
      <c r="D652" s="4">
        <v>0</v>
      </c>
      <c r="E652" s="4">
        <v>208362.67743963207</v>
      </c>
      <c r="G652" s="4">
        <v>186103.1558608237</v>
      </c>
      <c r="H652" s="19">
        <v>0</v>
      </c>
      <c r="J652" s="1" t="s">
        <v>77</v>
      </c>
    </row>
    <row r="653" spans="1:10" x14ac:dyDescent="0.25">
      <c r="A653" s="1" t="s">
        <v>47</v>
      </c>
      <c r="B653" s="1" t="s">
        <v>6</v>
      </c>
      <c r="C653" s="1" t="s">
        <v>21</v>
      </c>
      <c r="D653" s="4">
        <v>1860.78</v>
      </c>
      <c r="E653" s="4">
        <v>22892.33625</v>
      </c>
      <c r="F653" s="4">
        <v>5136.719134502925</v>
      </c>
      <c r="G653" s="4">
        <v>73300.319134502934</v>
      </c>
      <c r="H653" s="19">
        <v>-0.63774931989150596</v>
      </c>
      <c r="J653" s="1" t="s">
        <v>77</v>
      </c>
    </row>
    <row r="654" spans="1:10" x14ac:dyDescent="0.25">
      <c r="A654" s="1" t="s">
        <v>47</v>
      </c>
      <c r="B654" s="1" t="s">
        <v>6</v>
      </c>
      <c r="C654" s="1" t="s">
        <v>28</v>
      </c>
      <c r="D654" s="4">
        <v>217923</v>
      </c>
      <c r="E654" s="4">
        <v>238923</v>
      </c>
      <c r="F654" s="4">
        <v>0</v>
      </c>
      <c r="G654" s="4">
        <v>102000</v>
      </c>
      <c r="H654" s="19">
        <v>0</v>
      </c>
      <c r="J654" s="1" t="s">
        <v>77</v>
      </c>
    </row>
    <row r="655" spans="1:10" x14ac:dyDescent="0.25">
      <c r="A655" s="1" t="s">
        <v>47</v>
      </c>
      <c r="B655" s="1" t="s">
        <v>6</v>
      </c>
      <c r="C655" s="1" t="s">
        <v>29</v>
      </c>
      <c r="D655" s="4">
        <v>0</v>
      </c>
      <c r="E655" s="4">
        <v>7781</v>
      </c>
      <c r="F655" s="4">
        <v>0</v>
      </c>
      <c r="G655" s="4">
        <v>6000</v>
      </c>
      <c r="H655" s="19">
        <v>0</v>
      </c>
      <c r="J655" s="1" t="s">
        <v>77</v>
      </c>
    </row>
    <row r="656" spans="1:10" x14ac:dyDescent="0.25">
      <c r="A656" s="1" t="s">
        <v>47</v>
      </c>
      <c r="B656" s="1" t="s">
        <v>6</v>
      </c>
      <c r="C656" s="1" t="s">
        <v>30</v>
      </c>
      <c r="D656" s="4">
        <v>24</v>
      </c>
      <c r="E656" s="4">
        <v>138</v>
      </c>
      <c r="F656" s="4">
        <v>73</v>
      </c>
      <c r="G656" s="4">
        <v>292</v>
      </c>
      <c r="H656" s="19">
        <v>-0.67123287671232879</v>
      </c>
      <c r="J656" s="1" t="s">
        <v>77</v>
      </c>
    </row>
    <row r="657" spans="1:10" x14ac:dyDescent="0.25">
      <c r="A657" s="1" t="s">
        <v>47</v>
      </c>
      <c r="B657" s="1" t="s">
        <v>6</v>
      </c>
      <c r="C657" s="1" t="s">
        <v>31</v>
      </c>
      <c r="D657" s="4">
        <v>399.65303999999992</v>
      </c>
      <c r="E657" s="4">
        <v>1422.42643</v>
      </c>
      <c r="F657" s="4">
        <v>-1235.4354527127562</v>
      </c>
      <c r="G657" s="4">
        <v>1332.0902254826015</v>
      </c>
      <c r="H657" s="19">
        <v>1.3234916394235297</v>
      </c>
      <c r="J657" s="1" t="s">
        <v>77</v>
      </c>
    </row>
    <row r="658" spans="1:10" x14ac:dyDescent="0.25">
      <c r="A658" s="1" t="s">
        <v>47</v>
      </c>
      <c r="B658" s="1" t="s">
        <v>6</v>
      </c>
      <c r="C658" s="1" t="s">
        <v>32</v>
      </c>
      <c r="D658" s="4">
        <v>467.40077449549551</v>
      </c>
      <c r="E658" s="4">
        <v>3404.1095061980182</v>
      </c>
      <c r="F658" s="4">
        <v>1685.3212749554714</v>
      </c>
      <c r="G658" s="4">
        <v>5983.3481066579952</v>
      </c>
      <c r="H658" s="19">
        <v>-0.72266369537888553</v>
      </c>
      <c r="J658" s="1" t="s">
        <v>77</v>
      </c>
    </row>
    <row r="659" spans="1:10" x14ac:dyDescent="0.25">
      <c r="A659" s="1" t="s">
        <v>48</v>
      </c>
      <c r="B659" s="1" t="s">
        <v>17</v>
      </c>
      <c r="C659" s="1" t="s">
        <v>63</v>
      </c>
      <c r="D659" s="4">
        <v>-26356.569939999987</v>
      </c>
      <c r="E659" s="4">
        <v>-39269.316939999902</v>
      </c>
      <c r="F659" s="4">
        <v>2986.0037593985198</v>
      </c>
      <c r="G659" s="4">
        <v>85116.883759398494</v>
      </c>
      <c r="H659" s="19">
        <v>-9.8267035354667716</v>
      </c>
      <c r="J659" s="1" t="s">
        <v>77</v>
      </c>
    </row>
    <row r="660" spans="1:10" x14ac:dyDescent="0.25">
      <c r="A660" s="1" t="s">
        <v>48</v>
      </c>
      <c r="B660" s="1" t="s">
        <v>17</v>
      </c>
      <c r="C660" s="1" t="s">
        <v>26</v>
      </c>
      <c r="E660" s="4">
        <v>183735.93455000006</v>
      </c>
      <c r="G660" s="4">
        <v>227624.84438879698</v>
      </c>
      <c r="H660" s="19">
        <v>0</v>
      </c>
      <c r="J660" s="1" t="s">
        <v>77</v>
      </c>
    </row>
    <row r="661" spans="1:10" x14ac:dyDescent="0.25">
      <c r="A661" s="1" t="s">
        <v>48</v>
      </c>
      <c r="B661" s="1" t="s">
        <v>17</v>
      </c>
      <c r="C661" s="1" t="s">
        <v>27</v>
      </c>
      <c r="D661" s="4">
        <v>0</v>
      </c>
      <c r="E661" s="4">
        <v>145563.80911496349</v>
      </c>
      <c r="G661" s="4">
        <v>102811.32738105005</v>
      </c>
      <c r="H661" s="19">
        <v>0</v>
      </c>
      <c r="J661" s="1" t="s">
        <v>77</v>
      </c>
    </row>
    <row r="662" spans="1:10" x14ac:dyDescent="0.25">
      <c r="A662" s="1" t="s">
        <v>48</v>
      </c>
      <c r="B662" s="1" t="s">
        <v>17</v>
      </c>
      <c r="C662" s="1" t="s">
        <v>21</v>
      </c>
      <c r="D662" s="4">
        <v>1491.6579999999999</v>
      </c>
      <c r="E662" s="4">
        <v>16770.525849999998</v>
      </c>
      <c r="F662" s="4">
        <v>5348.7727218045111</v>
      </c>
      <c r="G662" s="4">
        <v>93012.37272180451</v>
      </c>
      <c r="H662" s="19">
        <v>-0.72112144643589182</v>
      </c>
      <c r="J662" s="1" t="s">
        <v>77</v>
      </c>
    </row>
    <row r="663" spans="1:10" x14ac:dyDescent="0.25">
      <c r="A663" s="1" t="s">
        <v>48</v>
      </c>
      <c r="B663" s="1" t="s">
        <v>17</v>
      </c>
      <c r="C663" s="1" t="s">
        <v>28</v>
      </c>
      <c r="D663" s="4">
        <v>350297</v>
      </c>
      <c r="E663" s="4">
        <v>1979132</v>
      </c>
      <c r="F663" s="4">
        <v>62110.805064189197</v>
      </c>
      <c r="G663" s="4">
        <v>2546110.8050641892</v>
      </c>
      <c r="H663" s="19">
        <v>4.6398721549009245</v>
      </c>
      <c r="J663" s="1" t="s">
        <v>77</v>
      </c>
    </row>
    <row r="664" spans="1:10" x14ac:dyDescent="0.25">
      <c r="A664" s="1" t="s">
        <v>48</v>
      </c>
      <c r="B664" s="1" t="s">
        <v>17</v>
      </c>
      <c r="C664" s="1" t="s">
        <v>29</v>
      </c>
      <c r="D664" s="4">
        <v>1013</v>
      </c>
      <c r="E664" s="4">
        <v>4367</v>
      </c>
      <c r="F664" s="4">
        <v>14000</v>
      </c>
      <c r="G664" s="4">
        <v>191000</v>
      </c>
      <c r="H664" s="19">
        <v>-0.9276428571428571</v>
      </c>
      <c r="J664" s="1" t="s">
        <v>77</v>
      </c>
    </row>
    <row r="665" spans="1:10" x14ac:dyDescent="0.25">
      <c r="A665" s="1" t="s">
        <v>48</v>
      </c>
      <c r="B665" s="1" t="s">
        <v>17</v>
      </c>
      <c r="C665" s="1" t="s">
        <v>30</v>
      </c>
      <c r="D665" s="4">
        <v>49</v>
      </c>
      <c r="E665" s="4">
        <v>262</v>
      </c>
      <c r="F665" s="4">
        <v>91</v>
      </c>
      <c r="G665" s="4">
        <v>364</v>
      </c>
      <c r="H665" s="19">
        <v>-0.46153846153846156</v>
      </c>
      <c r="J665" s="1" t="s">
        <v>77</v>
      </c>
    </row>
    <row r="666" spans="1:10" x14ac:dyDescent="0.25">
      <c r="A666" s="1" t="s">
        <v>48</v>
      </c>
      <c r="B666" s="1" t="s">
        <v>17</v>
      </c>
      <c r="C666" s="1" t="s">
        <v>31</v>
      </c>
      <c r="D666" s="4">
        <v>610.28282999999965</v>
      </c>
      <c r="E666" s="4">
        <v>3267.72624</v>
      </c>
      <c r="F666" s="4">
        <v>-2620.9846348978135</v>
      </c>
      <c r="G666" s="4">
        <v>3110.4379494666391</v>
      </c>
      <c r="H666" s="19">
        <v>1.2328448713030298</v>
      </c>
      <c r="J666" s="1" t="s">
        <v>77</v>
      </c>
    </row>
    <row r="667" spans="1:10" x14ac:dyDescent="0.25">
      <c r="A667" s="1" t="s">
        <v>48</v>
      </c>
      <c r="B667" s="1" t="s">
        <v>17</v>
      </c>
      <c r="C667" s="1" t="s">
        <v>32</v>
      </c>
      <c r="D667" s="4">
        <v>1460.7134323054677</v>
      </c>
      <c r="E667" s="4">
        <v>-2418.1985174512106</v>
      </c>
      <c r="F667" s="4">
        <v>-72.69862177500363</v>
      </c>
      <c r="G667" s="4">
        <v>-5131.3209015316834</v>
      </c>
      <c r="H667" s="19">
        <v>21.092725235235655</v>
      </c>
      <c r="J667" s="1" t="s">
        <v>77</v>
      </c>
    </row>
    <row r="668" spans="1:10" x14ac:dyDescent="0.25">
      <c r="A668" s="1" t="s">
        <v>49</v>
      </c>
      <c r="B668" s="1" t="s">
        <v>5</v>
      </c>
      <c r="C668" s="1" t="s">
        <v>63</v>
      </c>
      <c r="D668" s="4">
        <v>-4768.7817799999939</v>
      </c>
      <c r="E668" s="4">
        <v>-11245.880880000004</v>
      </c>
      <c r="F668" s="4">
        <v>2986.0037593984976</v>
      </c>
      <c r="G668" s="4">
        <v>47851.44375939852</v>
      </c>
      <c r="H668" s="19">
        <v>-2.5970448010958367</v>
      </c>
      <c r="J668" s="1" t="s">
        <v>77</v>
      </c>
    </row>
    <row r="669" spans="1:10" x14ac:dyDescent="0.25">
      <c r="A669" s="1" t="s">
        <v>49</v>
      </c>
      <c r="B669" s="1" t="s">
        <v>5</v>
      </c>
      <c r="C669" s="1" t="s">
        <v>26</v>
      </c>
      <c r="E669" s="4">
        <v>26661.785249999994</v>
      </c>
      <c r="G669" s="4">
        <v>35644.36819879699</v>
      </c>
      <c r="H669" s="19">
        <v>0</v>
      </c>
      <c r="J669" s="1" t="s">
        <v>77</v>
      </c>
    </row>
    <row r="670" spans="1:10" x14ac:dyDescent="0.25">
      <c r="A670" s="1" t="s">
        <v>49</v>
      </c>
      <c r="B670" s="1" t="s">
        <v>5</v>
      </c>
      <c r="C670" s="1" t="s">
        <v>27</v>
      </c>
      <c r="D670" s="4">
        <v>0</v>
      </c>
      <c r="E670" s="4">
        <v>72267.389906319819</v>
      </c>
      <c r="G670" s="4">
        <v>68521.725922632133</v>
      </c>
      <c r="H670" s="19">
        <v>0</v>
      </c>
      <c r="J670" s="1" t="s">
        <v>77</v>
      </c>
    </row>
    <row r="671" spans="1:10" x14ac:dyDescent="0.25">
      <c r="A671" s="1" t="s">
        <v>49</v>
      </c>
      <c r="B671" s="1" t="s">
        <v>5</v>
      </c>
      <c r="C671" s="1" t="s">
        <v>21</v>
      </c>
      <c r="D671" s="4">
        <v>2912.36555</v>
      </c>
      <c r="E671" s="4">
        <v>11036.422049999999</v>
      </c>
      <c r="F671" s="4">
        <v>10544.085610693401</v>
      </c>
      <c r="G671" s="4">
        <v>51625.885610693404</v>
      </c>
      <c r="H671" s="19">
        <v>-0.72379154935479728</v>
      </c>
      <c r="J671" s="1" t="s">
        <v>77</v>
      </c>
    </row>
    <row r="672" spans="1:10" x14ac:dyDescent="0.25">
      <c r="A672" s="1" t="s">
        <v>49</v>
      </c>
      <c r="B672" s="1" t="s">
        <v>5</v>
      </c>
      <c r="C672" s="1" t="s">
        <v>28</v>
      </c>
      <c r="D672" s="4">
        <v>95000</v>
      </c>
      <c r="E672" s="4">
        <v>276789.14</v>
      </c>
      <c r="F672" s="4">
        <v>62110.805064189197</v>
      </c>
      <c r="G672" s="4">
        <v>416110.80506418919</v>
      </c>
      <c r="H672" s="19">
        <v>0.52952453122803755</v>
      </c>
      <c r="J672" s="1" t="s">
        <v>77</v>
      </c>
    </row>
    <row r="673" spans="1:10" x14ac:dyDescent="0.25">
      <c r="A673" s="1" t="s">
        <v>49</v>
      </c>
      <c r="B673" s="1" t="s">
        <v>5</v>
      </c>
      <c r="C673" s="1" t="s">
        <v>29</v>
      </c>
      <c r="D673" s="4">
        <v>1815</v>
      </c>
      <c r="E673" s="4">
        <v>2605</v>
      </c>
      <c r="F673" s="4">
        <v>14000</v>
      </c>
      <c r="G673" s="4">
        <v>92000</v>
      </c>
      <c r="H673" s="19">
        <v>-0.87035714285714283</v>
      </c>
      <c r="J673" s="1" t="s">
        <v>77</v>
      </c>
    </row>
    <row r="674" spans="1:10" x14ac:dyDescent="0.25">
      <c r="A674" s="1" t="s">
        <v>49</v>
      </c>
      <c r="B674" s="1" t="s">
        <v>5</v>
      </c>
      <c r="C674" s="1" t="s">
        <v>30</v>
      </c>
      <c r="D674" s="4">
        <v>22</v>
      </c>
      <c r="E674" s="4">
        <v>150</v>
      </c>
      <c r="F674" s="4">
        <v>58</v>
      </c>
      <c r="G674" s="4">
        <v>232</v>
      </c>
      <c r="H674" s="19">
        <v>-0.62068965517241381</v>
      </c>
      <c r="J674" s="1" t="s">
        <v>77</v>
      </c>
    </row>
    <row r="675" spans="1:10" x14ac:dyDescent="0.25">
      <c r="A675" s="1" t="s">
        <v>49</v>
      </c>
      <c r="B675" s="1" t="s">
        <v>5</v>
      </c>
      <c r="C675" s="1" t="s">
        <v>31</v>
      </c>
      <c r="D675" s="4">
        <v>240.91201999999998</v>
      </c>
      <c r="E675" s="4">
        <v>935.12432999999999</v>
      </c>
      <c r="F675" s="4">
        <v>-733.67390776429647</v>
      </c>
      <c r="G675" s="4">
        <v>1195.5873088864973</v>
      </c>
      <c r="H675" s="19">
        <v>1.3283638922557901</v>
      </c>
      <c r="J675" s="1" t="s">
        <v>77</v>
      </c>
    </row>
    <row r="676" spans="1:10" x14ac:dyDescent="0.25">
      <c r="A676" s="1" t="s">
        <v>49</v>
      </c>
      <c r="B676" s="1" t="s">
        <v>5</v>
      </c>
      <c r="C676" s="1" t="s">
        <v>32</v>
      </c>
      <c r="D676" s="4">
        <v>-1861.7710010632964</v>
      </c>
      <c r="E676" s="4">
        <v>-1534.9123687335896</v>
      </c>
      <c r="F676" s="4">
        <v>316.2326068485396</v>
      </c>
      <c r="G676" s="4">
        <v>881.74393917824523</v>
      </c>
      <c r="H676" s="19">
        <v>-6.8873467211905703</v>
      </c>
      <c r="J676" s="1" t="s">
        <v>77</v>
      </c>
    </row>
    <row r="677" spans="1:10" x14ac:dyDescent="0.25">
      <c r="A677" s="1" t="s">
        <v>50</v>
      </c>
      <c r="B677" s="1" t="s">
        <v>4</v>
      </c>
      <c r="C677" s="1" t="s">
        <v>63</v>
      </c>
      <c r="D677" s="4">
        <v>28142.53973999992</v>
      </c>
      <c r="E677" s="4">
        <v>16217.805469999905</v>
      </c>
      <c r="F677" s="4">
        <v>6444.9472117794749</v>
      </c>
      <c r="G677" s="4">
        <v>86575.827211779484</v>
      </c>
      <c r="H677" s="19">
        <v>3.3666051583112431</v>
      </c>
      <c r="J677" s="1" t="s">
        <v>77</v>
      </c>
    </row>
    <row r="678" spans="1:10" x14ac:dyDescent="0.25">
      <c r="A678" s="1" t="s">
        <v>50</v>
      </c>
      <c r="B678" s="1" t="s">
        <v>4</v>
      </c>
      <c r="C678" s="1" t="s">
        <v>26</v>
      </c>
      <c r="E678" s="4">
        <v>721378.04948999989</v>
      </c>
      <c r="G678" s="4">
        <v>697361.90629355889</v>
      </c>
      <c r="H678" s="19">
        <v>0</v>
      </c>
      <c r="J678" s="1" t="s">
        <v>77</v>
      </c>
    </row>
    <row r="679" spans="1:10" x14ac:dyDescent="0.25">
      <c r="A679" s="1" t="s">
        <v>50</v>
      </c>
      <c r="B679" s="1" t="s">
        <v>4</v>
      </c>
      <c r="C679" s="1" t="s">
        <v>27</v>
      </c>
      <c r="D679" s="4">
        <v>0</v>
      </c>
      <c r="E679" s="4">
        <v>400730.20042102545</v>
      </c>
      <c r="G679" s="4">
        <v>288602.86845901259</v>
      </c>
      <c r="H679" s="19">
        <v>0</v>
      </c>
      <c r="J679" s="1" t="s">
        <v>77</v>
      </c>
    </row>
    <row r="680" spans="1:10" x14ac:dyDescent="0.25">
      <c r="A680" s="1" t="s">
        <v>50</v>
      </c>
      <c r="B680" s="1" t="s">
        <v>4</v>
      </c>
      <c r="C680" s="1" t="s">
        <v>21</v>
      </c>
      <c r="D680" s="4">
        <v>1500</v>
      </c>
      <c r="E680" s="4">
        <v>11252.198549999999</v>
      </c>
      <c r="F680" s="4">
        <v>11173.619697994987</v>
      </c>
      <c r="G680" s="4">
        <v>96337.219697994995</v>
      </c>
      <c r="H680" s="19">
        <v>-0.86575523057499781</v>
      </c>
      <c r="J680" s="1" t="s">
        <v>77</v>
      </c>
    </row>
    <row r="681" spans="1:10" x14ac:dyDescent="0.25">
      <c r="A681" s="1" t="s">
        <v>50</v>
      </c>
      <c r="B681" s="1" t="s">
        <v>4</v>
      </c>
      <c r="C681" s="1" t="s">
        <v>28</v>
      </c>
      <c r="D681" s="4">
        <v>3636005.2600000002</v>
      </c>
      <c r="E681" s="4">
        <v>9818893.8599999994</v>
      </c>
      <c r="F681" s="4">
        <v>2812732.172192568</v>
      </c>
      <c r="G681" s="4">
        <v>19468732.172192566</v>
      </c>
      <c r="H681" s="19">
        <v>0.29269515809095975</v>
      </c>
      <c r="J681" s="1" t="s">
        <v>77</v>
      </c>
    </row>
    <row r="682" spans="1:10" x14ac:dyDescent="0.25">
      <c r="A682" s="1" t="s">
        <v>50</v>
      </c>
      <c r="B682" s="1" t="s">
        <v>4</v>
      </c>
      <c r="C682" s="1" t="s">
        <v>29</v>
      </c>
      <c r="D682" s="4">
        <v>4256</v>
      </c>
      <c r="E682" s="4">
        <v>837582</v>
      </c>
      <c r="F682" s="4">
        <v>56000</v>
      </c>
      <c r="G682" s="4">
        <v>515000</v>
      </c>
      <c r="H682" s="19">
        <v>-0.92400000000000004</v>
      </c>
      <c r="J682" s="1" t="s">
        <v>77</v>
      </c>
    </row>
    <row r="683" spans="1:10" x14ac:dyDescent="0.25">
      <c r="A683" s="1" t="s">
        <v>50</v>
      </c>
      <c r="B683" s="1" t="s">
        <v>4</v>
      </c>
      <c r="C683" s="1" t="s">
        <v>30</v>
      </c>
      <c r="D683" s="4">
        <v>34</v>
      </c>
      <c r="E683" s="4">
        <v>165</v>
      </c>
      <c r="F683" s="4">
        <v>98</v>
      </c>
      <c r="G683" s="4">
        <v>392</v>
      </c>
      <c r="H683" s="19">
        <v>-0.65306122448979587</v>
      </c>
      <c r="J683" s="1" t="s">
        <v>77</v>
      </c>
    </row>
    <row r="684" spans="1:10" x14ac:dyDescent="0.25">
      <c r="A684" s="1" t="s">
        <v>50</v>
      </c>
      <c r="B684" s="1" t="s">
        <v>4</v>
      </c>
      <c r="C684" s="1" t="s">
        <v>31</v>
      </c>
      <c r="D684" s="4">
        <v>3840.9509900000003</v>
      </c>
      <c r="E684" s="4">
        <v>10734.382180000001</v>
      </c>
      <c r="F684" s="4">
        <v>-9434.589549380431</v>
      </c>
      <c r="G684" s="4">
        <v>10200.278492126206</v>
      </c>
      <c r="H684" s="19">
        <v>1.4071137350381329</v>
      </c>
      <c r="J684" s="1" t="s">
        <v>77</v>
      </c>
    </row>
    <row r="685" spans="1:10" x14ac:dyDescent="0.25">
      <c r="A685" s="1" t="s">
        <v>50</v>
      </c>
      <c r="B685" s="1" t="s">
        <v>4</v>
      </c>
      <c r="C685" s="1" t="s">
        <v>32</v>
      </c>
      <c r="D685" s="4">
        <v>5859.0151480789391</v>
      </c>
      <c r="E685" s="4">
        <v>14326.873718059695</v>
      </c>
      <c r="F685" s="4">
        <v>1444.9923430899462</v>
      </c>
      <c r="G685" s="4">
        <v>5815.1588730707017</v>
      </c>
      <c r="H685" s="19">
        <v>3.0547032488422219</v>
      </c>
      <c r="J685" s="1" t="s">
        <v>77</v>
      </c>
    </row>
    <row r="686" spans="1:10" x14ac:dyDescent="0.25">
      <c r="A686" s="1" t="s">
        <v>51</v>
      </c>
      <c r="B686" s="1" t="s">
        <v>3</v>
      </c>
      <c r="C686" s="1" t="s">
        <v>63</v>
      </c>
      <c r="D686" s="4">
        <v>-2749.6864200000127</v>
      </c>
      <c r="E686" s="4">
        <v>3890.4793400000053</v>
      </c>
      <c r="F686" s="4">
        <v>6004.7180451127888</v>
      </c>
      <c r="G686" s="4">
        <v>65078.638045112755</v>
      </c>
      <c r="H686" s="19">
        <v>-1.4579209880200736</v>
      </c>
      <c r="J686" s="1" t="s">
        <v>77</v>
      </c>
    </row>
    <row r="687" spans="1:10" x14ac:dyDescent="0.25">
      <c r="A687" s="1" t="s">
        <v>51</v>
      </c>
      <c r="B687" s="1" t="s">
        <v>3</v>
      </c>
      <c r="C687" s="1" t="s">
        <v>26</v>
      </c>
      <c r="E687" s="4">
        <v>82345.488289999994</v>
      </c>
      <c r="G687" s="4">
        <v>97126.034310225543</v>
      </c>
      <c r="H687" s="19">
        <v>0</v>
      </c>
      <c r="J687" s="1" t="s">
        <v>77</v>
      </c>
    </row>
    <row r="688" spans="1:10" x14ac:dyDescent="0.25">
      <c r="A688" s="1" t="s">
        <v>51</v>
      </c>
      <c r="B688" s="1" t="s">
        <v>3</v>
      </c>
      <c r="C688" s="1" t="s">
        <v>27</v>
      </c>
      <c r="D688" s="4">
        <v>0</v>
      </c>
      <c r="E688" s="4">
        <v>169557.30517362471</v>
      </c>
      <c r="G688" s="4">
        <v>140703.95413594824</v>
      </c>
      <c r="H688" s="19">
        <v>0</v>
      </c>
      <c r="J688" s="1" t="s">
        <v>77</v>
      </c>
    </row>
    <row r="689" spans="1:10" x14ac:dyDescent="0.25">
      <c r="A689" s="1" t="s">
        <v>51</v>
      </c>
      <c r="B689" s="1" t="s">
        <v>3</v>
      </c>
      <c r="C689" s="1" t="s">
        <v>21</v>
      </c>
      <c r="D689" s="4">
        <v>5703.8140000000003</v>
      </c>
      <c r="E689" s="4">
        <v>23030.521549999998</v>
      </c>
      <c r="F689" s="4">
        <v>10756.139197994988</v>
      </c>
      <c r="G689" s="4">
        <v>69598.539197994993</v>
      </c>
      <c r="H689" s="19">
        <v>-0.46971549038123017</v>
      </c>
      <c r="J689" s="1" t="s">
        <v>77</v>
      </c>
    </row>
    <row r="690" spans="1:10" x14ac:dyDescent="0.25">
      <c r="A690" s="1" t="s">
        <v>51</v>
      </c>
      <c r="B690" s="1" t="s">
        <v>3</v>
      </c>
      <c r="C690" s="1" t="s">
        <v>28</v>
      </c>
      <c r="D690" s="4">
        <v>32000</v>
      </c>
      <c r="E690" s="4">
        <v>156580</v>
      </c>
      <c r="F690" s="4">
        <v>124221.61012837839</v>
      </c>
      <c r="G690" s="4">
        <v>397221.61012837838</v>
      </c>
      <c r="H690" s="19">
        <v>-0.74239586842475158</v>
      </c>
      <c r="J690" s="1" t="s">
        <v>77</v>
      </c>
    </row>
    <row r="691" spans="1:10" x14ac:dyDescent="0.25">
      <c r="A691" s="1" t="s">
        <v>51</v>
      </c>
      <c r="B691" s="1" t="s">
        <v>3</v>
      </c>
      <c r="C691" s="1" t="s">
        <v>29</v>
      </c>
      <c r="D691" s="4">
        <v>30350</v>
      </c>
      <c r="E691" s="4">
        <v>47563</v>
      </c>
      <c r="F691" s="4">
        <v>28000</v>
      </c>
      <c r="G691" s="4">
        <v>103000</v>
      </c>
      <c r="H691" s="19">
        <v>8.3928571428571422E-2</v>
      </c>
      <c r="J691" s="1" t="s">
        <v>77</v>
      </c>
    </row>
    <row r="692" spans="1:10" x14ac:dyDescent="0.25">
      <c r="A692" s="1" t="s">
        <v>51</v>
      </c>
      <c r="B692" s="1" t="s">
        <v>3</v>
      </c>
      <c r="C692" s="1" t="s">
        <v>30</v>
      </c>
      <c r="D692" s="4">
        <v>18</v>
      </c>
      <c r="E692" s="4">
        <v>159</v>
      </c>
      <c r="F692" s="4">
        <v>68</v>
      </c>
      <c r="G692" s="4">
        <v>272</v>
      </c>
      <c r="H692" s="19">
        <v>-0.73529411764705888</v>
      </c>
      <c r="J692" s="1" t="s">
        <v>77</v>
      </c>
    </row>
    <row r="693" spans="1:10" x14ac:dyDescent="0.25">
      <c r="A693" s="1" t="s">
        <v>51</v>
      </c>
      <c r="B693" s="1" t="s">
        <v>3</v>
      </c>
      <c r="C693" s="1" t="s">
        <v>31</v>
      </c>
      <c r="D693" s="4">
        <v>280.46523999999999</v>
      </c>
      <c r="E693" s="4">
        <v>1112.8781100000001</v>
      </c>
      <c r="F693" s="4">
        <v>-1113.3966515960014</v>
      </c>
      <c r="G693" s="4">
        <v>1465.1843418715271</v>
      </c>
      <c r="H693" s="19">
        <v>1.2519005599648305</v>
      </c>
      <c r="J693" s="1" t="s">
        <v>77</v>
      </c>
    </row>
    <row r="694" spans="1:10" x14ac:dyDescent="0.25">
      <c r="A694" s="1" t="s">
        <v>51</v>
      </c>
      <c r="B694" s="1" t="s">
        <v>3</v>
      </c>
      <c r="C694" s="1" t="s">
        <v>32</v>
      </c>
      <c r="D694" s="4">
        <v>-626.05234739826199</v>
      </c>
      <c r="E694" s="4">
        <v>-912.29042369435456</v>
      </c>
      <c r="F694" s="4">
        <v>1349.9742796211742</v>
      </c>
      <c r="G694" s="4">
        <v>1505.5546833250812</v>
      </c>
      <c r="H694" s="19">
        <v>-1.4637513150057517</v>
      </c>
      <c r="J694" s="1" t="s">
        <v>77</v>
      </c>
    </row>
    <row r="695" spans="1:10" x14ac:dyDescent="0.25">
      <c r="A695" s="1" t="s">
        <v>52</v>
      </c>
      <c r="B695" s="1" t="s">
        <v>13</v>
      </c>
      <c r="C695" s="1" t="s">
        <v>63</v>
      </c>
      <c r="D695" s="4">
        <v>3538.2550699999847</v>
      </c>
      <c r="E695" s="4">
        <v>3990.3802299999807</v>
      </c>
      <c r="F695" s="4">
        <v>4358.4829260651468</v>
      </c>
      <c r="G695" s="4">
        <v>73558.482926065291</v>
      </c>
      <c r="H695" s="19">
        <v>-0.18819113668197079</v>
      </c>
      <c r="J695" s="1" t="s">
        <v>77</v>
      </c>
    </row>
    <row r="696" spans="1:10" x14ac:dyDescent="0.25">
      <c r="A696" s="1" t="s">
        <v>52</v>
      </c>
      <c r="B696" s="1" t="s">
        <v>13</v>
      </c>
      <c r="C696" s="1" t="s">
        <v>26</v>
      </c>
      <c r="E696" s="4">
        <v>255128.14759000001</v>
      </c>
      <c r="G696" s="4">
        <v>261944.94955213033</v>
      </c>
      <c r="H696" s="19">
        <v>0</v>
      </c>
      <c r="J696" s="1" t="s">
        <v>77</v>
      </c>
    </row>
    <row r="697" spans="1:10" x14ac:dyDescent="0.25">
      <c r="A697" s="1" t="s">
        <v>52</v>
      </c>
      <c r="B697" s="1" t="s">
        <v>13</v>
      </c>
      <c r="C697" s="1" t="s">
        <v>27</v>
      </c>
      <c r="D697" s="4">
        <v>0</v>
      </c>
      <c r="E697" s="4">
        <v>218872.84687999991</v>
      </c>
      <c r="G697" s="4">
        <v>176771.76041599389</v>
      </c>
      <c r="H697" s="19">
        <v>0</v>
      </c>
      <c r="J697" s="1" t="s">
        <v>77</v>
      </c>
    </row>
    <row r="698" spans="1:10" x14ac:dyDescent="0.25">
      <c r="A698" s="1" t="s">
        <v>52</v>
      </c>
      <c r="B698" s="1" t="s">
        <v>13</v>
      </c>
      <c r="C698" s="1" t="s">
        <v>21</v>
      </c>
      <c r="D698" s="4">
        <v>7243.6662500000002</v>
      </c>
      <c r="E698" s="4">
        <v>21608.939899999998</v>
      </c>
      <c r="F698" s="4">
        <v>7807.2689995822902</v>
      </c>
      <c r="G698" s="4">
        <v>79307.268999582288</v>
      </c>
      <c r="H698" s="19">
        <v>-7.2189487721307441E-2</v>
      </c>
      <c r="J698" s="1" t="s">
        <v>77</v>
      </c>
    </row>
    <row r="699" spans="1:10" x14ac:dyDescent="0.25">
      <c r="A699" s="1" t="s">
        <v>52</v>
      </c>
      <c r="B699" s="1" t="s">
        <v>13</v>
      </c>
      <c r="C699" s="1" t="s">
        <v>28</v>
      </c>
      <c r="D699" s="4">
        <v>673862.6</v>
      </c>
      <c r="E699" s="4">
        <v>4735843.91</v>
      </c>
      <c r="F699" s="4">
        <v>124221.61012837839</v>
      </c>
      <c r="G699" s="4">
        <v>3757221.6101283785</v>
      </c>
      <c r="H699" s="19">
        <v>4.4246809335637183</v>
      </c>
      <c r="J699" s="1" t="s">
        <v>77</v>
      </c>
    </row>
    <row r="700" spans="1:10" x14ac:dyDescent="0.25">
      <c r="A700" s="1" t="s">
        <v>52</v>
      </c>
      <c r="B700" s="1" t="s">
        <v>13</v>
      </c>
      <c r="C700" s="1" t="s">
        <v>29</v>
      </c>
      <c r="D700" s="4">
        <v>1447</v>
      </c>
      <c r="E700" s="4">
        <v>28193</v>
      </c>
      <c r="F700" s="4">
        <v>28000</v>
      </c>
      <c r="G700" s="4">
        <v>64000</v>
      </c>
      <c r="H700" s="19">
        <v>-0.94832142857142854</v>
      </c>
      <c r="J700" s="1" t="s">
        <v>77</v>
      </c>
    </row>
    <row r="701" spans="1:10" x14ac:dyDescent="0.25">
      <c r="A701" s="1" t="s">
        <v>52</v>
      </c>
      <c r="B701" s="1" t="s">
        <v>13</v>
      </c>
      <c r="C701" s="1" t="s">
        <v>30</v>
      </c>
      <c r="D701" s="4">
        <v>17</v>
      </c>
      <c r="E701" s="4">
        <v>97</v>
      </c>
      <c r="F701" s="4">
        <v>65</v>
      </c>
      <c r="G701" s="4">
        <v>260</v>
      </c>
      <c r="H701" s="19">
        <v>-0.7384615384615385</v>
      </c>
      <c r="J701" s="1" t="s">
        <v>77</v>
      </c>
    </row>
    <row r="702" spans="1:10" x14ac:dyDescent="0.25">
      <c r="A702" s="1" t="s">
        <v>52</v>
      </c>
      <c r="B702" s="1" t="s">
        <v>13</v>
      </c>
      <c r="C702" s="1" t="s">
        <v>31</v>
      </c>
      <c r="D702" s="4">
        <v>993.4464399999988</v>
      </c>
      <c r="E702" s="4">
        <v>5657.1907899999997</v>
      </c>
      <c r="F702" s="4">
        <v>-889.45127012992725</v>
      </c>
      <c r="G702" s="4">
        <v>5117.6547677085518</v>
      </c>
      <c r="H702" s="19">
        <v>2.1169205929121673</v>
      </c>
      <c r="J702" s="1" t="s">
        <v>77</v>
      </c>
    </row>
    <row r="703" spans="1:10" x14ac:dyDescent="0.25">
      <c r="A703" s="1" t="s">
        <v>52</v>
      </c>
      <c r="B703" s="1" t="s">
        <v>13</v>
      </c>
      <c r="C703" s="1" t="s">
        <v>32</v>
      </c>
      <c r="D703" s="4">
        <v>800.65385145683445</v>
      </c>
      <c r="E703" s="4">
        <v>-2871.3458579625253</v>
      </c>
      <c r="F703" s="4">
        <v>638.71063939724672</v>
      </c>
      <c r="G703" s="4">
        <v>-3793.914620022108</v>
      </c>
      <c r="H703" s="19">
        <v>0.25354707135051646</v>
      </c>
      <c r="J703" s="1" t="s">
        <v>77</v>
      </c>
    </row>
    <row r="704" spans="1:10" x14ac:dyDescent="0.25">
      <c r="A704" s="1" t="s">
        <v>53</v>
      </c>
      <c r="B704" s="1" t="s">
        <v>14</v>
      </c>
      <c r="C704" s="1" t="s">
        <v>63</v>
      </c>
      <c r="D704" s="4">
        <v>81.036549999997078</v>
      </c>
      <c r="E704" s="4">
        <v>7595.2883099999999</v>
      </c>
      <c r="F704" s="4">
        <v>2986.0037593984976</v>
      </c>
      <c r="G704" s="4">
        <v>62316.883759398501</v>
      </c>
      <c r="H704" s="19">
        <v>-0.97286120295564493</v>
      </c>
      <c r="J704" s="1" t="s">
        <v>77</v>
      </c>
    </row>
    <row r="705" spans="1:10" x14ac:dyDescent="0.25">
      <c r="A705" s="1" t="s">
        <v>53</v>
      </c>
      <c r="B705" s="1" t="s">
        <v>14</v>
      </c>
      <c r="C705" s="1" t="s">
        <v>26</v>
      </c>
      <c r="E705" s="4">
        <v>35889.82316</v>
      </c>
      <c r="G705" s="4">
        <v>43277.21110879699</v>
      </c>
      <c r="H705" s="19">
        <v>0</v>
      </c>
      <c r="J705" s="1" t="s">
        <v>77</v>
      </c>
    </row>
    <row r="706" spans="1:10" x14ac:dyDescent="0.25">
      <c r="A706" s="1" t="s">
        <v>53</v>
      </c>
      <c r="B706" s="1" t="s">
        <v>14</v>
      </c>
      <c r="C706" s="1" t="s">
        <v>27</v>
      </c>
      <c r="D706" s="4">
        <v>0</v>
      </c>
      <c r="E706" s="4">
        <v>152200.14081602526</v>
      </c>
      <c r="G706" s="4">
        <v>111974.57530317179</v>
      </c>
      <c r="H706" s="19">
        <v>0</v>
      </c>
      <c r="J706" s="1" t="s">
        <v>77</v>
      </c>
    </row>
    <row r="707" spans="1:10" x14ac:dyDescent="0.25">
      <c r="A707" s="1" t="s">
        <v>53</v>
      </c>
      <c r="B707" s="1" t="s">
        <v>14</v>
      </c>
      <c r="C707" s="1" t="s">
        <v>21</v>
      </c>
      <c r="D707" s="4">
        <v>647</v>
      </c>
      <c r="E707" s="4">
        <v>7902.9500000000007</v>
      </c>
      <c r="F707" s="4">
        <v>5348.7727218045111</v>
      </c>
      <c r="G707" s="4">
        <v>64512.372721804517</v>
      </c>
      <c r="H707" s="19">
        <v>-0.8790376720696178</v>
      </c>
      <c r="J707" s="1" t="s">
        <v>77</v>
      </c>
    </row>
    <row r="708" spans="1:10" x14ac:dyDescent="0.25">
      <c r="A708" s="1" t="s">
        <v>53</v>
      </c>
      <c r="B708" s="1" t="s">
        <v>14</v>
      </c>
      <c r="C708" s="1" t="s">
        <v>28</v>
      </c>
      <c r="D708" s="4">
        <v>31000</v>
      </c>
      <c r="E708" s="4">
        <v>139120</v>
      </c>
      <c r="F708" s="4">
        <v>62110.805064189197</v>
      </c>
      <c r="G708" s="4">
        <v>236110.80506418919</v>
      </c>
      <c r="H708" s="19">
        <v>-0.50089199507295623</v>
      </c>
      <c r="J708" s="1" t="s">
        <v>77</v>
      </c>
    </row>
    <row r="709" spans="1:10" x14ac:dyDescent="0.25">
      <c r="A709" s="1" t="s">
        <v>53</v>
      </c>
      <c r="B709" s="1" t="s">
        <v>14</v>
      </c>
      <c r="C709" s="1" t="s">
        <v>29</v>
      </c>
      <c r="D709" s="4">
        <v>1669</v>
      </c>
      <c r="E709" s="4">
        <v>7705</v>
      </c>
      <c r="F709" s="4">
        <v>14000</v>
      </c>
      <c r="G709" s="4">
        <v>20000</v>
      </c>
      <c r="H709" s="19">
        <v>-0.88078571428571428</v>
      </c>
      <c r="J709" s="1" t="s">
        <v>77</v>
      </c>
    </row>
    <row r="710" spans="1:10" x14ac:dyDescent="0.25">
      <c r="A710" s="1" t="s">
        <v>53</v>
      </c>
      <c r="B710" s="1" t="s">
        <v>14</v>
      </c>
      <c r="C710" s="1" t="s">
        <v>30</v>
      </c>
      <c r="D710" s="4">
        <v>16</v>
      </c>
      <c r="E710" s="4">
        <v>130</v>
      </c>
      <c r="F710" s="4">
        <v>61</v>
      </c>
      <c r="G710" s="4">
        <v>244</v>
      </c>
      <c r="H710" s="19">
        <v>-0.73770491803278693</v>
      </c>
      <c r="J710" s="1" t="s">
        <v>77</v>
      </c>
    </row>
    <row r="711" spans="1:10" x14ac:dyDescent="0.25">
      <c r="A711" s="1" t="s">
        <v>53</v>
      </c>
      <c r="B711" s="1" t="s">
        <v>14</v>
      </c>
      <c r="C711" s="1" t="s">
        <v>31</v>
      </c>
      <c r="D711" s="4">
        <v>128.45249999999999</v>
      </c>
      <c r="E711" s="4">
        <v>689.24294999999995</v>
      </c>
      <c r="F711" s="4">
        <v>-1336.5597914559589</v>
      </c>
      <c r="G711" s="4">
        <v>895.83892556032924</v>
      </c>
      <c r="H711" s="19">
        <v>1.0961068115479311</v>
      </c>
      <c r="J711" s="1" t="s">
        <v>77</v>
      </c>
    </row>
    <row r="712" spans="1:10" x14ac:dyDescent="0.25">
      <c r="A712" s="1" t="s">
        <v>53</v>
      </c>
      <c r="B712" s="1" t="s">
        <v>14</v>
      </c>
      <c r="C712" s="1" t="s">
        <v>32</v>
      </c>
      <c r="D712" s="4">
        <v>-1652.0526540669598</v>
      </c>
      <c r="E712" s="4">
        <v>-2812.6689177437461</v>
      </c>
      <c r="F712" s="4">
        <v>873.6603344835496</v>
      </c>
      <c r="G712" s="4">
        <v>492.65133080676139</v>
      </c>
      <c r="H712" s="19">
        <v>-2.8909553162254347</v>
      </c>
      <c r="J712" s="1" t="s">
        <v>77</v>
      </c>
    </row>
    <row r="713" spans="1:10" x14ac:dyDescent="0.25">
      <c r="A713" s="1" t="s">
        <v>54</v>
      </c>
      <c r="B713" s="1" t="s">
        <v>16</v>
      </c>
      <c r="C713" s="1" t="s">
        <v>63</v>
      </c>
      <c r="D713" s="4">
        <v>4852.2358099999838</v>
      </c>
      <c r="E713" s="4">
        <v>-15781.038250000041</v>
      </c>
      <c r="F713" s="4">
        <v>8812.5662593984907</v>
      </c>
      <c r="G713" s="4">
        <v>76078.006259398549</v>
      </c>
      <c r="H713" s="19">
        <v>-0.44939582101579828</v>
      </c>
      <c r="J713" s="1" t="s">
        <v>77</v>
      </c>
    </row>
    <row r="714" spans="1:10" x14ac:dyDescent="0.25">
      <c r="A714" s="1" t="s">
        <v>54</v>
      </c>
      <c r="B714" s="1" t="s">
        <v>16</v>
      </c>
      <c r="C714" s="1" t="s">
        <v>26</v>
      </c>
      <c r="E714" s="4">
        <v>141110.69168999998</v>
      </c>
      <c r="G714" s="4">
        <v>162425.94514879698</v>
      </c>
      <c r="H714" s="19">
        <v>0</v>
      </c>
      <c r="J714" s="1" t="s">
        <v>77</v>
      </c>
    </row>
    <row r="715" spans="1:10" x14ac:dyDescent="0.25">
      <c r="A715" s="1" t="s">
        <v>54</v>
      </c>
      <c r="B715" s="1" t="s">
        <v>16</v>
      </c>
      <c r="C715" s="1" t="s">
        <v>27</v>
      </c>
      <c r="D715" s="4">
        <v>0</v>
      </c>
      <c r="E715" s="4">
        <v>175708.06980679889</v>
      </c>
      <c r="G715" s="4">
        <v>158558.84561478457</v>
      </c>
      <c r="H715" s="19">
        <v>0</v>
      </c>
      <c r="J715" s="1" t="s">
        <v>77</v>
      </c>
    </row>
    <row r="716" spans="1:10" x14ac:dyDescent="0.25">
      <c r="A716" s="1" t="s">
        <v>54</v>
      </c>
      <c r="B716" s="1" t="s">
        <v>16</v>
      </c>
      <c r="C716" s="1" t="s">
        <v>21</v>
      </c>
      <c r="D716" s="4">
        <v>2066.2160400000002</v>
      </c>
      <c r="E716" s="4">
        <v>16219.197339999999</v>
      </c>
      <c r="F716" s="4">
        <v>8116.5138143971044</v>
      </c>
      <c r="G716" s="4">
        <v>77198.313814397101</v>
      </c>
      <c r="H716" s="19">
        <v>-0.74543060145663298</v>
      </c>
      <c r="J716" s="1" t="s">
        <v>77</v>
      </c>
    </row>
    <row r="717" spans="1:10" x14ac:dyDescent="0.25">
      <c r="A717" s="1" t="s">
        <v>54</v>
      </c>
      <c r="B717" s="1" t="s">
        <v>16</v>
      </c>
      <c r="C717" s="1" t="s">
        <v>28</v>
      </c>
      <c r="D717" s="4">
        <v>110669</v>
      </c>
      <c r="E717" s="4">
        <v>880788</v>
      </c>
      <c r="F717" s="4">
        <v>1656288.1350450451</v>
      </c>
      <c r="G717" s="4">
        <v>3150288.1350450451</v>
      </c>
      <c r="H717" s="19">
        <v>-0.93318251960007537</v>
      </c>
      <c r="J717" s="1" t="s">
        <v>77</v>
      </c>
    </row>
    <row r="718" spans="1:10" x14ac:dyDescent="0.25">
      <c r="A718" s="1" t="s">
        <v>54</v>
      </c>
      <c r="B718" s="1" t="s">
        <v>16</v>
      </c>
      <c r="C718" s="1" t="s">
        <v>29</v>
      </c>
      <c r="D718" s="4">
        <v>40188</v>
      </c>
      <c r="E718" s="4">
        <v>284019</v>
      </c>
      <c r="F718" s="4">
        <v>83666</v>
      </c>
      <c r="G718" s="4">
        <v>950666</v>
      </c>
      <c r="H718" s="19">
        <v>-0.51966151124710158</v>
      </c>
      <c r="J718" s="1" t="s">
        <v>77</v>
      </c>
    </row>
    <row r="719" spans="1:10" x14ac:dyDescent="0.25">
      <c r="A719" s="1" t="s">
        <v>54</v>
      </c>
      <c r="B719" s="1" t="s">
        <v>16</v>
      </c>
      <c r="C719" s="1" t="s">
        <v>30</v>
      </c>
      <c r="D719" s="4">
        <v>32</v>
      </c>
      <c r="E719" s="4">
        <v>184</v>
      </c>
      <c r="F719" s="4">
        <v>56</v>
      </c>
      <c r="G719" s="4">
        <v>224</v>
      </c>
      <c r="H719" s="19">
        <v>-0.42857142857142855</v>
      </c>
      <c r="J719" s="1" t="s">
        <v>77</v>
      </c>
    </row>
    <row r="720" spans="1:10" x14ac:dyDescent="0.25">
      <c r="A720" s="1" t="s">
        <v>54</v>
      </c>
      <c r="B720" s="1" t="s">
        <v>16</v>
      </c>
      <c r="C720" s="1" t="s">
        <v>31</v>
      </c>
      <c r="D720" s="4">
        <v>272.39477000000011</v>
      </c>
      <c r="E720" s="4">
        <v>1818.8199500000001</v>
      </c>
      <c r="F720" s="4">
        <v>-443.703152684629</v>
      </c>
      <c r="G720" s="4">
        <v>3640.1075827261006</v>
      </c>
      <c r="H720" s="19">
        <v>1.6139121805916268</v>
      </c>
      <c r="J720" s="1" t="s">
        <v>77</v>
      </c>
    </row>
    <row r="721" spans="1:10" x14ac:dyDescent="0.25">
      <c r="A721" s="1" t="s">
        <v>54</v>
      </c>
      <c r="B721" s="1" t="s">
        <v>16</v>
      </c>
      <c r="C721" s="1" t="s">
        <v>32</v>
      </c>
      <c r="D721" s="4">
        <v>1209.1273942644723</v>
      </c>
      <c r="E721" s="4">
        <v>4729.7887422191889</v>
      </c>
      <c r="F721" s="4">
        <v>2872.4787821368377</v>
      </c>
      <c r="G721" s="4">
        <v>6222.4579300915502</v>
      </c>
      <c r="H721" s="19">
        <v>-0.57906481266851961</v>
      </c>
      <c r="J721" s="1" t="s">
        <v>77</v>
      </c>
    </row>
    <row r="722" spans="1:10" x14ac:dyDescent="0.25">
      <c r="A722" s="1" t="s">
        <v>55</v>
      </c>
      <c r="B722" s="1" t="s">
        <v>10</v>
      </c>
      <c r="C722" s="1" t="s">
        <v>63</v>
      </c>
      <c r="D722" s="4">
        <v>-8577.7995099999898</v>
      </c>
      <c r="E722" s="4">
        <v>-40104.066940000012</v>
      </c>
      <c r="F722" s="4">
        <v>4462.0662593985053</v>
      </c>
      <c r="G722" s="4">
        <v>59327.506259398491</v>
      </c>
      <c r="H722" s="19">
        <v>-2.922382818034686</v>
      </c>
      <c r="J722" s="1" t="s">
        <v>77</v>
      </c>
    </row>
    <row r="723" spans="1:10" x14ac:dyDescent="0.25">
      <c r="A723" s="1" t="s">
        <v>55</v>
      </c>
      <c r="B723" s="1" t="s">
        <v>10</v>
      </c>
      <c r="C723" s="1" t="s">
        <v>26</v>
      </c>
      <c r="E723" s="4">
        <v>41745.554750000003</v>
      </c>
      <c r="G723" s="4">
        <v>77251.550478796984</v>
      </c>
      <c r="H723" s="19">
        <v>0</v>
      </c>
      <c r="J723" s="1" t="s">
        <v>77</v>
      </c>
    </row>
    <row r="724" spans="1:10" x14ac:dyDescent="0.25">
      <c r="A724" s="1" t="s">
        <v>55</v>
      </c>
      <c r="B724" s="1" t="s">
        <v>10</v>
      </c>
      <c r="C724" s="1" t="s">
        <v>27</v>
      </c>
      <c r="D724" s="4">
        <v>0</v>
      </c>
      <c r="E724" s="4">
        <v>159184.93542051091</v>
      </c>
      <c r="G724" s="4">
        <v>121175.83721876561</v>
      </c>
      <c r="H724" s="19">
        <v>0</v>
      </c>
      <c r="J724" s="1" t="s">
        <v>77</v>
      </c>
    </row>
    <row r="725" spans="1:10" x14ac:dyDescent="0.25">
      <c r="A725" s="1" t="s">
        <v>55</v>
      </c>
      <c r="B725" s="1" t="s">
        <v>10</v>
      </c>
      <c r="C725" s="1" t="s">
        <v>21</v>
      </c>
      <c r="D725" s="4">
        <v>8354.8880000000008</v>
      </c>
      <c r="E725" s="4">
        <v>15648.2358</v>
      </c>
      <c r="F725" s="4">
        <v>8116.5138143971044</v>
      </c>
      <c r="G725" s="4">
        <v>61698.313814397101</v>
      </c>
      <c r="H725" s="19">
        <v>2.9369035900618731E-2</v>
      </c>
      <c r="J725" s="1" t="s">
        <v>77</v>
      </c>
    </row>
    <row r="726" spans="1:10" x14ac:dyDescent="0.25">
      <c r="A726" s="1" t="s">
        <v>55</v>
      </c>
      <c r="B726" s="1" t="s">
        <v>10</v>
      </c>
      <c r="C726" s="1" t="s">
        <v>28</v>
      </c>
      <c r="D726" s="4">
        <v>468763.95999999996</v>
      </c>
      <c r="E726" s="4">
        <v>790123.04999999993</v>
      </c>
      <c r="F726" s="4">
        <v>1437421.4886283781</v>
      </c>
      <c r="G726" s="4">
        <v>1929421.4886283781</v>
      </c>
      <c r="H726" s="19">
        <v>-0.67388552090778486</v>
      </c>
      <c r="J726" s="1" t="s">
        <v>77</v>
      </c>
    </row>
    <row r="727" spans="1:10" x14ac:dyDescent="0.25">
      <c r="A727" s="1" t="s">
        <v>55</v>
      </c>
      <c r="B727" s="1" t="s">
        <v>10</v>
      </c>
      <c r="C727" s="1" t="s">
        <v>29</v>
      </c>
      <c r="D727" s="4">
        <v>0</v>
      </c>
      <c r="E727" s="4">
        <v>1000</v>
      </c>
      <c r="F727" s="4">
        <v>42000</v>
      </c>
      <c r="G727" s="4">
        <v>48000</v>
      </c>
      <c r="H727" s="19">
        <v>-1</v>
      </c>
      <c r="J727" s="1" t="s">
        <v>77</v>
      </c>
    </row>
    <row r="728" spans="1:10" x14ac:dyDescent="0.25">
      <c r="A728" s="1" t="s">
        <v>55</v>
      </c>
      <c r="B728" s="1" t="s">
        <v>10</v>
      </c>
      <c r="C728" s="1" t="s">
        <v>30</v>
      </c>
      <c r="D728" s="4">
        <v>16</v>
      </c>
      <c r="E728" s="4">
        <v>101</v>
      </c>
      <c r="F728" s="4">
        <v>48</v>
      </c>
      <c r="G728" s="4">
        <v>192</v>
      </c>
      <c r="H728" s="19">
        <v>-0.66666666666666663</v>
      </c>
      <c r="J728" s="1" t="s">
        <v>77</v>
      </c>
    </row>
    <row r="729" spans="1:10" x14ac:dyDescent="0.25">
      <c r="A729" s="1" t="s">
        <v>55</v>
      </c>
      <c r="B729" s="1" t="s">
        <v>10</v>
      </c>
      <c r="C729" s="1" t="s">
        <v>31</v>
      </c>
      <c r="D729" s="4">
        <v>796.36338999999975</v>
      </c>
      <c r="E729" s="4">
        <v>1693.7363599999999</v>
      </c>
      <c r="F729" s="4">
        <v>271.81039193240576</v>
      </c>
      <c r="G729" s="4">
        <v>2716.2450508165653</v>
      </c>
      <c r="H729" s="19">
        <v>1.9298489448410812</v>
      </c>
      <c r="J729" s="1" t="s">
        <v>77</v>
      </c>
    </row>
    <row r="730" spans="1:10" x14ac:dyDescent="0.25">
      <c r="A730" s="1" t="s">
        <v>55</v>
      </c>
      <c r="B730" s="1" t="s">
        <v>10</v>
      </c>
      <c r="C730" s="1" t="s">
        <v>32</v>
      </c>
      <c r="D730" s="4">
        <v>-731.7239931697859</v>
      </c>
      <c r="E730" s="4">
        <v>-2977.9134447317392</v>
      </c>
      <c r="F730" s="4">
        <v>1484.4871693693372</v>
      </c>
      <c r="G730" s="4">
        <v>-384.36305219261487</v>
      </c>
      <c r="H730" s="19">
        <v>-1.4929136527873448</v>
      </c>
      <c r="J730" s="1" t="s">
        <v>77</v>
      </c>
    </row>
    <row r="731" spans="1:10" x14ac:dyDescent="0.25">
      <c r="A731" s="1" t="s">
        <v>56</v>
      </c>
      <c r="B731" s="1" t="s">
        <v>7</v>
      </c>
      <c r="C731" s="1" t="s">
        <v>63</v>
      </c>
      <c r="D731" s="4">
        <v>282.75918999999703</v>
      </c>
      <c r="E731" s="4">
        <v>2192.1129399999882</v>
      </c>
      <c r="F731" s="4">
        <v>7998.697211779453</v>
      </c>
      <c r="G731" s="4">
        <v>78929.577211779455</v>
      </c>
      <c r="H731" s="19">
        <v>-0.96464934444779515</v>
      </c>
      <c r="J731" s="1" t="s">
        <v>77</v>
      </c>
    </row>
    <row r="732" spans="1:10" x14ac:dyDescent="0.25">
      <c r="A732" s="1" t="s">
        <v>56</v>
      </c>
      <c r="B732" s="1" t="s">
        <v>7</v>
      </c>
      <c r="C732" s="1" t="s">
        <v>26</v>
      </c>
      <c r="E732" s="4">
        <v>34697.492699999995</v>
      </c>
      <c r="G732" s="4">
        <v>48207.273443558901</v>
      </c>
      <c r="H732" s="19">
        <v>0</v>
      </c>
      <c r="J732" s="1" t="s">
        <v>77</v>
      </c>
    </row>
    <row r="733" spans="1:10" x14ac:dyDescent="0.25">
      <c r="A733" s="1" t="s">
        <v>56</v>
      </c>
      <c r="B733" s="1" t="s">
        <v>7</v>
      </c>
      <c r="C733" s="1" t="s">
        <v>27</v>
      </c>
      <c r="D733" s="4">
        <v>0</v>
      </c>
      <c r="E733" s="4">
        <v>170107.35110050466</v>
      </c>
      <c r="G733" s="4">
        <v>154167.60991446715</v>
      </c>
      <c r="H733" s="19">
        <v>0</v>
      </c>
      <c r="J733" s="1" t="s">
        <v>77</v>
      </c>
    </row>
    <row r="734" spans="1:10" x14ac:dyDescent="0.25">
      <c r="A734" s="1" t="s">
        <v>56</v>
      </c>
      <c r="B734" s="1" t="s">
        <v>7</v>
      </c>
      <c r="C734" s="1" t="s">
        <v>21</v>
      </c>
      <c r="D734" s="4">
        <v>3184.9431</v>
      </c>
      <c r="E734" s="4">
        <v>16587.3917</v>
      </c>
      <c r="F734" s="4">
        <v>13214.635475772764</v>
      </c>
      <c r="G734" s="4">
        <v>86878.235475772773</v>
      </c>
      <c r="H734" s="19">
        <v>-0.75898365824474234</v>
      </c>
      <c r="J734" s="1" t="s">
        <v>77</v>
      </c>
    </row>
    <row r="735" spans="1:10" x14ac:dyDescent="0.25">
      <c r="A735" s="1" t="s">
        <v>56</v>
      </c>
      <c r="B735" s="1" t="s">
        <v>7</v>
      </c>
      <c r="C735" s="1" t="s">
        <v>28</v>
      </c>
      <c r="D735" s="4">
        <v>93443</v>
      </c>
      <c r="E735" s="4">
        <v>470329.15</v>
      </c>
      <c r="F735" s="4">
        <v>1499532.2936925676</v>
      </c>
      <c r="G735" s="4">
        <v>2339532.2936925674</v>
      </c>
      <c r="H735" s="19">
        <v>-0.93768523666142689</v>
      </c>
      <c r="J735" s="1" t="s">
        <v>77</v>
      </c>
    </row>
    <row r="736" spans="1:10" x14ac:dyDescent="0.25">
      <c r="A736" s="1" t="s">
        <v>56</v>
      </c>
      <c r="B736" s="1" t="s">
        <v>7</v>
      </c>
      <c r="C736" s="1" t="s">
        <v>29</v>
      </c>
      <c r="D736" s="4">
        <v>1624</v>
      </c>
      <c r="E736" s="4">
        <v>27486</v>
      </c>
      <c r="F736" s="4">
        <v>56000</v>
      </c>
      <c r="G736" s="4">
        <v>77000</v>
      </c>
      <c r="H736" s="19">
        <v>-0.97099999999999997</v>
      </c>
      <c r="J736" s="1" t="s">
        <v>77</v>
      </c>
    </row>
    <row r="737" spans="1:10" x14ac:dyDescent="0.25">
      <c r="A737" s="1" t="s">
        <v>56</v>
      </c>
      <c r="B737" s="1" t="s">
        <v>7</v>
      </c>
      <c r="C737" s="1" t="s">
        <v>30</v>
      </c>
      <c r="D737" s="4">
        <v>39</v>
      </c>
      <c r="E737" s="4">
        <v>340</v>
      </c>
      <c r="F737" s="4">
        <v>108</v>
      </c>
      <c r="G737" s="4">
        <v>432</v>
      </c>
      <c r="H737" s="19">
        <v>-0.63888888888888884</v>
      </c>
      <c r="J737" s="1" t="s">
        <v>77</v>
      </c>
    </row>
    <row r="738" spans="1:10" x14ac:dyDescent="0.25">
      <c r="A738" s="1" t="s">
        <v>56</v>
      </c>
      <c r="B738" s="1" t="s">
        <v>7</v>
      </c>
      <c r="C738" s="1" t="s">
        <v>31</v>
      </c>
      <c r="D738" s="4">
        <v>311.83216999999991</v>
      </c>
      <c r="E738" s="4">
        <v>1568.8424399999999</v>
      </c>
      <c r="F738" s="4">
        <v>-153.57648078726015</v>
      </c>
      <c r="G738" s="4">
        <v>3306.6844113539023</v>
      </c>
      <c r="H738" s="19">
        <v>3.0304682618164782</v>
      </c>
      <c r="J738" s="1" t="s">
        <v>77</v>
      </c>
    </row>
    <row r="739" spans="1:10" x14ac:dyDescent="0.25">
      <c r="A739" s="1" t="s">
        <v>56</v>
      </c>
      <c r="B739" s="1" t="s">
        <v>7</v>
      </c>
      <c r="C739" s="1" t="s">
        <v>32</v>
      </c>
      <c r="D739" s="4">
        <v>-277.58620398149941</v>
      </c>
      <c r="E739" s="4">
        <v>577.08392057264336</v>
      </c>
      <c r="F739" s="4">
        <v>3179.2912959416108</v>
      </c>
      <c r="G739" s="4">
        <v>4909.8624404957536</v>
      </c>
      <c r="H739" s="19">
        <v>-1.0873107174343666</v>
      </c>
      <c r="J739" s="1" t="s">
        <v>77</v>
      </c>
    </row>
    <row r="740" spans="1:10" x14ac:dyDescent="0.25">
      <c r="A740" s="1" t="s">
        <v>57</v>
      </c>
      <c r="B740" s="1" t="s">
        <v>24</v>
      </c>
      <c r="C740" s="1" t="s">
        <v>63</v>
      </c>
      <c r="D740" s="4">
        <v>2.7286799999999403</v>
      </c>
      <c r="E740" s="4">
        <v>3.135050000000092</v>
      </c>
      <c r="F740" s="4">
        <v>0</v>
      </c>
      <c r="G740" s="4">
        <v>0</v>
      </c>
      <c r="H740" s="19">
        <v>0</v>
      </c>
      <c r="J740" s="1" t="s">
        <v>77</v>
      </c>
    </row>
    <row r="741" spans="1:10" x14ac:dyDescent="0.25">
      <c r="A741" s="1" t="s">
        <v>57</v>
      </c>
      <c r="B741" s="1" t="s">
        <v>24</v>
      </c>
      <c r="C741" s="1" t="s">
        <v>26</v>
      </c>
      <c r="E741" s="4">
        <v>618.32011</v>
      </c>
      <c r="G741" s="4">
        <v>620.50470999999993</v>
      </c>
      <c r="H741" s="19">
        <v>0</v>
      </c>
      <c r="J741" s="1" t="s">
        <v>77</v>
      </c>
    </row>
    <row r="742" spans="1:10" x14ac:dyDescent="0.25">
      <c r="A742" s="1" t="s">
        <v>57</v>
      </c>
      <c r="B742" s="1" t="s">
        <v>24</v>
      </c>
      <c r="C742" s="1" t="s">
        <v>27</v>
      </c>
      <c r="D742" s="4">
        <v>0</v>
      </c>
      <c r="E742" s="4">
        <v>0</v>
      </c>
      <c r="G742" s="4">
        <v>-15.040850000000001</v>
      </c>
      <c r="H742" s="19">
        <v>0</v>
      </c>
      <c r="J742" s="1" t="s">
        <v>77</v>
      </c>
    </row>
    <row r="743" spans="1:10" x14ac:dyDescent="0.25">
      <c r="A743" s="1" t="s">
        <v>57</v>
      </c>
      <c r="B743" s="1" t="s">
        <v>24</v>
      </c>
      <c r="C743" s="1" t="s">
        <v>21</v>
      </c>
      <c r="D743" s="4">
        <v>0</v>
      </c>
      <c r="E743" s="4">
        <v>0</v>
      </c>
      <c r="F743" s="4">
        <v>0</v>
      </c>
      <c r="G743" s="4">
        <v>0</v>
      </c>
      <c r="H743" s="19">
        <v>0</v>
      </c>
      <c r="J743" s="1" t="s">
        <v>77</v>
      </c>
    </row>
    <row r="744" spans="1:10" x14ac:dyDescent="0.25">
      <c r="A744" s="1" t="s">
        <v>57</v>
      </c>
      <c r="B744" s="1" t="s">
        <v>24</v>
      </c>
      <c r="C744" s="1" t="s">
        <v>28</v>
      </c>
      <c r="D744" s="4">
        <v>0</v>
      </c>
      <c r="E744" s="4">
        <v>0</v>
      </c>
      <c r="F744" s="4">
        <v>0</v>
      </c>
      <c r="G744" s="4">
        <v>0</v>
      </c>
      <c r="H744" s="19">
        <v>0</v>
      </c>
      <c r="J744" s="1" t="s">
        <v>77</v>
      </c>
    </row>
    <row r="745" spans="1:10" x14ac:dyDescent="0.25">
      <c r="A745" s="1" t="s">
        <v>57</v>
      </c>
      <c r="B745" s="1" t="s">
        <v>24</v>
      </c>
      <c r="C745" s="1" t="s">
        <v>29</v>
      </c>
      <c r="D745" s="4">
        <v>0</v>
      </c>
      <c r="E745" s="4">
        <v>0</v>
      </c>
      <c r="F745" s="4">
        <v>0</v>
      </c>
      <c r="G745" s="4">
        <v>0</v>
      </c>
      <c r="H745" s="19">
        <v>0</v>
      </c>
      <c r="J745" s="1" t="s">
        <v>77</v>
      </c>
    </row>
    <row r="746" spans="1:10" x14ac:dyDescent="0.25">
      <c r="A746" s="1" t="s">
        <v>57</v>
      </c>
      <c r="B746" s="1" t="s">
        <v>24</v>
      </c>
      <c r="C746" s="1" t="s">
        <v>30</v>
      </c>
      <c r="D746" s="4">
        <v>0</v>
      </c>
      <c r="E746" s="4">
        <v>0</v>
      </c>
      <c r="F746" s="4">
        <v>0</v>
      </c>
      <c r="G746" s="4">
        <v>0</v>
      </c>
      <c r="H746" s="19">
        <v>0</v>
      </c>
      <c r="J746" s="1" t="s">
        <v>77</v>
      </c>
    </row>
    <row r="747" spans="1:10" x14ac:dyDescent="0.25">
      <c r="A747" s="1" t="s">
        <v>57</v>
      </c>
      <c r="B747" s="1" t="s">
        <v>24</v>
      </c>
      <c r="C747" s="1" t="s">
        <v>31</v>
      </c>
      <c r="D747" s="4">
        <v>0</v>
      </c>
      <c r="E747" s="4">
        <v>0</v>
      </c>
      <c r="F747" s="4">
        <v>-1.4642685444929049</v>
      </c>
      <c r="G747" s="4">
        <v>0.76459889311108387</v>
      </c>
      <c r="H747" s="19">
        <v>1</v>
      </c>
      <c r="J747" s="1" t="s">
        <v>77</v>
      </c>
    </row>
    <row r="748" spans="1:10" x14ac:dyDescent="0.25">
      <c r="A748" s="1" t="s">
        <v>57</v>
      </c>
      <c r="B748" s="1" t="s">
        <v>24</v>
      </c>
      <c r="C748" s="1" t="s">
        <v>32</v>
      </c>
      <c r="D748" s="4">
        <v>5.543934310360739</v>
      </c>
      <c r="E748" s="4">
        <v>12.832374310360739</v>
      </c>
      <c r="F748" s="4">
        <v>-0.82459836895296745</v>
      </c>
      <c r="G748" s="4">
        <v>-2.012328368952967</v>
      </c>
      <c r="H748" s="19">
        <v>7.7231933982602241</v>
      </c>
      <c r="J748" s="1" t="s">
        <v>77</v>
      </c>
    </row>
    <row r="749" spans="1:10" x14ac:dyDescent="0.25">
      <c r="A749" s="1" t="s">
        <v>58</v>
      </c>
      <c r="B749" s="1" t="s">
        <v>1</v>
      </c>
      <c r="C749" s="1" t="s">
        <v>63</v>
      </c>
      <c r="D749" s="4">
        <v>2970.1284800000431</v>
      </c>
      <c r="E749" s="4">
        <v>15253.147040000011</v>
      </c>
      <c r="F749" s="4">
        <v>11650.009711779445</v>
      </c>
      <c r="G749" s="4">
        <v>102854.80971177947</v>
      </c>
      <c r="H749" s="19">
        <v>-0.74505356188699867</v>
      </c>
      <c r="J749" s="1" t="s">
        <v>77</v>
      </c>
    </row>
    <row r="750" spans="1:10" x14ac:dyDescent="0.25">
      <c r="A750" s="1" t="s">
        <v>58</v>
      </c>
      <c r="B750" s="1" t="s">
        <v>1</v>
      </c>
      <c r="C750" s="1" t="s">
        <v>26</v>
      </c>
      <c r="E750" s="4">
        <v>233711.40646999999</v>
      </c>
      <c r="G750" s="4">
        <v>252487.0009935589</v>
      </c>
      <c r="H750" s="19">
        <v>0</v>
      </c>
      <c r="J750" s="1" t="s">
        <v>77</v>
      </c>
    </row>
    <row r="751" spans="1:10" x14ac:dyDescent="0.25">
      <c r="A751" s="1" t="s">
        <v>58</v>
      </c>
      <c r="B751" s="1" t="s">
        <v>1</v>
      </c>
      <c r="C751" s="1" t="s">
        <v>27</v>
      </c>
      <c r="D751" s="4">
        <v>0</v>
      </c>
      <c r="E751" s="4">
        <v>157724.81423054743</v>
      </c>
      <c r="G751" s="4">
        <v>131144.32990362481</v>
      </c>
      <c r="H751" s="19">
        <v>0</v>
      </c>
      <c r="J751" s="1" t="s">
        <v>77</v>
      </c>
    </row>
    <row r="752" spans="1:10" x14ac:dyDescent="0.25">
      <c r="A752" s="1" t="s">
        <v>58</v>
      </c>
      <c r="B752" s="1" t="s">
        <v>1</v>
      </c>
      <c r="C752" s="1" t="s">
        <v>21</v>
      </c>
      <c r="D752" s="4">
        <v>259.548</v>
      </c>
      <c r="E752" s="4">
        <v>7449.6569999999992</v>
      </c>
      <c r="F752" s="4">
        <v>20868.444642439434</v>
      </c>
      <c r="G752" s="4">
        <v>119874.44464243943</v>
      </c>
      <c r="H752" s="19">
        <v>-0.98756265718662306</v>
      </c>
      <c r="J752" s="1" t="s">
        <v>77</v>
      </c>
    </row>
    <row r="753" spans="1:10" x14ac:dyDescent="0.25">
      <c r="A753" s="1" t="s">
        <v>58</v>
      </c>
      <c r="B753" s="1" t="s">
        <v>1</v>
      </c>
      <c r="C753" s="1" t="s">
        <v>28</v>
      </c>
      <c r="D753" s="4">
        <v>15800</v>
      </c>
      <c r="E753" s="4">
        <v>42200</v>
      </c>
      <c r="F753" s="4">
        <v>248443.22025675679</v>
      </c>
      <c r="G753" s="4">
        <v>437443.22025675676</v>
      </c>
      <c r="H753" s="19">
        <v>-0.93640398001736058</v>
      </c>
      <c r="J753" s="1" t="s">
        <v>77</v>
      </c>
    </row>
    <row r="754" spans="1:10" x14ac:dyDescent="0.25">
      <c r="A754" s="1" t="s">
        <v>58</v>
      </c>
      <c r="B754" s="1" t="s">
        <v>1</v>
      </c>
      <c r="C754" s="1" t="s">
        <v>29</v>
      </c>
      <c r="D754" s="4">
        <v>45182</v>
      </c>
      <c r="E754" s="4">
        <v>325718</v>
      </c>
      <c r="F754" s="4">
        <v>56000</v>
      </c>
      <c r="G754" s="4">
        <v>353000</v>
      </c>
      <c r="H754" s="19">
        <v>-0.19317857142857142</v>
      </c>
      <c r="J754" s="1" t="s">
        <v>77</v>
      </c>
    </row>
    <row r="755" spans="1:10" x14ac:dyDescent="0.25">
      <c r="A755" s="1" t="s">
        <v>58</v>
      </c>
      <c r="B755" s="1" t="s">
        <v>1</v>
      </c>
      <c r="C755" s="1" t="s">
        <v>30</v>
      </c>
      <c r="D755" s="4">
        <v>129</v>
      </c>
      <c r="E755" s="4">
        <v>545</v>
      </c>
      <c r="F755" s="4">
        <v>178</v>
      </c>
      <c r="G755" s="4">
        <v>712</v>
      </c>
      <c r="H755" s="19">
        <v>-0.2752808988764045</v>
      </c>
      <c r="J755" s="1" t="s">
        <v>77</v>
      </c>
    </row>
    <row r="756" spans="1:10" x14ac:dyDescent="0.25">
      <c r="A756" s="1" t="s">
        <v>58</v>
      </c>
      <c r="B756" s="1" t="s">
        <v>1</v>
      </c>
      <c r="C756" s="1" t="s">
        <v>31</v>
      </c>
      <c r="D756" s="4">
        <v>233.30377000000021</v>
      </c>
      <c r="E756" s="4">
        <v>1180.4192100000002</v>
      </c>
      <c r="F756" s="4">
        <v>-1574.5433027327397</v>
      </c>
      <c r="G756" s="4">
        <v>1973.0396328445083</v>
      </c>
      <c r="H756" s="19">
        <v>1.1481723427962152</v>
      </c>
      <c r="J756" s="1" t="s">
        <v>77</v>
      </c>
    </row>
    <row r="757" spans="1:10" x14ac:dyDescent="0.25">
      <c r="A757" s="1" t="s">
        <v>58</v>
      </c>
      <c r="B757" s="1" t="s">
        <v>1</v>
      </c>
      <c r="C757" s="1" t="s">
        <v>32</v>
      </c>
      <c r="D757" s="4">
        <v>-2130.2088151814633</v>
      </c>
      <c r="E757" s="4">
        <v>-7281.8484711024475</v>
      </c>
      <c r="F757" s="4">
        <v>-1266.2518228079571</v>
      </c>
      <c r="G757" s="4">
        <v>-7395.8990387289368</v>
      </c>
      <c r="H757" s="19">
        <v>-0.68229476697427516</v>
      </c>
      <c r="J757" s="1" t="s">
        <v>77</v>
      </c>
    </row>
    <row r="758" spans="1:10" x14ac:dyDescent="0.25">
      <c r="A758" s="1" t="s">
        <v>38</v>
      </c>
      <c r="B758" s="1" t="s">
        <v>18</v>
      </c>
      <c r="C758" s="1" t="s">
        <v>63</v>
      </c>
      <c r="D758" s="4">
        <v>0</v>
      </c>
      <c r="E758" s="4">
        <v>0</v>
      </c>
      <c r="F758" s="4">
        <v>0</v>
      </c>
      <c r="G758" s="4">
        <v>0</v>
      </c>
      <c r="H758" s="19">
        <v>0</v>
      </c>
      <c r="J758" s="1" t="s">
        <v>68</v>
      </c>
    </row>
    <row r="759" spans="1:10" x14ac:dyDescent="0.25">
      <c r="A759" s="1" t="s">
        <v>38</v>
      </c>
      <c r="B759" s="1" t="s">
        <v>18</v>
      </c>
      <c r="C759" s="1" t="s">
        <v>26</v>
      </c>
      <c r="E759" s="4">
        <v>0</v>
      </c>
      <c r="G759" s="4">
        <v>0</v>
      </c>
      <c r="H759" s="19">
        <v>0</v>
      </c>
      <c r="J759" s="1" t="s">
        <v>68</v>
      </c>
    </row>
    <row r="760" spans="1:10" x14ac:dyDescent="0.25">
      <c r="A760" s="1" t="s">
        <v>38</v>
      </c>
      <c r="B760" s="1" t="s">
        <v>18</v>
      </c>
      <c r="C760" s="1" t="s">
        <v>27</v>
      </c>
      <c r="D760" s="4">
        <v>0</v>
      </c>
      <c r="E760" s="4">
        <v>0</v>
      </c>
      <c r="G760" s="4">
        <v>0</v>
      </c>
      <c r="H760" s="19">
        <v>0</v>
      </c>
      <c r="J760" s="1" t="s">
        <v>68</v>
      </c>
    </row>
    <row r="761" spans="1:10" x14ac:dyDescent="0.25">
      <c r="A761" s="1" t="s">
        <v>38</v>
      </c>
      <c r="B761" s="1" t="s">
        <v>18</v>
      </c>
      <c r="C761" s="1" t="s">
        <v>21</v>
      </c>
      <c r="D761" s="4">
        <v>0</v>
      </c>
      <c r="E761" s="4">
        <v>0</v>
      </c>
      <c r="F761" s="4">
        <v>0</v>
      </c>
      <c r="G761" s="4">
        <v>0</v>
      </c>
      <c r="H761" s="19">
        <v>0</v>
      </c>
      <c r="J761" s="1" t="s">
        <v>68</v>
      </c>
    </row>
    <row r="762" spans="1:10" x14ac:dyDescent="0.25">
      <c r="A762" s="1" t="s">
        <v>38</v>
      </c>
      <c r="B762" s="1" t="s">
        <v>18</v>
      </c>
      <c r="C762" s="1" t="s">
        <v>28</v>
      </c>
      <c r="D762" s="4">
        <v>0</v>
      </c>
      <c r="E762" s="4">
        <v>0</v>
      </c>
      <c r="F762" s="4">
        <v>0</v>
      </c>
      <c r="G762" s="4">
        <v>0</v>
      </c>
      <c r="H762" s="19">
        <v>0</v>
      </c>
      <c r="J762" s="1" t="s">
        <v>68</v>
      </c>
    </row>
    <row r="763" spans="1:10" x14ac:dyDescent="0.25">
      <c r="A763" s="1" t="s">
        <v>38</v>
      </c>
      <c r="B763" s="1" t="s">
        <v>18</v>
      </c>
      <c r="C763" s="1" t="s">
        <v>29</v>
      </c>
      <c r="D763" s="4">
        <v>0</v>
      </c>
      <c r="E763" s="4">
        <v>209870</v>
      </c>
      <c r="F763" s="4">
        <v>0</v>
      </c>
      <c r="G763" s="4">
        <v>99000</v>
      </c>
      <c r="H763" s="19">
        <v>0</v>
      </c>
      <c r="J763" s="1" t="s">
        <v>68</v>
      </c>
    </row>
    <row r="764" spans="1:10" x14ac:dyDescent="0.25">
      <c r="A764" s="1" t="s">
        <v>38</v>
      </c>
      <c r="B764" s="1" t="s">
        <v>18</v>
      </c>
      <c r="C764" s="1" t="s">
        <v>30</v>
      </c>
      <c r="D764" s="4">
        <v>0</v>
      </c>
      <c r="E764" s="4">
        <v>0</v>
      </c>
      <c r="F764" s="4">
        <v>0</v>
      </c>
      <c r="G764" s="4">
        <v>0</v>
      </c>
      <c r="H764" s="19">
        <v>0</v>
      </c>
      <c r="J764" s="1" t="s">
        <v>68</v>
      </c>
    </row>
    <row r="765" spans="1:10" x14ac:dyDescent="0.25">
      <c r="A765" s="1" t="s">
        <v>38</v>
      </c>
      <c r="B765" s="1" t="s">
        <v>18</v>
      </c>
      <c r="C765" s="1" t="s">
        <v>31</v>
      </c>
      <c r="D765" s="4">
        <v>4.9999999998817657E-4</v>
      </c>
      <c r="E765" s="4">
        <v>453.76429000000002</v>
      </c>
      <c r="F765" s="4">
        <v>4.3942561047856543E-2</v>
      </c>
      <c r="G765" s="4">
        <v>117.54878795521756</v>
      </c>
      <c r="H765" s="19">
        <v>-0.98862150980586583</v>
      </c>
      <c r="J765" s="1" t="s">
        <v>68</v>
      </c>
    </row>
    <row r="766" spans="1:10" x14ac:dyDescent="0.25">
      <c r="A766" s="1" t="s">
        <v>38</v>
      </c>
      <c r="B766" s="1" t="s">
        <v>18</v>
      </c>
      <c r="C766" s="1" t="s">
        <v>32</v>
      </c>
      <c r="D766" s="4">
        <v>-17021.671799510717</v>
      </c>
      <c r="E766" s="4">
        <v>-162886.56627785007</v>
      </c>
      <c r="F766" s="4">
        <v>-32524.111250375383</v>
      </c>
      <c r="G766" s="4">
        <v>-141494.98098072122</v>
      </c>
      <c r="H766" s="19">
        <v>0.47664452170651522</v>
      </c>
      <c r="J766" s="1" t="s">
        <v>68</v>
      </c>
    </row>
    <row r="767" spans="1:10" x14ac:dyDescent="0.25">
      <c r="A767" s="1" t="s">
        <v>39</v>
      </c>
      <c r="B767" s="1" t="s">
        <v>8</v>
      </c>
      <c r="C767" s="1" t="s">
        <v>63</v>
      </c>
      <c r="D767" s="4">
        <v>28999.27284999995</v>
      </c>
      <c r="E767" s="4">
        <v>39758.339500000118</v>
      </c>
      <c r="F767" s="4">
        <v>7465.9829260652068</v>
      </c>
      <c r="G767" s="4">
        <v>72997.40585213041</v>
      </c>
      <c r="H767" s="19">
        <v>2.8841868695892425</v>
      </c>
      <c r="J767" s="1" t="s">
        <v>68</v>
      </c>
    </row>
    <row r="768" spans="1:10" x14ac:dyDescent="0.25">
      <c r="A768" s="1" t="s">
        <v>39</v>
      </c>
      <c r="B768" s="1" t="s">
        <v>8</v>
      </c>
      <c r="C768" s="1" t="s">
        <v>26</v>
      </c>
      <c r="E768" s="4">
        <v>518381.91263000009</v>
      </c>
      <c r="G768" s="4">
        <v>508575.85888819554</v>
      </c>
      <c r="H768" s="19">
        <v>0</v>
      </c>
      <c r="J768" s="1" t="s">
        <v>68</v>
      </c>
    </row>
    <row r="769" spans="1:10" x14ac:dyDescent="0.25">
      <c r="A769" s="1" t="s">
        <v>39</v>
      </c>
      <c r="B769" s="1" t="s">
        <v>8</v>
      </c>
      <c r="C769" s="1" t="s">
        <v>27</v>
      </c>
      <c r="D769" s="4">
        <v>0</v>
      </c>
      <c r="E769" s="4">
        <v>666821.6434399999</v>
      </c>
      <c r="G769" s="4">
        <v>518649.94671551604</v>
      </c>
      <c r="H769" s="19">
        <v>0</v>
      </c>
      <c r="J769" s="1" t="s">
        <v>68</v>
      </c>
    </row>
    <row r="770" spans="1:10" x14ac:dyDescent="0.25">
      <c r="A770" s="1" t="s">
        <v>39</v>
      </c>
      <c r="B770" s="1" t="s">
        <v>8</v>
      </c>
      <c r="C770" s="1" t="s">
        <v>21</v>
      </c>
      <c r="D770" s="4">
        <v>7189.7770499999997</v>
      </c>
      <c r="E770" s="4">
        <v>50520.788649999995</v>
      </c>
      <c r="F770" s="4">
        <v>21166.644999582291</v>
      </c>
      <c r="G770" s="4">
        <v>99915.089999164586</v>
      </c>
      <c r="H770" s="19">
        <v>-0.6603251459954147</v>
      </c>
      <c r="J770" s="1" t="s">
        <v>68</v>
      </c>
    </row>
    <row r="771" spans="1:10" x14ac:dyDescent="0.25">
      <c r="A771" s="1" t="s">
        <v>39</v>
      </c>
      <c r="B771" s="1" t="s">
        <v>8</v>
      </c>
      <c r="C771" s="1" t="s">
        <v>28</v>
      </c>
      <c r="D771" s="4">
        <v>3270465.2</v>
      </c>
      <c r="E771" s="4">
        <v>9333119.1999999993</v>
      </c>
      <c r="F771" s="4">
        <v>124221.61012837839</v>
      </c>
      <c r="G771" s="4">
        <v>4298443.220256757</v>
      </c>
      <c r="H771" s="19">
        <v>25.327667115408474</v>
      </c>
      <c r="J771" s="1" t="s">
        <v>68</v>
      </c>
    </row>
    <row r="772" spans="1:10" x14ac:dyDescent="0.25">
      <c r="A772" s="1" t="s">
        <v>39</v>
      </c>
      <c r="B772" s="1" t="s">
        <v>8</v>
      </c>
      <c r="C772" s="1" t="s">
        <v>29</v>
      </c>
      <c r="D772" s="4">
        <v>12147</v>
      </c>
      <c r="E772" s="4">
        <v>246142</v>
      </c>
      <c r="F772" s="4">
        <v>28000</v>
      </c>
      <c r="G772" s="4">
        <v>62000</v>
      </c>
      <c r="H772" s="19">
        <v>-0.56617857142857142</v>
      </c>
      <c r="J772" s="1" t="s">
        <v>68</v>
      </c>
    </row>
    <row r="773" spans="1:10" x14ac:dyDescent="0.25">
      <c r="A773" s="1" t="s">
        <v>39</v>
      </c>
      <c r="B773" s="1" t="s">
        <v>8</v>
      </c>
      <c r="C773" s="1" t="s">
        <v>30</v>
      </c>
      <c r="D773" s="4">
        <v>61</v>
      </c>
      <c r="E773" s="4">
        <v>246</v>
      </c>
      <c r="F773" s="4">
        <v>85</v>
      </c>
      <c r="G773" s="4">
        <v>425</v>
      </c>
      <c r="H773" s="19">
        <v>-0.28235294117647058</v>
      </c>
      <c r="J773" s="1" t="s">
        <v>68</v>
      </c>
    </row>
    <row r="774" spans="1:10" x14ac:dyDescent="0.25">
      <c r="A774" s="1" t="s">
        <v>39</v>
      </c>
      <c r="B774" s="1" t="s">
        <v>8</v>
      </c>
      <c r="C774" s="1" t="s">
        <v>31</v>
      </c>
      <c r="D774" s="4">
        <v>3429.8978399999978</v>
      </c>
      <c r="E774" s="4">
        <v>11250.157119999998</v>
      </c>
      <c r="F774" s="4">
        <v>2973.3168011170528</v>
      </c>
      <c r="G774" s="4">
        <v>9254.0816969972566</v>
      </c>
      <c r="H774" s="19">
        <v>0.15355949917997669</v>
      </c>
      <c r="J774" s="1" t="s">
        <v>68</v>
      </c>
    </row>
    <row r="775" spans="1:10" x14ac:dyDescent="0.25">
      <c r="A775" s="1" t="s">
        <v>39</v>
      </c>
      <c r="B775" s="1" t="s">
        <v>8</v>
      </c>
      <c r="C775" s="1" t="s">
        <v>32</v>
      </c>
      <c r="D775" s="4">
        <v>1369.7320255955196</v>
      </c>
      <c r="E775" s="4">
        <v>-4743.8785999999945</v>
      </c>
      <c r="F775" s="4">
        <v>6510.576436019448</v>
      </c>
      <c r="G775" s="4">
        <v>6409.1113187588098</v>
      </c>
      <c r="H775" s="19">
        <v>-0.78961432385348485</v>
      </c>
      <c r="J775" s="1" t="s">
        <v>68</v>
      </c>
    </row>
    <row r="776" spans="1:10" x14ac:dyDescent="0.25">
      <c r="A776" s="1" t="s">
        <v>40</v>
      </c>
      <c r="B776" s="1" t="s">
        <v>11</v>
      </c>
      <c r="C776" s="1" t="s">
        <v>63</v>
      </c>
      <c r="D776" s="4">
        <v>-2210.9563100000087</v>
      </c>
      <c r="E776" s="4">
        <v>-20572.529339999972</v>
      </c>
      <c r="F776" s="4">
        <v>2986.0037593984976</v>
      </c>
      <c r="G776" s="4">
        <v>65237.447518796995</v>
      </c>
      <c r="H776" s="19">
        <v>-1.7404398949736706</v>
      </c>
      <c r="J776" s="1" t="s">
        <v>68</v>
      </c>
    </row>
    <row r="777" spans="1:10" x14ac:dyDescent="0.25">
      <c r="A777" s="1" t="s">
        <v>40</v>
      </c>
      <c r="B777" s="1" t="s">
        <v>11</v>
      </c>
      <c r="C777" s="1" t="s">
        <v>26</v>
      </c>
      <c r="E777" s="4">
        <v>52560.513770000027</v>
      </c>
      <c r="G777" s="4">
        <v>58070.300078195498</v>
      </c>
      <c r="H777" s="19">
        <v>0</v>
      </c>
      <c r="J777" s="1" t="s">
        <v>68</v>
      </c>
    </row>
    <row r="778" spans="1:10" x14ac:dyDescent="0.25">
      <c r="A778" s="1" t="s">
        <v>40</v>
      </c>
      <c r="B778" s="1" t="s">
        <v>11</v>
      </c>
      <c r="C778" s="1" t="s">
        <v>27</v>
      </c>
      <c r="D778" s="4">
        <v>0</v>
      </c>
      <c r="E778" s="4">
        <v>91571.325320000018</v>
      </c>
      <c r="G778" s="4">
        <v>78823.174933229995</v>
      </c>
      <c r="H778" s="19">
        <v>0</v>
      </c>
      <c r="J778" s="1" t="s">
        <v>68</v>
      </c>
    </row>
    <row r="779" spans="1:10" x14ac:dyDescent="0.25">
      <c r="A779" s="1" t="s">
        <v>40</v>
      </c>
      <c r="B779" s="1" t="s">
        <v>11</v>
      </c>
      <c r="C779" s="1" t="s">
        <v>21</v>
      </c>
      <c r="D779" s="4">
        <v>2185.3029999999999</v>
      </c>
      <c r="E779" s="4">
        <v>9642.3298500000001</v>
      </c>
      <c r="F779" s="4">
        <v>5348.7727218045111</v>
      </c>
      <c r="G779" s="4">
        <v>69779.345443609011</v>
      </c>
      <c r="H779" s="19">
        <v>-0.59143842640919952</v>
      </c>
      <c r="J779" s="1" t="s">
        <v>68</v>
      </c>
    </row>
    <row r="780" spans="1:10" x14ac:dyDescent="0.25">
      <c r="A780" s="1" t="s">
        <v>40</v>
      </c>
      <c r="B780" s="1" t="s">
        <v>11</v>
      </c>
      <c r="C780" s="1" t="s">
        <v>28</v>
      </c>
      <c r="D780" s="4">
        <v>8000</v>
      </c>
      <c r="E780" s="4">
        <v>57500</v>
      </c>
      <c r="F780" s="4">
        <v>62110.805064189197</v>
      </c>
      <c r="G780" s="4">
        <v>214221.61012837838</v>
      </c>
      <c r="H780" s="19">
        <v>-0.87119793421237579</v>
      </c>
      <c r="J780" s="1" t="s">
        <v>68</v>
      </c>
    </row>
    <row r="781" spans="1:10" x14ac:dyDescent="0.25">
      <c r="A781" s="1" t="s">
        <v>40</v>
      </c>
      <c r="B781" s="1" t="s">
        <v>11</v>
      </c>
      <c r="C781" s="1" t="s">
        <v>29</v>
      </c>
      <c r="D781" s="4">
        <v>60375</v>
      </c>
      <c r="E781" s="4">
        <v>233534</v>
      </c>
      <c r="F781" s="4">
        <v>14000</v>
      </c>
      <c r="G781" s="4">
        <v>247000</v>
      </c>
      <c r="H781" s="19">
        <v>3.3125</v>
      </c>
      <c r="J781" s="1" t="s">
        <v>68</v>
      </c>
    </row>
    <row r="782" spans="1:10" x14ac:dyDescent="0.25">
      <c r="A782" s="1" t="s">
        <v>40</v>
      </c>
      <c r="B782" s="1" t="s">
        <v>11</v>
      </c>
      <c r="C782" s="1" t="s">
        <v>30</v>
      </c>
      <c r="D782" s="4">
        <v>64</v>
      </c>
      <c r="E782" s="4">
        <v>293</v>
      </c>
      <c r="F782" s="4">
        <v>73</v>
      </c>
      <c r="G782" s="4">
        <v>365</v>
      </c>
      <c r="H782" s="19">
        <v>-0.12328767123287671</v>
      </c>
      <c r="J782" s="1" t="s">
        <v>68</v>
      </c>
    </row>
    <row r="783" spans="1:10" x14ac:dyDescent="0.25">
      <c r="A783" s="1" t="s">
        <v>40</v>
      </c>
      <c r="B783" s="1" t="s">
        <v>11</v>
      </c>
      <c r="C783" s="1" t="s">
        <v>31</v>
      </c>
      <c r="D783" s="4">
        <v>160.50095999999996</v>
      </c>
      <c r="E783" s="4">
        <v>807.63965000000007</v>
      </c>
      <c r="F783" s="4">
        <v>389.50970258517759</v>
      </c>
      <c r="G783" s="4">
        <v>1293.6762469883506</v>
      </c>
      <c r="H783" s="19">
        <v>-0.58794104759199994</v>
      </c>
      <c r="J783" s="1" t="s">
        <v>68</v>
      </c>
    </row>
    <row r="784" spans="1:10" x14ac:dyDescent="0.25">
      <c r="A784" s="1" t="s">
        <v>40</v>
      </c>
      <c r="B784" s="1" t="s">
        <v>11</v>
      </c>
      <c r="C784" s="1" t="s">
        <v>32</v>
      </c>
      <c r="D784" s="4">
        <v>-2123.2478264183997</v>
      </c>
      <c r="E784" s="4">
        <v>-6409.5779399999992</v>
      </c>
      <c r="F784" s="4">
        <v>205.18651693008496</v>
      </c>
      <c r="G784" s="4">
        <v>-2589.9224350074605</v>
      </c>
      <c r="H784" s="19">
        <v>-11.347891558302893</v>
      </c>
      <c r="J784" s="1" t="s">
        <v>68</v>
      </c>
    </row>
    <row r="785" spans="1:10" x14ac:dyDescent="0.25">
      <c r="A785" s="1" t="s">
        <v>41</v>
      </c>
      <c r="B785" s="1" t="s">
        <v>15</v>
      </c>
      <c r="C785" s="1" t="s">
        <v>63</v>
      </c>
      <c r="D785" s="4">
        <v>-766.94997999999759</v>
      </c>
      <c r="E785" s="4">
        <v>-4761.3320500000045</v>
      </c>
      <c r="F785" s="4">
        <v>2986.0037593984976</v>
      </c>
      <c r="G785" s="4">
        <v>57302.887518796997</v>
      </c>
      <c r="H785" s="19">
        <v>-1.2568482968536157</v>
      </c>
      <c r="J785" s="1" t="s">
        <v>68</v>
      </c>
    </row>
    <row r="786" spans="1:10" x14ac:dyDescent="0.25">
      <c r="A786" s="1" t="s">
        <v>41</v>
      </c>
      <c r="B786" s="1" t="s">
        <v>15</v>
      </c>
      <c r="C786" s="1" t="s">
        <v>26</v>
      </c>
      <c r="E786" s="4">
        <v>35523.536169999992</v>
      </c>
      <c r="G786" s="4">
        <v>55532.07176819547</v>
      </c>
      <c r="H786" s="19">
        <v>0</v>
      </c>
      <c r="J786" s="1" t="s">
        <v>68</v>
      </c>
    </row>
    <row r="787" spans="1:10" x14ac:dyDescent="0.25">
      <c r="A787" s="1" t="s">
        <v>41</v>
      </c>
      <c r="B787" s="1" t="s">
        <v>15</v>
      </c>
      <c r="C787" s="1" t="s">
        <v>27</v>
      </c>
      <c r="D787" s="4">
        <v>0</v>
      </c>
      <c r="E787" s="4">
        <v>99906.855529999972</v>
      </c>
      <c r="G787" s="4">
        <v>86369.489535845045</v>
      </c>
      <c r="H787" s="19">
        <v>0</v>
      </c>
      <c r="J787" s="1" t="s">
        <v>68</v>
      </c>
    </row>
    <row r="788" spans="1:10" x14ac:dyDescent="0.25">
      <c r="A788" s="1" t="s">
        <v>41</v>
      </c>
      <c r="B788" s="1" t="s">
        <v>15</v>
      </c>
      <c r="C788" s="1" t="s">
        <v>21</v>
      </c>
      <c r="D788" s="4">
        <v>1632.3</v>
      </c>
      <c r="E788" s="4">
        <v>6654.0638500000005</v>
      </c>
      <c r="F788" s="4">
        <v>5348.7727218045111</v>
      </c>
      <c r="G788" s="4">
        <v>59861.145443609028</v>
      </c>
      <c r="H788" s="19">
        <v>-0.69482719029248408</v>
      </c>
      <c r="J788" s="1" t="s">
        <v>68</v>
      </c>
    </row>
    <row r="789" spans="1:10" x14ac:dyDescent="0.25">
      <c r="A789" s="1" t="s">
        <v>41</v>
      </c>
      <c r="B789" s="1" t="s">
        <v>15</v>
      </c>
      <c r="C789" s="1" t="s">
        <v>28</v>
      </c>
      <c r="D789" s="4">
        <v>4000</v>
      </c>
      <c r="E789" s="4">
        <v>31000</v>
      </c>
      <c r="F789" s="4">
        <v>62110.805064189197</v>
      </c>
      <c r="G789" s="4">
        <v>160221.61012837838</v>
      </c>
      <c r="H789" s="19">
        <v>-0.93559896710618784</v>
      </c>
      <c r="J789" s="1" t="s">
        <v>68</v>
      </c>
    </row>
    <row r="790" spans="1:10" x14ac:dyDescent="0.25">
      <c r="A790" s="1" t="s">
        <v>41</v>
      </c>
      <c r="B790" s="1" t="s">
        <v>15</v>
      </c>
      <c r="C790" s="1" t="s">
        <v>29</v>
      </c>
      <c r="D790" s="4">
        <v>0</v>
      </c>
      <c r="E790" s="4">
        <v>0</v>
      </c>
      <c r="F790" s="4">
        <v>14000</v>
      </c>
      <c r="G790" s="4">
        <v>31000</v>
      </c>
      <c r="H790" s="19">
        <v>-1</v>
      </c>
      <c r="J790" s="1" t="s">
        <v>68</v>
      </c>
    </row>
    <row r="791" spans="1:10" x14ac:dyDescent="0.25">
      <c r="A791" s="1" t="s">
        <v>41</v>
      </c>
      <c r="B791" s="1" t="s">
        <v>15</v>
      </c>
      <c r="C791" s="1" t="s">
        <v>30</v>
      </c>
      <c r="D791" s="4">
        <v>12</v>
      </c>
      <c r="E791" s="4">
        <v>114</v>
      </c>
      <c r="F791" s="4">
        <v>66</v>
      </c>
      <c r="G791" s="4">
        <v>330</v>
      </c>
      <c r="H791" s="19">
        <v>-0.81818181818181823</v>
      </c>
      <c r="J791" s="1" t="s">
        <v>68</v>
      </c>
    </row>
    <row r="792" spans="1:10" x14ac:dyDescent="0.25">
      <c r="A792" s="1" t="s">
        <v>41</v>
      </c>
      <c r="B792" s="1" t="s">
        <v>15</v>
      </c>
      <c r="C792" s="1" t="s">
        <v>31</v>
      </c>
      <c r="D792" s="4">
        <v>108.18666999999994</v>
      </c>
      <c r="E792" s="4">
        <v>442.31220999999994</v>
      </c>
      <c r="F792" s="4">
        <v>393.08880635567994</v>
      </c>
      <c r="G792" s="4">
        <v>1050.8297041056767</v>
      </c>
      <c r="H792" s="19">
        <v>-0.72477804442462546</v>
      </c>
      <c r="J792" s="1" t="s">
        <v>68</v>
      </c>
    </row>
    <row r="793" spans="1:10" x14ac:dyDescent="0.25">
      <c r="A793" s="1" t="s">
        <v>41</v>
      </c>
      <c r="B793" s="1" t="s">
        <v>15</v>
      </c>
      <c r="C793" s="1" t="s">
        <v>32</v>
      </c>
      <c r="D793" s="4">
        <v>237.03676927159168</v>
      </c>
      <c r="E793" s="4">
        <v>-3475.7077599999998</v>
      </c>
      <c r="F793" s="4">
        <v>529.02156686492981</v>
      </c>
      <c r="G793" s="4">
        <v>-1228.2515464402752</v>
      </c>
      <c r="H793" s="19">
        <v>-0.55193363726868239</v>
      </c>
      <c r="J793" s="1" t="s">
        <v>68</v>
      </c>
    </row>
    <row r="794" spans="1:10" x14ac:dyDescent="0.25">
      <c r="A794" s="1" t="s">
        <v>42</v>
      </c>
      <c r="B794" s="1" t="s">
        <v>12</v>
      </c>
      <c r="C794" s="1" t="s">
        <v>63</v>
      </c>
      <c r="D794" s="4">
        <v>8109.0468900000014</v>
      </c>
      <c r="E794" s="4">
        <v>9648.9667000000081</v>
      </c>
      <c r="F794" s="4">
        <v>4554.5513784461173</v>
      </c>
      <c r="G794" s="4">
        <v>82105.422756892265</v>
      </c>
      <c r="H794" s="19">
        <v>0.78042714116150258</v>
      </c>
      <c r="J794" s="1" t="s">
        <v>68</v>
      </c>
    </row>
    <row r="795" spans="1:10" x14ac:dyDescent="0.25">
      <c r="A795" s="1" t="s">
        <v>42</v>
      </c>
      <c r="B795" s="1" t="s">
        <v>12</v>
      </c>
      <c r="C795" s="1" t="s">
        <v>26</v>
      </c>
      <c r="E795" s="4">
        <v>32528.686019999994</v>
      </c>
      <c r="G795" s="4">
        <v>37967.770365338336</v>
      </c>
      <c r="H795" s="19">
        <v>0</v>
      </c>
      <c r="J795" s="1" t="s">
        <v>68</v>
      </c>
    </row>
    <row r="796" spans="1:10" x14ac:dyDescent="0.25">
      <c r="A796" s="1" t="s">
        <v>42</v>
      </c>
      <c r="B796" s="1" t="s">
        <v>12</v>
      </c>
      <c r="C796" s="1" t="s">
        <v>27</v>
      </c>
      <c r="D796" s="4">
        <v>0</v>
      </c>
      <c r="E796" s="4">
        <v>111211.25711934784</v>
      </c>
      <c r="G796" s="4">
        <v>90216.661244249553</v>
      </c>
      <c r="H796" s="19">
        <v>0</v>
      </c>
      <c r="J796" s="1" t="s">
        <v>68</v>
      </c>
    </row>
    <row r="797" spans="1:10" x14ac:dyDescent="0.25">
      <c r="A797" s="1" t="s">
        <v>42</v>
      </c>
      <c r="B797" s="1" t="s">
        <v>12</v>
      </c>
      <c r="C797" s="1" t="s">
        <v>21</v>
      </c>
      <c r="D797" s="4">
        <v>2025.0295000000001</v>
      </c>
      <c r="E797" s="4">
        <v>11835.78052</v>
      </c>
      <c r="F797" s="4">
        <v>8158.4827535505428</v>
      </c>
      <c r="G797" s="4">
        <v>92562.365507101087</v>
      </c>
      <c r="H797" s="19">
        <v>-0.75178846837437818</v>
      </c>
      <c r="J797" s="1" t="s">
        <v>68</v>
      </c>
    </row>
    <row r="798" spans="1:10" x14ac:dyDescent="0.25">
      <c r="A798" s="1" t="s">
        <v>42</v>
      </c>
      <c r="B798" s="1" t="s">
        <v>12</v>
      </c>
      <c r="C798" s="1" t="s">
        <v>28</v>
      </c>
      <c r="D798" s="4">
        <v>5000</v>
      </c>
      <c r="E798" s="4">
        <v>33000</v>
      </c>
      <c r="F798" s="4">
        <v>124221.61012837839</v>
      </c>
      <c r="G798" s="4">
        <v>509443.22025675676</v>
      </c>
      <c r="H798" s="19">
        <v>-0.95974935444136744</v>
      </c>
      <c r="J798" s="1" t="s">
        <v>68</v>
      </c>
    </row>
    <row r="799" spans="1:10" x14ac:dyDescent="0.25">
      <c r="A799" s="1" t="s">
        <v>42</v>
      </c>
      <c r="B799" s="1" t="s">
        <v>12</v>
      </c>
      <c r="C799" s="1" t="s">
        <v>29</v>
      </c>
      <c r="D799" s="4">
        <v>0</v>
      </c>
      <c r="E799" s="4">
        <v>27984</v>
      </c>
      <c r="F799" s="4">
        <v>28000</v>
      </c>
      <c r="G799" s="4">
        <v>59000</v>
      </c>
      <c r="H799" s="19">
        <v>-1</v>
      </c>
      <c r="J799" s="1" t="s">
        <v>68</v>
      </c>
    </row>
    <row r="800" spans="1:10" x14ac:dyDescent="0.25">
      <c r="A800" s="1" t="s">
        <v>42</v>
      </c>
      <c r="B800" s="1" t="s">
        <v>12</v>
      </c>
      <c r="C800" s="1" t="s">
        <v>30</v>
      </c>
      <c r="D800" s="4">
        <v>23</v>
      </c>
      <c r="E800" s="4">
        <v>86</v>
      </c>
      <c r="F800" s="4">
        <v>101</v>
      </c>
      <c r="G800" s="4">
        <v>505</v>
      </c>
      <c r="H800" s="19">
        <v>-0.7722772277227723</v>
      </c>
      <c r="J800" s="1" t="s">
        <v>68</v>
      </c>
    </row>
    <row r="801" spans="1:10" x14ac:dyDescent="0.25">
      <c r="A801" s="1" t="s">
        <v>42</v>
      </c>
      <c r="B801" s="1" t="s">
        <v>12</v>
      </c>
      <c r="C801" s="1" t="s">
        <v>31</v>
      </c>
      <c r="D801" s="4">
        <v>94.528479999999945</v>
      </c>
      <c r="E801" s="4">
        <v>563.32899999999995</v>
      </c>
      <c r="F801" s="4">
        <v>428.60336489485167</v>
      </c>
      <c r="G801" s="4">
        <v>1295.0694835190279</v>
      </c>
      <c r="H801" s="19">
        <v>-0.77944998163234114</v>
      </c>
      <c r="J801" s="1" t="s">
        <v>68</v>
      </c>
    </row>
    <row r="802" spans="1:10" x14ac:dyDescent="0.25">
      <c r="A802" s="1" t="s">
        <v>42</v>
      </c>
      <c r="B802" s="1" t="s">
        <v>12</v>
      </c>
      <c r="C802" s="1" t="s">
        <v>32</v>
      </c>
      <c r="D802" s="4">
        <v>-1215.1877264726329</v>
      </c>
      <c r="E802" s="4">
        <v>-2439.7808199999986</v>
      </c>
      <c r="F802" s="4">
        <v>1466.4574334683066</v>
      </c>
      <c r="G802" s="4">
        <v>2502.4608069673986</v>
      </c>
      <c r="H802" s="19">
        <v>-1.8286553013670517</v>
      </c>
      <c r="J802" s="1" t="s">
        <v>68</v>
      </c>
    </row>
    <row r="803" spans="1:10" x14ac:dyDescent="0.25">
      <c r="A803" s="1" t="s">
        <v>43</v>
      </c>
      <c r="B803" s="1" t="s">
        <v>22</v>
      </c>
      <c r="C803" s="1" t="s">
        <v>63</v>
      </c>
      <c r="D803" s="4">
        <v>7913.622250000044</v>
      </c>
      <c r="E803" s="4">
        <v>1821.8926999999967</v>
      </c>
      <c r="F803" s="4">
        <v>8734.8787593984907</v>
      </c>
      <c r="G803" s="4">
        <v>117135.19751879695</v>
      </c>
      <c r="H803" s="19">
        <v>-9.4020367313604344E-2</v>
      </c>
      <c r="J803" s="1" t="s">
        <v>68</v>
      </c>
    </row>
    <row r="804" spans="1:10" x14ac:dyDescent="0.25">
      <c r="A804" s="1" t="s">
        <v>43</v>
      </c>
      <c r="B804" s="1" t="s">
        <v>22</v>
      </c>
      <c r="C804" s="1" t="s">
        <v>26</v>
      </c>
      <c r="E804" s="4">
        <v>144135.48458000005</v>
      </c>
      <c r="G804" s="4">
        <v>181704.0245581955</v>
      </c>
      <c r="H804" s="19">
        <v>0</v>
      </c>
      <c r="J804" s="1" t="s">
        <v>68</v>
      </c>
    </row>
    <row r="805" spans="1:10" x14ac:dyDescent="0.25">
      <c r="A805" s="1" t="s">
        <v>43</v>
      </c>
      <c r="B805" s="1" t="s">
        <v>22</v>
      </c>
      <c r="C805" s="1" t="s">
        <v>27</v>
      </c>
      <c r="D805" s="4">
        <v>0</v>
      </c>
      <c r="E805" s="4">
        <v>325655.87998999993</v>
      </c>
      <c r="G805" s="4">
        <v>215775.47037271809</v>
      </c>
      <c r="H805" s="19">
        <v>0</v>
      </c>
      <c r="J805" s="1" t="s">
        <v>68</v>
      </c>
    </row>
    <row r="806" spans="1:10" x14ac:dyDescent="0.25">
      <c r="A806" s="1" t="s">
        <v>43</v>
      </c>
      <c r="B806" s="1" t="s">
        <v>22</v>
      </c>
      <c r="C806" s="1" t="s">
        <v>21</v>
      </c>
      <c r="D806" s="4">
        <v>1775.4609599999999</v>
      </c>
      <c r="E806" s="4">
        <v>20817.329359999996</v>
      </c>
      <c r="F806" s="4">
        <v>10575.010092174882</v>
      </c>
      <c r="G806" s="4">
        <v>130731.82018434975</v>
      </c>
      <c r="H806" s="19">
        <v>-0.83210787086493887</v>
      </c>
      <c r="J806" s="1" t="s">
        <v>68</v>
      </c>
    </row>
    <row r="807" spans="1:10" x14ac:dyDescent="0.25">
      <c r="A807" s="1" t="s">
        <v>43</v>
      </c>
      <c r="B807" s="1" t="s">
        <v>22</v>
      </c>
      <c r="C807" s="1" t="s">
        <v>28</v>
      </c>
      <c r="D807" s="4">
        <v>678280.15999999992</v>
      </c>
      <c r="E807" s="4">
        <v>3505873.55</v>
      </c>
      <c r="F807" s="4">
        <v>1608965.6169009011</v>
      </c>
      <c r="G807" s="4">
        <v>7780931.2338018026</v>
      </c>
      <c r="H807" s="19">
        <v>-0.57843713198392332</v>
      </c>
      <c r="J807" s="1" t="s">
        <v>68</v>
      </c>
    </row>
    <row r="808" spans="1:10" x14ac:dyDescent="0.25">
      <c r="A808" s="1" t="s">
        <v>43</v>
      </c>
      <c r="B808" s="1" t="s">
        <v>22</v>
      </c>
      <c r="C808" s="1" t="s">
        <v>29</v>
      </c>
      <c r="D808" s="4">
        <v>30684</v>
      </c>
      <c r="E808" s="4">
        <v>335747</v>
      </c>
      <c r="F808" s="4">
        <v>97666</v>
      </c>
      <c r="G808" s="4">
        <v>456332</v>
      </c>
      <c r="H808" s="19">
        <v>-0.68582720701165201</v>
      </c>
      <c r="J808" s="1" t="s">
        <v>68</v>
      </c>
    </row>
    <row r="809" spans="1:10" x14ac:dyDescent="0.25">
      <c r="A809" s="1" t="s">
        <v>43</v>
      </c>
      <c r="B809" s="1" t="s">
        <v>22</v>
      </c>
      <c r="C809" s="1" t="s">
        <v>30</v>
      </c>
      <c r="D809" s="4">
        <v>22</v>
      </c>
      <c r="E809" s="4">
        <v>206</v>
      </c>
      <c r="F809" s="4">
        <v>68</v>
      </c>
      <c r="G809" s="4">
        <v>340</v>
      </c>
      <c r="H809" s="19">
        <v>-0.67647058823529416</v>
      </c>
      <c r="J809" s="1" t="s">
        <v>68</v>
      </c>
    </row>
    <row r="810" spans="1:10" x14ac:dyDescent="0.25">
      <c r="A810" s="1" t="s">
        <v>43</v>
      </c>
      <c r="B810" s="1" t="s">
        <v>22</v>
      </c>
      <c r="C810" s="1" t="s">
        <v>31</v>
      </c>
      <c r="D810" s="4">
        <v>864.72460000000046</v>
      </c>
      <c r="E810" s="4">
        <v>4701.8838100000003</v>
      </c>
      <c r="F810" s="4">
        <v>4233.663175105512</v>
      </c>
      <c r="G810" s="4">
        <v>9621.5874062732182</v>
      </c>
      <c r="H810" s="19">
        <v>-0.7957502606525968</v>
      </c>
      <c r="J810" s="1" t="s">
        <v>68</v>
      </c>
    </row>
    <row r="811" spans="1:10" x14ac:dyDescent="0.25">
      <c r="A811" s="1" t="s">
        <v>43</v>
      </c>
      <c r="B811" s="1" t="s">
        <v>22</v>
      </c>
      <c r="C811" s="1" t="s">
        <v>32</v>
      </c>
      <c r="D811" s="4">
        <v>5124.2747285892046</v>
      </c>
      <c r="E811" s="4">
        <v>8059.0136599999987</v>
      </c>
      <c r="F811" s="4">
        <v>6005.957069443788</v>
      </c>
      <c r="G811" s="4">
        <v>16507.671272958152</v>
      </c>
      <c r="H811" s="19">
        <v>-0.1468013058801694</v>
      </c>
      <c r="J811" s="1" t="s">
        <v>68</v>
      </c>
    </row>
    <row r="812" spans="1:10" x14ac:dyDescent="0.25">
      <c r="A812" s="1" t="s">
        <v>44</v>
      </c>
      <c r="B812" s="1" t="s">
        <v>0</v>
      </c>
      <c r="C812" s="1" t="s">
        <v>63</v>
      </c>
      <c r="D812" s="4">
        <v>-1007.1726500000077</v>
      </c>
      <c r="E812" s="4">
        <v>13358.978069999997</v>
      </c>
      <c r="F812" s="4">
        <v>5601.4829260651622</v>
      </c>
      <c r="G812" s="4">
        <v>78468.405852130338</v>
      </c>
      <c r="H812" s="19">
        <v>-1.1798046451794704</v>
      </c>
      <c r="J812" s="1" t="s">
        <v>68</v>
      </c>
    </row>
    <row r="813" spans="1:10" x14ac:dyDescent="0.25">
      <c r="A813" s="1" t="s">
        <v>44</v>
      </c>
      <c r="B813" s="1" t="s">
        <v>0</v>
      </c>
      <c r="C813" s="1" t="s">
        <v>26</v>
      </c>
      <c r="E813" s="4">
        <v>91304.101980000007</v>
      </c>
      <c r="G813" s="4">
        <v>86710.127578195461</v>
      </c>
      <c r="H813" s="19">
        <v>0</v>
      </c>
      <c r="J813" s="1" t="s">
        <v>68</v>
      </c>
    </row>
    <row r="814" spans="1:10" x14ac:dyDescent="0.25">
      <c r="A814" s="1" t="s">
        <v>44</v>
      </c>
      <c r="B814" s="1" t="s">
        <v>0</v>
      </c>
      <c r="C814" s="1" t="s">
        <v>27</v>
      </c>
      <c r="D814" s="4">
        <v>0</v>
      </c>
      <c r="E814" s="4">
        <v>179180.52647000001</v>
      </c>
      <c r="G814" s="4">
        <v>147092.39514078098</v>
      </c>
      <c r="H814" s="19">
        <v>0</v>
      </c>
      <c r="J814" s="1" t="s">
        <v>68</v>
      </c>
    </row>
    <row r="815" spans="1:10" x14ac:dyDescent="0.25">
      <c r="A815" s="1" t="s">
        <v>44</v>
      </c>
      <c r="B815" s="1" t="s">
        <v>0</v>
      </c>
      <c r="C815" s="1" t="s">
        <v>21</v>
      </c>
      <c r="D815" s="4">
        <v>2398.348</v>
      </c>
      <c r="E815" s="4">
        <v>11263.19</v>
      </c>
      <c r="F815" s="4">
        <v>11147.112999582288</v>
      </c>
      <c r="G815" s="4">
        <v>91376.025999164573</v>
      </c>
      <c r="H815" s="19">
        <v>-0.78484581612388138</v>
      </c>
      <c r="J815" s="1" t="s">
        <v>68</v>
      </c>
    </row>
    <row r="816" spans="1:10" x14ac:dyDescent="0.25">
      <c r="A816" s="1" t="s">
        <v>44</v>
      </c>
      <c r="B816" s="1" t="s">
        <v>0</v>
      </c>
      <c r="C816" s="1" t="s">
        <v>28</v>
      </c>
      <c r="D816" s="4">
        <v>33500</v>
      </c>
      <c r="E816" s="4">
        <v>206990.31</v>
      </c>
      <c r="F816" s="4">
        <v>124221.61012837839</v>
      </c>
      <c r="G816" s="4">
        <v>719443.22025675676</v>
      </c>
      <c r="H816" s="19">
        <v>-0.73032067475716178</v>
      </c>
      <c r="J816" s="1" t="s">
        <v>68</v>
      </c>
    </row>
    <row r="817" spans="1:10" x14ac:dyDescent="0.25">
      <c r="A817" s="1" t="s">
        <v>44</v>
      </c>
      <c r="B817" s="1" t="s">
        <v>0</v>
      </c>
      <c r="C817" s="1" t="s">
        <v>29</v>
      </c>
      <c r="D817" s="4">
        <v>9217</v>
      </c>
      <c r="E817" s="4">
        <v>322814</v>
      </c>
      <c r="F817" s="4">
        <v>28000</v>
      </c>
      <c r="G817" s="4">
        <v>158000</v>
      </c>
      <c r="H817" s="19">
        <v>-0.67082142857142857</v>
      </c>
      <c r="J817" s="1" t="s">
        <v>68</v>
      </c>
    </row>
    <row r="818" spans="1:10" x14ac:dyDescent="0.25">
      <c r="A818" s="1" t="s">
        <v>44</v>
      </c>
      <c r="B818" s="1" t="s">
        <v>0</v>
      </c>
      <c r="C818" s="1" t="s">
        <v>30</v>
      </c>
      <c r="D818" s="4">
        <v>74</v>
      </c>
      <c r="E818" s="4">
        <v>222</v>
      </c>
      <c r="F818" s="4">
        <v>66</v>
      </c>
      <c r="G818" s="4">
        <v>330</v>
      </c>
      <c r="H818" s="19">
        <v>0.12121212121212122</v>
      </c>
      <c r="J818" s="1" t="s">
        <v>68</v>
      </c>
    </row>
    <row r="819" spans="1:10" x14ac:dyDescent="0.25">
      <c r="A819" s="1" t="s">
        <v>44</v>
      </c>
      <c r="B819" s="1" t="s">
        <v>0</v>
      </c>
      <c r="C819" s="1" t="s">
        <v>31</v>
      </c>
      <c r="D819" s="4">
        <v>220.53039000000012</v>
      </c>
      <c r="E819" s="4">
        <v>956.57668000000001</v>
      </c>
      <c r="F819" s="4">
        <v>755.65759979837594</v>
      </c>
      <c r="G819" s="4">
        <v>2293.465949953059</v>
      </c>
      <c r="H819" s="19">
        <v>-0.70816095800685142</v>
      </c>
      <c r="J819" s="1" t="s">
        <v>68</v>
      </c>
    </row>
    <row r="820" spans="1:10" x14ac:dyDescent="0.25">
      <c r="A820" s="1" t="s">
        <v>44</v>
      </c>
      <c r="B820" s="1" t="s">
        <v>0</v>
      </c>
      <c r="C820" s="1" t="s">
        <v>32</v>
      </c>
      <c r="D820" s="4">
        <v>909.5203748434933</v>
      </c>
      <c r="E820" s="4">
        <v>2711.8160000000021</v>
      </c>
      <c r="F820" s="4">
        <v>1464.1730667035899</v>
      </c>
      <c r="G820" s="4">
        <v>7718.8782079145567</v>
      </c>
      <c r="H820" s="19">
        <v>-0.37881634655992591</v>
      </c>
      <c r="J820" s="1" t="s">
        <v>68</v>
      </c>
    </row>
    <row r="821" spans="1:10" x14ac:dyDescent="0.25">
      <c r="A821" s="1" t="s">
        <v>45</v>
      </c>
      <c r="B821" s="1" t="s">
        <v>9</v>
      </c>
      <c r="C821" s="1" t="s">
        <v>63</v>
      </c>
      <c r="D821" s="4">
        <v>7665.2357900000352</v>
      </c>
      <c r="E821" s="4">
        <v>-17795.695409999957</v>
      </c>
      <c r="F821" s="4">
        <v>2789.9353070175348</v>
      </c>
      <c r="G821" s="4">
        <v>84110.750614035031</v>
      </c>
      <c r="H821" s="19">
        <v>1.7474600470912851</v>
      </c>
      <c r="J821" s="1" t="s">
        <v>68</v>
      </c>
    </row>
    <row r="822" spans="1:10" x14ac:dyDescent="0.25">
      <c r="A822" s="1" t="s">
        <v>45</v>
      </c>
      <c r="B822" s="1" t="s">
        <v>9</v>
      </c>
      <c r="C822" s="1" t="s">
        <v>26</v>
      </c>
      <c r="E822" s="4">
        <v>177293.71343</v>
      </c>
      <c r="G822" s="4">
        <v>211147.5078410526</v>
      </c>
      <c r="H822" s="19">
        <v>0</v>
      </c>
      <c r="J822" s="1" t="s">
        <v>68</v>
      </c>
    </row>
    <row r="823" spans="1:10" x14ac:dyDescent="0.25">
      <c r="A823" s="1" t="s">
        <v>45</v>
      </c>
      <c r="B823" s="1" t="s">
        <v>9</v>
      </c>
      <c r="C823" s="1" t="s">
        <v>27</v>
      </c>
      <c r="D823" s="4">
        <v>0</v>
      </c>
      <c r="E823" s="4">
        <v>128210.21214999992</v>
      </c>
      <c r="G823" s="4">
        <v>133609.33458709944</v>
      </c>
      <c r="H823" s="19">
        <v>0</v>
      </c>
      <c r="J823" s="1" t="s">
        <v>68</v>
      </c>
    </row>
    <row r="824" spans="1:10" x14ac:dyDescent="0.25">
      <c r="A824" s="1" t="s">
        <v>45</v>
      </c>
      <c r="B824" s="1" t="s">
        <v>9</v>
      </c>
      <c r="C824" s="1" t="s">
        <v>21</v>
      </c>
      <c r="D824" s="4">
        <v>2470</v>
      </c>
      <c r="E824" s="4">
        <v>9182.9261100000003</v>
      </c>
      <c r="F824" s="4">
        <v>4997.5589678362567</v>
      </c>
      <c r="G824" s="4">
        <v>93158.717935672525</v>
      </c>
      <c r="H824" s="19">
        <v>-0.50575870822202396</v>
      </c>
      <c r="J824" s="1" t="s">
        <v>68</v>
      </c>
    </row>
    <row r="825" spans="1:10" x14ac:dyDescent="0.25">
      <c r="A825" s="1" t="s">
        <v>45</v>
      </c>
      <c r="B825" s="1" t="s">
        <v>9</v>
      </c>
      <c r="C825" s="1" t="s">
        <v>28</v>
      </c>
      <c r="D825" s="4">
        <v>52000</v>
      </c>
      <c r="E825" s="4">
        <v>215900</v>
      </c>
      <c r="F825" s="4">
        <v>62110.805064189197</v>
      </c>
      <c r="G825" s="4">
        <v>904221.6101283785</v>
      </c>
      <c r="H825" s="19">
        <v>-0.16278657238044261</v>
      </c>
      <c r="J825" s="1" t="s">
        <v>68</v>
      </c>
    </row>
    <row r="826" spans="1:10" x14ac:dyDescent="0.25">
      <c r="A826" s="1" t="s">
        <v>45</v>
      </c>
      <c r="B826" s="1" t="s">
        <v>9</v>
      </c>
      <c r="C826" s="1" t="s">
        <v>29</v>
      </c>
      <c r="D826" s="4">
        <v>0</v>
      </c>
      <c r="E826" s="4">
        <v>3118</v>
      </c>
      <c r="F826" s="4">
        <v>14000</v>
      </c>
      <c r="G826" s="4">
        <v>82000</v>
      </c>
      <c r="H826" s="19">
        <v>-1</v>
      </c>
      <c r="J826" s="1" t="s">
        <v>68</v>
      </c>
    </row>
    <row r="827" spans="1:10" x14ac:dyDescent="0.25">
      <c r="A827" s="1" t="s">
        <v>45</v>
      </c>
      <c r="B827" s="1" t="s">
        <v>9</v>
      </c>
      <c r="C827" s="1" t="s">
        <v>30</v>
      </c>
      <c r="D827" s="4">
        <v>26</v>
      </c>
      <c r="E827" s="4">
        <v>120</v>
      </c>
      <c r="F827" s="4">
        <v>76</v>
      </c>
      <c r="G827" s="4">
        <v>380</v>
      </c>
      <c r="H827" s="19">
        <v>-0.65789473684210531</v>
      </c>
      <c r="J827" s="1" t="s">
        <v>68</v>
      </c>
    </row>
    <row r="828" spans="1:10" x14ac:dyDescent="0.25">
      <c r="A828" s="1" t="s">
        <v>45</v>
      </c>
      <c r="B828" s="1" t="s">
        <v>9</v>
      </c>
      <c r="C828" s="1" t="s">
        <v>31</v>
      </c>
      <c r="D828" s="4">
        <v>200.47607000000016</v>
      </c>
      <c r="E828" s="4">
        <v>937.02084000000002</v>
      </c>
      <c r="F828" s="4">
        <v>383.93052124673613</v>
      </c>
      <c r="G828" s="4">
        <v>1383.0252073036518</v>
      </c>
      <c r="H828" s="19">
        <v>-0.47783242304103624</v>
      </c>
      <c r="J828" s="1" t="s">
        <v>68</v>
      </c>
    </row>
    <row r="829" spans="1:10" x14ac:dyDescent="0.25">
      <c r="A829" s="1" t="s">
        <v>45</v>
      </c>
      <c r="B829" s="1" t="s">
        <v>9</v>
      </c>
      <c r="C829" s="1" t="s">
        <v>32</v>
      </c>
      <c r="D829" s="4">
        <v>-543.67085980155787</v>
      </c>
      <c r="E829" s="4">
        <v>-1967.0189800000012</v>
      </c>
      <c r="F829" s="4">
        <v>239.51791219068696</v>
      </c>
      <c r="G829" s="4">
        <v>-1420.6102605561596</v>
      </c>
      <c r="H829" s="19">
        <v>-3.2698547045146511</v>
      </c>
      <c r="J829" s="1" t="s">
        <v>68</v>
      </c>
    </row>
    <row r="830" spans="1:10" x14ac:dyDescent="0.25">
      <c r="A830" s="1" t="s">
        <v>46</v>
      </c>
      <c r="B830" s="1" t="s">
        <v>2</v>
      </c>
      <c r="C830" s="1" t="s">
        <v>63</v>
      </c>
      <c r="D830" s="4">
        <v>989.84078999998746</v>
      </c>
      <c r="E830" s="4">
        <v>12230.602529999975</v>
      </c>
      <c r="F830" s="4">
        <v>6907.3728070175648</v>
      </c>
      <c r="G830" s="4">
        <v>90011.065614035266</v>
      </c>
      <c r="H830" s="19">
        <v>-0.85669793456140719</v>
      </c>
      <c r="J830" s="1" t="s">
        <v>68</v>
      </c>
    </row>
    <row r="831" spans="1:10" x14ac:dyDescent="0.25">
      <c r="A831" s="1" t="s">
        <v>46</v>
      </c>
      <c r="B831" s="1" t="s">
        <v>2</v>
      </c>
      <c r="C831" s="1" t="s">
        <v>26</v>
      </c>
      <c r="E831" s="4">
        <v>346826.19146</v>
      </c>
      <c r="G831" s="4">
        <v>355381.80060105264</v>
      </c>
      <c r="H831" s="19">
        <v>0</v>
      </c>
      <c r="J831" s="1" t="s">
        <v>68</v>
      </c>
    </row>
    <row r="832" spans="1:10" x14ac:dyDescent="0.25">
      <c r="A832" s="1" t="s">
        <v>46</v>
      </c>
      <c r="B832" s="1" t="s">
        <v>2</v>
      </c>
      <c r="C832" s="1" t="s">
        <v>27</v>
      </c>
      <c r="D832" s="4">
        <v>0</v>
      </c>
      <c r="E832" s="4">
        <v>335776.56474367069</v>
      </c>
      <c r="G832" s="4">
        <v>214158.43991633671</v>
      </c>
      <c r="H832" s="19">
        <v>0</v>
      </c>
      <c r="J832" s="1" t="s">
        <v>68</v>
      </c>
    </row>
    <row r="833" spans="1:10" x14ac:dyDescent="0.25">
      <c r="A833" s="1" t="s">
        <v>46</v>
      </c>
      <c r="B833" s="1" t="s">
        <v>2</v>
      </c>
      <c r="C833" s="1" t="s">
        <v>21</v>
      </c>
      <c r="D833" s="4">
        <v>3438.2069999999999</v>
      </c>
      <c r="E833" s="4">
        <v>26106.8763</v>
      </c>
      <c r="F833" s="4">
        <v>12373.04780116959</v>
      </c>
      <c r="G833" s="4">
        <v>104991.49560233919</v>
      </c>
      <c r="H833" s="19">
        <v>-0.7221212545808644</v>
      </c>
      <c r="J833" s="1" t="s">
        <v>68</v>
      </c>
    </row>
    <row r="834" spans="1:10" x14ac:dyDescent="0.25">
      <c r="A834" s="1" t="s">
        <v>46</v>
      </c>
      <c r="B834" s="1" t="s">
        <v>2</v>
      </c>
      <c r="C834" s="1" t="s">
        <v>28</v>
      </c>
      <c r="D834" s="4">
        <v>79000</v>
      </c>
      <c r="E834" s="4">
        <v>373632</v>
      </c>
      <c r="F834" s="4">
        <v>248443.22025675679</v>
      </c>
      <c r="G834" s="4">
        <v>1054886.4405135135</v>
      </c>
      <c r="H834" s="19">
        <v>-0.68201990008680269</v>
      </c>
      <c r="J834" s="1" t="s">
        <v>68</v>
      </c>
    </row>
    <row r="835" spans="1:10" x14ac:dyDescent="0.25">
      <c r="A835" s="1" t="s">
        <v>46</v>
      </c>
      <c r="B835" s="1" t="s">
        <v>2</v>
      </c>
      <c r="C835" s="1" t="s">
        <v>29</v>
      </c>
      <c r="D835" s="4">
        <v>78571</v>
      </c>
      <c r="E835" s="4">
        <v>370657</v>
      </c>
      <c r="F835" s="4">
        <v>56000</v>
      </c>
      <c r="G835" s="4">
        <v>346000</v>
      </c>
      <c r="H835" s="19">
        <v>0.40305357142857146</v>
      </c>
      <c r="J835" s="1" t="s">
        <v>68</v>
      </c>
    </row>
    <row r="836" spans="1:10" x14ac:dyDescent="0.25">
      <c r="A836" s="1" t="s">
        <v>46</v>
      </c>
      <c r="B836" s="1" t="s">
        <v>2</v>
      </c>
      <c r="C836" s="1" t="s">
        <v>30</v>
      </c>
      <c r="D836" s="4">
        <v>52</v>
      </c>
      <c r="E836" s="4">
        <v>309</v>
      </c>
      <c r="F836" s="4">
        <v>98</v>
      </c>
      <c r="G836" s="4">
        <v>490</v>
      </c>
      <c r="H836" s="19">
        <v>-0.46938775510204084</v>
      </c>
      <c r="J836" s="1" t="s">
        <v>68</v>
      </c>
    </row>
    <row r="837" spans="1:10" x14ac:dyDescent="0.25">
      <c r="A837" s="1" t="s">
        <v>46</v>
      </c>
      <c r="B837" s="1" t="s">
        <v>2</v>
      </c>
      <c r="C837" s="1" t="s">
        <v>31</v>
      </c>
      <c r="D837" s="4">
        <v>243.33102999999983</v>
      </c>
      <c r="E837" s="4">
        <v>1589.9719199999997</v>
      </c>
      <c r="F837" s="4">
        <v>804.27507601601064</v>
      </c>
      <c r="G837" s="4">
        <v>2772.370711286525</v>
      </c>
      <c r="H837" s="19">
        <v>-0.69745297690269858</v>
      </c>
      <c r="J837" s="1" t="s">
        <v>68</v>
      </c>
    </row>
    <row r="838" spans="1:10" x14ac:dyDescent="0.25">
      <c r="A838" s="1" t="s">
        <v>46</v>
      </c>
      <c r="B838" s="1" t="s">
        <v>2</v>
      </c>
      <c r="C838" s="1" t="s">
        <v>32</v>
      </c>
      <c r="D838" s="4">
        <v>-365.50725726595709</v>
      </c>
      <c r="E838" s="4">
        <v>-4699.779790000006</v>
      </c>
      <c r="F838" s="4">
        <v>2698.3022471286977</v>
      </c>
      <c r="G838" s="4">
        <v>-951.79203586105689</v>
      </c>
      <c r="H838" s="19">
        <v>-1.135458234026562</v>
      </c>
      <c r="J838" s="1" t="s">
        <v>68</v>
      </c>
    </row>
    <row r="839" spans="1:10" x14ac:dyDescent="0.25">
      <c r="A839" s="1" t="s">
        <v>47</v>
      </c>
      <c r="B839" s="1" t="s">
        <v>6</v>
      </c>
      <c r="C839" s="1" t="s">
        <v>63</v>
      </c>
      <c r="D839" s="4">
        <v>22463.982750000003</v>
      </c>
      <c r="E839" s="4">
        <v>30359.310649999985</v>
      </c>
      <c r="F839" s="4">
        <v>2867.6228070175425</v>
      </c>
      <c r="G839" s="4">
        <v>72266.125614035103</v>
      </c>
      <c r="H839" s="19">
        <v>6.8336602341936183</v>
      </c>
      <c r="J839" s="1" t="s">
        <v>68</v>
      </c>
    </row>
    <row r="840" spans="1:10" x14ac:dyDescent="0.25">
      <c r="A840" s="1" t="s">
        <v>47</v>
      </c>
      <c r="B840" s="1" t="s">
        <v>6</v>
      </c>
      <c r="C840" s="1" t="s">
        <v>26</v>
      </c>
      <c r="E840" s="4">
        <v>69432.318119999996</v>
      </c>
      <c r="G840" s="4">
        <v>54406.287941052629</v>
      </c>
      <c r="H840" s="19">
        <v>0</v>
      </c>
      <c r="J840" s="1" t="s">
        <v>68</v>
      </c>
    </row>
    <row r="841" spans="1:10" x14ac:dyDescent="0.25">
      <c r="A841" s="1" t="s">
        <v>47</v>
      </c>
      <c r="B841" s="1" t="s">
        <v>6</v>
      </c>
      <c r="C841" s="1" t="s">
        <v>27</v>
      </c>
      <c r="D841" s="4">
        <v>0</v>
      </c>
      <c r="E841" s="4">
        <v>205669.58711999998</v>
      </c>
      <c r="G841" s="4">
        <v>187290.54582248669</v>
      </c>
      <c r="H841" s="19">
        <v>0</v>
      </c>
      <c r="J841" s="1" t="s">
        <v>68</v>
      </c>
    </row>
    <row r="842" spans="1:10" x14ac:dyDescent="0.25">
      <c r="A842" s="1" t="s">
        <v>47</v>
      </c>
      <c r="B842" s="1" t="s">
        <v>6</v>
      </c>
      <c r="C842" s="1" t="s">
        <v>21</v>
      </c>
      <c r="D842" s="4">
        <v>939.18499999999995</v>
      </c>
      <c r="E842" s="4">
        <v>23831.521250000002</v>
      </c>
      <c r="F842" s="4">
        <v>5136.719134502925</v>
      </c>
      <c r="G842" s="4">
        <v>78437.038269005861</v>
      </c>
      <c r="H842" s="19">
        <v>-0.81716247756441052</v>
      </c>
      <c r="J842" s="1" t="s">
        <v>68</v>
      </c>
    </row>
    <row r="843" spans="1:10" x14ac:dyDescent="0.25">
      <c r="A843" s="1" t="s">
        <v>47</v>
      </c>
      <c r="B843" s="1" t="s">
        <v>6</v>
      </c>
      <c r="C843" s="1" t="s">
        <v>28</v>
      </c>
      <c r="D843" s="4">
        <v>44125</v>
      </c>
      <c r="E843" s="4">
        <v>283048</v>
      </c>
      <c r="F843" s="4">
        <v>0</v>
      </c>
      <c r="G843" s="4">
        <v>102000</v>
      </c>
      <c r="H843" s="19">
        <v>0</v>
      </c>
      <c r="J843" s="1" t="s">
        <v>68</v>
      </c>
    </row>
    <row r="844" spans="1:10" x14ac:dyDescent="0.25">
      <c r="A844" s="1" t="s">
        <v>47</v>
      </c>
      <c r="B844" s="1" t="s">
        <v>6</v>
      </c>
      <c r="C844" s="1" t="s">
        <v>29</v>
      </c>
      <c r="D844" s="4">
        <v>0</v>
      </c>
      <c r="E844" s="4">
        <v>7781</v>
      </c>
      <c r="F844" s="4">
        <v>0</v>
      </c>
      <c r="G844" s="4">
        <v>6000</v>
      </c>
      <c r="H844" s="19">
        <v>0</v>
      </c>
      <c r="J844" s="1" t="s">
        <v>68</v>
      </c>
    </row>
    <row r="845" spans="1:10" x14ac:dyDescent="0.25">
      <c r="A845" s="1" t="s">
        <v>47</v>
      </c>
      <c r="B845" s="1" t="s">
        <v>6</v>
      </c>
      <c r="C845" s="1" t="s">
        <v>30</v>
      </c>
      <c r="D845" s="4">
        <v>58</v>
      </c>
      <c r="E845" s="4">
        <v>196</v>
      </c>
      <c r="F845" s="4">
        <v>73</v>
      </c>
      <c r="G845" s="4">
        <v>365</v>
      </c>
      <c r="H845" s="19">
        <v>-0.20547945205479451</v>
      </c>
      <c r="J845" s="1" t="s">
        <v>68</v>
      </c>
    </row>
    <row r="846" spans="1:10" x14ac:dyDescent="0.25">
      <c r="A846" s="1" t="s">
        <v>47</v>
      </c>
      <c r="B846" s="1" t="s">
        <v>6</v>
      </c>
      <c r="C846" s="1" t="s">
        <v>31</v>
      </c>
      <c r="D846" s="4">
        <v>169.76152000000002</v>
      </c>
      <c r="E846" s="4">
        <v>1592.18795</v>
      </c>
      <c r="F846" s="4">
        <v>318.16551188359585</v>
      </c>
      <c r="G846" s="4">
        <v>1650.2557373661973</v>
      </c>
      <c r="H846" s="19">
        <v>-0.46643645002570538</v>
      </c>
      <c r="J846" s="1" t="s">
        <v>68</v>
      </c>
    </row>
    <row r="847" spans="1:10" x14ac:dyDescent="0.25">
      <c r="A847" s="1" t="s">
        <v>47</v>
      </c>
      <c r="B847" s="1" t="s">
        <v>6</v>
      </c>
      <c r="C847" s="1" t="s">
        <v>32</v>
      </c>
      <c r="D847" s="4">
        <v>967.17580380198683</v>
      </c>
      <c r="E847" s="4">
        <v>4371.2853100000048</v>
      </c>
      <c r="F847" s="4">
        <v>1834.8261727012414</v>
      </c>
      <c r="G847" s="4">
        <v>7818.1742793592366</v>
      </c>
      <c r="H847" s="19">
        <v>-0.47287878372799469</v>
      </c>
      <c r="J847" s="1" t="s">
        <v>68</v>
      </c>
    </row>
    <row r="848" spans="1:10" x14ac:dyDescent="0.25">
      <c r="A848" s="1" t="s">
        <v>48</v>
      </c>
      <c r="B848" s="1" t="s">
        <v>17</v>
      </c>
      <c r="C848" s="1" t="s">
        <v>63</v>
      </c>
      <c r="D848" s="4">
        <v>-10219.719290000037</v>
      </c>
      <c r="E848" s="4">
        <v>-49489.03622999994</v>
      </c>
      <c r="F848" s="4">
        <v>2986.0037593985198</v>
      </c>
      <c r="G848" s="4">
        <v>88102.887518797012</v>
      </c>
      <c r="H848" s="19">
        <v>-4.4225406642015175</v>
      </c>
      <c r="J848" s="1" t="s">
        <v>68</v>
      </c>
    </row>
    <row r="849" spans="1:10" x14ac:dyDescent="0.25">
      <c r="A849" s="1" t="s">
        <v>48</v>
      </c>
      <c r="B849" s="1" t="s">
        <v>17</v>
      </c>
      <c r="C849" s="1" t="s">
        <v>26</v>
      </c>
      <c r="E849" s="4">
        <v>173516.21526000003</v>
      </c>
      <c r="G849" s="4">
        <v>230610.84814819551</v>
      </c>
      <c r="H849" s="19">
        <v>0</v>
      </c>
      <c r="J849" s="1" t="s">
        <v>68</v>
      </c>
    </row>
    <row r="850" spans="1:10" x14ac:dyDescent="0.25">
      <c r="A850" s="1" t="s">
        <v>48</v>
      </c>
      <c r="B850" s="1" t="s">
        <v>17</v>
      </c>
      <c r="C850" s="1" t="s">
        <v>27</v>
      </c>
      <c r="D850" s="4">
        <v>0</v>
      </c>
      <c r="E850" s="4">
        <v>141957.13157999996</v>
      </c>
      <c r="G850" s="4">
        <v>104020.75677772189</v>
      </c>
      <c r="H850" s="19">
        <v>0</v>
      </c>
      <c r="J850" s="1" t="s">
        <v>68</v>
      </c>
    </row>
    <row r="851" spans="1:10" x14ac:dyDescent="0.25">
      <c r="A851" s="1" t="s">
        <v>48</v>
      </c>
      <c r="B851" s="1" t="s">
        <v>17</v>
      </c>
      <c r="C851" s="1" t="s">
        <v>21</v>
      </c>
      <c r="D851" s="4">
        <v>6697.2730000000001</v>
      </c>
      <c r="E851" s="4">
        <v>23467.798849999999</v>
      </c>
      <c r="F851" s="4">
        <v>5348.7727218045111</v>
      </c>
      <c r="G851" s="4">
        <v>98361.145443609013</v>
      </c>
      <c r="H851" s="19">
        <v>0.25211396115192319</v>
      </c>
      <c r="J851" s="1" t="s">
        <v>68</v>
      </c>
    </row>
    <row r="852" spans="1:10" x14ac:dyDescent="0.25">
      <c r="A852" s="1" t="s">
        <v>48</v>
      </c>
      <c r="B852" s="1" t="s">
        <v>17</v>
      </c>
      <c r="C852" s="1" t="s">
        <v>28</v>
      </c>
      <c r="D852" s="4">
        <v>967762</v>
      </c>
      <c r="E852" s="4">
        <v>2946894</v>
      </c>
      <c r="F852" s="4">
        <v>62110.805064189197</v>
      </c>
      <c r="G852" s="4">
        <v>2608221.6101283785</v>
      </c>
      <c r="H852" s="19">
        <v>14.581218098845348</v>
      </c>
      <c r="J852" s="1" t="s">
        <v>68</v>
      </c>
    </row>
    <row r="853" spans="1:10" x14ac:dyDescent="0.25">
      <c r="A853" s="1" t="s">
        <v>48</v>
      </c>
      <c r="B853" s="1" t="s">
        <v>17</v>
      </c>
      <c r="C853" s="1" t="s">
        <v>29</v>
      </c>
      <c r="D853" s="4">
        <v>385</v>
      </c>
      <c r="E853" s="4">
        <v>4752</v>
      </c>
      <c r="F853" s="4">
        <v>14000</v>
      </c>
      <c r="G853" s="4">
        <v>205000</v>
      </c>
      <c r="H853" s="19">
        <v>-0.97250000000000003</v>
      </c>
      <c r="J853" s="1" t="s">
        <v>68</v>
      </c>
    </row>
    <row r="854" spans="1:10" x14ac:dyDescent="0.25">
      <c r="A854" s="1" t="s">
        <v>48</v>
      </c>
      <c r="B854" s="1" t="s">
        <v>17</v>
      </c>
      <c r="C854" s="1" t="s">
        <v>30</v>
      </c>
      <c r="D854" s="4">
        <v>51</v>
      </c>
      <c r="E854" s="4">
        <v>313</v>
      </c>
      <c r="F854" s="4">
        <v>91</v>
      </c>
      <c r="G854" s="4">
        <v>455</v>
      </c>
      <c r="H854" s="19">
        <v>-0.43956043956043955</v>
      </c>
      <c r="J854" s="1" t="s">
        <v>68</v>
      </c>
    </row>
    <row r="855" spans="1:10" x14ac:dyDescent="0.25">
      <c r="A855" s="1" t="s">
        <v>48</v>
      </c>
      <c r="B855" s="1" t="s">
        <v>17</v>
      </c>
      <c r="C855" s="1" t="s">
        <v>31</v>
      </c>
      <c r="D855" s="4">
        <v>1376.7654099999991</v>
      </c>
      <c r="E855" s="4">
        <v>4644.491649999999</v>
      </c>
      <c r="F855" s="4">
        <v>464.34293612797183</v>
      </c>
      <c r="G855" s="4">
        <v>3574.7808855946109</v>
      </c>
      <c r="H855" s="19">
        <v>1.9649754586135575</v>
      </c>
      <c r="J855" s="1" t="s">
        <v>68</v>
      </c>
    </row>
    <row r="856" spans="1:10" x14ac:dyDescent="0.25">
      <c r="A856" s="1" t="s">
        <v>48</v>
      </c>
      <c r="B856" s="1" t="s">
        <v>17</v>
      </c>
      <c r="C856" s="1" t="s">
        <v>32</v>
      </c>
      <c r="D856" s="4">
        <v>654.99495745120964</v>
      </c>
      <c r="E856" s="4">
        <v>-1763.2035600000008</v>
      </c>
      <c r="F856" s="4">
        <v>58.306404285829558</v>
      </c>
      <c r="G856" s="4">
        <v>-5073.0144972458538</v>
      </c>
      <c r="H856" s="19">
        <v>10.233670905863008</v>
      </c>
      <c r="J856" s="1" t="s">
        <v>68</v>
      </c>
    </row>
    <row r="857" spans="1:10" x14ac:dyDescent="0.25">
      <c r="A857" s="1" t="s">
        <v>49</v>
      </c>
      <c r="B857" s="1" t="s">
        <v>5</v>
      </c>
      <c r="C857" s="1" t="s">
        <v>63</v>
      </c>
      <c r="D857" s="4">
        <v>1989.9007999999958</v>
      </c>
      <c r="E857" s="4">
        <v>-9255.9800800000085</v>
      </c>
      <c r="F857" s="4">
        <v>2986.0037593984976</v>
      </c>
      <c r="G857" s="4">
        <v>50837.447518797017</v>
      </c>
      <c r="H857" s="19">
        <v>-0.33359065817089173</v>
      </c>
      <c r="J857" s="1" t="s">
        <v>68</v>
      </c>
    </row>
    <row r="858" spans="1:10" x14ac:dyDescent="0.25">
      <c r="A858" s="1" t="s">
        <v>49</v>
      </c>
      <c r="B858" s="1" t="s">
        <v>5</v>
      </c>
      <c r="C858" s="1" t="s">
        <v>26</v>
      </c>
      <c r="E858" s="4">
        <v>28651.686049999989</v>
      </c>
      <c r="G858" s="4">
        <v>38630.371958195487</v>
      </c>
      <c r="H858" s="19">
        <v>0</v>
      </c>
      <c r="J858" s="1" t="s">
        <v>68</v>
      </c>
    </row>
    <row r="859" spans="1:10" x14ac:dyDescent="0.25">
      <c r="A859" s="1" t="s">
        <v>49</v>
      </c>
      <c r="B859" s="1" t="s">
        <v>5</v>
      </c>
      <c r="C859" s="1" t="s">
        <v>27</v>
      </c>
      <c r="D859" s="4">
        <v>0</v>
      </c>
      <c r="E859" s="4">
        <v>71419.281600000017</v>
      </c>
      <c r="G859" s="4">
        <v>76986.768056616507</v>
      </c>
      <c r="H859" s="19">
        <v>0</v>
      </c>
      <c r="J859" s="1" t="s">
        <v>68</v>
      </c>
    </row>
    <row r="860" spans="1:10" x14ac:dyDescent="0.25">
      <c r="A860" s="1" t="s">
        <v>49</v>
      </c>
      <c r="B860" s="1" t="s">
        <v>5</v>
      </c>
      <c r="C860" s="1" t="s">
        <v>21</v>
      </c>
      <c r="D860" s="4">
        <v>2269.2787999999996</v>
      </c>
      <c r="E860" s="4">
        <v>13305.700849999999</v>
      </c>
      <c r="F860" s="4">
        <v>10544.085610693401</v>
      </c>
      <c r="G860" s="4">
        <v>62169.971221386804</v>
      </c>
      <c r="H860" s="19">
        <v>-0.7847818308968787</v>
      </c>
      <c r="J860" s="1" t="s">
        <v>68</v>
      </c>
    </row>
    <row r="861" spans="1:10" x14ac:dyDescent="0.25">
      <c r="A861" s="1" t="s">
        <v>49</v>
      </c>
      <c r="B861" s="1" t="s">
        <v>5</v>
      </c>
      <c r="C861" s="1" t="s">
        <v>28</v>
      </c>
      <c r="D861" s="4">
        <v>53540</v>
      </c>
      <c r="E861" s="4">
        <v>330329.14</v>
      </c>
      <c r="F861" s="4">
        <v>62110.805064189197</v>
      </c>
      <c r="G861" s="4">
        <v>478221.61012837838</v>
      </c>
      <c r="H861" s="19">
        <v>-0.13799217471632497</v>
      </c>
      <c r="J861" s="1" t="s">
        <v>68</v>
      </c>
    </row>
    <row r="862" spans="1:10" x14ac:dyDescent="0.25">
      <c r="A862" s="1" t="s">
        <v>49</v>
      </c>
      <c r="B862" s="1" t="s">
        <v>5</v>
      </c>
      <c r="C862" s="1" t="s">
        <v>29</v>
      </c>
      <c r="D862" s="4">
        <v>0</v>
      </c>
      <c r="E862" s="4">
        <v>2605</v>
      </c>
      <c r="F862" s="4">
        <v>14000</v>
      </c>
      <c r="G862" s="4">
        <v>106000</v>
      </c>
      <c r="H862" s="19">
        <v>-1</v>
      </c>
      <c r="J862" s="1" t="s">
        <v>68</v>
      </c>
    </row>
    <row r="863" spans="1:10" x14ac:dyDescent="0.25">
      <c r="A863" s="1" t="s">
        <v>49</v>
      </c>
      <c r="B863" s="1" t="s">
        <v>5</v>
      </c>
      <c r="C863" s="1" t="s">
        <v>30</v>
      </c>
      <c r="D863" s="4">
        <v>76</v>
      </c>
      <c r="E863" s="4">
        <v>226</v>
      </c>
      <c r="F863" s="4">
        <v>58</v>
      </c>
      <c r="G863" s="4">
        <v>290</v>
      </c>
      <c r="H863" s="19">
        <v>0.31034482758620691</v>
      </c>
      <c r="J863" s="1" t="s">
        <v>68</v>
      </c>
    </row>
    <row r="864" spans="1:10" x14ac:dyDescent="0.25">
      <c r="A864" s="1" t="s">
        <v>49</v>
      </c>
      <c r="B864" s="1" t="s">
        <v>5</v>
      </c>
      <c r="C864" s="1" t="s">
        <v>31</v>
      </c>
      <c r="D864" s="4">
        <v>200.68865999999991</v>
      </c>
      <c r="E864" s="4">
        <v>1135.8129899999999</v>
      </c>
      <c r="F864" s="4">
        <v>512.32158701566777</v>
      </c>
      <c r="G864" s="4">
        <v>1707.9088959021651</v>
      </c>
      <c r="H864" s="19">
        <v>-0.60827600263921244</v>
      </c>
      <c r="J864" s="1" t="s">
        <v>68</v>
      </c>
    </row>
    <row r="865" spans="1:10" x14ac:dyDescent="0.25">
      <c r="A865" s="1" t="s">
        <v>49</v>
      </c>
      <c r="B865" s="1" t="s">
        <v>5</v>
      </c>
      <c r="C865" s="1" t="s">
        <v>32</v>
      </c>
      <c r="D865" s="4">
        <v>164.3059387335924</v>
      </c>
      <c r="E865" s="4">
        <v>-1370.6064299999971</v>
      </c>
      <c r="F865" s="4">
        <v>539.1941497267976</v>
      </c>
      <c r="G865" s="4">
        <v>1420.9380889050428</v>
      </c>
      <c r="H865" s="19">
        <v>-0.69527499729579045</v>
      </c>
      <c r="J865" s="1" t="s">
        <v>68</v>
      </c>
    </row>
    <row r="866" spans="1:10" x14ac:dyDescent="0.25">
      <c r="A866" s="1" t="s">
        <v>50</v>
      </c>
      <c r="B866" s="1" t="s">
        <v>4</v>
      </c>
      <c r="C866" s="1" t="s">
        <v>63</v>
      </c>
      <c r="D866" s="4">
        <v>73589.817970000324</v>
      </c>
      <c r="E866" s="4">
        <v>89807.623440000229</v>
      </c>
      <c r="F866" s="4">
        <v>6444.9472117794749</v>
      </c>
      <c r="G866" s="4">
        <v>93020.774423558963</v>
      </c>
      <c r="H866" s="19">
        <v>10.418218885563515</v>
      </c>
      <c r="J866" s="1" t="s">
        <v>68</v>
      </c>
    </row>
    <row r="867" spans="1:10" x14ac:dyDescent="0.25">
      <c r="A867" s="1" t="s">
        <v>50</v>
      </c>
      <c r="B867" s="1" t="s">
        <v>4</v>
      </c>
      <c r="C867" s="1" t="s">
        <v>26</v>
      </c>
      <c r="E867" s="4">
        <v>794967.86746000021</v>
      </c>
      <c r="G867" s="4">
        <v>703806.85350533831</v>
      </c>
      <c r="H867" s="19">
        <v>0</v>
      </c>
      <c r="J867" s="1" t="s">
        <v>68</v>
      </c>
    </row>
    <row r="868" spans="1:10" x14ac:dyDescent="0.25">
      <c r="A868" s="1" t="s">
        <v>50</v>
      </c>
      <c r="B868" s="1" t="s">
        <v>4</v>
      </c>
      <c r="C868" s="1" t="s">
        <v>27</v>
      </c>
      <c r="D868" s="4">
        <v>0</v>
      </c>
      <c r="E868" s="4">
        <v>403815.38329999987</v>
      </c>
      <c r="G868" s="4">
        <v>303010.12662036798</v>
      </c>
      <c r="H868" s="19">
        <v>0</v>
      </c>
      <c r="J868" s="1" t="s">
        <v>68</v>
      </c>
    </row>
    <row r="869" spans="1:10" x14ac:dyDescent="0.25">
      <c r="A869" s="1" t="s">
        <v>50</v>
      </c>
      <c r="B869" s="1" t="s">
        <v>4</v>
      </c>
      <c r="C869" s="1" t="s">
        <v>21</v>
      </c>
      <c r="D869" s="4">
        <v>18031.174400000004</v>
      </c>
      <c r="E869" s="4">
        <v>29283.372950000004</v>
      </c>
      <c r="F869" s="4">
        <v>11173.619697994987</v>
      </c>
      <c r="G869" s="4">
        <v>107510.83939598998</v>
      </c>
      <c r="H869" s="19">
        <v>0.61372723319333544</v>
      </c>
      <c r="J869" s="1" t="s">
        <v>68</v>
      </c>
    </row>
    <row r="870" spans="1:10" x14ac:dyDescent="0.25">
      <c r="A870" s="1" t="s">
        <v>50</v>
      </c>
      <c r="B870" s="1" t="s">
        <v>4</v>
      </c>
      <c r="C870" s="1" t="s">
        <v>28</v>
      </c>
      <c r="D870" s="4">
        <v>5929942.5799999991</v>
      </c>
      <c r="E870" s="4">
        <v>15748836.439999998</v>
      </c>
      <c r="F870" s="4">
        <v>2812732.172192568</v>
      </c>
      <c r="G870" s="4">
        <v>22281464.344385132</v>
      </c>
      <c r="H870" s="19">
        <v>1.1082499921695417</v>
      </c>
      <c r="J870" s="1" t="s">
        <v>68</v>
      </c>
    </row>
    <row r="871" spans="1:10" x14ac:dyDescent="0.25">
      <c r="A871" s="1" t="s">
        <v>50</v>
      </c>
      <c r="B871" s="1" t="s">
        <v>4</v>
      </c>
      <c r="C871" s="1" t="s">
        <v>29</v>
      </c>
      <c r="D871" s="4">
        <v>14789</v>
      </c>
      <c r="E871" s="4">
        <v>852371</v>
      </c>
      <c r="F871" s="4">
        <v>56000</v>
      </c>
      <c r="G871" s="4">
        <v>571000</v>
      </c>
      <c r="H871" s="19">
        <v>-0.73591071428571431</v>
      </c>
      <c r="J871" s="1" t="s">
        <v>68</v>
      </c>
    </row>
    <row r="872" spans="1:10" x14ac:dyDescent="0.25">
      <c r="A872" s="1" t="s">
        <v>50</v>
      </c>
      <c r="B872" s="1" t="s">
        <v>4</v>
      </c>
      <c r="C872" s="1" t="s">
        <v>30</v>
      </c>
      <c r="D872" s="4">
        <v>71</v>
      </c>
      <c r="E872" s="4">
        <v>236</v>
      </c>
      <c r="F872" s="4">
        <v>98</v>
      </c>
      <c r="G872" s="4">
        <v>490</v>
      </c>
      <c r="H872" s="19">
        <v>-0.27551020408163263</v>
      </c>
      <c r="J872" s="1" t="s">
        <v>68</v>
      </c>
    </row>
    <row r="873" spans="1:10" x14ac:dyDescent="0.25">
      <c r="A873" s="1" t="s">
        <v>50</v>
      </c>
      <c r="B873" s="1" t="s">
        <v>4</v>
      </c>
      <c r="C873" s="1" t="s">
        <v>31</v>
      </c>
      <c r="D873" s="4">
        <v>6468.9421900000052</v>
      </c>
      <c r="E873" s="4">
        <v>17203.324370000006</v>
      </c>
      <c r="F873" s="4">
        <v>6342.1456664377656</v>
      </c>
      <c r="G873" s="4">
        <v>16542.424158563972</v>
      </c>
      <c r="H873" s="19">
        <v>1.9992685477604022E-2</v>
      </c>
      <c r="J873" s="1" t="s">
        <v>68</v>
      </c>
    </row>
    <row r="874" spans="1:10" x14ac:dyDescent="0.25">
      <c r="A874" s="1" t="s">
        <v>50</v>
      </c>
      <c r="B874" s="1" t="s">
        <v>4</v>
      </c>
      <c r="C874" s="1" t="s">
        <v>32</v>
      </c>
      <c r="D874" s="4">
        <v>6657.5364819403012</v>
      </c>
      <c r="E874" s="4">
        <v>20984.410199999995</v>
      </c>
      <c r="F874" s="4">
        <v>5455.7936383817132</v>
      </c>
      <c r="G874" s="4">
        <v>11270.952511452415</v>
      </c>
      <c r="H874" s="19">
        <v>0.2202691163214609</v>
      </c>
      <c r="J874" s="1" t="s">
        <v>68</v>
      </c>
    </row>
    <row r="875" spans="1:10" x14ac:dyDescent="0.25">
      <c r="A875" s="1" t="s">
        <v>51</v>
      </c>
      <c r="B875" s="1" t="s">
        <v>3</v>
      </c>
      <c r="C875" s="1" t="s">
        <v>63</v>
      </c>
      <c r="D875" s="4">
        <v>2548.8988900000259</v>
      </c>
      <c r="E875" s="4">
        <v>6439.3782300000312</v>
      </c>
      <c r="F875" s="4">
        <v>6004.7180451127888</v>
      </c>
      <c r="G875" s="4">
        <v>71083.356090225541</v>
      </c>
      <c r="H875" s="19">
        <v>-0.57551730641631671</v>
      </c>
      <c r="J875" s="1" t="s">
        <v>68</v>
      </c>
    </row>
    <row r="876" spans="1:10" x14ac:dyDescent="0.25">
      <c r="A876" s="1" t="s">
        <v>51</v>
      </c>
      <c r="B876" s="1" t="s">
        <v>3</v>
      </c>
      <c r="C876" s="1" t="s">
        <v>26</v>
      </c>
      <c r="E876" s="4">
        <v>84894.38718000002</v>
      </c>
      <c r="G876" s="4">
        <v>103130.75235533834</v>
      </c>
      <c r="H876" s="19">
        <v>0</v>
      </c>
      <c r="J876" s="1" t="s">
        <v>68</v>
      </c>
    </row>
    <row r="877" spans="1:10" x14ac:dyDescent="0.25">
      <c r="A877" s="1" t="s">
        <v>51</v>
      </c>
      <c r="B877" s="1" t="s">
        <v>3</v>
      </c>
      <c r="C877" s="1" t="s">
        <v>27</v>
      </c>
      <c r="D877" s="4">
        <v>0</v>
      </c>
      <c r="E877" s="4">
        <v>166771.91965999999</v>
      </c>
      <c r="G877" s="4">
        <v>148423.56014020901</v>
      </c>
      <c r="H877" s="19">
        <v>0</v>
      </c>
      <c r="J877" s="1" t="s">
        <v>68</v>
      </c>
    </row>
    <row r="878" spans="1:10" x14ac:dyDescent="0.25">
      <c r="A878" s="1" t="s">
        <v>51</v>
      </c>
      <c r="B878" s="1" t="s">
        <v>3</v>
      </c>
      <c r="C878" s="1" t="s">
        <v>21</v>
      </c>
      <c r="D878" s="4">
        <v>1294.0999999999999</v>
      </c>
      <c r="E878" s="4">
        <v>24324.621549999996</v>
      </c>
      <c r="F878" s="4">
        <v>10756.139197994988</v>
      </c>
      <c r="G878" s="4">
        <v>80354.678395989977</v>
      </c>
      <c r="H878" s="19">
        <v>-0.87968731380482423</v>
      </c>
      <c r="J878" s="1" t="s">
        <v>68</v>
      </c>
    </row>
    <row r="879" spans="1:10" x14ac:dyDescent="0.25">
      <c r="A879" s="1" t="s">
        <v>51</v>
      </c>
      <c r="B879" s="1" t="s">
        <v>3</v>
      </c>
      <c r="C879" s="1" t="s">
        <v>28</v>
      </c>
      <c r="D879" s="4">
        <v>20800</v>
      </c>
      <c r="E879" s="4">
        <v>177380</v>
      </c>
      <c r="F879" s="4">
        <v>124221.61012837839</v>
      </c>
      <c r="G879" s="4">
        <v>521443.22025675676</v>
      </c>
      <c r="H879" s="19">
        <v>-0.83255731447608849</v>
      </c>
      <c r="J879" s="1" t="s">
        <v>68</v>
      </c>
    </row>
    <row r="880" spans="1:10" x14ac:dyDescent="0.25">
      <c r="A880" s="1" t="s">
        <v>51</v>
      </c>
      <c r="B880" s="1" t="s">
        <v>3</v>
      </c>
      <c r="C880" s="1" t="s">
        <v>29</v>
      </c>
      <c r="D880" s="4">
        <v>535</v>
      </c>
      <c r="E880" s="4">
        <v>48098</v>
      </c>
      <c r="F880" s="4">
        <v>28000</v>
      </c>
      <c r="G880" s="4">
        <v>131000</v>
      </c>
      <c r="H880" s="19">
        <v>-0.98089285714285712</v>
      </c>
      <c r="J880" s="1" t="s">
        <v>68</v>
      </c>
    </row>
    <row r="881" spans="1:10" x14ac:dyDescent="0.25">
      <c r="A881" s="1" t="s">
        <v>51</v>
      </c>
      <c r="B881" s="1" t="s">
        <v>3</v>
      </c>
      <c r="C881" s="1" t="s">
        <v>30</v>
      </c>
      <c r="D881" s="4">
        <v>70</v>
      </c>
      <c r="E881" s="4">
        <v>229</v>
      </c>
      <c r="F881" s="4">
        <v>68</v>
      </c>
      <c r="G881" s="4">
        <v>340</v>
      </c>
      <c r="H881" s="19">
        <v>2.9411764705882353E-2</v>
      </c>
      <c r="J881" s="1" t="s">
        <v>68</v>
      </c>
    </row>
    <row r="882" spans="1:10" x14ac:dyDescent="0.25">
      <c r="A882" s="1" t="s">
        <v>51</v>
      </c>
      <c r="B882" s="1" t="s">
        <v>3</v>
      </c>
      <c r="C882" s="1" t="s">
        <v>31</v>
      </c>
      <c r="D882" s="4">
        <v>178.44094999999993</v>
      </c>
      <c r="E882" s="4">
        <v>1291.31906</v>
      </c>
      <c r="F882" s="4">
        <v>652.0169815305012</v>
      </c>
      <c r="G882" s="4">
        <v>2117.2013234020283</v>
      </c>
      <c r="H882" s="19">
        <v>-0.72632468930312288</v>
      </c>
      <c r="J882" s="1" t="s">
        <v>68</v>
      </c>
    </row>
    <row r="883" spans="1:10" x14ac:dyDescent="0.25">
      <c r="A883" s="1" t="s">
        <v>51</v>
      </c>
      <c r="B883" s="1" t="s">
        <v>3</v>
      </c>
      <c r="C883" s="1" t="s">
        <v>32</v>
      </c>
      <c r="D883" s="4">
        <v>790.52320369435381</v>
      </c>
      <c r="E883" s="4">
        <v>-121.76722000000076</v>
      </c>
      <c r="F883" s="4">
        <v>1622.4151617579798</v>
      </c>
      <c r="G883" s="4">
        <v>3127.969845083061</v>
      </c>
      <c r="H883" s="19">
        <v>-0.51274912714833321</v>
      </c>
      <c r="J883" s="1" t="s">
        <v>68</v>
      </c>
    </row>
    <row r="884" spans="1:10" x14ac:dyDescent="0.25">
      <c r="A884" s="1" t="s">
        <v>52</v>
      </c>
      <c r="B884" s="1" t="s">
        <v>13</v>
      </c>
      <c r="C884" s="1" t="s">
        <v>63</v>
      </c>
      <c r="D884" s="4">
        <v>-832.84165000004577</v>
      </c>
      <c r="E884" s="4">
        <v>3157.5385799999349</v>
      </c>
      <c r="F884" s="4">
        <v>4358.4829260651468</v>
      </c>
      <c r="G884" s="4">
        <v>77916.965852130437</v>
      </c>
      <c r="H884" s="19">
        <v>-1.1910852156880969</v>
      </c>
      <c r="J884" s="1" t="s">
        <v>68</v>
      </c>
    </row>
    <row r="885" spans="1:10" x14ac:dyDescent="0.25">
      <c r="A885" s="1" t="s">
        <v>52</v>
      </c>
      <c r="B885" s="1" t="s">
        <v>13</v>
      </c>
      <c r="C885" s="1" t="s">
        <v>26</v>
      </c>
      <c r="E885" s="4">
        <v>254295.30593999996</v>
      </c>
      <c r="G885" s="4">
        <v>266303.43247819546</v>
      </c>
      <c r="H885" s="19">
        <v>0</v>
      </c>
      <c r="J885" s="1" t="s">
        <v>68</v>
      </c>
    </row>
    <row r="886" spans="1:10" x14ac:dyDescent="0.25">
      <c r="A886" s="1" t="s">
        <v>52</v>
      </c>
      <c r="B886" s="1" t="s">
        <v>13</v>
      </c>
      <c r="C886" s="1" t="s">
        <v>27</v>
      </c>
      <c r="D886" s="4">
        <v>0</v>
      </c>
      <c r="E886" s="4">
        <v>218451.94940000001</v>
      </c>
      <c r="G886" s="4">
        <v>180731.77802992397</v>
      </c>
      <c r="H886" s="19">
        <v>0</v>
      </c>
      <c r="J886" s="1" t="s">
        <v>68</v>
      </c>
    </row>
    <row r="887" spans="1:10" x14ac:dyDescent="0.25">
      <c r="A887" s="1" t="s">
        <v>52</v>
      </c>
      <c r="B887" s="1" t="s">
        <v>13</v>
      </c>
      <c r="C887" s="1" t="s">
        <v>21</v>
      </c>
      <c r="D887" s="4">
        <v>771.59010000000001</v>
      </c>
      <c r="E887" s="4">
        <v>22380.53</v>
      </c>
      <c r="F887" s="4">
        <v>7807.2689995822902</v>
      </c>
      <c r="G887" s="4">
        <v>87114.537999164575</v>
      </c>
      <c r="H887" s="19">
        <v>-0.90117029398611959</v>
      </c>
      <c r="J887" s="1" t="s">
        <v>68</v>
      </c>
    </row>
    <row r="888" spans="1:10" x14ac:dyDescent="0.25">
      <c r="A888" s="1" t="s">
        <v>52</v>
      </c>
      <c r="B888" s="1" t="s">
        <v>13</v>
      </c>
      <c r="C888" s="1" t="s">
        <v>28</v>
      </c>
      <c r="D888" s="4">
        <v>2591690.02</v>
      </c>
      <c r="E888" s="4">
        <v>7327533.9299999997</v>
      </c>
      <c r="F888" s="4">
        <v>124221.61012837839</v>
      </c>
      <c r="G888" s="4">
        <v>3881443.220256757</v>
      </c>
      <c r="H888" s="19">
        <v>19.863439278573068</v>
      </c>
      <c r="J888" s="1" t="s">
        <v>68</v>
      </c>
    </row>
    <row r="889" spans="1:10" x14ac:dyDescent="0.25">
      <c r="A889" s="1" t="s">
        <v>52</v>
      </c>
      <c r="B889" s="1" t="s">
        <v>13</v>
      </c>
      <c r="C889" s="1" t="s">
        <v>29</v>
      </c>
      <c r="D889" s="4">
        <v>5991</v>
      </c>
      <c r="E889" s="4">
        <v>34184</v>
      </c>
      <c r="F889" s="4">
        <v>28000</v>
      </c>
      <c r="G889" s="4">
        <v>92000</v>
      </c>
      <c r="H889" s="19">
        <v>-0.78603571428571428</v>
      </c>
      <c r="J889" s="1" t="s">
        <v>68</v>
      </c>
    </row>
    <row r="890" spans="1:10" x14ac:dyDescent="0.25">
      <c r="A890" s="1" t="s">
        <v>52</v>
      </c>
      <c r="B890" s="1" t="s">
        <v>13</v>
      </c>
      <c r="C890" s="1" t="s">
        <v>30</v>
      </c>
      <c r="D890" s="4">
        <v>34</v>
      </c>
      <c r="E890" s="4">
        <v>131</v>
      </c>
      <c r="F890" s="4">
        <v>65</v>
      </c>
      <c r="G890" s="4">
        <v>325</v>
      </c>
      <c r="H890" s="19">
        <v>-0.47692307692307695</v>
      </c>
      <c r="J890" s="1" t="s">
        <v>68</v>
      </c>
    </row>
    <row r="891" spans="1:10" x14ac:dyDescent="0.25">
      <c r="A891" s="1" t="s">
        <v>52</v>
      </c>
      <c r="B891" s="1" t="s">
        <v>13</v>
      </c>
      <c r="C891" s="1" t="s">
        <v>31</v>
      </c>
      <c r="D891" s="4">
        <v>2682.2264399999995</v>
      </c>
      <c r="E891" s="4">
        <v>8339.4172299999991</v>
      </c>
      <c r="F891" s="4">
        <v>2466.9892188337008</v>
      </c>
      <c r="G891" s="4">
        <v>7584.6439865422526</v>
      </c>
      <c r="H891" s="19">
        <v>8.7246924114266988E-2</v>
      </c>
      <c r="J891" s="1" t="s">
        <v>68</v>
      </c>
    </row>
    <row r="892" spans="1:10" x14ac:dyDescent="0.25">
      <c r="A892" s="1" t="s">
        <v>52</v>
      </c>
      <c r="B892" s="1" t="s">
        <v>13</v>
      </c>
      <c r="C892" s="1" t="s">
        <v>32</v>
      </c>
      <c r="D892" s="4">
        <v>373.11200796252444</v>
      </c>
      <c r="E892" s="4">
        <v>-2498.233850000001</v>
      </c>
      <c r="F892" s="4">
        <v>2881.6886471016128</v>
      </c>
      <c r="G892" s="4">
        <v>-912.22597292049534</v>
      </c>
      <c r="H892" s="19">
        <v>-0.87052313637776291</v>
      </c>
      <c r="J892" s="1" t="s">
        <v>68</v>
      </c>
    </row>
    <row r="893" spans="1:10" x14ac:dyDescent="0.25">
      <c r="A893" s="1" t="s">
        <v>53</v>
      </c>
      <c r="B893" s="1" t="s">
        <v>14</v>
      </c>
      <c r="C893" s="1" t="s">
        <v>63</v>
      </c>
      <c r="D893" s="4">
        <v>1965.2615599999917</v>
      </c>
      <c r="E893" s="4">
        <v>9560.5498699999916</v>
      </c>
      <c r="F893" s="4">
        <v>2986.0037593984976</v>
      </c>
      <c r="G893" s="4">
        <v>65302.887518796997</v>
      </c>
      <c r="H893" s="19">
        <v>-0.34184223518999346</v>
      </c>
      <c r="J893" s="1" t="s">
        <v>68</v>
      </c>
    </row>
    <row r="894" spans="1:10" x14ac:dyDescent="0.25">
      <c r="A894" s="1" t="s">
        <v>53</v>
      </c>
      <c r="B894" s="1" t="s">
        <v>14</v>
      </c>
      <c r="C894" s="1" t="s">
        <v>26</v>
      </c>
      <c r="E894" s="4">
        <v>37855.084719999992</v>
      </c>
      <c r="G894" s="4">
        <v>46263.214868195486</v>
      </c>
      <c r="H894" s="19">
        <v>0</v>
      </c>
      <c r="J894" s="1" t="s">
        <v>68</v>
      </c>
    </row>
    <row r="895" spans="1:10" x14ac:dyDescent="0.25">
      <c r="A895" s="1" t="s">
        <v>53</v>
      </c>
      <c r="B895" s="1" t="s">
        <v>14</v>
      </c>
      <c r="C895" s="1" t="s">
        <v>27</v>
      </c>
      <c r="D895" s="4">
        <v>0</v>
      </c>
      <c r="E895" s="4">
        <v>149085.25650000005</v>
      </c>
      <c r="G895" s="4">
        <v>112443.13761567284</v>
      </c>
      <c r="H895" s="19">
        <v>0</v>
      </c>
      <c r="J895" s="1" t="s">
        <v>68</v>
      </c>
    </row>
    <row r="896" spans="1:10" x14ac:dyDescent="0.25">
      <c r="A896" s="1" t="s">
        <v>53</v>
      </c>
      <c r="B896" s="1" t="s">
        <v>14</v>
      </c>
      <c r="C896" s="1" t="s">
        <v>21</v>
      </c>
      <c r="D896" s="4">
        <v>1007.22</v>
      </c>
      <c r="E896" s="4">
        <v>8910.17</v>
      </c>
      <c r="F896" s="4">
        <v>5348.7727218045111</v>
      </c>
      <c r="G896" s="4">
        <v>69861.145443609028</v>
      </c>
      <c r="H896" s="19">
        <v>-0.81169138185774414</v>
      </c>
      <c r="J896" s="1" t="s">
        <v>68</v>
      </c>
    </row>
    <row r="897" spans="1:10" x14ac:dyDescent="0.25">
      <c r="A897" s="1" t="s">
        <v>53</v>
      </c>
      <c r="B897" s="1" t="s">
        <v>14</v>
      </c>
      <c r="C897" s="1" t="s">
        <v>28</v>
      </c>
      <c r="D897" s="4">
        <v>16000</v>
      </c>
      <c r="E897" s="4">
        <v>155120</v>
      </c>
      <c r="F897" s="4">
        <v>62110.805064189197</v>
      </c>
      <c r="G897" s="4">
        <v>298221.61012837838</v>
      </c>
      <c r="H897" s="19">
        <v>-0.74239586842475158</v>
      </c>
      <c r="J897" s="1" t="s">
        <v>68</v>
      </c>
    </row>
    <row r="898" spans="1:10" x14ac:dyDescent="0.25">
      <c r="A898" s="1" t="s">
        <v>53</v>
      </c>
      <c r="B898" s="1" t="s">
        <v>14</v>
      </c>
      <c r="C898" s="1" t="s">
        <v>29</v>
      </c>
      <c r="D898" s="4">
        <v>5189</v>
      </c>
      <c r="E898" s="4">
        <v>12894</v>
      </c>
      <c r="F898" s="4">
        <v>14000</v>
      </c>
      <c r="G898" s="4">
        <v>34000</v>
      </c>
      <c r="H898" s="19">
        <v>-0.62935714285714284</v>
      </c>
      <c r="J898" s="1" t="s">
        <v>68</v>
      </c>
    </row>
    <row r="899" spans="1:10" x14ac:dyDescent="0.25">
      <c r="A899" s="1" t="s">
        <v>53</v>
      </c>
      <c r="B899" s="1" t="s">
        <v>14</v>
      </c>
      <c r="C899" s="1" t="s">
        <v>30</v>
      </c>
      <c r="D899" s="4">
        <v>15</v>
      </c>
      <c r="E899" s="4">
        <v>145</v>
      </c>
      <c r="F899" s="4">
        <v>61</v>
      </c>
      <c r="G899" s="4">
        <v>305</v>
      </c>
      <c r="H899" s="19">
        <v>-0.75409836065573765</v>
      </c>
      <c r="J899" s="1" t="s">
        <v>68</v>
      </c>
    </row>
    <row r="900" spans="1:10" x14ac:dyDescent="0.25">
      <c r="A900" s="1" t="s">
        <v>53</v>
      </c>
      <c r="B900" s="1" t="s">
        <v>14</v>
      </c>
      <c r="C900" s="1" t="s">
        <v>31</v>
      </c>
      <c r="D900" s="4">
        <v>124.3490700000001</v>
      </c>
      <c r="E900" s="4">
        <v>813.59202000000005</v>
      </c>
      <c r="F900" s="4">
        <v>349.60645779997685</v>
      </c>
      <c r="G900" s="4">
        <v>1245.4453833603061</v>
      </c>
      <c r="H900" s="19">
        <v>-0.64431701066819269</v>
      </c>
      <c r="J900" s="1" t="s">
        <v>68</v>
      </c>
    </row>
    <row r="901" spans="1:10" x14ac:dyDescent="0.25">
      <c r="A901" s="1" t="s">
        <v>53</v>
      </c>
      <c r="B901" s="1" t="s">
        <v>14</v>
      </c>
      <c r="C901" s="1" t="s">
        <v>32</v>
      </c>
      <c r="D901" s="4">
        <v>-220.6003022562503</v>
      </c>
      <c r="E901" s="4">
        <v>-3033.2692199999965</v>
      </c>
      <c r="F901" s="4">
        <v>887.09821922452068</v>
      </c>
      <c r="G901" s="4">
        <v>1379.7495500312821</v>
      </c>
      <c r="H901" s="19">
        <v>-1.2486762992818243</v>
      </c>
      <c r="J901" s="1" t="s">
        <v>68</v>
      </c>
    </row>
    <row r="902" spans="1:10" x14ac:dyDescent="0.25">
      <c r="A902" s="1" t="s">
        <v>54</v>
      </c>
      <c r="B902" s="1" t="s">
        <v>16</v>
      </c>
      <c r="C902" s="1" t="s">
        <v>63</v>
      </c>
      <c r="D902" s="4">
        <v>3775.7357900000061</v>
      </c>
      <c r="E902" s="4">
        <v>-12005.302460000035</v>
      </c>
      <c r="F902" s="4">
        <v>8812.5662593984907</v>
      </c>
      <c r="G902" s="4">
        <v>84890.572518797038</v>
      </c>
      <c r="H902" s="19">
        <v>-0.57155093319460359</v>
      </c>
      <c r="J902" s="1" t="s">
        <v>68</v>
      </c>
    </row>
    <row r="903" spans="1:10" x14ac:dyDescent="0.25">
      <c r="A903" s="1" t="s">
        <v>54</v>
      </c>
      <c r="B903" s="1" t="s">
        <v>16</v>
      </c>
      <c r="C903" s="1" t="s">
        <v>26</v>
      </c>
      <c r="E903" s="4">
        <v>144886.42747999998</v>
      </c>
      <c r="G903" s="4">
        <v>171238.51140819545</v>
      </c>
      <c r="H903" s="19">
        <v>0</v>
      </c>
      <c r="J903" s="1" t="s">
        <v>68</v>
      </c>
    </row>
    <row r="904" spans="1:10" x14ac:dyDescent="0.25">
      <c r="A904" s="1" t="s">
        <v>54</v>
      </c>
      <c r="B904" s="1" t="s">
        <v>16</v>
      </c>
      <c r="C904" s="1" t="s">
        <v>27</v>
      </c>
      <c r="D904" s="4">
        <v>0</v>
      </c>
      <c r="E904" s="4">
        <v>171582.24031999998</v>
      </c>
      <c r="G904" s="4">
        <v>161400.196995882</v>
      </c>
      <c r="H904" s="19">
        <v>0</v>
      </c>
      <c r="J904" s="1" t="s">
        <v>68</v>
      </c>
    </row>
    <row r="905" spans="1:10" x14ac:dyDescent="0.25">
      <c r="A905" s="1" t="s">
        <v>54</v>
      </c>
      <c r="B905" s="1" t="s">
        <v>16</v>
      </c>
      <c r="C905" s="1" t="s">
        <v>21</v>
      </c>
      <c r="D905" s="4">
        <v>2411.2468100000001</v>
      </c>
      <c r="E905" s="4">
        <v>18630.444149999999</v>
      </c>
      <c r="F905" s="4">
        <v>8116.5138143971044</v>
      </c>
      <c r="G905" s="4">
        <v>85314.827628794199</v>
      </c>
      <c r="H905" s="19">
        <v>-0.7029208764823488</v>
      </c>
      <c r="J905" s="1" t="s">
        <v>68</v>
      </c>
    </row>
    <row r="906" spans="1:10" x14ac:dyDescent="0.25">
      <c r="A906" s="1" t="s">
        <v>54</v>
      </c>
      <c r="B906" s="1" t="s">
        <v>16</v>
      </c>
      <c r="C906" s="1" t="s">
        <v>28</v>
      </c>
      <c r="D906" s="4">
        <v>228999</v>
      </c>
      <c r="E906" s="4">
        <v>1109787</v>
      </c>
      <c r="F906" s="4">
        <v>1656288.1350450451</v>
      </c>
      <c r="G906" s="4">
        <v>4806576.2700900901</v>
      </c>
      <c r="H906" s="19">
        <v>-0.86173963626578054</v>
      </c>
      <c r="J906" s="1" t="s">
        <v>68</v>
      </c>
    </row>
    <row r="907" spans="1:10" x14ac:dyDescent="0.25">
      <c r="A907" s="1" t="s">
        <v>54</v>
      </c>
      <c r="B907" s="1" t="s">
        <v>16</v>
      </c>
      <c r="C907" s="1" t="s">
        <v>29</v>
      </c>
      <c r="D907" s="4">
        <v>12592</v>
      </c>
      <c r="E907" s="4">
        <v>296611</v>
      </c>
      <c r="F907" s="4">
        <v>83666</v>
      </c>
      <c r="G907" s="4">
        <v>1034332</v>
      </c>
      <c r="H907" s="19">
        <v>-0.84949680873951183</v>
      </c>
      <c r="J907" s="1" t="s">
        <v>68</v>
      </c>
    </row>
    <row r="908" spans="1:10" x14ac:dyDescent="0.25">
      <c r="A908" s="1" t="s">
        <v>54</v>
      </c>
      <c r="B908" s="1" t="s">
        <v>16</v>
      </c>
      <c r="C908" s="1" t="s">
        <v>30</v>
      </c>
      <c r="D908" s="4">
        <v>48</v>
      </c>
      <c r="E908" s="4">
        <v>232</v>
      </c>
      <c r="F908" s="4">
        <v>56</v>
      </c>
      <c r="G908" s="4">
        <v>280</v>
      </c>
      <c r="H908" s="19">
        <v>-0.14285714285714285</v>
      </c>
      <c r="J908" s="1" t="s">
        <v>68</v>
      </c>
    </row>
    <row r="909" spans="1:10" x14ac:dyDescent="0.25">
      <c r="A909" s="1" t="s">
        <v>54</v>
      </c>
      <c r="B909" s="1" t="s">
        <v>16</v>
      </c>
      <c r="C909" s="1" t="s">
        <v>31</v>
      </c>
      <c r="D909" s="4">
        <v>470.81802000000016</v>
      </c>
      <c r="E909" s="4">
        <v>2289.6379700000002</v>
      </c>
      <c r="F909" s="4">
        <v>4109.801363106315</v>
      </c>
      <c r="G909" s="4">
        <v>7749.9089458324152</v>
      </c>
      <c r="H909" s="19">
        <v>-0.88544020053462114</v>
      </c>
      <c r="J909" s="1" t="s">
        <v>68</v>
      </c>
    </row>
    <row r="910" spans="1:10" x14ac:dyDescent="0.25">
      <c r="A910" s="1" t="s">
        <v>54</v>
      </c>
      <c r="B910" s="1" t="s">
        <v>16</v>
      </c>
      <c r="C910" s="1" t="s">
        <v>32</v>
      </c>
      <c r="D910" s="4">
        <v>2379.103767780819</v>
      </c>
      <c r="E910" s="4">
        <v>7108.8925100000079</v>
      </c>
      <c r="F910" s="4">
        <v>4742.5251062350835</v>
      </c>
      <c r="G910" s="4">
        <v>10964.983036326634</v>
      </c>
      <c r="H910" s="19">
        <v>-0.49834661609846448</v>
      </c>
      <c r="J910" s="1" t="s">
        <v>68</v>
      </c>
    </row>
    <row r="911" spans="1:10" x14ac:dyDescent="0.25">
      <c r="A911" s="1" t="s">
        <v>55</v>
      </c>
      <c r="B911" s="1" t="s">
        <v>10</v>
      </c>
      <c r="C911" s="1" t="s">
        <v>63</v>
      </c>
      <c r="D911" s="4">
        <v>27334.491389999988</v>
      </c>
      <c r="E911" s="4">
        <v>-12769.575550000023</v>
      </c>
      <c r="F911" s="4">
        <v>4462.0662593985053</v>
      </c>
      <c r="G911" s="4">
        <v>63789.572518796995</v>
      </c>
      <c r="H911" s="19">
        <v>5.12597164652699</v>
      </c>
      <c r="J911" s="1" t="s">
        <v>68</v>
      </c>
    </row>
    <row r="912" spans="1:10" x14ac:dyDescent="0.25">
      <c r="A912" s="1" t="s">
        <v>55</v>
      </c>
      <c r="B912" s="1" t="s">
        <v>10</v>
      </c>
      <c r="C912" s="1" t="s">
        <v>26</v>
      </c>
      <c r="E912" s="4">
        <v>69080.046139999991</v>
      </c>
      <c r="G912" s="4">
        <v>81713.616738195487</v>
      </c>
      <c r="H912" s="19">
        <v>0</v>
      </c>
      <c r="J912" s="1" t="s">
        <v>68</v>
      </c>
    </row>
    <row r="913" spans="1:10" x14ac:dyDescent="0.25">
      <c r="A913" s="1" t="s">
        <v>55</v>
      </c>
      <c r="B913" s="1" t="s">
        <v>10</v>
      </c>
      <c r="C913" s="1" t="s">
        <v>27</v>
      </c>
      <c r="D913" s="4">
        <v>0</v>
      </c>
      <c r="E913" s="4">
        <v>165152.36579000004</v>
      </c>
      <c r="G913" s="4">
        <v>125651.4610364852</v>
      </c>
      <c r="H913" s="19">
        <v>0</v>
      </c>
      <c r="J913" s="1" t="s">
        <v>68</v>
      </c>
    </row>
    <row r="914" spans="1:10" x14ac:dyDescent="0.25">
      <c r="A914" s="1" t="s">
        <v>55</v>
      </c>
      <c r="B914" s="1" t="s">
        <v>10</v>
      </c>
      <c r="C914" s="1" t="s">
        <v>21</v>
      </c>
      <c r="D914" s="4">
        <v>6010.2290000000003</v>
      </c>
      <c r="E914" s="4">
        <v>21658.464800000002</v>
      </c>
      <c r="F914" s="4">
        <v>8116.5138143971044</v>
      </c>
      <c r="G914" s="4">
        <v>69814.827628794199</v>
      </c>
      <c r="H914" s="19">
        <v>-0.25950609615928549</v>
      </c>
      <c r="J914" s="1" t="s">
        <v>68</v>
      </c>
    </row>
    <row r="915" spans="1:10" x14ac:dyDescent="0.25">
      <c r="A915" s="1" t="s">
        <v>55</v>
      </c>
      <c r="B915" s="1" t="s">
        <v>10</v>
      </c>
      <c r="C915" s="1" t="s">
        <v>28</v>
      </c>
      <c r="D915" s="4">
        <v>1558688.04</v>
      </c>
      <c r="E915" s="4">
        <v>2348811.09</v>
      </c>
      <c r="F915" s="4">
        <v>1437421.4886283781</v>
      </c>
      <c r="G915" s="4">
        <v>3366842.9772567563</v>
      </c>
      <c r="H915" s="19">
        <v>8.436394775713095E-2</v>
      </c>
      <c r="J915" s="1" t="s">
        <v>68</v>
      </c>
    </row>
    <row r="916" spans="1:10" x14ac:dyDescent="0.25">
      <c r="A916" s="1" t="s">
        <v>55</v>
      </c>
      <c r="B916" s="1" t="s">
        <v>10</v>
      </c>
      <c r="C916" s="1" t="s">
        <v>29</v>
      </c>
      <c r="D916" s="4">
        <v>290613</v>
      </c>
      <c r="E916" s="4">
        <v>291613</v>
      </c>
      <c r="F916" s="4">
        <v>42000</v>
      </c>
      <c r="G916" s="4">
        <v>90000</v>
      </c>
      <c r="H916" s="19">
        <v>5.9193571428571428</v>
      </c>
      <c r="J916" s="1" t="s">
        <v>68</v>
      </c>
    </row>
    <row r="917" spans="1:10" x14ac:dyDescent="0.25">
      <c r="A917" s="1" t="s">
        <v>55</v>
      </c>
      <c r="B917" s="1" t="s">
        <v>10</v>
      </c>
      <c r="C917" s="1" t="s">
        <v>30</v>
      </c>
      <c r="D917" s="4">
        <v>37</v>
      </c>
      <c r="E917" s="4">
        <v>138</v>
      </c>
      <c r="F917" s="4">
        <v>48</v>
      </c>
      <c r="G917" s="4">
        <v>240</v>
      </c>
      <c r="H917" s="19">
        <v>-0.22916666666666666</v>
      </c>
      <c r="J917" s="1" t="s">
        <v>68</v>
      </c>
    </row>
    <row r="918" spans="1:10" x14ac:dyDescent="0.25">
      <c r="A918" s="1" t="s">
        <v>55</v>
      </c>
      <c r="B918" s="1" t="s">
        <v>10</v>
      </c>
      <c r="C918" s="1" t="s">
        <v>31</v>
      </c>
      <c r="D918" s="4">
        <v>1835.3505700000005</v>
      </c>
      <c r="E918" s="4">
        <v>3529.0869300000004</v>
      </c>
      <c r="F918" s="4">
        <v>3845.2425286838802</v>
      </c>
      <c r="G918" s="4">
        <v>6561.4875795004455</v>
      </c>
      <c r="H918" s="19">
        <v>-0.52269575811953006</v>
      </c>
      <c r="J918" s="1" t="s">
        <v>68</v>
      </c>
    </row>
    <row r="919" spans="1:10" x14ac:dyDescent="0.25">
      <c r="A919" s="1" t="s">
        <v>55</v>
      </c>
      <c r="B919" s="1" t="s">
        <v>10</v>
      </c>
      <c r="C919" s="1" t="s">
        <v>32</v>
      </c>
      <c r="D919" s="4">
        <v>2501.3833947317457</v>
      </c>
      <c r="E919" s="4">
        <v>-476.53004999999365</v>
      </c>
      <c r="F919" s="4">
        <v>3676.7905128756088</v>
      </c>
      <c r="G919" s="4">
        <v>3292.427460682994</v>
      </c>
      <c r="H919" s="19">
        <v>-0.31968291748680022</v>
      </c>
      <c r="J919" s="1" t="s">
        <v>68</v>
      </c>
    </row>
    <row r="920" spans="1:10" x14ac:dyDescent="0.25">
      <c r="A920" s="1" t="s">
        <v>56</v>
      </c>
      <c r="B920" s="1" t="s">
        <v>7</v>
      </c>
      <c r="C920" s="1" t="s">
        <v>63</v>
      </c>
      <c r="D920" s="4">
        <v>11052.019269999997</v>
      </c>
      <c r="E920" s="4">
        <v>13244.132209999985</v>
      </c>
      <c r="F920" s="4">
        <v>7998.697211779453</v>
      </c>
      <c r="G920" s="4">
        <v>86928.274423558905</v>
      </c>
      <c r="H920" s="19">
        <v>0.38172742102601454</v>
      </c>
      <c r="J920" s="1" t="s">
        <v>68</v>
      </c>
    </row>
    <row r="921" spans="1:10" x14ac:dyDescent="0.25">
      <c r="A921" s="1" t="s">
        <v>56</v>
      </c>
      <c r="B921" s="1" t="s">
        <v>7</v>
      </c>
      <c r="C921" s="1" t="s">
        <v>26</v>
      </c>
      <c r="E921" s="4">
        <v>45749.511969999992</v>
      </c>
      <c r="G921" s="4">
        <v>56205.970655338351</v>
      </c>
      <c r="H921" s="19">
        <v>0</v>
      </c>
      <c r="J921" s="1" t="s">
        <v>68</v>
      </c>
    </row>
    <row r="922" spans="1:10" x14ac:dyDescent="0.25">
      <c r="A922" s="1" t="s">
        <v>56</v>
      </c>
      <c r="B922" s="1" t="s">
        <v>7</v>
      </c>
      <c r="C922" s="1" t="s">
        <v>27</v>
      </c>
      <c r="D922" s="4">
        <v>0</v>
      </c>
      <c r="E922" s="4">
        <v>171059.18790000002</v>
      </c>
      <c r="G922" s="4">
        <v>163460.74363521725</v>
      </c>
      <c r="H922" s="19">
        <v>0</v>
      </c>
      <c r="J922" s="1" t="s">
        <v>68</v>
      </c>
    </row>
    <row r="923" spans="1:10" x14ac:dyDescent="0.25">
      <c r="A923" s="1" t="s">
        <v>56</v>
      </c>
      <c r="B923" s="1" t="s">
        <v>7</v>
      </c>
      <c r="C923" s="1" t="s">
        <v>21</v>
      </c>
      <c r="D923" s="4">
        <v>3536.7530000000002</v>
      </c>
      <c r="E923" s="4">
        <v>20124.144700000001</v>
      </c>
      <c r="F923" s="4">
        <v>13214.635475772764</v>
      </c>
      <c r="G923" s="4">
        <v>100092.87095154554</v>
      </c>
      <c r="H923" s="19">
        <v>-0.7323609110153545</v>
      </c>
      <c r="J923" s="1" t="s">
        <v>68</v>
      </c>
    </row>
    <row r="924" spans="1:10" x14ac:dyDescent="0.25">
      <c r="A924" s="1" t="s">
        <v>56</v>
      </c>
      <c r="B924" s="1" t="s">
        <v>7</v>
      </c>
      <c r="C924" s="1" t="s">
        <v>28</v>
      </c>
      <c r="D924" s="4">
        <v>231555</v>
      </c>
      <c r="E924" s="4">
        <v>701884.15</v>
      </c>
      <c r="F924" s="4">
        <v>1499532.2936925676</v>
      </c>
      <c r="G924" s="4">
        <v>3839064.5873851348</v>
      </c>
      <c r="H924" s="19">
        <v>-0.84558185177206113</v>
      </c>
      <c r="J924" s="1" t="s">
        <v>68</v>
      </c>
    </row>
    <row r="925" spans="1:10" x14ac:dyDescent="0.25">
      <c r="A925" s="1" t="s">
        <v>56</v>
      </c>
      <c r="B925" s="1" t="s">
        <v>7</v>
      </c>
      <c r="C925" s="1" t="s">
        <v>29</v>
      </c>
      <c r="D925" s="4">
        <v>387</v>
      </c>
      <c r="E925" s="4">
        <v>27873</v>
      </c>
      <c r="F925" s="4">
        <v>56000</v>
      </c>
      <c r="G925" s="4">
        <v>133000</v>
      </c>
      <c r="H925" s="19">
        <v>-0.99308928571428567</v>
      </c>
      <c r="J925" s="1" t="s">
        <v>68</v>
      </c>
    </row>
    <row r="926" spans="1:10" x14ac:dyDescent="0.25">
      <c r="A926" s="1" t="s">
        <v>56</v>
      </c>
      <c r="B926" s="1" t="s">
        <v>7</v>
      </c>
      <c r="C926" s="1" t="s">
        <v>30</v>
      </c>
      <c r="D926" s="4">
        <v>58</v>
      </c>
      <c r="E926" s="4">
        <v>398</v>
      </c>
      <c r="F926" s="4">
        <v>108</v>
      </c>
      <c r="G926" s="4">
        <v>540</v>
      </c>
      <c r="H926" s="19">
        <v>-0.46296296296296297</v>
      </c>
      <c r="J926" s="1" t="s">
        <v>68</v>
      </c>
    </row>
    <row r="927" spans="1:10" x14ac:dyDescent="0.25">
      <c r="A927" s="1" t="s">
        <v>56</v>
      </c>
      <c r="B927" s="1" t="s">
        <v>7</v>
      </c>
      <c r="C927" s="1" t="s">
        <v>31</v>
      </c>
      <c r="D927" s="4">
        <v>457.98511000000008</v>
      </c>
      <c r="E927" s="4">
        <v>2026.82755</v>
      </c>
      <c r="F927" s="4">
        <v>4064.5334452688371</v>
      </c>
      <c r="G927" s="4">
        <v>7371.2178566227394</v>
      </c>
      <c r="H927" s="19">
        <v>-0.88732160377887903</v>
      </c>
      <c r="J927" s="1" t="s">
        <v>68</v>
      </c>
    </row>
    <row r="928" spans="1:10" x14ac:dyDescent="0.25">
      <c r="A928" s="1" t="s">
        <v>56</v>
      </c>
      <c r="B928" s="1" t="s">
        <v>7</v>
      </c>
      <c r="C928" s="1" t="s">
        <v>32</v>
      </c>
      <c r="D928" s="4">
        <v>-9644.1885105726451</v>
      </c>
      <c r="E928" s="4">
        <v>-9067.1045900000008</v>
      </c>
      <c r="F928" s="4">
        <v>4952.8788759851413</v>
      </c>
      <c r="G928" s="4">
        <v>9862.741316480895</v>
      </c>
      <c r="H928" s="19">
        <v>-2.9471884437421032</v>
      </c>
      <c r="J928" s="1" t="s">
        <v>68</v>
      </c>
    </row>
    <row r="929" spans="1:10" x14ac:dyDescent="0.25">
      <c r="A929" s="1" t="s">
        <v>57</v>
      </c>
      <c r="B929" s="1" t="s">
        <v>24</v>
      </c>
      <c r="C929" s="1" t="s">
        <v>63</v>
      </c>
      <c r="D929" s="4">
        <v>-1.7810699999999997</v>
      </c>
      <c r="E929" s="4">
        <v>1.3539800000000923</v>
      </c>
      <c r="F929" s="4">
        <v>0</v>
      </c>
      <c r="G929" s="4">
        <v>0</v>
      </c>
      <c r="H929" s="19">
        <v>0</v>
      </c>
      <c r="J929" s="1" t="s">
        <v>68</v>
      </c>
    </row>
    <row r="930" spans="1:10" x14ac:dyDescent="0.25">
      <c r="A930" s="1" t="s">
        <v>57</v>
      </c>
      <c r="B930" s="1" t="s">
        <v>24</v>
      </c>
      <c r="C930" s="1" t="s">
        <v>26</v>
      </c>
      <c r="E930" s="4">
        <v>616.53904</v>
      </c>
      <c r="G930" s="4">
        <v>620.50470999999993</v>
      </c>
      <c r="H930" s="19">
        <v>0</v>
      </c>
      <c r="J930" s="1" t="s">
        <v>68</v>
      </c>
    </row>
    <row r="931" spans="1:10" x14ac:dyDescent="0.25">
      <c r="A931" s="1" t="s">
        <v>57</v>
      </c>
      <c r="B931" s="1" t="s">
        <v>24</v>
      </c>
      <c r="C931" s="1" t="s">
        <v>27</v>
      </c>
      <c r="D931" s="4">
        <v>0</v>
      </c>
      <c r="E931" s="4">
        <v>0</v>
      </c>
      <c r="G931" s="4">
        <v>-15.040850000000001</v>
      </c>
      <c r="H931" s="19">
        <v>0</v>
      </c>
      <c r="J931" s="1" t="s">
        <v>68</v>
      </c>
    </row>
    <row r="932" spans="1:10" x14ac:dyDescent="0.25">
      <c r="A932" s="1" t="s">
        <v>57</v>
      </c>
      <c r="B932" s="1" t="s">
        <v>24</v>
      </c>
      <c r="C932" s="1" t="s">
        <v>21</v>
      </c>
      <c r="D932" s="4">
        <v>0</v>
      </c>
      <c r="E932" s="4">
        <v>0</v>
      </c>
      <c r="F932" s="4">
        <v>0</v>
      </c>
      <c r="G932" s="4">
        <v>0</v>
      </c>
      <c r="H932" s="19">
        <v>0</v>
      </c>
      <c r="J932" s="1" t="s">
        <v>68</v>
      </c>
    </row>
    <row r="933" spans="1:10" x14ac:dyDescent="0.25">
      <c r="A933" s="1" t="s">
        <v>57</v>
      </c>
      <c r="B933" s="1" t="s">
        <v>24</v>
      </c>
      <c r="C933" s="1" t="s">
        <v>28</v>
      </c>
      <c r="D933" s="4">
        <v>0</v>
      </c>
      <c r="E933" s="4">
        <v>0</v>
      </c>
      <c r="F933" s="4">
        <v>0</v>
      </c>
      <c r="G933" s="4">
        <v>0</v>
      </c>
      <c r="H933" s="19">
        <v>0</v>
      </c>
      <c r="J933" s="1" t="s">
        <v>68</v>
      </c>
    </row>
    <row r="934" spans="1:10" x14ac:dyDescent="0.25">
      <c r="A934" s="1" t="s">
        <v>57</v>
      </c>
      <c r="B934" s="1" t="s">
        <v>24</v>
      </c>
      <c r="C934" s="1" t="s">
        <v>29</v>
      </c>
      <c r="D934" s="4">
        <v>0</v>
      </c>
      <c r="E934" s="4">
        <v>0</v>
      </c>
      <c r="F934" s="4">
        <v>0</v>
      </c>
      <c r="G934" s="4">
        <v>0</v>
      </c>
      <c r="H934" s="19">
        <v>0</v>
      </c>
      <c r="J934" s="1" t="s">
        <v>68</v>
      </c>
    </row>
    <row r="935" spans="1:10" x14ac:dyDescent="0.25">
      <c r="A935" s="1" t="s">
        <v>57</v>
      </c>
      <c r="B935" s="1" t="s">
        <v>24</v>
      </c>
      <c r="C935" s="1" t="s">
        <v>30</v>
      </c>
      <c r="D935" s="4">
        <v>0</v>
      </c>
      <c r="E935" s="4">
        <v>0</v>
      </c>
      <c r="F935" s="4">
        <v>0</v>
      </c>
      <c r="G935" s="4">
        <v>0</v>
      </c>
      <c r="H935" s="19">
        <v>0</v>
      </c>
      <c r="J935" s="1" t="s">
        <v>68</v>
      </c>
    </row>
    <row r="936" spans="1:10" x14ac:dyDescent="0.25">
      <c r="A936" s="1" t="s">
        <v>57</v>
      </c>
      <c r="B936" s="1" t="s">
        <v>24</v>
      </c>
      <c r="C936" s="1" t="s">
        <v>31</v>
      </c>
      <c r="D936" s="4">
        <v>0</v>
      </c>
      <c r="E936" s="4">
        <v>0</v>
      </c>
      <c r="F936" s="4">
        <v>0.80561361921055208</v>
      </c>
      <c r="G936" s="4">
        <v>1.5702125123216359</v>
      </c>
      <c r="H936" s="19">
        <v>-1</v>
      </c>
      <c r="J936" s="1" t="s">
        <v>68</v>
      </c>
    </row>
    <row r="937" spans="1:10" x14ac:dyDescent="0.25">
      <c r="A937" s="1" t="s">
        <v>57</v>
      </c>
      <c r="B937" s="1" t="s">
        <v>24</v>
      </c>
      <c r="C937" s="1" t="s">
        <v>32</v>
      </c>
      <c r="D937" s="4">
        <v>-0.99854431036073399</v>
      </c>
      <c r="E937" s="4">
        <v>11.833830000000006</v>
      </c>
      <c r="F937" s="4">
        <v>-0.8407787878390427</v>
      </c>
      <c r="G937" s="4">
        <v>-2.8531071567920097</v>
      </c>
      <c r="H937" s="19">
        <v>-0.18764212989623338</v>
      </c>
      <c r="J937" s="1" t="s">
        <v>68</v>
      </c>
    </row>
    <row r="938" spans="1:10" x14ac:dyDescent="0.25">
      <c r="A938" s="1" t="s">
        <v>58</v>
      </c>
      <c r="B938" s="1" t="s">
        <v>1</v>
      </c>
      <c r="C938" s="1" t="s">
        <v>63</v>
      </c>
      <c r="D938" s="4">
        <v>1876.5409799999907</v>
      </c>
      <c r="E938" s="4">
        <v>17129.688020000001</v>
      </c>
      <c r="F938" s="4">
        <v>11650.009711779445</v>
      </c>
      <c r="G938" s="4">
        <v>114504.81942355892</v>
      </c>
      <c r="H938" s="19">
        <v>-0.83892365530797797</v>
      </c>
      <c r="J938" s="1" t="s">
        <v>68</v>
      </c>
    </row>
    <row r="939" spans="1:10" x14ac:dyDescent="0.25">
      <c r="A939" s="1" t="s">
        <v>58</v>
      </c>
      <c r="B939" s="1" t="s">
        <v>1</v>
      </c>
      <c r="C939" s="1" t="s">
        <v>26</v>
      </c>
      <c r="E939" s="4">
        <v>235587.94744999998</v>
      </c>
      <c r="G939" s="4">
        <v>264137.01070533838</v>
      </c>
      <c r="H939" s="19">
        <v>0</v>
      </c>
      <c r="J939" s="1" t="s">
        <v>68</v>
      </c>
    </row>
    <row r="940" spans="1:10" x14ac:dyDescent="0.25">
      <c r="A940" s="1" t="s">
        <v>58</v>
      </c>
      <c r="B940" s="1" t="s">
        <v>1</v>
      </c>
      <c r="C940" s="1" t="s">
        <v>27</v>
      </c>
      <c r="D940" s="4">
        <v>0</v>
      </c>
      <c r="E940" s="4">
        <v>147203.47313</v>
      </c>
      <c r="G940" s="4">
        <v>148113.69125050015</v>
      </c>
      <c r="H940" s="19">
        <v>0</v>
      </c>
      <c r="J940" s="1" t="s">
        <v>68</v>
      </c>
    </row>
    <row r="941" spans="1:10" x14ac:dyDescent="0.25">
      <c r="A941" s="1" t="s">
        <v>58</v>
      </c>
      <c r="B941" s="1" t="s">
        <v>1</v>
      </c>
      <c r="C941" s="1" t="s">
        <v>21</v>
      </c>
      <c r="D941" s="4">
        <v>3091.2420000000002</v>
      </c>
      <c r="E941" s="4">
        <v>10540.898999999999</v>
      </c>
      <c r="F941" s="4">
        <v>20868.444642439434</v>
      </c>
      <c r="G941" s="4">
        <v>140742.88928487885</v>
      </c>
      <c r="H941" s="19">
        <v>-0.8518700337775319</v>
      </c>
      <c r="J941" s="1" t="s">
        <v>68</v>
      </c>
    </row>
    <row r="942" spans="1:10" x14ac:dyDescent="0.25">
      <c r="A942" s="1" t="s">
        <v>58</v>
      </c>
      <c r="B942" s="1" t="s">
        <v>1</v>
      </c>
      <c r="C942" s="1" t="s">
        <v>28</v>
      </c>
      <c r="D942" s="4">
        <v>5000</v>
      </c>
      <c r="E942" s="4">
        <v>47200</v>
      </c>
      <c r="F942" s="4">
        <v>248443.22025675679</v>
      </c>
      <c r="G942" s="4">
        <v>685886.44051351352</v>
      </c>
      <c r="H942" s="19">
        <v>-0.97987467722068367</v>
      </c>
      <c r="J942" s="1" t="s">
        <v>68</v>
      </c>
    </row>
    <row r="943" spans="1:10" x14ac:dyDescent="0.25">
      <c r="A943" s="1" t="s">
        <v>58</v>
      </c>
      <c r="B943" s="1" t="s">
        <v>1</v>
      </c>
      <c r="C943" s="1" t="s">
        <v>29</v>
      </c>
      <c r="D943" s="4">
        <v>30061</v>
      </c>
      <c r="E943" s="4">
        <v>355779</v>
      </c>
      <c r="F943" s="4">
        <v>56000</v>
      </c>
      <c r="G943" s="4">
        <v>409000</v>
      </c>
      <c r="H943" s="19">
        <v>-0.46319642857142856</v>
      </c>
      <c r="J943" s="1" t="s">
        <v>68</v>
      </c>
    </row>
    <row r="944" spans="1:10" x14ac:dyDescent="0.25">
      <c r="A944" s="1" t="s">
        <v>58</v>
      </c>
      <c r="B944" s="1" t="s">
        <v>1</v>
      </c>
      <c r="C944" s="1" t="s">
        <v>30</v>
      </c>
      <c r="D944" s="4">
        <v>69</v>
      </c>
      <c r="E944" s="4">
        <v>614</v>
      </c>
      <c r="F944" s="4">
        <v>178</v>
      </c>
      <c r="G944" s="4">
        <v>890</v>
      </c>
      <c r="H944" s="19">
        <v>-0.61235955056179781</v>
      </c>
      <c r="J944" s="1" t="s">
        <v>68</v>
      </c>
    </row>
    <row r="945" spans="1:10" x14ac:dyDescent="0.25">
      <c r="A945" s="1" t="s">
        <v>58</v>
      </c>
      <c r="B945" s="1" t="s">
        <v>1</v>
      </c>
      <c r="C945" s="1" t="s">
        <v>31</v>
      </c>
      <c r="D945" s="4">
        <v>215.18431999999984</v>
      </c>
      <c r="E945" s="4">
        <v>1395.6035300000001</v>
      </c>
      <c r="F945" s="4">
        <v>1044.1776026266255</v>
      </c>
      <c r="G945" s="4">
        <v>3017.2172354711338</v>
      </c>
      <c r="H945" s="19">
        <v>-0.79391980879621971</v>
      </c>
      <c r="J945" s="1" t="s">
        <v>68</v>
      </c>
    </row>
    <row r="946" spans="1:10" x14ac:dyDescent="0.25">
      <c r="A946" s="1" t="s">
        <v>58</v>
      </c>
      <c r="B946" s="1" t="s">
        <v>1</v>
      </c>
      <c r="C946" s="1" t="s">
        <v>32</v>
      </c>
      <c r="D946" s="4">
        <v>-1873.5984388975492</v>
      </c>
      <c r="E946" s="4">
        <v>-9155.4469099999969</v>
      </c>
      <c r="F946" s="4">
        <v>-894.2905558983739</v>
      </c>
      <c r="G946" s="4">
        <v>-8290.1895946273107</v>
      </c>
      <c r="H946" s="19">
        <v>-1.0950667839887853</v>
      </c>
      <c r="J946" s="1" t="s">
        <v>68</v>
      </c>
    </row>
    <row r="947" spans="1:10" x14ac:dyDescent="0.25">
      <c r="A947" s="1" t="s">
        <v>38</v>
      </c>
      <c r="B947" s="1" t="s">
        <v>18</v>
      </c>
      <c r="C947" s="1" t="s">
        <v>63</v>
      </c>
      <c r="D947" s="4">
        <v>0</v>
      </c>
      <c r="E947" s="4">
        <v>0</v>
      </c>
      <c r="F947" s="4">
        <v>0</v>
      </c>
      <c r="G947" s="4">
        <v>0</v>
      </c>
      <c r="H947" s="19">
        <v>0</v>
      </c>
      <c r="J947" s="1" t="s">
        <v>78</v>
      </c>
    </row>
    <row r="948" spans="1:10" x14ac:dyDescent="0.25">
      <c r="A948" s="1" t="s">
        <v>38</v>
      </c>
      <c r="B948" s="1" t="s">
        <v>18</v>
      </c>
      <c r="C948" s="1" t="s">
        <v>26</v>
      </c>
      <c r="E948" s="4">
        <v>0</v>
      </c>
      <c r="G948" s="4">
        <v>0</v>
      </c>
      <c r="H948" s="19">
        <v>0</v>
      </c>
      <c r="J948" s="1" t="s">
        <v>78</v>
      </c>
    </row>
    <row r="949" spans="1:10" x14ac:dyDescent="0.25">
      <c r="A949" s="1" t="s">
        <v>38</v>
      </c>
      <c r="B949" s="1" t="s">
        <v>18</v>
      </c>
      <c r="C949" s="1" t="s">
        <v>27</v>
      </c>
      <c r="D949" s="4">
        <v>0</v>
      </c>
      <c r="E949" s="4">
        <v>0</v>
      </c>
      <c r="G949" s="4">
        <v>0</v>
      </c>
      <c r="H949" s="19">
        <v>0</v>
      </c>
      <c r="J949" s="1" t="s">
        <v>78</v>
      </c>
    </row>
    <row r="950" spans="1:10" x14ac:dyDescent="0.25">
      <c r="A950" s="1" t="s">
        <v>38</v>
      </c>
      <c r="B950" s="1" t="s">
        <v>18</v>
      </c>
      <c r="C950" s="1" t="s">
        <v>21</v>
      </c>
      <c r="D950" s="4">
        <v>0</v>
      </c>
      <c r="E950" s="4">
        <v>0</v>
      </c>
      <c r="F950" s="4">
        <v>0</v>
      </c>
      <c r="G950" s="4">
        <v>0</v>
      </c>
      <c r="H950" s="19">
        <v>0</v>
      </c>
      <c r="J950" s="1" t="s">
        <v>78</v>
      </c>
    </row>
    <row r="951" spans="1:10" x14ac:dyDescent="0.25">
      <c r="A951" s="1" t="s">
        <v>38</v>
      </c>
      <c r="B951" s="1" t="s">
        <v>18</v>
      </c>
      <c r="C951" s="1" t="s">
        <v>28</v>
      </c>
      <c r="D951" s="4">
        <v>0</v>
      </c>
      <c r="E951" s="4">
        <v>0</v>
      </c>
      <c r="F951" s="4">
        <v>0</v>
      </c>
      <c r="G951" s="4">
        <v>0</v>
      </c>
      <c r="H951" s="19">
        <v>0</v>
      </c>
      <c r="J951" s="1" t="s">
        <v>78</v>
      </c>
    </row>
    <row r="952" spans="1:10" x14ac:dyDescent="0.25">
      <c r="A952" s="1" t="s">
        <v>38</v>
      </c>
      <c r="B952" s="1" t="s">
        <v>18</v>
      </c>
      <c r="C952" s="1" t="s">
        <v>29</v>
      </c>
      <c r="D952" s="4">
        <v>33750</v>
      </c>
      <c r="E952" s="4">
        <v>243620</v>
      </c>
      <c r="F952" s="4">
        <v>0</v>
      </c>
      <c r="G952" s="4">
        <v>99000</v>
      </c>
      <c r="H952" s="19">
        <v>0</v>
      </c>
      <c r="J952" s="1" t="s">
        <v>78</v>
      </c>
    </row>
    <row r="953" spans="1:10" x14ac:dyDescent="0.25">
      <c r="A953" s="1" t="s">
        <v>38</v>
      </c>
      <c r="B953" s="1" t="s">
        <v>18</v>
      </c>
      <c r="C953" s="1" t="s">
        <v>30</v>
      </c>
      <c r="D953" s="4">
        <v>0</v>
      </c>
      <c r="E953" s="4">
        <v>0</v>
      </c>
      <c r="F953" s="4">
        <v>0</v>
      </c>
      <c r="G953" s="4">
        <v>0</v>
      </c>
      <c r="H953" s="19">
        <v>0</v>
      </c>
      <c r="J953" s="1" t="s">
        <v>78</v>
      </c>
    </row>
    <row r="954" spans="1:10" x14ac:dyDescent="0.25">
      <c r="A954" s="1" t="s">
        <v>38</v>
      </c>
      <c r="B954" s="1" t="s">
        <v>18</v>
      </c>
      <c r="C954" s="1" t="s">
        <v>31</v>
      </c>
      <c r="D954" s="4">
        <v>2.7799999999729152E-3</v>
      </c>
      <c r="E954" s="4">
        <v>453.76706999999999</v>
      </c>
      <c r="F954" s="4">
        <v>4.3355300496955351E-2</v>
      </c>
      <c r="G954" s="4">
        <v>117.59214325571452</v>
      </c>
      <c r="H954" s="19">
        <v>-0.93587865916952551</v>
      </c>
      <c r="J954" s="1" t="s">
        <v>78</v>
      </c>
    </row>
    <row r="955" spans="1:10" x14ac:dyDescent="0.25">
      <c r="A955" s="1" t="s">
        <v>38</v>
      </c>
      <c r="B955" s="1" t="s">
        <v>18</v>
      </c>
      <c r="C955" s="1" t="s">
        <v>32</v>
      </c>
      <c r="D955" s="4">
        <v>-16569.254430591045</v>
      </c>
      <c r="E955" s="4">
        <v>-179455.82070844111</v>
      </c>
      <c r="F955" s="4">
        <v>-20567.407791447709</v>
      </c>
      <c r="G955" s="4">
        <v>-162062.38877216892</v>
      </c>
      <c r="H955" s="19">
        <v>0.19439267220243314</v>
      </c>
      <c r="J955" s="1" t="s">
        <v>78</v>
      </c>
    </row>
    <row r="956" spans="1:10" x14ac:dyDescent="0.25">
      <c r="A956" s="1" t="s">
        <v>39</v>
      </c>
      <c r="B956" s="1" t="s">
        <v>8</v>
      </c>
      <c r="C956" s="1" t="s">
        <v>63</v>
      </c>
      <c r="D956" s="4">
        <v>-12228.28408000007</v>
      </c>
      <c r="E956" s="4">
        <v>27530.055420000048</v>
      </c>
      <c r="F956" s="4">
        <v>7465.9829260652068</v>
      </c>
      <c r="G956" s="4">
        <v>80463.388778195615</v>
      </c>
      <c r="H956" s="19">
        <v>-2.6378666012359524</v>
      </c>
      <c r="J956" s="1" t="s">
        <v>78</v>
      </c>
    </row>
    <row r="957" spans="1:10" x14ac:dyDescent="0.25">
      <c r="A957" s="1" t="s">
        <v>39</v>
      </c>
      <c r="B957" s="1" t="s">
        <v>8</v>
      </c>
      <c r="C957" s="1" t="s">
        <v>26</v>
      </c>
      <c r="E957" s="4">
        <v>506153.62855000002</v>
      </c>
      <c r="G957" s="4">
        <v>516041.8418142607</v>
      </c>
      <c r="H957" s="19">
        <v>0</v>
      </c>
      <c r="J957" s="1" t="s">
        <v>78</v>
      </c>
    </row>
    <row r="958" spans="1:10" x14ac:dyDescent="0.25">
      <c r="A958" s="1" t="s">
        <v>39</v>
      </c>
      <c r="B958" s="1" t="s">
        <v>8</v>
      </c>
      <c r="C958" s="1" t="s">
        <v>27</v>
      </c>
      <c r="D958" s="4">
        <v>0</v>
      </c>
      <c r="E958" s="4">
        <v>672857.78944999992</v>
      </c>
      <c r="G958" s="4">
        <v>525266.6519396794</v>
      </c>
      <c r="H958" s="19">
        <v>0</v>
      </c>
      <c r="J958" s="1" t="s">
        <v>78</v>
      </c>
    </row>
    <row r="959" spans="1:10" x14ac:dyDescent="0.25">
      <c r="A959" s="1" t="s">
        <v>39</v>
      </c>
      <c r="B959" s="1" t="s">
        <v>8</v>
      </c>
      <c r="C959" s="1" t="s">
        <v>21</v>
      </c>
      <c r="D959" s="4">
        <v>9977.8920500000004</v>
      </c>
      <c r="E959" s="4">
        <v>60498.680699999997</v>
      </c>
      <c r="F959" s="4">
        <v>21166.644999582291</v>
      </c>
      <c r="G959" s="4">
        <v>121081.73499874688</v>
      </c>
      <c r="H959" s="19">
        <v>-0.52860304265522917</v>
      </c>
      <c r="J959" s="1" t="s">
        <v>78</v>
      </c>
    </row>
    <row r="960" spans="1:10" x14ac:dyDescent="0.25">
      <c r="A960" s="1" t="s">
        <v>39</v>
      </c>
      <c r="B960" s="1" t="s">
        <v>8</v>
      </c>
      <c r="C960" s="1" t="s">
        <v>28</v>
      </c>
      <c r="D960" s="4">
        <v>4001647.9400000013</v>
      </c>
      <c r="E960" s="4">
        <v>13334767.140000001</v>
      </c>
      <c r="F960" s="4">
        <v>124221.61012837839</v>
      </c>
      <c r="G960" s="4">
        <v>4422664.8303851355</v>
      </c>
      <c r="H960" s="19">
        <v>31.21378257667444</v>
      </c>
      <c r="J960" s="1" t="s">
        <v>78</v>
      </c>
    </row>
    <row r="961" spans="1:10" x14ac:dyDescent="0.25">
      <c r="A961" s="1" t="s">
        <v>39</v>
      </c>
      <c r="B961" s="1" t="s">
        <v>8</v>
      </c>
      <c r="C961" s="1" t="s">
        <v>29</v>
      </c>
      <c r="D961" s="4">
        <v>131994</v>
      </c>
      <c r="E961" s="4">
        <v>378136</v>
      </c>
      <c r="F961" s="4">
        <v>28000</v>
      </c>
      <c r="G961" s="4">
        <v>90000</v>
      </c>
      <c r="H961" s="19">
        <v>3.7140714285714287</v>
      </c>
      <c r="J961" s="1" t="s">
        <v>78</v>
      </c>
    </row>
    <row r="962" spans="1:10" x14ac:dyDescent="0.25">
      <c r="A962" s="1" t="s">
        <v>39</v>
      </c>
      <c r="B962" s="1" t="s">
        <v>8</v>
      </c>
      <c r="C962" s="1" t="s">
        <v>30</v>
      </c>
      <c r="D962" s="4">
        <v>69</v>
      </c>
      <c r="E962" s="4">
        <v>315</v>
      </c>
      <c r="F962" s="4">
        <v>85</v>
      </c>
      <c r="G962" s="4">
        <v>510</v>
      </c>
      <c r="H962" s="19">
        <v>-0.18823529411764706</v>
      </c>
      <c r="J962" s="1" t="s">
        <v>78</v>
      </c>
    </row>
    <row r="963" spans="1:10" x14ac:dyDescent="0.25">
      <c r="A963" s="1" t="s">
        <v>39</v>
      </c>
      <c r="B963" s="1" t="s">
        <v>8</v>
      </c>
      <c r="C963" s="1" t="s">
        <v>31</v>
      </c>
      <c r="D963" s="4">
        <v>4188.9635900000012</v>
      </c>
      <c r="E963" s="4">
        <v>15439.120709999999</v>
      </c>
      <c r="F963" s="4">
        <v>977.68434433161019</v>
      </c>
      <c r="G963" s="4">
        <v>10231.766041328867</v>
      </c>
      <c r="H963" s="19">
        <v>3.2845767289684571</v>
      </c>
      <c r="J963" s="1" t="s">
        <v>78</v>
      </c>
    </row>
    <row r="964" spans="1:10" x14ac:dyDescent="0.25">
      <c r="A964" s="1" t="s">
        <v>39</v>
      </c>
      <c r="B964" s="1" t="s">
        <v>8</v>
      </c>
      <c r="C964" s="1" t="s">
        <v>32</v>
      </c>
      <c r="D964" s="4">
        <v>-1337.1877429443896</v>
      </c>
      <c r="E964" s="4">
        <v>-6081.0663429443848</v>
      </c>
      <c r="F964" s="4">
        <v>4844.3729508975312</v>
      </c>
      <c r="G964" s="4">
        <v>11253.484269656341</v>
      </c>
      <c r="H964" s="19">
        <v>-1.2760290664030407</v>
      </c>
      <c r="J964" s="1" t="s">
        <v>78</v>
      </c>
    </row>
    <row r="965" spans="1:10" x14ac:dyDescent="0.25">
      <c r="A965" s="1" t="s">
        <v>40</v>
      </c>
      <c r="B965" s="1" t="s">
        <v>11</v>
      </c>
      <c r="C965" s="1" t="s">
        <v>63</v>
      </c>
      <c r="D965" s="4">
        <v>4406.5777999999627</v>
      </c>
      <c r="E965" s="4">
        <v>-16165.951540000009</v>
      </c>
      <c r="F965" s="4">
        <v>2986.0037593984976</v>
      </c>
      <c r="G965" s="4">
        <v>68223.451278195498</v>
      </c>
      <c r="H965" s="19">
        <v>0.47574422374057107</v>
      </c>
      <c r="J965" s="1" t="s">
        <v>78</v>
      </c>
    </row>
    <row r="966" spans="1:10" x14ac:dyDescent="0.25">
      <c r="A966" s="1" t="s">
        <v>40</v>
      </c>
      <c r="B966" s="1" t="s">
        <v>11</v>
      </c>
      <c r="C966" s="1" t="s">
        <v>26</v>
      </c>
      <c r="E966" s="4">
        <v>56967.09156999999</v>
      </c>
      <c r="G966" s="4">
        <v>61056.303837593987</v>
      </c>
      <c r="H966" s="19">
        <v>0</v>
      </c>
      <c r="J966" s="1" t="s">
        <v>78</v>
      </c>
    </row>
    <row r="967" spans="1:10" x14ac:dyDescent="0.25">
      <c r="A967" s="1" t="s">
        <v>40</v>
      </c>
      <c r="B967" s="1" t="s">
        <v>11</v>
      </c>
      <c r="C967" s="1" t="s">
        <v>27</v>
      </c>
      <c r="D967" s="4">
        <v>0</v>
      </c>
      <c r="E967" s="4">
        <v>90769.645039999989</v>
      </c>
      <c r="G967" s="4">
        <v>81707.346093515342</v>
      </c>
      <c r="H967" s="19">
        <v>0</v>
      </c>
      <c r="J967" s="1" t="s">
        <v>78</v>
      </c>
    </row>
    <row r="968" spans="1:10" x14ac:dyDescent="0.25">
      <c r="A968" s="1" t="s">
        <v>40</v>
      </c>
      <c r="B968" s="1" t="s">
        <v>11</v>
      </c>
      <c r="C968" s="1" t="s">
        <v>21</v>
      </c>
      <c r="D968" s="4">
        <v>841.43399999999997</v>
      </c>
      <c r="E968" s="4">
        <v>10483.763849999999</v>
      </c>
      <c r="F968" s="4">
        <v>5348.7727218045111</v>
      </c>
      <c r="G968" s="4">
        <v>75128.118165413529</v>
      </c>
      <c r="H968" s="19">
        <v>-0.84268652945939226</v>
      </c>
      <c r="J968" s="1" t="s">
        <v>78</v>
      </c>
    </row>
    <row r="969" spans="1:10" x14ac:dyDescent="0.25">
      <c r="A969" s="1" t="s">
        <v>40</v>
      </c>
      <c r="B969" s="1" t="s">
        <v>11</v>
      </c>
      <c r="C969" s="1" t="s">
        <v>28</v>
      </c>
      <c r="D969" s="4">
        <v>0</v>
      </c>
      <c r="E969" s="4">
        <v>57500</v>
      </c>
      <c r="F969" s="4">
        <v>62110.805064189197</v>
      </c>
      <c r="G969" s="4">
        <v>276332.41519256757</v>
      </c>
      <c r="H969" s="19">
        <v>-1</v>
      </c>
      <c r="J969" s="1" t="s">
        <v>78</v>
      </c>
    </row>
    <row r="970" spans="1:10" x14ac:dyDescent="0.25">
      <c r="A970" s="1" t="s">
        <v>40</v>
      </c>
      <c r="B970" s="1" t="s">
        <v>11</v>
      </c>
      <c r="C970" s="1" t="s">
        <v>29</v>
      </c>
      <c r="D970" s="4">
        <v>43194</v>
      </c>
      <c r="E970" s="4">
        <v>276728</v>
      </c>
      <c r="F970" s="4">
        <v>14000</v>
      </c>
      <c r="G970" s="4">
        <v>261000</v>
      </c>
      <c r="H970" s="19">
        <v>2.0852857142857144</v>
      </c>
      <c r="J970" s="1" t="s">
        <v>78</v>
      </c>
    </row>
    <row r="971" spans="1:10" x14ac:dyDescent="0.25">
      <c r="A971" s="1" t="s">
        <v>40</v>
      </c>
      <c r="B971" s="1" t="s">
        <v>11</v>
      </c>
      <c r="C971" s="1" t="s">
        <v>30</v>
      </c>
      <c r="D971" s="4">
        <v>114</v>
      </c>
      <c r="E971" s="4">
        <v>407</v>
      </c>
      <c r="F971" s="4">
        <v>73</v>
      </c>
      <c r="G971" s="4">
        <v>438</v>
      </c>
      <c r="H971" s="19">
        <v>0.56164383561643838</v>
      </c>
      <c r="J971" s="1" t="s">
        <v>78</v>
      </c>
    </row>
    <row r="972" spans="1:10" x14ac:dyDescent="0.25">
      <c r="A972" s="1" t="s">
        <v>40</v>
      </c>
      <c r="B972" s="1" t="s">
        <v>11</v>
      </c>
      <c r="C972" s="1" t="s">
        <v>31</v>
      </c>
      <c r="D972" s="4">
        <v>127.27053000000001</v>
      </c>
      <c r="E972" s="4">
        <v>934.91018000000008</v>
      </c>
      <c r="F972" s="4">
        <v>383.55599526122705</v>
      </c>
      <c r="G972" s="4">
        <v>1677.2322422495777</v>
      </c>
      <c r="H972" s="19">
        <v>-0.66818266023108219</v>
      </c>
      <c r="J972" s="1" t="s">
        <v>78</v>
      </c>
    </row>
    <row r="973" spans="1:10" x14ac:dyDescent="0.25">
      <c r="A973" s="1" t="s">
        <v>40</v>
      </c>
      <c r="B973" s="1" t="s">
        <v>11</v>
      </c>
      <c r="C973" s="1" t="s">
        <v>32</v>
      </c>
      <c r="D973" s="4">
        <v>-1490.4545389887599</v>
      </c>
      <c r="E973" s="4">
        <v>-7900.0324789887591</v>
      </c>
      <c r="F973" s="4">
        <v>172.21404898484025</v>
      </c>
      <c r="G973" s="4">
        <v>-2417.7083860226203</v>
      </c>
      <c r="H973" s="19">
        <v>-9.6546628905982139</v>
      </c>
      <c r="J973" s="1" t="s">
        <v>78</v>
      </c>
    </row>
    <row r="974" spans="1:10" x14ac:dyDescent="0.25">
      <c r="A974" s="1" t="s">
        <v>41</v>
      </c>
      <c r="B974" s="1" t="s">
        <v>15</v>
      </c>
      <c r="C974" s="1" t="s">
        <v>63</v>
      </c>
      <c r="D974" s="4">
        <v>-5.8662200000035227</v>
      </c>
      <c r="E974" s="4">
        <v>-4767.1982700000081</v>
      </c>
      <c r="F974" s="4">
        <v>2986.0037593984976</v>
      </c>
      <c r="G974" s="4">
        <v>60288.891278195493</v>
      </c>
      <c r="H974" s="19">
        <v>-1.0019645722084374</v>
      </c>
      <c r="J974" s="1" t="s">
        <v>78</v>
      </c>
    </row>
    <row r="975" spans="1:10" x14ac:dyDescent="0.25">
      <c r="A975" s="1" t="s">
        <v>41</v>
      </c>
      <c r="B975" s="1" t="s">
        <v>15</v>
      </c>
      <c r="C975" s="1" t="s">
        <v>26</v>
      </c>
      <c r="E975" s="4">
        <v>35517.669949999989</v>
      </c>
      <c r="G975" s="4">
        <v>58518.075527593974</v>
      </c>
      <c r="H975" s="19">
        <v>0</v>
      </c>
      <c r="J975" s="1" t="s">
        <v>78</v>
      </c>
    </row>
    <row r="976" spans="1:10" x14ac:dyDescent="0.25">
      <c r="A976" s="1" t="s">
        <v>41</v>
      </c>
      <c r="B976" s="1" t="s">
        <v>15</v>
      </c>
      <c r="C976" s="1" t="s">
        <v>27</v>
      </c>
      <c r="D976" s="4">
        <v>0</v>
      </c>
      <c r="E976" s="4">
        <v>98096.666759999978</v>
      </c>
      <c r="G976" s="4">
        <v>89424.058265153086</v>
      </c>
      <c r="H976" s="19">
        <v>0</v>
      </c>
      <c r="J976" s="1" t="s">
        <v>78</v>
      </c>
    </row>
    <row r="977" spans="1:10" x14ac:dyDescent="0.25">
      <c r="A977" s="1" t="s">
        <v>41</v>
      </c>
      <c r="B977" s="1" t="s">
        <v>15</v>
      </c>
      <c r="C977" s="1" t="s">
        <v>21</v>
      </c>
      <c r="D977" s="4">
        <v>0</v>
      </c>
      <c r="E977" s="4">
        <v>6654.0638500000005</v>
      </c>
      <c r="F977" s="4">
        <v>5348.7727218045111</v>
      </c>
      <c r="G977" s="4">
        <v>65209.918165413539</v>
      </c>
      <c r="H977" s="19">
        <v>-1</v>
      </c>
      <c r="J977" s="1" t="s">
        <v>78</v>
      </c>
    </row>
    <row r="978" spans="1:10" x14ac:dyDescent="0.25">
      <c r="A978" s="1" t="s">
        <v>41</v>
      </c>
      <c r="B978" s="1" t="s">
        <v>15</v>
      </c>
      <c r="C978" s="1" t="s">
        <v>28</v>
      </c>
      <c r="D978" s="4">
        <v>5000</v>
      </c>
      <c r="E978" s="4">
        <v>36000</v>
      </c>
      <c r="F978" s="4">
        <v>62110.805064189197</v>
      </c>
      <c r="G978" s="4">
        <v>222332.41519256757</v>
      </c>
      <c r="H978" s="19">
        <v>-0.91949870888273488</v>
      </c>
      <c r="J978" s="1" t="s">
        <v>78</v>
      </c>
    </row>
    <row r="979" spans="1:10" x14ac:dyDescent="0.25">
      <c r="A979" s="1" t="s">
        <v>41</v>
      </c>
      <c r="B979" s="1" t="s">
        <v>15</v>
      </c>
      <c r="C979" s="1" t="s">
        <v>29</v>
      </c>
      <c r="D979" s="4">
        <v>0</v>
      </c>
      <c r="E979" s="4">
        <v>0</v>
      </c>
      <c r="F979" s="4">
        <v>14000</v>
      </c>
      <c r="G979" s="4">
        <v>45000</v>
      </c>
      <c r="H979" s="19">
        <v>-1</v>
      </c>
      <c r="J979" s="1" t="s">
        <v>78</v>
      </c>
    </row>
    <row r="980" spans="1:10" x14ac:dyDescent="0.25">
      <c r="A980" s="1" t="s">
        <v>41</v>
      </c>
      <c r="B980" s="1" t="s">
        <v>15</v>
      </c>
      <c r="C980" s="1" t="s">
        <v>30</v>
      </c>
      <c r="D980" s="4">
        <v>30</v>
      </c>
      <c r="E980" s="4">
        <v>144</v>
      </c>
      <c r="F980" s="4">
        <v>66</v>
      </c>
      <c r="G980" s="4">
        <v>396</v>
      </c>
      <c r="H980" s="19">
        <v>-0.54545454545454541</v>
      </c>
      <c r="J980" s="1" t="s">
        <v>78</v>
      </c>
    </row>
    <row r="981" spans="1:10" x14ac:dyDescent="0.25">
      <c r="A981" s="1" t="s">
        <v>41</v>
      </c>
      <c r="B981" s="1" t="s">
        <v>15</v>
      </c>
      <c r="C981" s="1" t="s">
        <v>31</v>
      </c>
      <c r="D981" s="4">
        <v>45.221620000000087</v>
      </c>
      <c r="E981" s="4">
        <v>487.53383000000002</v>
      </c>
      <c r="F981" s="4">
        <v>395.52343105245154</v>
      </c>
      <c r="G981" s="4">
        <v>1446.3531351581282</v>
      </c>
      <c r="H981" s="19">
        <v>-0.88566639432796812</v>
      </c>
      <c r="J981" s="1" t="s">
        <v>78</v>
      </c>
    </row>
    <row r="982" spans="1:10" x14ac:dyDescent="0.25">
      <c r="A982" s="1" t="s">
        <v>41</v>
      </c>
      <c r="B982" s="1" t="s">
        <v>15</v>
      </c>
      <c r="C982" s="1" t="s">
        <v>32</v>
      </c>
      <c r="D982" s="4">
        <v>-1075.2828602710924</v>
      </c>
      <c r="E982" s="4">
        <v>-4550.9906202710927</v>
      </c>
      <c r="F982" s="4">
        <v>556.9689570691047</v>
      </c>
      <c r="G982" s="4">
        <v>-671.2825893711705</v>
      </c>
      <c r="H982" s="19">
        <v>-2.9305974715888503</v>
      </c>
      <c r="J982" s="1" t="s">
        <v>78</v>
      </c>
    </row>
    <row r="983" spans="1:10" x14ac:dyDescent="0.25">
      <c r="A983" s="1" t="s">
        <v>42</v>
      </c>
      <c r="B983" s="1" t="s">
        <v>12</v>
      </c>
      <c r="C983" s="1" t="s">
        <v>63</v>
      </c>
      <c r="D983" s="4">
        <v>2267.0231800000111</v>
      </c>
      <c r="E983" s="4">
        <v>11915.989880000019</v>
      </c>
      <c r="F983" s="4">
        <v>4554.5513784461173</v>
      </c>
      <c r="G983" s="4">
        <v>86659.974135338387</v>
      </c>
      <c r="H983" s="19">
        <v>-0.50225104700137235</v>
      </c>
      <c r="J983" s="1" t="s">
        <v>78</v>
      </c>
    </row>
    <row r="984" spans="1:10" x14ac:dyDescent="0.25">
      <c r="A984" s="1" t="s">
        <v>42</v>
      </c>
      <c r="B984" s="1" t="s">
        <v>12</v>
      </c>
      <c r="C984" s="1" t="s">
        <v>26</v>
      </c>
      <c r="E984" s="4">
        <v>34795.709200000005</v>
      </c>
      <c r="G984" s="4">
        <v>42522.321743784443</v>
      </c>
      <c r="H984" s="19">
        <v>0</v>
      </c>
      <c r="J984" s="1" t="s">
        <v>78</v>
      </c>
    </row>
    <row r="985" spans="1:10" x14ac:dyDescent="0.25">
      <c r="A985" s="1" t="s">
        <v>42</v>
      </c>
      <c r="B985" s="1" t="s">
        <v>12</v>
      </c>
      <c r="C985" s="1" t="s">
        <v>27</v>
      </c>
      <c r="D985" s="4">
        <v>0</v>
      </c>
      <c r="E985" s="4">
        <v>114136.12993934788</v>
      </c>
      <c r="G985" s="4">
        <v>95498.814313695635</v>
      </c>
      <c r="H985" s="19">
        <v>0</v>
      </c>
      <c r="J985" s="1" t="s">
        <v>78</v>
      </c>
    </row>
    <row r="986" spans="1:10" x14ac:dyDescent="0.25">
      <c r="A986" s="1" t="s">
        <v>42</v>
      </c>
      <c r="B986" s="1" t="s">
        <v>12</v>
      </c>
      <c r="C986" s="1" t="s">
        <v>21</v>
      </c>
      <c r="D986" s="4">
        <v>3594.346</v>
      </c>
      <c r="E986" s="4">
        <v>15430.12652</v>
      </c>
      <c r="F986" s="4">
        <v>8158.4827535505428</v>
      </c>
      <c r="G986" s="4">
        <v>100720.84826065163</v>
      </c>
      <c r="H986" s="19">
        <v>-0.55943450411343298</v>
      </c>
      <c r="J986" s="1" t="s">
        <v>78</v>
      </c>
    </row>
    <row r="987" spans="1:10" x14ac:dyDescent="0.25">
      <c r="A987" s="1" t="s">
        <v>42</v>
      </c>
      <c r="B987" s="1" t="s">
        <v>12</v>
      </c>
      <c r="C987" s="1" t="s">
        <v>28</v>
      </c>
      <c r="D987" s="4">
        <v>2000</v>
      </c>
      <c r="E987" s="4">
        <v>35000</v>
      </c>
      <c r="F987" s="4">
        <v>124221.61012837839</v>
      </c>
      <c r="G987" s="4">
        <v>633664.83038513514</v>
      </c>
      <c r="H987" s="19">
        <v>-0.98389974177654693</v>
      </c>
      <c r="J987" s="1" t="s">
        <v>78</v>
      </c>
    </row>
    <row r="988" spans="1:10" x14ac:dyDescent="0.25">
      <c r="A988" s="1" t="s">
        <v>42</v>
      </c>
      <c r="B988" s="1" t="s">
        <v>12</v>
      </c>
      <c r="C988" s="1" t="s">
        <v>29</v>
      </c>
      <c r="D988" s="4">
        <v>330</v>
      </c>
      <c r="E988" s="4">
        <v>28314</v>
      </c>
      <c r="F988" s="4">
        <v>28000</v>
      </c>
      <c r="G988" s="4">
        <v>87000</v>
      </c>
      <c r="H988" s="19">
        <v>-0.98821428571428571</v>
      </c>
      <c r="J988" s="1" t="s">
        <v>78</v>
      </c>
    </row>
    <row r="989" spans="1:10" x14ac:dyDescent="0.25">
      <c r="A989" s="1" t="s">
        <v>42</v>
      </c>
      <c r="B989" s="1" t="s">
        <v>12</v>
      </c>
      <c r="C989" s="1" t="s">
        <v>30</v>
      </c>
      <c r="D989" s="4">
        <v>29</v>
      </c>
      <c r="E989" s="4">
        <v>115</v>
      </c>
      <c r="F989" s="4">
        <v>101</v>
      </c>
      <c r="G989" s="4">
        <v>606</v>
      </c>
      <c r="H989" s="19">
        <v>-0.71287128712871284</v>
      </c>
      <c r="J989" s="1" t="s">
        <v>78</v>
      </c>
    </row>
    <row r="990" spans="1:10" x14ac:dyDescent="0.25">
      <c r="A990" s="1" t="s">
        <v>42</v>
      </c>
      <c r="B990" s="1" t="s">
        <v>12</v>
      </c>
      <c r="C990" s="1" t="s">
        <v>31</v>
      </c>
      <c r="D990" s="4">
        <v>124.88038000000006</v>
      </c>
      <c r="E990" s="4">
        <v>688.20938000000001</v>
      </c>
      <c r="F990" s="4">
        <v>423.1030475591399</v>
      </c>
      <c r="G990" s="4">
        <v>1718.1725310781678</v>
      </c>
      <c r="H990" s="19">
        <v>-0.70484641809973092</v>
      </c>
      <c r="J990" s="1" t="s">
        <v>78</v>
      </c>
    </row>
    <row r="991" spans="1:10" x14ac:dyDescent="0.25">
      <c r="A991" s="1" t="s">
        <v>42</v>
      </c>
      <c r="B991" s="1" t="s">
        <v>12</v>
      </c>
      <c r="C991" s="1" t="s">
        <v>32</v>
      </c>
      <c r="D991" s="4">
        <v>-85.39870922885882</v>
      </c>
      <c r="E991" s="4">
        <v>-2525.1795292288571</v>
      </c>
      <c r="F991" s="4">
        <v>544.34904770392859</v>
      </c>
      <c r="G991" s="4">
        <v>3046.8098546713272</v>
      </c>
      <c r="H991" s="19">
        <v>-1.1568822607278761</v>
      </c>
      <c r="J991" s="1" t="s">
        <v>78</v>
      </c>
    </row>
    <row r="992" spans="1:10" x14ac:dyDescent="0.25">
      <c r="A992" s="1" t="s">
        <v>43</v>
      </c>
      <c r="B992" s="1" t="s">
        <v>22</v>
      </c>
      <c r="C992" s="1" t="s">
        <v>63</v>
      </c>
      <c r="D992" s="4">
        <v>-797.97797000003629</v>
      </c>
      <c r="E992" s="4">
        <v>1023.9147299999604</v>
      </c>
      <c r="F992" s="4">
        <v>8734.8787593984907</v>
      </c>
      <c r="G992" s="4">
        <v>125870.07627819544</v>
      </c>
      <c r="H992" s="19">
        <v>-1.0913553572957648</v>
      </c>
      <c r="J992" s="1" t="s">
        <v>78</v>
      </c>
    </row>
    <row r="993" spans="1:10" x14ac:dyDescent="0.25">
      <c r="A993" s="1" t="s">
        <v>43</v>
      </c>
      <c r="B993" s="1" t="s">
        <v>22</v>
      </c>
      <c r="C993" s="1" t="s">
        <v>26</v>
      </c>
      <c r="E993" s="4">
        <v>143337.50661000001</v>
      </c>
      <c r="G993" s="4">
        <v>190438.90331759403</v>
      </c>
      <c r="H993" s="19">
        <v>0</v>
      </c>
      <c r="J993" s="1" t="s">
        <v>78</v>
      </c>
    </row>
    <row r="994" spans="1:10" x14ac:dyDescent="0.25">
      <c r="A994" s="1" t="s">
        <v>43</v>
      </c>
      <c r="B994" s="1" t="s">
        <v>22</v>
      </c>
      <c r="C994" s="1" t="s">
        <v>27</v>
      </c>
      <c r="D994" s="4">
        <v>0</v>
      </c>
      <c r="E994" s="4">
        <v>323040.19003000006</v>
      </c>
      <c r="G994" s="4">
        <v>213916.70486312557</v>
      </c>
      <c r="H994" s="19">
        <v>0</v>
      </c>
      <c r="J994" s="1" t="s">
        <v>78</v>
      </c>
    </row>
    <row r="995" spans="1:10" x14ac:dyDescent="0.25">
      <c r="A995" s="1" t="s">
        <v>43</v>
      </c>
      <c r="B995" s="1" t="s">
        <v>22</v>
      </c>
      <c r="C995" s="1" t="s">
        <v>21</v>
      </c>
      <c r="D995" s="4">
        <v>496.89</v>
      </c>
      <c r="E995" s="4">
        <v>21314.219359999996</v>
      </c>
      <c r="F995" s="4">
        <v>10575.010092174882</v>
      </c>
      <c r="G995" s="4">
        <v>141306.83027652465</v>
      </c>
      <c r="H995" s="19">
        <v>-0.95301281079933153</v>
      </c>
      <c r="J995" s="1" t="s">
        <v>78</v>
      </c>
    </row>
    <row r="996" spans="1:10" x14ac:dyDescent="0.25">
      <c r="A996" s="1" t="s">
        <v>43</v>
      </c>
      <c r="B996" s="1" t="s">
        <v>22</v>
      </c>
      <c r="C996" s="1" t="s">
        <v>28</v>
      </c>
      <c r="D996" s="4">
        <v>727275.48000000045</v>
      </c>
      <c r="E996" s="4">
        <v>4233149.03</v>
      </c>
      <c r="F996" s="4">
        <v>1608965.6169009011</v>
      </c>
      <c r="G996" s="4">
        <v>9389896.850702703</v>
      </c>
      <c r="H996" s="19">
        <v>-0.54798569194981461</v>
      </c>
      <c r="J996" s="1" t="s">
        <v>78</v>
      </c>
    </row>
    <row r="997" spans="1:10" x14ac:dyDescent="0.25">
      <c r="A997" s="1" t="s">
        <v>43</v>
      </c>
      <c r="B997" s="1" t="s">
        <v>22</v>
      </c>
      <c r="C997" s="1" t="s">
        <v>29</v>
      </c>
      <c r="D997" s="4">
        <v>14220</v>
      </c>
      <c r="E997" s="4">
        <v>349967</v>
      </c>
      <c r="F997" s="4">
        <v>97666</v>
      </c>
      <c r="G997" s="4">
        <v>553998</v>
      </c>
      <c r="H997" s="19">
        <v>-0.85440173653062479</v>
      </c>
      <c r="J997" s="1" t="s">
        <v>78</v>
      </c>
    </row>
    <row r="998" spans="1:10" x14ac:dyDescent="0.25">
      <c r="A998" s="1" t="s">
        <v>43</v>
      </c>
      <c r="B998" s="1" t="s">
        <v>22</v>
      </c>
      <c r="C998" s="1" t="s">
        <v>30</v>
      </c>
      <c r="D998" s="4">
        <v>42</v>
      </c>
      <c r="E998" s="4">
        <v>248</v>
      </c>
      <c r="F998" s="4">
        <v>68</v>
      </c>
      <c r="G998" s="4">
        <v>408</v>
      </c>
      <c r="H998" s="19">
        <v>-0.38235294117647056</v>
      </c>
      <c r="J998" s="1" t="s">
        <v>78</v>
      </c>
    </row>
    <row r="999" spans="1:10" x14ac:dyDescent="0.25">
      <c r="A999" s="1" t="s">
        <v>43</v>
      </c>
      <c r="B999" s="1" t="s">
        <v>22</v>
      </c>
      <c r="C999" s="1" t="s">
        <v>31</v>
      </c>
      <c r="D999" s="4">
        <v>859.59473000000071</v>
      </c>
      <c r="E999" s="4">
        <v>5561.478540000001</v>
      </c>
      <c r="F999" s="4">
        <v>2202.6830593652157</v>
      </c>
      <c r="G999" s="4">
        <v>11824.270465638434</v>
      </c>
      <c r="H999" s="19">
        <v>-0.60975105957925491</v>
      </c>
      <c r="J999" s="1" t="s">
        <v>78</v>
      </c>
    </row>
    <row r="1000" spans="1:10" x14ac:dyDescent="0.25">
      <c r="A1000" s="1" t="s">
        <v>43</v>
      </c>
      <c r="B1000" s="1" t="s">
        <v>22</v>
      </c>
      <c r="C1000" s="1" t="s">
        <v>32</v>
      </c>
      <c r="D1000" s="4">
        <v>-1314.7079417472091</v>
      </c>
      <c r="E1000" s="4">
        <v>6744.3057182527891</v>
      </c>
      <c r="F1000" s="4">
        <v>20.224803992507077</v>
      </c>
      <c r="G1000" s="4">
        <v>16527.896076950659</v>
      </c>
      <c r="H1000" s="19">
        <v>-66.004730935057992</v>
      </c>
      <c r="J1000" s="1" t="s">
        <v>78</v>
      </c>
    </row>
    <row r="1001" spans="1:10" x14ac:dyDescent="0.25">
      <c r="A1001" s="1" t="s">
        <v>44</v>
      </c>
      <c r="B1001" s="1" t="s">
        <v>0</v>
      </c>
      <c r="C1001" s="1" t="s">
        <v>63</v>
      </c>
      <c r="D1001" s="4">
        <v>15047.350619999997</v>
      </c>
      <c r="E1001" s="4">
        <v>28406.328689999995</v>
      </c>
      <c r="F1001" s="4">
        <v>5601.4829260651622</v>
      </c>
      <c r="G1001" s="4">
        <v>84069.888778195498</v>
      </c>
      <c r="H1001" s="19">
        <v>1.6863155379766932</v>
      </c>
      <c r="J1001" s="1" t="s">
        <v>78</v>
      </c>
    </row>
    <row r="1002" spans="1:10" x14ac:dyDescent="0.25">
      <c r="A1002" s="1" t="s">
        <v>44</v>
      </c>
      <c r="B1002" s="1" t="s">
        <v>0</v>
      </c>
      <c r="C1002" s="1" t="s">
        <v>26</v>
      </c>
      <c r="E1002" s="4">
        <v>106351.4526</v>
      </c>
      <c r="G1002" s="4">
        <v>92311.610504260636</v>
      </c>
      <c r="H1002" s="19">
        <v>0</v>
      </c>
      <c r="J1002" s="1" t="s">
        <v>78</v>
      </c>
    </row>
    <row r="1003" spans="1:10" x14ac:dyDescent="0.25">
      <c r="A1003" s="1" t="s">
        <v>44</v>
      </c>
      <c r="B1003" s="1" t="s">
        <v>0</v>
      </c>
      <c r="C1003" s="1" t="s">
        <v>27</v>
      </c>
      <c r="D1003" s="4">
        <v>0</v>
      </c>
      <c r="E1003" s="4">
        <v>174733.39354000002</v>
      </c>
      <c r="G1003" s="4">
        <v>160856.19580297393</v>
      </c>
      <c r="H1003" s="19">
        <v>0</v>
      </c>
      <c r="J1003" s="1" t="s">
        <v>78</v>
      </c>
    </row>
    <row r="1004" spans="1:10" x14ac:dyDescent="0.25">
      <c r="A1004" s="1" t="s">
        <v>44</v>
      </c>
      <c r="B1004" s="1" t="s">
        <v>0</v>
      </c>
      <c r="C1004" s="1" t="s">
        <v>21</v>
      </c>
      <c r="D1004" s="4">
        <v>442.30599999999998</v>
      </c>
      <c r="E1004" s="4">
        <v>11705.496000000001</v>
      </c>
      <c r="F1004" s="4">
        <v>11147.112999582288</v>
      </c>
      <c r="G1004" s="4">
        <v>102523.13899874686</v>
      </c>
      <c r="H1004" s="19">
        <v>-0.96032102661769236</v>
      </c>
      <c r="J1004" s="1" t="s">
        <v>78</v>
      </c>
    </row>
    <row r="1005" spans="1:10" x14ac:dyDescent="0.25">
      <c r="A1005" s="1" t="s">
        <v>44</v>
      </c>
      <c r="B1005" s="1" t="s">
        <v>0</v>
      </c>
      <c r="C1005" s="1" t="s">
        <v>28</v>
      </c>
      <c r="D1005" s="4">
        <v>16000</v>
      </c>
      <c r="E1005" s="4">
        <v>222990.31</v>
      </c>
      <c r="F1005" s="4">
        <v>124221.61012837839</v>
      </c>
      <c r="G1005" s="4">
        <v>843664.83038513514</v>
      </c>
      <c r="H1005" s="19">
        <v>-0.87119793421237579</v>
      </c>
      <c r="J1005" s="1" t="s">
        <v>78</v>
      </c>
    </row>
    <row r="1006" spans="1:10" x14ac:dyDescent="0.25">
      <c r="A1006" s="1" t="s">
        <v>44</v>
      </c>
      <c r="B1006" s="1" t="s">
        <v>0</v>
      </c>
      <c r="C1006" s="1" t="s">
        <v>29</v>
      </c>
      <c r="D1006" s="4">
        <v>771</v>
      </c>
      <c r="E1006" s="4">
        <v>323585</v>
      </c>
      <c r="F1006" s="4">
        <v>28000</v>
      </c>
      <c r="G1006" s="4">
        <v>186000</v>
      </c>
      <c r="H1006" s="19">
        <v>-0.97246428571428567</v>
      </c>
      <c r="J1006" s="1" t="s">
        <v>78</v>
      </c>
    </row>
    <row r="1007" spans="1:10" x14ac:dyDescent="0.25">
      <c r="A1007" s="1" t="s">
        <v>44</v>
      </c>
      <c r="B1007" s="1" t="s">
        <v>0</v>
      </c>
      <c r="C1007" s="1" t="s">
        <v>30</v>
      </c>
      <c r="D1007" s="4">
        <v>91</v>
      </c>
      <c r="E1007" s="4">
        <v>313</v>
      </c>
      <c r="F1007" s="4">
        <v>66</v>
      </c>
      <c r="G1007" s="4">
        <v>396</v>
      </c>
      <c r="H1007" s="19">
        <v>0.37878787878787878</v>
      </c>
      <c r="J1007" s="1" t="s">
        <v>78</v>
      </c>
    </row>
    <row r="1008" spans="1:10" x14ac:dyDescent="0.25">
      <c r="A1008" s="1" t="s">
        <v>44</v>
      </c>
      <c r="B1008" s="1" t="s">
        <v>0</v>
      </c>
      <c r="C1008" s="1" t="s">
        <v>31</v>
      </c>
      <c r="D1008" s="4">
        <v>124.79442000000029</v>
      </c>
      <c r="E1008" s="4">
        <v>1081.3711000000003</v>
      </c>
      <c r="F1008" s="4">
        <v>740.77181769293247</v>
      </c>
      <c r="G1008" s="4">
        <v>3034.2377676459914</v>
      </c>
      <c r="H1008" s="19">
        <v>-0.83153460077806229</v>
      </c>
      <c r="J1008" s="1" t="s">
        <v>78</v>
      </c>
    </row>
    <row r="1009" spans="1:10" x14ac:dyDescent="0.25">
      <c r="A1009" s="1" t="s">
        <v>44</v>
      </c>
      <c r="B1009" s="1" t="s">
        <v>0</v>
      </c>
      <c r="C1009" s="1" t="s">
        <v>32</v>
      </c>
      <c r="D1009" s="4">
        <v>708.36629059119798</v>
      </c>
      <c r="E1009" s="4">
        <v>3420.1822905911999</v>
      </c>
      <c r="F1009" s="4">
        <v>1759.9093792532585</v>
      </c>
      <c r="G1009" s="4">
        <v>9478.7875871678152</v>
      </c>
      <c r="H1009" s="19">
        <v>-0.5974984286453644</v>
      </c>
      <c r="J1009" s="1" t="s">
        <v>78</v>
      </c>
    </row>
    <row r="1010" spans="1:10" x14ac:dyDescent="0.25">
      <c r="A1010" s="1" t="s">
        <v>45</v>
      </c>
      <c r="B1010" s="1" t="s">
        <v>9</v>
      </c>
      <c r="C1010" s="1" t="s">
        <v>63</v>
      </c>
      <c r="D1010" s="4">
        <v>-4681.8955100000021</v>
      </c>
      <c r="E1010" s="4">
        <v>-22477.590919999959</v>
      </c>
      <c r="F1010" s="4">
        <v>2789.9353070175348</v>
      </c>
      <c r="G1010" s="4">
        <v>86900.685921052558</v>
      </c>
      <c r="H1010" s="19">
        <v>-2.6781376608352216</v>
      </c>
      <c r="J1010" s="1" t="s">
        <v>78</v>
      </c>
    </row>
    <row r="1011" spans="1:10" x14ac:dyDescent="0.25">
      <c r="A1011" s="1" t="s">
        <v>45</v>
      </c>
      <c r="B1011" s="1" t="s">
        <v>9</v>
      </c>
      <c r="C1011" s="1" t="s">
        <v>26</v>
      </c>
      <c r="E1011" s="4">
        <v>172611.81792</v>
      </c>
      <c r="G1011" s="4">
        <v>213937.44314807013</v>
      </c>
      <c r="H1011" s="19">
        <v>0</v>
      </c>
      <c r="J1011" s="1" t="s">
        <v>78</v>
      </c>
    </row>
    <row r="1012" spans="1:10" x14ac:dyDescent="0.25">
      <c r="A1012" s="1" t="s">
        <v>45</v>
      </c>
      <c r="B1012" s="1" t="s">
        <v>9</v>
      </c>
      <c r="C1012" s="1" t="s">
        <v>27</v>
      </c>
      <c r="D1012" s="4">
        <v>0</v>
      </c>
      <c r="E1012" s="4">
        <v>121886.33307999995</v>
      </c>
      <c r="G1012" s="4">
        <v>134901.04615110264</v>
      </c>
      <c r="H1012" s="19">
        <v>0</v>
      </c>
      <c r="J1012" s="1" t="s">
        <v>78</v>
      </c>
    </row>
    <row r="1013" spans="1:10" x14ac:dyDescent="0.25">
      <c r="A1013" s="1" t="s">
        <v>45</v>
      </c>
      <c r="B1013" s="1" t="s">
        <v>9</v>
      </c>
      <c r="C1013" s="1" t="s">
        <v>21</v>
      </c>
      <c r="D1013" s="4">
        <v>613.75599999999997</v>
      </c>
      <c r="E1013" s="4">
        <v>9796.6821099999997</v>
      </c>
      <c r="F1013" s="4">
        <v>4997.5589678362567</v>
      </c>
      <c r="G1013" s="4">
        <v>98156.276903508784</v>
      </c>
      <c r="H1013" s="19">
        <v>-0.8771888428030431</v>
      </c>
      <c r="J1013" s="1" t="s">
        <v>78</v>
      </c>
    </row>
    <row r="1014" spans="1:10" x14ac:dyDescent="0.25">
      <c r="A1014" s="1" t="s">
        <v>45</v>
      </c>
      <c r="B1014" s="1" t="s">
        <v>9</v>
      </c>
      <c r="C1014" s="1" t="s">
        <v>28</v>
      </c>
      <c r="D1014" s="4">
        <v>6000</v>
      </c>
      <c r="E1014" s="4">
        <v>221900</v>
      </c>
      <c r="F1014" s="4">
        <v>62110.805064189197</v>
      </c>
      <c r="G1014" s="4">
        <v>966332.41519256774</v>
      </c>
      <c r="H1014" s="19">
        <v>-0.90339845065928182</v>
      </c>
      <c r="J1014" s="1" t="s">
        <v>78</v>
      </c>
    </row>
    <row r="1015" spans="1:10" x14ac:dyDescent="0.25">
      <c r="A1015" s="1" t="s">
        <v>45</v>
      </c>
      <c r="B1015" s="1" t="s">
        <v>9</v>
      </c>
      <c r="C1015" s="1" t="s">
        <v>29</v>
      </c>
      <c r="D1015" s="4">
        <v>530</v>
      </c>
      <c r="E1015" s="4">
        <v>3648</v>
      </c>
      <c r="F1015" s="4">
        <v>14000</v>
      </c>
      <c r="G1015" s="4">
        <v>96000</v>
      </c>
      <c r="H1015" s="19">
        <v>-0.96214285714285719</v>
      </c>
      <c r="J1015" s="1" t="s">
        <v>78</v>
      </c>
    </row>
    <row r="1016" spans="1:10" x14ac:dyDescent="0.25">
      <c r="A1016" s="1" t="s">
        <v>45</v>
      </c>
      <c r="B1016" s="1" t="s">
        <v>9</v>
      </c>
      <c r="C1016" s="1" t="s">
        <v>30</v>
      </c>
      <c r="D1016" s="4">
        <v>35</v>
      </c>
      <c r="E1016" s="4">
        <v>155</v>
      </c>
      <c r="F1016" s="4">
        <v>76</v>
      </c>
      <c r="G1016" s="4">
        <v>456</v>
      </c>
      <c r="H1016" s="19">
        <v>-0.53947368421052633</v>
      </c>
      <c r="J1016" s="1" t="s">
        <v>78</v>
      </c>
    </row>
    <row r="1017" spans="1:10" x14ac:dyDescent="0.25">
      <c r="A1017" s="1" t="s">
        <v>45</v>
      </c>
      <c r="B1017" s="1" t="s">
        <v>9</v>
      </c>
      <c r="C1017" s="1" t="s">
        <v>31</v>
      </c>
      <c r="D1017" s="4">
        <v>96.676039999999944</v>
      </c>
      <c r="E1017" s="4">
        <v>1033.69688</v>
      </c>
      <c r="F1017" s="4">
        <v>381.50936566990572</v>
      </c>
      <c r="G1017" s="4">
        <v>1764.5345729735575</v>
      </c>
      <c r="H1017" s="19">
        <v>-0.74659589331380349</v>
      </c>
      <c r="J1017" s="1" t="s">
        <v>78</v>
      </c>
    </row>
    <row r="1018" spans="1:10" x14ac:dyDescent="0.25">
      <c r="A1018" s="1" t="s">
        <v>45</v>
      </c>
      <c r="B1018" s="1" t="s">
        <v>9</v>
      </c>
      <c r="C1018" s="1" t="s">
        <v>32</v>
      </c>
      <c r="D1018" s="4">
        <v>-639.94358493755362</v>
      </c>
      <c r="E1018" s="4">
        <v>-2606.9625649375548</v>
      </c>
      <c r="F1018" s="4">
        <v>334.35166809539487</v>
      </c>
      <c r="G1018" s="4">
        <v>-1086.2585924607647</v>
      </c>
      <c r="H1018" s="19">
        <v>-2.91398352693419</v>
      </c>
      <c r="J1018" s="1" t="s">
        <v>78</v>
      </c>
    </row>
    <row r="1019" spans="1:10" x14ac:dyDescent="0.25">
      <c r="A1019" s="1" t="s">
        <v>46</v>
      </c>
      <c r="B1019" s="1" t="s">
        <v>2</v>
      </c>
      <c r="C1019" s="1" t="s">
        <v>63</v>
      </c>
      <c r="D1019" s="4">
        <v>7873.8618000000715</v>
      </c>
      <c r="E1019" s="4">
        <v>20104.464330000046</v>
      </c>
      <c r="F1019" s="4">
        <v>6907.3728070175648</v>
      </c>
      <c r="G1019" s="4">
        <v>96918.438421052837</v>
      </c>
      <c r="H1019" s="19">
        <v>0.13992135939160538</v>
      </c>
      <c r="J1019" s="1" t="s">
        <v>78</v>
      </c>
    </row>
    <row r="1020" spans="1:10" x14ac:dyDescent="0.25">
      <c r="A1020" s="1" t="s">
        <v>46</v>
      </c>
      <c r="B1020" s="1" t="s">
        <v>2</v>
      </c>
      <c r="C1020" s="1" t="s">
        <v>26</v>
      </c>
      <c r="E1020" s="4">
        <v>354700.05326000007</v>
      </c>
      <c r="G1020" s="4">
        <v>362289.17340807023</v>
      </c>
      <c r="H1020" s="19">
        <v>0</v>
      </c>
      <c r="J1020" s="1" t="s">
        <v>78</v>
      </c>
    </row>
    <row r="1021" spans="1:10" x14ac:dyDescent="0.25">
      <c r="A1021" s="1" t="s">
        <v>46</v>
      </c>
      <c r="B1021" s="1" t="s">
        <v>2</v>
      </c>
      <c r="C1021" s="1" t="s">
        <v>27</v>
      </c>
      <c r="D1021" s="4">
        <v>0</v>
      </c>
      <c r="E1021" s="4">
        <v>336051.4486129366</v>
      </c>
      <c r="G1021" s="4">
        <v>240297.15735874238</v>
      </c>
      <c r="H1021" s="19">
        <v>0</v>
      </c>
      <c r="J1021" s="1" t="s">
        <v>78</v>
      </c>
    </row>
    <row r="1022" spans="1:10" x14ac:dyDescent="0.25">
      <c r="A1022" s="1" t="s">
        <v>46</v>
      </c>
      <c r="B1022" s="1" t="s">
        <v>2</v>
      </c>
      <c r="C1022" s="1" t="s">
        <v>21</v>
      </c>
      <c r="D1022" s="4">
        <v>1029.96255</v>
      </c>
      <c r="E1022" s="4">
        <v>27136.83885</v>
      </c>
      <c r="F1022" s="4">
        <v>12373.04780116959</v>
      </c>
      <c r="G1022" s="4">
        <v>117364.54340350878</v>
      </c>
      <c r="H1022" s="19">
        <v>-0.91675757125074386</v>
      </c>
      <c r="J1022" s="1" t="s">
        <v>78</v>
      </c>
    </row>
    <row r="1023" spans="1:10" x14ac:dyDescent="0.25">
      <c r="A1023" s="1" t="s">
        <v>46</v>
      </c>
      <c r="B1023" s="1" t="s">
        <v>2</v>
      </c>
      <c r="C1023" s="1" t="s">
        <v>28</v>
      </c>
      <c r="D1023" s="4">
        <v>36475</v>
      </c>
      <c r="E1023" s="4">
        <v>410107</v>
      </c>
      <c r="F1023" s="4">
        <v>248443.22025675679</v>
      </c>
      <c r="G1023" s="4">
        <v>1303329.6607702703</v>
      </c>
      <c r="H1023" s="19">
        <v>-0.85318577032488774</v>
      </c>
      <c r="J1023" s="1" t="s">
        <v>78</v>
      </c>
    </row>
    <row r="1024" spans="1:10" x14ac:dyDescent="0.25">
      <c r="A1024" s="1" t="s">
        <v>46</v>
      </c>
      <c r="B1024" s="1" t="s">
        <v>2</v>
      </c>
      <c r="C1024" s="1" t="s">
        <v>29</v>
      </c>
      <c r="D1024" s="4">
        <v>39283</v>
      </c>
      <c r="E1024" s="4">
        <v>409940</v>
      </c>
      <c r="F1024" s="4">
        <v>56000</v>
      </c>
      <c r="G1024" s="4">
        <v>402000</v>
      </c>
      <c r="H1024" s="19">
        <v>-0.29851785714285717</v>
      </c>
      <c r="J1024" s="1" t="s">
        <v>78</v>
      </c>
    </row>
    <row r="1025" spans="1:10" x14ac:dyDescent="0.25">
      <c r="A1025" s="1" t="s">
        <v>46</v>
      </c>
      <c r="B1025" s="1" t="s">
        <v>2</v>
      </c>
      <c r="C1025" s="1" t="s">
        <v>30</v>
      </c>
      <c r="D1025" s="4">
        <v>70</v>
      </c>
      <c r="E1025" s="4">
        <v>379</v>
      </c>
      <c r="F1025" s="4">
        <v>98</v>
      </c>
      <c r="G1025" s="4">
        <v>588</v>
      </c>
      <c r="H1025" s="19">
        <v>-0.2857142857142857</v>
      </c>
      <c r="J1025" s="1" t="s">
        <v>78</v>
      </c>
    </row>
    <row r="1026" spans="1:10" x14ac:dyDescent="0.25">
      <c r="A1026" s="1" t="s">
        <v>46</v>
      </c>
      <c r="B1026" s="1" t="s">
        <v>2</v>
      </c>
      <c r="C1026" s="1" t="s">
        <v>31</v>
      </c>
      <c r="D1026" s="4">
        <v>355.20190000000002</v>
      </c>
      <c r="E1026" s="4">
        <v>1945.1738199999998</v>
      </c>
      <c r="F1026" s="4">
        <v>816.67724755148629</v>
      </c>
      <c r="G1026" s="4">
        <v>3589.0479588380113</v>
      </c>
      <c r="H1026" s="19">
        <v>-0.56506453306377091</v>
      </c>
      <c r="J1026" s="1" t="s">
        <v>78</v>
      </c>
    </row>
    <row r="1027" spans="1:10" x14ac:dyDescent="0.25">
      <c r="A1027" s="1" t="s">
        <v>46</v>
      </c>
      <c r="B1027" s="1" t="s">
        <v>2</v>
      </c>
      <c r="C1027" s="1" t="s">
        <v>32</v>
      </c>
      <c r="D1027" s="4">
        <v>-882.99926309671343</v>
      </c>
      <c r="E1027" s="4">
        <v>-5582.7790530967195</v>
      </c>
      <c r="F1027" s="4">
        <v>3597.0382258461345</v>
      </c>
      <c r="G1027" s="4">
        <v>2645.2461899850778</v>
      </c>
      <c r="H1027" s="19">
        <v>-1.2454795327867287</v>
      </c>
      <c r="J1027" s="1" t="s">
        <v>78</v>
      </c>
    </row>
    <row r="1028" spans="1:10" x14ac:dyDescent="0.25">
      <c r="A1028" s="1" t="s">
        <v>47</v>
      </c>
      <c r="B1028" s="1" t="s">
        <v>6</v>
      </c>
      <c r="C1028" s="1" t="s">
        <v>63</v>
      </c>
      <c r="D1028" s="4">
        <v>-19874.476570000006</v>
      </c>
      <c r="E1028" s="4">
        <v>10484.834079999979</v>
      </c>
      <c r="F1028" s="4">
        <v>2867.6228070175425</v>
      </c>
      <c r="G1028" s="4">
        <v>75133.748421052645</v>
      </c>
      <c r="H1028" s="19">
        <v>-7.9306453140782347</v>
      </c>
      <c r="J1028" s="1" t="s">
        <v>78</v>
      </c>
    </row>
    <row r="1029" spans="1:10" x14ac:dyDescent="0.25">
      <c r="A1029" s="1" t="s">
        <v>47</v>
      </c>
      <c r="B1029" s="1" t="s">
        <v>6</v>
      </c>
      <c r="C1029" s="1" t="s">
        <v>26</v>
      </c>
      <c r="E1029" s="4">
        <v>49557.84154999999</v>
      </c>
      <c r="G1029" s="4">
        <v>57273.910748070179</v>
      </c>
      <c r="H1029" s="19">
        <v>0</v>
      </c>
      <c r="J1029" s="1" t="s">
        <v>78</v>
      </c>
    </row>
    <row r="1030" spans="1:10" x14ac:dyDescent="0.25">
      <c r="A1030" s="1" t="s">
        <v>47</v>
      </c>
      <c r="B1030" s="1" t="s">
        <v>6</v>
      </c>
      <c r="C1030" s="1" t="s">
        <v>27</v>
      </c>
      <c r="D1030" s="4">
        <v>0</v>
      </c>
      <c r="E1030" s="4">
        <v>205458.77892999994</v>
      </c>
      <c r="G1030" s="4">
        <v>185450.53241830686</v>
      </c>
      <c r="H1030" s="19">
        <v>0</v>
      </c>
      <c r="J1030" s="1" t="s">
        <v>78</v>
      </c>
    </row>
    <row r="1031" spans="1:10" x14ac:dyDescent="0.25">
      <c r="A1031" s="1" t="s">
        <v>47</v>
      </c>
      <c r="B1031" s="1" t="s">
        <v>6</v>
      </c>
      <c r="C1031" s="1" t="s">
        <v>21</v>
      </c>
      <c r="D1031" s="4">
        <v>2055.6759999999999</v>
      </c>
      <c r="E1031" s="4">
        <v>25887.197250000001</v>
      </c>
      <c r="F1031" s="4">
        <v>5136.719134502925</v>
      </c>
      <c r="G1031" s="4">
        <v>83573.757403508789</v>
      </c>
      <c r="H1031" s="19">
        <v>-0.5998075919331094</v>
      </c>
      <c r="J1031" s="1" t="s">
        <v>78</v>
      </c>
    </row>
    <row r="1032" spans="1:10" x14ac:dyDescent="0.25">
      <c r="A1032" s="1" t="s">
        <v>47</v>
      </c>
      <c r="B1032" s="1" t="s">
        <v>6</v>
      </c>
      <c r="C1032" s="1" t="s">
        <v>28</v>
      </c>
      <c r="D1032" s="4">
        <v>0</v>
      </c>
      <c r="E1032" s="4">
        <v>283048</v>
      </c>
      <c r="F1032" s="4">
        <v>0</v>
      </c>
      <c r="G1032" s="4">
        <v>102000</v>
      </c>
      <c r="H1032" s="19">
        <v>0</v>
      </c>
      <c r="J1032" s="1" t="s">
        <v>78</v>
      </c>
    </row>
    <row r="1033" spans="1:10" x14ac:dyDescent="0.25">
      <c r="A1033" s="1" t="s">
        <v>47</v>
      </c>
      <c r="B1033" s="1" t="s">
        <v>6</v>
      </c>
      <c r="C1033" s="1" t="s">
        <v>29</v>
      </c>
      <c r="D1033" s="4">
        <v>0</v>
      </c>
      <c r="E1033" s="4">
        <v>7781</v>
      </c>
      <c r="F1033" s="4">
        <v>0</v>
      </c>
      <c r="G1033" s="4">
        <v>6000</v>
      </c>
      <c r="H1033" s="19">
        <v>0</v>
      </c>
      <c r="J1033" s="1" t="s">
        <v>78</v>
      </c>
    </row>
    <row r="1034" spans="1:10" x14ac:dyDescent="0.25">
      <c r="A1034" s="1" t="s">
        <v>47</v>
      </c>
      <c r="B1034" s="1" t="s">
        <v>6</v>
      </c>
      <c r="C1034" s="1" t="s">
        <v>30</v>
      </c>
      <c r="D1034" s="4">
        <v>74</v>
      </c>
      <c r="E1034" s="4">
        <v>270</v>
      </c>
      <c r="F1034" s="4">
        <v>73</v>
      </c>
      <c r="G1034" s="4">
        <v>438</v>
      </c>
      <c r="H1034" s="19">
        <v>1.3698630136986301E-2</v>
      </c>
      <c r="J1034" s="1" t="s">
        <v>78</v>
      </c>
    </row>
    <row r="1035" spans="1:10" x14ac:dyDescent="0.25">
      <c r="A1035" s="1" t="s">
        <v>47</v>
      </c>
      <c r="B1035" s="1" t="s">
        <v>6</v>
      </c>
      <c r="C1035" s="1" t="s">
        <v>31</v>
      </c>
      <c r="D1035" s="4">
        <v>143.59574000000021</v>
      </c>
      <c r="E1035" s="4">
        <v>1735.7836900000002</v>
      </c>
      <c r="F1035" s="4">
        <v>319.31512376804494</v>
      </c>
      <c r="G1035" s="4">
        <v>1969.5708611342423</v>
      </c>
      <c r="H1035" s="19">
        <v>-0.55030084918774413</v>
      </c>
      <c r="J1035" s="1" t="s">
        <v>78</v>
      </c>
    </row>
    <row r="1036" spans="1:10" x14ac:dyDescent="0.25">
      <c r="A1036" s="1" t="s">
        <v>47</v>
      </c>
      <c r="B1036" s="1" t="s">
        <v>6</v>
      </c>
      <c r="C1036" s="1" t="s">
        <v>32</v>
      </c>
      <c r="D1036" s="4">
        <v>-826.66529502623996</v>
      </c>
      <c r="E1036" s="4">
        <v>3544.6200149737651</v>
      </c>
      <c r="F1036" s="4">
        <v>1643.6323659494246</v>
      </c>
      <c r="G1036" s="4">
        <v>9461.8066453086612</v>
      </c>
      <c r="H1036" s="19">
        <v>-1.5029502412777853</v>
      </c>
      <c r="J1036" s="1" t="s">
        <v>78</v>
      </c>
    </row>
    <row r="1037" spans="1:10" x14ac:dyDescent="0.25">
      <c r="A1037" s="1" t="s">
        <v>48</v>
      </c>
      <c r="B1037" s="1" t="s">
        <v>17</v>
      </c>
      <c r="C1037" s="1" t="s">
        <v>63</v>
      </c>
      <c r="D1037" s="4">
        <v>12224.785969999997</v>
      </c>
      <c r="E1037" s="4">
        <v>-37264.250259999943</v>
      </c>
      <c r="F1037" s="4">
        <v>2986.0037593985198</v>
      </c>
      <c r="G1037" s="4">
        <v>91088.89127819553</v>
      </c>
      <c r="H1037" s="19">
        <v>3.094028994947573</v>
      </c>
      <c r="J1037" s="1" t="s">
        <v>78</v>
      </c>
    </row>
    <row r="1038" spans="1:10" x14ac:dyDescent="0.25">
      <c r="A1038" s="1" t="s">
        <v>48</v>
      </c>
      <c r="B1038" s="1" t="s">
        <v>17</v>
      </c>
      <c r="C1038" s="1" t="s">
        <v>26</v>
      </c>
      <c r="E1038" s="4">
        <v>185741.00123000002</v>
      </c>
      <c r="G1038" s="4">
        <v>233596.85190759395</v>
      </c>
      <c r="H1038" s="19">
        <v>0</v>
      </c>
      <c r="J1038" s="1" t="s">
        <v>78</v>
      </c>
    </row>
    <row r="1039" spans="1:10" x14ac:dyDescent="0.25">
      <c r="A1039" s="1" t="s">
        <v>48</v>
      </c>
      <c r="B1039" s="1" t="s">
        <v>17</v>
      </c>
      <c r="C1039" s="1" t="s">
        <v>27</v>
      </c>
      <c r="D1039" s="4">
        <v>0</v>
      </c>
      <c r="E1039" s="4">
        <v>145170.73618999997</v>
      </c>
      <c r="G1039" s="4">
        <v>105291.54022401386</v>
      </c>
      <c r="H1039" s="19">
        <v>0</v>
      </c>
      <c r="J1039" s="1" t="s">
        <v>78</v>
      </c>
    </row>
    <row r="1040" spans="1:10" x14ac:dyDescent="0.25">
      <c r="A1040" s="1" t="s">
        <v>48</v>
      </c>
      <c r="B1040" s="1" t="s">
        <v>17</v>
      </c>
      <c r="C1040" s="1" t="s">
        <v>21</v>
      </c>
      <c r="D1040" s="4">
        <v>5248.5159999999996</v>
      </c>
      <c r="E1040" s="4">
        <v>28716.314849999999</v>
      </c>
      <c r="F1040" s="4">
        <v>5348.7727218045111</v>
      </c>
      <c r="G1040" s="4">
        <v>103709.91816541352</v>
      </c>
      <c r="H1040" s="19">
        <v>-1.8743873972399398E-2</v>
      </c>
      <c r="J1040" s="1" t="s">
        <v>78</v>
      </c>
    </row>
    <row r="1041" spans="1:10" x14ac:dyDescent="0.25">
      <c r="A1041" s="1" t="s">
        <v>48</v>
      </c>
      <c r="B1041" s="1" t="s">
        <v>17</v>
      </c>
      <c r="C1041" s="1" t="s">
        <v>28</v>
      </c>
      <c r="D1041" s="4">
        <v>1744853</v>
      </c>
      <c r="E1041" s="4">
        <v>4691747</v>
      </c>
      <c r="F1041" s="4">
        <v>62110.805064189197</v>
      </c>
      <c r="G1041" s="4">
        <v>2670332.4151925677</v>
      </c>
      <c r="H1041" s="19">
        <v>27.092583861966684</v>
      </c>
      <c r="J1041" s="1" t="s">
        <v>78</v>
      </c>
    </row>
    <row r="1042" spans="1:10" x14ac:dyDescent="0.25">
      <c r="A1042" s="1" t="s">
        <v>48</v>
      </c>
      <c r="B1042" s="1" t="s">
        <v>17</v>
      </c>
      <c r="C1042" s="1" t="s">
        <v>29</v>
      </c>
      <c r="D1042" s="4">
        <v>12900</v>
      </c>
      <c r="E1042" s="4">
        <v>17652</v>
      </c>
      <c r="F1042" s="4">
        <v>14000</v>
      </c>
      <c r="G1042" s="4">
        <v>219000</v>
      </c>
      <c r="H1042" s="19">
        <v>-7.857142857142857E-2</v>
      </c>
      <c r="J1042" s="1" t="s">
        <v>78</v>
      </c>
    </row>
    <row r="1043" spans="1:10" x14ac:dyDescent="0.25">
      <c r="A1043" s="1" t="s">
        <v>48</v>
      </c>
      <c r="B1043" s="1" t="s">
        <v>17</v>
      </c>
      <c r="C1043" s="1" t="s">
        <v>30</v>
      </c>
      <c r="D1043" s="4">
        <v>65</v>
      </c>
      <c r="E1043" s="4">
        <v>378</v>
      </c>
      <c r="F1043" s="4">
        <v>91</v>
      </c>
      <c r="G1043" s="4">
        <v>546</v>
      </c>
      <c r="H1043" s="19">
        <v>-0.2857142857142857</v>
      </c>
      <c r="J1043" s="1" t="s">
        <v>78</v>
      </c>
    </row>
    <row r="1044" spans="1:10" x14ac:dyDescent="0.25">
      <c r="A1044" s="1" t="s">
        <v>48</v>
      </c>
      <c r="B1044" s="1" t="s">
        <v>17</v>
      </c>
      <c r="C1044" s="1" t="s">
        <v>31</v>
      </c>
      <c r="D1044" s="4">
        <v>2060.5207600000012</v>
      </c>
      <c r="E1044" s="4">
        <v>6705.0124100000003</v>
      </c>
      <c r="F1044" s="4">
        <v>484.46438328961722</v>
      </c>
      <c r="G1044" s="4">
        <v>4059.2452688842282</v>
      </c>
      <c r="H1044" s="19">
        <v>3.2531934876380855</v>
      </c>
      <c r="J1044" s="1" t="s">
        <v>78</v>
      </c>
    </row>
    <row r="1045" spans="1:10" x14ac:dyDescent="0.25">
      <c r="A1045" s="1" t="s">
        <v>48</v>
      </c>
      <c r="B1045" s="1" t="s">
        <v>17</v>
      </c>
      <c r="C1045" s="1" t="s">
        <v>32</v>
      </c>
      <c r="D1045" s="4">
        <v>1340.1914715415569</v>
      </c>
      <c r="E1045" s="4">
        <v>-423.01208845844377</v>
      </c>
      <c r="F1045" s="4">
        <v>20.234375749119863</v>
      </c>
      <c r="G1045" s="4">
        <v>-5052.780121496734</v>
      </c>
      <c r="H1045" s="19">
        <v>65.233398458059739</v>
      </c>
      <c r="J1045" s="1" t="s">
        <v>78</v>
      </c>
    </row>
    <row r="1046" spans="1:10" x14ac:dyDescent="0.25">
      <c r="A1046" s="1" t="s">
        <v>49</v>
      </c>
      <c r="B1046" s="1" t="s">
        <v>5</v>
      </c>
      <c r="C1046" s="1" t="s">
        <v>63</v>
      </c>
      <c r="D1046" s="4">
        <v>1609.9889300000104</v>
      </c>
      <c r="E1046" s="4">
        <v>-7645.991149999998</v>
      </c>
      <c r="F1046" s="4">
        <v>2986.0037593984976</v>
      </c>
      <c r="G1046" s="4">
        <v>53823.451278195513</v>
      </c>
      <c r="H1046" s="19">
        <v>-0.46082153281537475</v>
      </c>
      <c r="J1046" s="1" t="s">
        <v>78</v>
      </c>
    </row>
    <row r="1047" spans="1:10" x14ac:dyDescent="0.25">
      <c r="A1047" s="1" t="s">
        <v>49</v>
      </c>
      <c r="B1047" s="1" t="s">
        <v>5</v>
      </c>
      <c r="C1047" s="1" t="s">
        <v>26</v>
      </c>
      <c r="E1047" s="4">
        <v>30261.67498</v>
      </c>
      <c r="G1047" s="4">
        <v>41616.375717593983</v>
      </c>
      <c r="H1047" s="19">
        <v>0</v>
      </c>
      <c r="J1047" s="1" t="s">
        <v>78</v>
      </c>
    </row>
    <row r="1048" spans="1:10" x14ac:dyDescent="0.25">
      <c r="A1048" s="1" t="s">
        <v>49</v>
      </c>
      <c r="B1048" s="1" t="s">
        <v>5</v>
      </c>
      <c r="C1048" s="1" t="s">
        <v>27</v>
      </c>
      <c r="D1048" s="4">
        <v>0</v>
      </c>
      <c r="E1048" s="4">
        <v>70824.090740000014</v>
      </c>
      <c r="G1048" s="4">
        <v>85499.462393961556</v>
      </c>
      <c r="H1048" s="19">
        <v>0</v>
      </c>
      <c r="J1048" s="1" t="s">
        <v>78</v>
      </c>
    </row>
    <row r="1049" spans="1:10" x14ac:dyDescent="0.25">
      <c r="A1049" s="1" t="s">
        <v>49</v>
      </c>
      <c r="B1049" s="1" t="s">
        <v>5</v>
      </c>
      <c r="C1049" s="1" t="s">
        <v>21</v>
      </c>
      <c r="D1049" s="4">
        <v>1175.2</v>
      </c>
      <c r="E1049" s="4">
        <v>14480.90085</v>
      </c>
      <c r="F1049" s="4">
        <v>10544.085610693401</v>
      </c>
      <c r="G1049" s="4">
        <v>72714.056832080212</v>
      </c>
      <c r="H1049" s="19">
        <v>-0.88854415229632067</v>
      </c>
      <c r="J1049" s="1" t="s">
        <v>78</v>
      </c>
    </row>
    <row r="1050" spans="1:10" x14ac:dyDescent="0.25">
      <c r="A1050" s="1" t="s">
        <v>49</v>
      </c>
      <c r="B1050" s="1" t="s">
        <v>5</v>
      </c>
      <c r="C1050" s="1" t="s">
        <v>28</v>
      </c>
      <c r="D1050" s="4">
        <v>5000</v>
      </c>
      <c r="E1050" s="4">
        <v>335329.14</v>
      </c>
      <c r="F1050" s="4">
        <v>62110.805064189197</v>
      </c>
      <c r="G1050" s="4">
        <v>540332.41519256763</v>
      </c>
      <c r="H1050" s="19">
        <v>-0.91949870888273488</v>
      </c>
      <c r="J1050" s="1" t="s">
        <v>78</v>
      </c>
    </row>
    <row r="1051" spans="1:10" x14ac:dyDescent="0.25">
      <c r="A1051" s="1" t="s">
        <v>49</v>
      </c>
      <c r="B1051" s="1" t="s">
        <v>5</v>
      </c>
      <c r="C1051" s="1" t="s">
        <v>29</v>
      </c>
      <c r="D1051" s="4">
        <v>1080</v>
      </c>
      <c r="E1051" s="4">
        <v>3685</v>
      </c>
      <c r="F1051" s="4">
        <v>14000</v>
      </c>
      <c r="G1051" s="4">
        <v>120000</v>
      </c>
      <c r="H1051" s="19">
        <v>-0.92285714285714282</v>
      </c>
      <c r="J1051" s="1" t="s">
        <v>78</v>
      </c>
    </row>
    <row r="1052" spans="1:10" x14ac:dyDescent="0.25">
      <c r="A1052" s="1" t="s">
        <v>49</v>
      </c>
      <c r="B1052" s="1" t="s">
        <v>5</v>
      </c>
      <c r="C1052" s="1" t="s">
        <v>30</v>
      </c>
      <c r="D1052" s="4">
        <v>73</v>
      </c>
      <c r="E1052" s="4">
        <v>299</v>
      </c>
      <c r="F1052" s="4">
        <v>58</v>
      </c>
      <c r="G1052" s="4">
        <v>348</v>
      </c>
      <c r="H1052" s="19">
        <v>0.25862068965517243</v>
      </c>
      <c r="J1052" s="1" t="s">
        <v>78</v>
      </c>
    </row>
    <row r="1053" spans="1:10" x14ac:dyDescent="0.25">
      <c r="A1053" s="1" t="s">
        <v>49</v>
      </c>
      <c r="B1053" s="1" t="s">
        <v>5</v>
      </c>
      <c r="C1053" s="1" t="s">
        <v>31</v>
      </c>
      <c r="D1053" s="4">
        <v>121.32637000000022</v>
      </c>
      <c r="E1053" s="4">
        <v>1257.1393600000001</v>
      </c>
      <c r="F1053" s="4">
        <v>513.48938955649328</v>
      </c>
      <c r="G1053" s="4">
        <v>2221.3982854586584</v>
      </c>
      <c r="H1053" s="19">
        <v>-0.76372175848698409</v>
      </c>
      <c r="J1053" s="1" t="s">
        <v>78</v>
      </c>
    </row>
    <row r="1054" spans="1:10" x14ac:dyDescent="0.25">
      <c r="A1054" s="1" t="s">
        <v>49</v>
      </c>
      <c r="B1054" s="1" t="s">
        <v>5</v>
      </c>
      <c r="C1054" s="1" t="s">
        <v>32</v>
      </c>
      <c r="D1054" s="4">
        <v>-638.40118727522247</v>
      </c>
      <c r="E1054" s="4">
        <v>-2009.0076172752197</v>
      </c>
      <c r="F1054" s="4">
        <v>602.08399806291027</v>
      </c>
      <c r="G1054" s="4">
        <v>2023.0220869679531</v>
      </c>
      <c r="H1054" s="19">
        <v>-2.0603191404009338</v>
      </c>
      <c r="J1054" s="1" t="s">
        <v>78</v>
      </c>
    </row>
    <row r="1055" spans="1:10" x14ac:dyDescent="0.25">
      <c r="A1055" s="1" t="s">
        <v>50</v>
      </c>
      <c r="B1055" s="1" t="s">
        <v>4</v>
      </c>
      <c r="C1055" s="1" t="s">
        <v>63</v>
      </c>
      <c r="D1055" s="4">
        <v>42439.479459999478</v>
      </c>
      <c r="E1055" s="4">
        <v>132247.10289999971</v>
      </c>
      <c r="F1055" s="4">
        <v>6444.9472117794749</v>
      </c>
      <c r="G1055" s="4">
        <v>99465.721635338443</v>
      </c>
      <c r="H1055" s="19">
        <v>5.5849227410943802</v>
      </c>
      <c r="J1055" s="1" t="s">
        <v>78</v>
      </c>
    </row>
    <row r="1056" spans="1:10" x14ac:dyDescent="0.25">
      <c r="A1056" s="1" t="s">
        <v>50</v>
      </c>
      <c r="B1056" s="1" t="s">
        <v>4</v>
      </c>
      <c r="C1056" s="1" t="s">
        <v>26</v>
      </c>
      <c r="E1056" s="4">
        <v>837407.34691999969</v>
      </c>
      <c r="G1056" s="4">
        <v>710251.80071711773</v>
      </c>
      <c r="H1056" s="19">
        <v>0</v>
      </c>
      <c r="J1056" s="1" t="s">
        <v>78</v>
      </c>
    </row>
    <row r="1057" spans="1:10" x14ac:dyDescent="0.25">
      <c r="A1057" s="1" t="s">
        <v>50</v>
      </c>
      <c r="B1057" s="1" t="s">
        <v>4</v>
      </c>
      <c r="C1057" s="1" t="s">
        <v>27</v>
      </c>
      <c r="D1057" s="4">
        <v>0</v>
      </c>
      <c r="E1057" s="4">
        <v>399708.61503999989</v>
      </c>
      <c r="G1057" s="4">
        <v>301246.16553132283</v>
      </c>
      <c r="H1057" s="19">
        <v>0</v>
      </c>
      <c r="J1057" s="1" t="s">
        <v>78</v>
      </c>
    </row>
    <row r="1058" spans="1:10" x14ac:dyDescent="0.25">
      <c r="A1058" s="1" t="s">
        <v>50</v>
      </c>
      <c r="B1058" s="1" t="s">
        <v>4</v>
      </c>
      <c r="C1058" s="1" t="s">
        <v>21</v>
      </c>
      <c r="D1058" s="4">
        <v>3564.8969999999999</v>
      </c>
      <c r="E1058" s="4">
        <v>32848.269950000002</v>
      </c>
      <c r="F1058" s="4">
        <v>11173.619697994987</v>
      </c>
      <c r="G1058" s="4">
        <v>118684.45909398497</v>
      </c>
      <c r="H1058" s="19">
        <v>-0.68095414947407862</v>
      </c>
      <c r="J1058" s="1" t="s">
        <v>78</v>
      </c>
    </row>
    <row r="1059" spans="1:10" x14ac:dyDescent="0.25">
      <c r="A1059" s="1" t="s">
        <v>50</v>
      </c>
      <c r="B1059" s="1" t="s">
        <v>4</v>
      </c>
      <c r="C1059" s="1" t="s">
        <v>28</v>
      </c>
      <c r="D1059" s="4">
        <v>7481487.8899999969</v>
      </c>
      <c r="E1059" s="4">
        <v>23230324.329999994</v>
      </c>
      <c r="F1059" s="4">
        <v>2812732.172192568</v>
      </c>
      <c r="G1059" s="4">
        <v>25094196.516577698</v>
      </c>
      <c r="H1059" s="19">
        <v>1.6598650109541222</v>
      </c>
      <c r="J1059" s="1" t="s">
        <v>78</v>
      </c>
    </row>
    <row r="1060" spans="1:10" x14ac:dyDescent="0.25">
      <c r="A1060" s="1" t="s">
        <v>50</v>
      </c>
      <c r="B1060" s="1" t="s">
        <v>4</v>
      </c>
      <c r="C1060" s="1" t="s">
        <v>29</v>
      </c>
      <c r="D1060" s="4">
        <v>177514</v>
      </c>
      <c r="E1060" s="4">
        <v>1029885</v>
      </c>
      <c r="F1060" s="4">
        <v>56000</v>
      </c>
      <c r="G1060" s="4">
        <v>627000</v>
      </c>
      <c r="H1060" s="19">
        <v>2.1698928571428571</v>
      </c>
      <c r="J1060" s="1" t="s">
        <v>78</v>
      </c>
    </row>
    <row r="1061" spans="1:10" x14ac:dyDescent="0.25">
      <c r="A1061" s="1" t="s">
        <v>50</v>
      </c>
      <c r="B1061" s="1" t="s">
        <v>4</v>
      </c>
      <c r="C1061" s="1" t="s">
        <v>30</v>
      </c>
      <c r="D1061" s="4">
        <v>47</v>
      </c>
      <c r="E1061" s="4">
        <v>283</v>
      </c>
      <c r="F1061" s="4">
        <v>98</v>
      </c>
      <c r="G1061" s="4">
        <v>588</v>
      </c>
      <c r="H1061" s="19">
        <v>-0.52040816326530615</v>
      </c>
      <c r="J1061" s="1" t="s">
        <v>78</v>
      </c>
    </row>
    <row r="1062" spans="1:10" x14ac:dyDescent="0.25">
      <c r="A1062" s="1" t="s">
        <v>50</v>
      </c>
      <c r="B1062" s="1" t="s">
        <v>4</v>
      </c>
      <c r="C1062" s="1" t="s">
        <v>31</v>
      </c>
      <c r="D1062" s="4">
        <v>7678.5894399999925</v>
      </c>
      <c r="E1062" s="4">
        <v>24881.913809999998</v>
      </c>
      <c r="F1062" s="4">
        <v>3338.1051980820666</v>
      </c>
      <c r="G1062" s="4">
        <v>19880.529356646039</v>
      </c>
      <c r="H1062" s="19">
        <v>1.3002838389909892</v>
      </c>
      <c r="J1062" s="1" t="s">
        <v>78</v>
      </c>
    </row>
    <row r="1063" spans="1:10" x14ac:dyDescent="0.25">
      <c r="A1063" s="1" t="s">
        <v>50</v>
      </c>
      <c r="B1063" s="1" t="s">
        <v>4</v>
      </c>
      <c r="C1063" s="1" t="s">
        <v>32</v>
      </c>
      <c r="D1063" s="4">
        <v>4706.6543028397336</v>
      </c>
      <c r="E1063" s="4">
        <v>25691.06450283973</v>
      </c>
      <c r="F1063" s="4">
        <v>2838.9436040836099</v>
      </c>
      <c r="G1063" s="4">
        <v>14109.896115536025</v>
      </c>
      <c r="H1063" s="19">
        <v>0.6578893275898684</v>
      </c>
      <c r="J1063" s="1" t="s">
        <v>78</v>
      </c>
    </row>
    <row r="1064" spans="1:10" x14ac:dyDescent="0.25">
      <c r="A1064" s="1" t="s">
        <v>51</v>
      </c>
      <c r="B1064" s="1" t="s">
        <v>3</v>
      </c>
      <c r="C1064" s="1" t="s">
        <v>63</v>
      </c>
      <c r="D1064" s="4">
        <v>-1804.9743400000152</v>
      </c>
      <c r="E1064" s="4">
        <v>4634.403890000016</v>
      </c>
      <c r="F1064" s="4">
        <v>6004.7180451127888</v>
      </c>
      <c r="G1064" s="4">
        <v>77088.074135338335</v>
      </c>
      <c r="H1064" s="19">
        <v>-1.3005926883559629</v>
      </c>
      <c r="J1064" s="1" t="s">
        <v>78</v>
      </c>
    </row>
    <row r="1065" spans="1:10" x14ac:dyDescent="0.25">
      <c r="A1065" s="1" t="s">
        <v>51</v>
      </c>
      <c r="B1065" s="1" t="s">
        <v>3</v>
      </c>
      <c r="C1065" s="1" t="s">
        <v>26</v>
      </c>
      <c r="E1065" s="4">
        <v>83089.412840000005</v>
      </c>
      <c r="G1065" s="4">
        <v>109135.47040045111</v>
      </c>
      <c r="H1065" s="19">
        <v>0</v>
      </c>
      <c r="J1065" s="1" t="s">
        <v>78</v>
      </c>
    </row>
    <row r="1066" spans="1:10" x14ac:dyDescent="0.25">
      <c r="A1066" s="1" t="s">
        <v>51</v>
      </c>
      <c r="B1066" s="1" t="s">
        <v>3</v>
      </c>
      <c r="C1066" s="1" t="s">
        <v>27</v>
      </c>
      <c r="D1066" s="4">
        <v>0</v>
      </c>
      <c r="E1066" s="4">
        <v>164685.02992</v>
      </c>
      <c r="G1066" s="4">
        <v>154792.96296114303</v>
      </c>
      <c r="H1066" s="19">
        <v>0</v>
      </c>
      <c r="J1066" s="1" t="s">
        <v>78</v>
      </c>
    </row>
    <row r="1067" spans="1:10" x14ac:dyDescent="0.25">
      <c r="A1067" s="1" t="s">
        <v>51</v>
      </c>
      <c r="B1067" s="1" t="s">
        <v>3</v>
      </c>
      <c r="C1067" s="1" t="s">
        <v>21</v>
      </c>
      <c r="D1067" s="4">
        <v>1687.3920000000001</v>
      </c>
      <c r="E1067" s="4">
        <v>26012.013549999996</v>
      </c>
      <c r="F1067" s="4">
        <v>10756.139197994988</v>
      </c>
      <c r="G1067" s="4">
        <v>91110.817593984961</v>
      </c>
      <c r="H1067" s="19">
        <v>-0.84312289298798393</v>
      </c>
      <c r="J1067" s="1" t="s">
        <v>78</v>
      </c>
    </row>
    <row r="1068" spans="1:10" x14ac:dyDescent="0.25">
      <c r="A1068" s="1" t="s">
        <v>51</v>
      </c>
      <c r="B1068" s="1" t="s">
        <v>3</v>
      </c>
      <c r="C1068" s="1" t="s">
        <v>28</v>
      </c>
      <c r="D1068" s="4">
        <v>16000</v>
      </c>
      <c r="E1068" s="4">
        <v>193380</v>
      </c>
      <c r="F1068" s="4">
        <v>124221.61012837839</v>
      </c>
      <c r="G1068" s="4">
        <v>645664.83038513514</v>
      </c>
      <c r="H1068" s="19">
        <v>-0.87119793421237579</v>
      </c>
      <c r="J1068" s="1" t="s">
        <v>78</v>
      </c>
    </row>
    <row r="1069" spans="1:10" x14ac:dyDescent="0.25">
      <c r="A1069" s="1" t="s">
        <v>51</v>
      </c>
      <c r="B1069" s="1" t="s">
        <v>3</v>
      </c>
      <c r="C1069" s="1" t="s">
        <v>29</v>
      </c>
      <c r="D1069" s="4">
        <v>1757</v>
      </c>
      <c r="E1069" s="4">
        <v>49855</v>
      </c>
      <c r="F1069" s="4">
        <v>28000</v>
      </c>
      <c r="G1069" s="4">
        <v>159000</v>
      </c>
      <c r="H1069" s="19">
        <v>-0.93725000000000003</v>
      </c>
      <c r="J1069" s="1" t="s">
        <v>78</v>
      </c>
    </row>
    <row r="1070" spans="1:10" x14ac:dyDescent="0.25">
      <c r="A1070" s="1" t="s">
        <v>51</v>
      </c>
      <c r="B1070" s="1" t="s">
        <v>3</v>
      </c>
      <c r="C1070" s="1" t="s">
        <v>30</v>
      </c>
      <c r="D1070" s="4">
        <v>98</v>
      </c>
      <c r="E1070" s="4">
        <v>327</v>
      </c>
      <c r="F1070" s="4">
        <v>68</v>
      </c>
      <c r="G1070" s="4">
        <v>408</v>
      </c>
      <c r="H1070" s="19">
        <v>0.44117647058823528</v>
      </c>
      <c r="J1070" s="1" t="s">
        <v>78</v>
      </c>
    </row>
    <row r="1071" spans="1:10" x14ac:dyDescent="0.25">
      <c r="A1071" s="1" t="s">
        <v>51</v>
      </c>
      <c r="B1071" s="1" t="s">
        <v>3</v>
      </c>
      <c r="C1071" s="1" t="s">
        <v>31</v>
      </c>
      <c r="D1071" s="4">
        <v>147.12597000000005</v>
      </c>
      <c r="E1071" s="4">
        <v>1438.4450300000001</v>
      </c>
      <c r="F1071" s="4">
        <v>654.37611914880381</v>
      </c>
      <c r="G1071" s="4">
        <v>2771.5774425508321</v>
      </c>
      <c r="H1071" s="19">
        <v>-0.77516604641474718</v>
      </c>
      <c r="J1071" s="1" t="s">
        <v>78</v>
      </c>
    </row>
    <row r="1072" spans="1:10" x14ac:dyDescent="0.25">
      <c r="A1072" s="1" t="s">
        <v>51</v>
      </c>
      <c r="B1072" s="1" t="s">
        <v>3</v>
      </c>
      <c r="C1072" s="1" t="s">
        <v>32</v>
      </c>
      <c r="D1072" s="4">
        <v>487.88421321699383</v>
      </c>
      <c r="E1072" s="4">
        <v>366.11699321699308</v>
      </c>
      <c r="F1072" s="4">
        <v>1550.1101056288553</v>
      </c>
      <c r="G1072" s="4">
        <v>4678.0799507119164</v>
      </c>
      <c r="H1072" s="19">
        <v>-0.6852583494260448</v>
      </c>
      <c r="J1072" s="1" t="s">
        <v>78</v>
      </c>
    </row>
    <row r="1073" spans="1:10" x14ac:dyDescent="0.25">
      <c r="A1073" s="1" t="s">
        <v>52</v>
      </c>
      <c r="B1073" s="1" t="s">
        <v>13</v>
      </c>
      <c r="C1073" s="1" t="s">
        <v>63</v>
      </c>
      <c r="D1073" s="4">
        <v>-22027.359309999942</v>
      </c>
      <c r="E1073" s="4">
        <v>-18869.820730000007</v>
      </c>
      <c r="F1073" s="4">
        <v>4358.4829260651468</v>
      </c>
      <c r="G1073" s="4">
        <v>82275.448778195583</v>
      </c>
      <c r="H1073" s="19">
        <v>-6.0539051508654902</v>
      </c>
      <c r="J1073" s="1" t="s">
        <v>78</v>
      </c>
    </row>
    <row r="1074" spans="1:10" x14ac:dyDescent="0.25">
      <c r="A1074" s="1" t="s">
        <v>52</v>
      </c>
      <c r="B1074" s="1" t="s">
        <v>13</v>
      </c>
      <c r="C1074" s="1" t="s">
        <v>26</v>
      </c>
      <c r="E1074" s="4">
        <v>232267.94663000002</v>
      </c>
      <c r="G1074" s="4">
        <v>270661.91540426068</v>
      </c>
      <c r="H1074" s="19">
        <v>0</v>
      </c>
      <c r="J1074" s="1" t="s">
        <v>78</v>
      </c>
    </row>
    <row r="1075" spans="1:10" x14ac:dyDescent="0.25">
      <c r="A1075" s="1" t="s">
        <v>52</v>
      </c>
      <c r="B1075" s="1" t="s">
        <v>13</v>
      </c>
      <c r="C1075" s="1" t="s">
        <v>27</v>
      </c>
      <c r="D1075" s="4">
        <v>0</v>
      </c>
      <c r="E1075" s="4">
        <v>214432.61610999997</v>
      </c>
      <c r="G1075" s="4">
        <v>181799.44602801959</v>
      </c>
      <c r="H1075" s="19">
        <v>0</v>
      </c>
      <c r="J1075" s="1" t="s">
        <v>78</v>
      </c>
    </row>
    <row r="1076" spans="1:10" x14ac:dyDescent="0.25">
      <c r="A1076" s="1" t="s">
        <v>52</v>
      </c>
      <c r="B1076" s="1" t="s">
        <v>13</v>
      </c>
      <c r="C1076" s="1" t="s">
        <v>21</v>
      </c>
      <c r="D1076" s="4">
        <v>259.815</v>
      </c>
      <c r="E1076" s="4">
        <v>22640.344999999998</v>
      </c>
      <c r="F1076" s="4">
        <v>7807.2689995822902</v>
      </c>
      <c r="G1076" s="4">
        <v>94921.806998746863</v>
      </c>
      <c r="H1076" s="19">
        <v>-0.96672139771104337</v>
      </c>
      <c r="J1076" s="1" t="s">
        <v>78</v>
      </c>
    </row>
    <row r="1077" spans="1:10" x14ac:dyDescent="0.25">
      <c r="A1077" s="1" t="s">
        <v>52</v>
      </c>
      <c r="B1077" s="1" t="s">
        <v>13</v>
      </c>
      <c r="C1077" s="1" t="s">
        <v>28</v>
      </c>
      <c r="D1077" s="4">
        <v>2278906</v>
      </c>
      <c r="E1077" s="4">
        <v>9606439.9299999997</v>
      </c>
      <c r="F1077" s="4">
        <v>124221.61012837839</v>
      </c>
      <c r="G1077" s="4">
        <v>4005664.8303851355</v>
      </c>
      <c r="H1077" s="19">
        <v>17.345487533488221</v>
      </c>
      <c r="J1077" s="1" t="s">
        <v>78</v>
      </c>
    </row>
    <row r="1078" spans="1:10" x14ac:dyDescent="0.25">
      <c r="A1078" s="1" t="s">
        <v>52</v>
      </c>
      <c r="B1078" s="1" t="s">
        <v>13</v>
      </c>
      <c r="C1078" s="1" t="s">
        <v>29</v>
      </c>
      <c r="D1078" s="4">
        <v>2487</v>
      </c>
      <c r="E1078" s="4">
        <v>36671</v>
      </c>
      <c r="F1078" s="4">
        <v>28000</v>
      </c>
      <c r="G1078" s="4">
        <v>120000</v>
      </c>
      <c r="H1078" s="19">
        <v>-0.91117857142857139</v>
      </c>
      <c r="J1078" s="1" t="s">
        <v>78</v>
      </c>
    </row>
    <row r="1079" spans="1:10" x14ac:dyDescent="0.25">
      <c r="A1079" s="1" t="s">
        <v>52</v>
      </c>
      <c r="B1079" s="1" t="s">
        <v>13</v>
      </c>
      <c r="C1079" s="1" t="s">
        <v>30</v>
      </c>
      <c r="D1079" s="4">
        <v>32</v>
      </c>
      <c r="E1079" s="4">
        <v>163</v>
      </c>
      <c r="F1079" s="4">
        <v>65</v>
      </c>
      <c r="G1079" s="4">
        <v>390</v>
      </c>
      <c r="H1079" s="19">
        <v>-0.50769230769230766</v>
      </c>
      <c r="J1079" s="1" t="s">
        <v>78</v>
      </c>
    </row>
    <row r="1080" spans="1:10" x14ac:dyDescent="0.25">
      <c r="A1080" s="1" t="s">
        <v>52</v>
      </c>
      <c r="B1080" s="1" t="s">
        <v>13</v>
      </c>
      <c r="C1080" s="1" t="s">
        <v>31</v>
      </c>
      <c r="D1080" s="4">
        <v>2331.5252999999993</v>
      </c>
      <c r="E1080" s="4">
        <v>10670.942529999998</v>
      </c>
      <c r="F1080" s="4">
        <v>472.23686777436797</v>
      </c>
      <c r="G1080" s="4">
        <v>8056.8808543166206</v>
      </c>
      <c r="H1080" s="19">
        <v>3.9371945714200116</v>
      </c>
      <c r="J1080" s="1" t="s">
        <v>78</v>
      </c>
    </row>
    <row r="1081" spans="1:10" x14ac:dyDescent="0.25">
      <c r="A1081" s="1" t="s">
        <v>52</v>
      </c>
      <c r="B1081" s="1" t="s">
        <v>13</v>
      </c>
      <c r="C1081" s="1" t="s">
        <v>32</v>
      </c>
      <c r="D1081" s="4">
        <v>-1861.0053627766338</v>
      </c>
      <c r="E1081" s="4">
        <v>-4359.2392127766352</v>
      </c>
      <c r="F1081" s="4">
        <v>974.68914589164342</v>
      </c>
      <c r="G1081" s="4">
        <v>62.46317297114804</v>
      </c>
      <c r="H1081" s="19">
        <v>-2.9093321913154067</v>
      </c>
      <c r="J1081" s="1" t="s">
        <v>78</v>
      </c>
    </row>
    <row r="1082" spans="1:10" x14ac:dyDescent="0.25">
      <c r="A1082" s="1" t="s">
        <v>53</v>
      </c>
      <c r="B1082" s="1" t="s">
        <v>14</v>
      </c>
      <c r="C1082" s="1" t="s">
        <v>63</v>
      </c>
      <c r="D1082" s="4">
        <v>6997.4551500000161</v>
      </c>
      <c r="E1082" s="4">
        <v>16558.005020000008</v>
      </c>
      <c r="F1082" s="4">
        <v>2986.0037593984976</v>
      </c>
      <c r="G1082" s="4">
        <v>68288.8912781955</v>
      </c>
      <c r="H1082" s="19">
        <v>1.3434180643528686</v>
      </c>
      <c r="J1082" s="1" t="s">
        <v>78</v>
      </c>
    </row>
    <row r="1083" spans="1:10" x14ac:dyDescent="0.25">
      <c r="A1083" s="1" t="s">
        <v>53</v>
      </c>
      <c r="B1083" s="1" t="s">
        <v>14</v>
      </c>
      <c r="C1083" s="1" t="s">
        <v>26</v>
      </c>
      <c r="E1083" s="4">
        <v>44852.539870000008</v>
      </c>
      <c r="G1083" s="4">
        <v>49249.218627593982</v>
      </c>
      <c r="H1083" s="19">
        <v>0</v>
      </c>
      <c r="J1083" s="1" t="s">
        <v>78</v>
      </c>
    </row>
    <row r="1084" spans="1:10" x14ac:dyDescent="0.25">
      <c r="A1084" s="1" t="s">
        <v>53</v>
      </c>
      <c r="B1084" s="1" t="s">
        <v>14</v>
      </c>
      <c r="C1084" s="1" t="s">
        <v>27</v>
      </c>
      <c r="D1084" s="4">
        <v>0</v>
      </c>
      <c r="E1084" s="4">
        <v>151512.58733000004</v>
      </c>
      <c r="G1084" s="4">
        <v>112995.25573854288</v>
      </c>
      <c r="H1084" s="19">
        <v>0</v>
      </c>
      <c r="J1084" s="1" t="s">
        <v>78</v>
      </c>
    </row>
    <row r="1085" spans="1:10" x14ac:dyDescent="0.25">
      <c r="A1085" s="1" t="s">
        <v>53</v>
      </c>
      <c r="B1085" s="1" t="s">
        <v>14</v>
      </c>
      <c r="C1085" s="1" t="s">
        <v>21</v>
      </c>
      <c r="D1085" s="4">
        <v>4951.6310000000003</v>
      </c>
      <c r="E1085" s="4">
        <v>13861.800999999999</v>
      </c>
      <c r="F1085" s="4">
        <v>5348.7727218045111</v>
      </c>
      <c r="G1085" s="4">
        <v>75209.918165413546</v>
      </c>
      <c r="H1085" s="19">
        <v>-7.4249130120175949E-2</v>
      </c>
      <c r="J1085" s="1" t="s">
        <v>78</v>
      </c>
    </row>
    <row r="1086" spans="1:10" x14ac:dyDescent="0.25">
      <c r="A1086" s="1" t="s">
        <v>53</v>
      </c>
      <c r="B1086" s="1" t="s">
        <v>14</v>
      </c>
      <c r="C1086" s="1" t="s">
        <v>28</v>
      </c>
      <c r="D1086" s="4">
        <v>13000</v>
      </c>
      <c r="E1086" s="4">
        <v>168120</v>
      </c>
      <c r="F1086" s="4">
        <v>62110.805064189197</v>
      </c>
      <c r="G1086" s="4">
        <v>360332.41519256757</v>
      </c>
      <c r="H1086" s="19">
        <v>-0.79069664309511067</v>
      </c>
      <c r="J1086" s="1" t="s">
        <v>78</v>
      </c>
    </row>
    <row r="1087" spans="1:10" x14ac:dyDescent="0.25">
      <c r="A1087" s="1" t="s">
        <v>53</v>
      </c>
      <c r="B1087" s="1" t="s">
        <v>14</v>
      </c>
      <c r="C1087" s="1" t="s">
        <v>29</v>
      </c>
      <c r="D1087" s="4">
        <v>546</v>
      </c>
      <c r="E1087" s="4">
        <v>13440</v>
      </c>
      <c r="F1087" s="4">
        <v>14000</v>
      </c>
      <c r="G1087" s="4">
        <v>48000</v>
      </c>
      <c r="H1087" s="19">
        <v>-0.96099999999999997</v>
      </c>
      <c r="J1087" s="1" t="s">
        <v>78</v>
      </c>
    </row>
    <row r="1088" spans="1:10" x14ac:dyDescent="0.25">
      <c r="A1088" s="1" t="s">
        <v>53</v>
      </c>
      <c r="B1088" s="1" t="s">
        <v>14</v>
      </c>
      <c r="C1088" s="1" t="s">
        <v>30</v>
      </c>
      <c r="D1088" s="4">
        <v>49</v>
      </c>
      <c r="E1088" s="4">
        <v>194</v>
      </c>
      <c r="F1088" s="4">
        <v>61</v>
      </c>
      <c r="G1088" s="4">
        <v>366</v>
      </c>
      <c r="H1088" s="19">
        <v>-0.19672131147540983</v>
      </c>
      <c r="J1088" s="1" t="s">
        <v>78</v>
      </c>
    </row>
    <row r="1089" spans="1:10" x14ac:dyDescent="0.25">
      <c r="A1089" s="1" t="s">
        <v>53</v>
      </c>
      <c r="B1089" s="1" t="s">
        <v>14</v>
      </c>
      <c r="C1089" s="1" t="s">
        <v>31</v>
      </c>
      <c r="D1089" s="4">
        <v>222.92680999999993</v>
      </c>
      <c r="E1089" s="4">
        <v>1036.51883</v>
      </c>
      <c r="F1089" s="4">
        <v>346.15061141036995</v>
      </c>
      <c r="G1089" s="4">
        <v>1591.595994770676</v>
      </c>
      <c r="H1089" s="19">
        <v>-0.35598319733800848</v>
      </c>
      <c r="J1089" s="1" t="s">
        <v>78</v>
      </c>
    </row>
    <row r="1090" spans="1:10" x14ac:dyDescent="0.25">
      <c r="A1090" s="1" t="s">
        <v>53</v>
      </c>
      <c r="B1090" s="1" t="s">
        <v>14</v>
      </c>
      <c r="C1090" s="1" t="s">
        <v>32</v>
      </c>
      <c r="D1090" s="4">
        <v>328.15623177179322</v>
      </c>
      <c r="E1090" s="4">
        <v>-2705.1129882282034</v>
      </c>
      <c r="F1090" s="4">
        <v>861.36013303828395</v>
      </c>
      <c r="G1090" s="4">
        <v>2241.109683069566</v>
      </c>
      <c r="H1090" s="19">
        <v>-0.61902551652317062</v>
      </c>
      <c r="J1090" s="1" t="s">
        <v>78</v>
      </c>
    </row>
    <row r="1091" spans="1:10" x14ac:dyDescent="0.25">
      <c r="A1091" s="1" t="s">
        <v>54</v>
      </c>
      <c r="B1091" s="1" t="s">
        <v>16</v>
      </c>
      <c r="C1091" s="1" t="s">
        <v>63</v>
      </c>
      <c r="D1091" s="4">
        <v>-3186.3624899999995</v>
      </c>
      <c r="E1091" s="4">
        <v>-15191.664950000035</v>
      </c>
      <c r="F1091" s="4">
        <v>8812.5662593984907</v>
      </c>
      <c r="G1091" s="4">
        <v>93703.138778195527</v>
      </c>
      <c r="H1091" s="19">
        <v>-1.3615703299367292</v>
      </c>
      <c r="J1091" s="1" t="s">
        <v>78</v>
      </c>
    </row>
    <row r="1092" spans="1:10" x14ac:dyDescent="0.25">
      <c r="A1092" s="1" t="s">
        <v>54</v>
      </c>
      <c r="B1092" s="1" t="s">
        <v>16</v>
      </c>
      <c r="C1092" s="1" t="s">
        <v>26</v>
      </c>
      <c r="E1092" s="4">
        <v>141700.06498999998</v>
      </c>
      <c r="G1092" s="4">
        <v>180051.07766759393</v>
      </c>
      <c r="H1092" s="19">
        <v>0</v>
      </c>
      <c r="J1092" s="1" t="s">
        <v>78</v>
      </c>
    </row>
    <row r="1093" spans="1:10" x14ac:dyDescent="0.25">
      <c r="A1093" s="1" t="s">
        <v>54</v>
      </c>
      <c r="B1093" s="1" t="s">
        <v>16</v>
      </c>
      <c r="C1093" s="1" t="s">
        <v>27</v>
      </c>
      <c r="D1093" s="4">
        <v>0</v>
      </c>
      <c r="E1093" s="4">
        <v>166572.07542000001</v>
      </c>
      <c r="G1093" s="4">
        <v>164403.12632140907</v>
      </c>
      <c r="H1093" s="19">
        <v>0</v>
      </c>
      <c r="J1093" s="1" t="s">
        <v>78</v>
      </c>
    </row>
    <row r="1094" spans="1:10" x14ac:dyDescent="0.25">
      <c r="A1094" s="1" t="s">
        <v>54</v>
      </c>
      <c r="B1094" s="1" t="s">
        <v>16</v>
      </c>
      <c r="C1094" s="1" t="s">
        <v>21</v>
      </c>
      <c r="D1094" s="4">
        <v>6042.0780000000004</v>
      </c>
      <c r="E1094" s="4">
        <v>24672.522150000001</v>
      </c>
      <c r="F1094" s="4">
        <v>8116.5138143971044</v>
      </c>
      <c r="G1094" s="4">
        <v>93431.341443191297</v>
      </c>
      <c r="H1094" s="19">
        <v>-0.25558212082599568</v>
      </c>
      <c r="J1094" s="1" t="s">
        <v>78</v>
      </c>
    </row>
    <row r="1095" spans="1:10" x14ac:dyDescent="0.25">
      <c r="A1095" s="1" t="s">
        <v>54</v>
      </c>
      <c r="B1095" s="1" t="s">
        <v>16</v>
      </c>
      <c r="C1095" s="1" t="s">
        <v>28</v>
      </c>
      <c r="D1095" s="4">
        <v>183243</v>
      </c>
      <c r="E1095" s="4">
        <v>1293030</v>
      </c>
      <c r="F1095" s="4">
        <v>1656288.1350450451</v>
      </c>
      <c r="G1095" s="4">
        <v>6462864.4051351352</v>
      </c>
      <c r="H1095" s="19">
        <v>-0.88936526433849239</v>
      </c>
      <c r="J1095" s="1" t="s">
        <v>78</v>
      </c>
    </row>
    <row r="1096" spans="1:10" x14ac:dyDescent="0.25">
      <c r="A1096" s="1" t="s">
        <v>54</v>
      </c>
      <c r="B1096" s="1" t="s">
        <v>16</v>
      </c>
      <c r="C1096" s="1" t="s">
        <v>29</v>
      </c>
      <c r="D1096" s="4">
        <v>26596</v>
      </c>
      <c r="E1096" s="4">
        <v>323207</v>
      </c>
      <c r="F1096" s="4">
        <v>83666</v>
      </c>
      <c r="G1096" s="4">
        <v>1117998</v>
      </c>
      <c r="H1096" s="19">
        <v>-0.68211698897999185</v>
      </c>
      <c r="J1096" s="1" t="s">
        <v>78</v>
      </c>
    </row>
    <row r="1097" spans="1:10" x14ac:dyDescent="0.25">
      <c r="A1097" s="1" t="s">
        <v>54</v>
      </c>
      <c r="B1097" s="1" t="s">
        <v>16</v>
      </c>
      <c r="C1097" s="1" t="s">
        <v>30</v>
      </c>
      <c r="D1097" s="4">
        <v>61</v>
      </c>
      <c r="E1097" s="4">
        <v>293</v>
      </c>
      <c r="F1097" s="4">
        <v>56</v>
      </c>
      <c r="G1097" s="4">
        <v>336</v>
      </c>
      <c r="H1097" s="19">
        <v>8.9285714285714288E-2</v>
      </c>
      <c r="J1097" s="1" t="s">
        <v>78</v>
      </c>
    </row>
    <row r="1098" spans="1:10" x14ac:dyDescent="0.25">
      <c r="A1098" s="1" t="s">
        <v>54</v>
      </c>
      <c r="B1098" s="1" t="s">
        <v>16</v>
      </c>
      <c r="C1098" s="1" t="s">
        <v>31</v>
      </c>
      <c r="D1098" s="4">
        <v>494.04428999999891</v>
      </c>
      <c r="E1098" s="4">
        <v>2783.6822599999991</v>
      </c>
      <c r="F1098" s="4">
        <v>2107.5923195170626</v>
      </c>
      <c r="G1098" s="4">
        <v>9857.5012653494778</v>
      </c>
      <c r="H1098" s="19">
        <v>-0.76558830404487088</v>
      </c>
      <c r="J1098" s="1" t="s">
        <v>78</v>
      </c>
    </row>
    <row r="1099" spans="1:10" x14ac:dyDescent="0.25">
      <c r="A1099" s="1" t="s">
        <v>54</v>
      </c>
      <c r="B1099" s="1" t="s">
        <v>16</v>
      </c>
      <c r="C1099" s="1" t="s">
        <v>32</v>
      </c>
      <c r="D1099" s="4">
        <v>1775.3318767492315</v>
      </c>
      <c r="E1099" s="4">
        <v>8884.2243867492398</v>
      </c>
      <c r="F1099" s="4">
        <v>2982.7012618753251</v>
      </c>
      <c r="G1099" s="4">
        <v>13947.684298201959</v>
      </c>
      <c r="H1099" s="19">
        <v>-0.40479058381025385</v>
      </c>
      <c r="J1099" s="1" t="s">
        <v>78</v>
      </c>
    </row>
    <row r="1100" spans="1:10" x14ac:dyDescent="0.25">
      <c r="A1100" s="1" t="s">
        <v>55</v>
      </c>
      <c r="B1100" s="1" t="s">
        <v>10</v>
      </c>
      <c r="C1100" s="1" t="s">
        <v>63</v>
      </c>
      <c r="D1100" s="4">
        <v>29692.76642</v>
      </c>
      <c r="E1100" s="4">
        <v>16923.190869999977</v>
      </c>
      <c r="F1100" s="4">
        <v>4462.0662593985053</v>
      </c>
      <c r="G1100" s="4">
        <v>68251.638778195498</v>
      </c>
      <c r="H1100" s="19">
        <v>5.6544880093292562</v>
      </c>
      <c r="J1100" s="1" t="s">
        <v>78</v>
      </c>
    </row>
    <row r="1101" spans="1:10" x14ac:dyDescent="0.25">
      <c r="A1101" s="1" t="s">
        <v>55</v>
      </c>
      <c r="B1101" s="1" t="s">
        <v>10</v>
      </c>
      <c r="C1101" s="1" t="s">
        <v>26</v>
      </c>
      <c r="E1101" s="4">
        <v>98772.812559999991</v>
      </c>
      <c r="G1101" s="4">
        <v>86175.682997594005</v>
      </c>
      <c r="H1101" s="19">
        <v>0</v>
      </c>
      <c r="J1101" s="1" t="s">
        <v>78</v>
      </c>
    </row>
    <row r="1102" spans="1:10" x14ac:dyDescent="0.25">
      <c r="A1102" s="1" t="s">
        <v>55</v>
      </c>
      <c r="B1102" s="1" t="s">
        <v>10</v>
      </c>
      <c r="C1102" s="1" t="s">
        <v>27</v>
      </c>
      <c r="D1102" s="4">
        <v>0</v>
      </c>
      <c r="E1102" s="4">
        <v>166134.92554000005</v>
      </c>
      <c r="G1102" s="4">
        <v>130182.14881101203</v>
      </c>
      <c r="H1102" s="19">
        <v>0</v>
      </c>
      <c r="J1102" s="1" t="s">
        <v>78</v>
      </c>
    </row>
    <row r="1103" spans="1:10" x14ac:dyDescent="0.25">
      <c r="A1103" s="1" t="s">
        <v>55</v>
      </c>
      <c r="B1103" s="1" t="s">
        <v>10</v>
      </c>
      <c r="C1103" s="1" t="s">
        <v>21</v>
      </c>
      <c r="D1103" s="4">
        <v>748</v>
      </c>
      <c r="E1103" s="4">
        <v>22406.464800000002</v>
      </c>
      <c r="F1103" s="4">
        <v>8116.5138143971044</v>
      </c>
      <c r="G1103" s="4">
        <v>77931.341443191297</v>
      </c>
      <c r="H1103" s="19">
        <v>-0.90784220699862606</v>
      </c>
      <c r="J1103" s="1" t="s">
        <v>78</v>
      </c>
    </row>
    <row r="1104" spans="1:10" x14ac:dyDescent="0.25">
      <c r="A1104" s="1" t="s">
        <v>55</v>
      </c>
      <c r="B1104" s="1" t="s">
        <v>10</v>
      </c>
      <c r="C1104" s="1" t="s">
        <v>28</v>
      </c>
      <c r="D1104" s="4">
        <v>592944.65000000037</v>
      </c>
      <c r="E1104" s="4">
        <v>2941755.74</v>
      </c>
      <c r="F1104" s="4">
        <v>1437421.4886283781</v>
      </c>
      <c r="G1104" s="4">
        <v>4804264.4658851344</v>
      </c>
      <c r="H1104" s="19">
        <v>-0.58749423555243896</v>
      </c>
      <c r="J1104" s="1" t="s">
        <v>78</v>
      </c>
    </row>
    <row r="1105" spans="1:10" x14ac:dyDescent="0.25">
      <c r="A1105" s="1" t="s">
        <v>55</v>
      </c>
      <c r="B1105" s="1" t="s">
        <v>10</v>
      </c>
      <c r="C1105" s="1" t="s">
        <v>29</v>
      </c>
      <c r="D1105" s="4">
        <v>213525</v>
      </c>
      <c r="E1105" s="4">
        <v>505138</v>
      </c>
      <c r="F1105" s="4">
        <v>42000</v>
      </c>
      <c r="G1105" s="4">
        <v>132000</v>
      </c>
      <c r="H1105" s="19">
        <v>4.0839285714285714</v>
      </c>
      <c r="J1105" s="1" t="s">
        <v>78</v>
      </c>
    </row>
    <row r="1106" spans="1:10" x14ac:dyDescent="0.25">
      <c r="A1106" s="1" t="s">
        <v>55</v>
      </c>
      <c r="B1106" s="1" t="s">
        <v>10</v>
      </c>
      <c r="C1106" s="1" t="s">
        <v>30</v>
      </c>
      <c r="D1106" s="4">
        <v>26</v>
      </c>
      <c r="E1106" s="4">
        <v>164</v>
      </c>
      <c r="F1106" s="4">
        <v>48</v>
      </c>
      <c r="G1106" s="4">
        <v>288</v>
      </c>
      <c r="H1106" s="19">
        <v>-0.45833333333333331</v>
      </c>
      <c r="J1106" s="1" t="s">
        <v>78</v>
      </c>
    </row>
    <row r="1107" spans="1:10" x14ac:dyDescent="0.25">
      <c r="A1107" s="1" t="s">
        <v>55</v>
      </c>
      <c r="B1107" s="1" t="s">
        <v>10</v>
      </c>
      <c r="C1107" s="1" t="s">
        <v>31</v>
      </c>
      <c r="D1107" s="4">
        <v>572.10516999999891</v>
      </c>
      <c r="E1107" s="4">
        <v>4101.1920999999993</v>
      </c>
      <c r="F1107" s="4">
        <v>1827.5299718803044</v>
      </c>
      <c r="G1107" s="4">
        <v>8389.0175513807499</v>
      </c>
      <c r="H1107" s="19">
        <v>-0.68695168954664376</v>
      </c>
      <c r="J1107" s="1" t="s">
        <v>78</v>
      </c>
    </row>
    <row r="1108" spans="1:10" x14ac:dyDescent="0.25">
      <c r="A1108" s="1" t="s">
        <v>55</v>
      </c>
      <c r="B1108" s="1" t="s">
        <v>10</v>
      </c>
      <c r="C1108" s="1" t="s">
        <v>32</v>
      </c>
      <c r="D1108" s="4">
        <v>-409.92356003033728</v>
      </c>
      <c r="E1108" s="4">
        <v>-886.45361003033099</v>
      </c>
      <c r="F1108" s="4">
        <v>1593.0964175763293</v>
      </c>
      <c r="G1108" s="4">
        <v>4885.5238782593233</v>
      </c>
      <c r="H1108" s="19">
        <v>-1.2573124611340085</v>
      </c>
      <c r="J1108" s="1" t="s">
        <v>78</v>
      </c>
    </row>
    <row r="1109" spans="1:10" x14ac:dyDescent="0.25">
      <c r="A1109" s="1" t="s">
        <v>56</v>
      </c>
      <c r="B1109" s="1" t="s">
        <v>7</v>
      </c>
      <c r="C1109" s="1" t="s">
        <v>63</v>
      </c>
      <c r="D1109" s="4">
        <v>973.37208000000828</v>
      </c>
      <c r="E1109" s="4">
        <v>14217.504289999993</v>
      </c>
      <c r="F1109" s="4">
        <v>7998.697211779453</v>
      </c>
      <c r="G1109" s="4">
        <v>94926.971635338356</v>
      </c>
      <c r="H1109" s="19">
        <v>-0.8783086727465379</v>
      </c>
      <c r="J1109" s="1" t="s">
        <v>78</v>
      </c>
    </row>
    <row r="1110" spans="1:10" x14ac:dyDescent="0.25">
      <c r="A1110" s="1" t="s">
        <v>56</v>
      </c>
      <c r="B1110" s="1" t="s">
        <v>7</v>
      </c>
      <c r="C1110" s="1" t="s">
        <v>26</v>
      </c>
      <c r="E1110" s="4">
        <v>46722.884050000001</v>
      </c>
      <c r="G1110" s="4">
        <v>64204.667867117809</v>
      </c>
      <c r="H1110" s="19">
        <v>0</v>
      </c>
      <c r="J1110" s="1" t="s">
        <v>78</v>
      </c>
    </row>
    <row r="1111" spans="1:10" x14ac:dyDescent="0.25">
      <c r="A1111" s="1" t="s">
        <v>56</v>
      </c>
      <c r="B1111" s="1" t="s">
        <v>7</v>
      </c>
      <c r="C1111" s="1" t="s">
        <v>27</v>
      </c>
      <c r="D1111" s="4">
        <v>0</v>
      </c>
      <c r="E1111" s="4">
        <v>171692.83484999996</v>
      </c>
      <c r="G1111" s="4">
        <v>172896.51741223593</v>
      </c>
      <c r="H1111" s="19">
        <v>0</v>
      </c>
      <c r="J1111" s="1" t="s">
        <v>78</v>
      </c>
    </row>
    <row r="1112" spans="1:10" x14ac:dyDescent="0.25">
      <c r="A1112" s="1" t="s">
        <v>56</v>
      </c>
      <c r="B1112" s="1" t="s">
        <v>7</v>
      </c>
      <c r="C1112" s="1" t="s">
        <v>21</v>
      </c>
      <c r="D1112" s="4">
        <v>3401.4122499999999</v>
      </c>
      <c r="E1112" s="4">
        <v>23525.556950000002</v>
      </c>
      <c r="F1112" s="4">
        <v>13214.635475772764</v>
      </c>
      <c r="G1112" s="4">
        <v>113307.50642731831</v>
      </c>
      <c r="H1112" s="19">
        <v>-0.74260264263543052</v>
      </c>
      <c r="J1112" s="1" t="s">
        <v>78</v>
      </c>
    </row>
    <row r="1113" spans="1:10" x14ac:dyDescent="0.25">
      <c r="A1113" s="1" t="s">
        <v>56</v>
      </c>
      <c r="B1113" s="1" t="s">
        <v>7</v>
      </c>
      <c r="C1113" s="1" t="s">
        <v>28</v>
      </c>
      <c r="D1113" s="4">
        <v>166302</v>
      </c>
      <c r="E1113" s="4">
        <v>868186.15</v>
      </c>
      <c r="F1113" s="4">
        <v>1499532.2936925676</v>
      </c>
      <c r="G1113" s="4">
        <v>5338596.8810777022</v>
      </c>
      <c r="H1113" s="19">
        <v>-0.88909742010924975</v>
      </c>
      <c r="J1113" s="1" t="s">
        <v>78</v>
      </c>
    </row>
    <row r="1114" spans="1:10" x14ac:dyDescent="0.25">
      <c r="A1114" s="1" t="s">
        <v>56</v>
      </c>
      <c r="B1114" s="1" t="s">
        <v>7</v>
      </c>
      <c r="C1114" s="1" t="s">
        <v>29</v>
      </c>
      <c r="D1114" s="4">
        <v>421</v>
      </c>
      <c r="E1114" s="4">
        <v>28294</v>
      </c>
      <c r="F1114" s="4">
        <v>56000</v>
      </c>
      <c r="G1114" s="4">
        <v>189000</v>
      </c>
      <c r="H1114" s="19">
        <v>-0.99248214285714287</v>
      </c>
      <c r="J1114" s="1" t="s">
        <v>78</v>
      </c>
    </row>
    <row r="1115" spans="1:10" x14ac:dyDescent="0.25">
      <c r="A1115" s="1" t="s">
        <v>56</v>
      </c>
      <c r="B1115" s="1" t="s">
        <v>7</v>
      </c>
      <c r="C1115" s="1" t="s">
        <v>30</v>
      </c>
      <c r="D1115" s="4">
        <v>116</v>
      </c>
      <c r="E1115" s="4">
        <v>514</v>
      </c>
      <c r="F1115" s="4">
        <v>108</v>
      </c>
      <c r="G1115" s="4">
        <v>648</v>
      </c>
      <c r="H1115" s="19">
        <v>7.407407407407407E-2</v>
      </c>
      <c r="J1115" s="1" t="s">
        <v>78</v>
      </c>
    </row>
    <row r="1116" spans="1:10" x14ac:dyDescent="0.25">
      <c r="A1116" s="1" t="s">
        <v>56</v>
      </c>
      <c r="B1116" s="1" t="s">
        <v>7</v>
      </c>
      <c r="C1116" s="1" t="s">
        <v>31</v>
      </c>
      <c r="D1116" s="4">
        <v>412.52157000000034</v>
      </c>
      <c r="E1116" s="4">
        <v>2439.3491200000003</v>
      </c>
      <c r="F1116" s="4">
        <v>2063.5353583179367</v>
      </c>
      <c r="G1116" s="4">
        <v>9434.7532149406761</v>
      </c>
      <c r="H1116" s="19">
        <v>-0.80008989507392703</v>
      </c>
      <c r="J1116" s="1" t="s">
        <v>78</v>
      </c>
    </row>
    <row r="1117" spans="1:10" x14ac:dyDescent="0.25">
      <c r="A1117" s="1" t="s">
        <v>56</v>
      </c>
      <c r="B1117" s="1" t="s">
        <v>7</v>
      </c>
      <c r="C1117" s="1" t="s">
        <v>32</v>
      </c>
      <c r="D1117" s="4">
        <v>386.19788380508498</v>
      </c>
      <c r="E1117" s="4">
        <v>-8680.9067061949172</v>
      </c>
      <c r="F1117" s="4">
        <v>3459.6122929276844</v>
      </c>
      <c r="G1117" s="4">
        <v>13322.353609408579</v>
      </c>
      <c r="H1117" s="19">
        <v>-0.88836960586752156</v>
      </c>
      <c r="J1117" s="1" t="s">
        <v>78</v>
      </c>
    </row>
    <row r="1118" spans="1:10" x14ac:dyDescent="0.25">
      <c r="A1118" s="1" t="s">
        <v>57</v>
      </c>
      <c r="B1118" s="1" t="s">
        <v>24</v>
      </c>
      <c r="C1118" s="1" t="s">
        <v>63</v>
      </c>
      <c r="D1118" s="4">
        <v>-12.448290000000043</v>
      </c>
      <c r="E1118" s="4">
        <v>-11.09430999999995</v>
      </c>
      <c r="F1118" s="4">
        <v>0</v>
      </c>
      <c r="G1118" s="4">
        <v>0</v>
      </c>
      <c r="H1118" s="19">
        <v>0</v>
      </c>
      <c r="J1118" s="1" t="s">
        <v>78</v>
      </c>
    </row>
    <row r="1119" spans="1:10" x14ac:dyDescent="0.25">
      <c r="A1119" s="1" t="s">
        <v>57</v>
      </c>
      <c r="B1119" s="1" t="s">
        <v>24</v>
      </c>
      <c r="C1119" s="1" t="s">
        <v>26</v>
      </c>
      <c r="E1119" s="4">
        <v>604.09074999999996</v>
      </c>
      <c r="G1119" s="4">
        <v>620.50470999999993</v>
      </c>
      <c r="H1119" s="19">
        <v>0</v>
      </c>
      <c r="J1119" s="1" t="s">
        <v>78</v>
      </c>
    </row>
    <row r="1120" spans="1:10" x14ac:dyDescent="0.25">
      <c r="A1120" s="1" t="s">
        <v>57</v>
      </c>
      <c r="B1120" s="1" t="s">
        <v>24</v>
      </c>
      <c r="C1120" s="1" t="s">
        <v>27</v>
      </c>
      <c r="D1120" s="4">
        <v>0</v>
      </c>
      <c r="E1120" s="4">
        <v>0</v>
      </c>
      <c r="G1120" s="4">
        <v>-15.040850000000001</v>
      </c>
      <c r="H1120" s="19">
        <v>0</v>
      </c>
      <c r="J1120" s="1" t="s">
        <v>78</v>
      </c>
    </row>
    <row r="1121" spans="1:10" x14ac:dyDescent="0.25">
      <c r="A1121" s="1" t="s">
        <v>57</v>
      </c>
      <c r="B1121" s="1" t="s">
        <v>24</v>
      </c>
      <c r="C1121" s="1" t="s">
        <v>21</v>
      </c>
      <c r="D1121" s="4">
        <v>0</v>
      </c>
      <c r="E1121" s="4">
        <v>0</v>
      </c>
      <c r="F1121" s="4">
        <v>0</v>
      </c>
      <c r="G1121" s="4">
        <v>0</v>
      </c>
      <c r="H1121" s="19">
        <v>0</v>
      </c>
      <c r="J1121" s="1" t="s">
        <v>78</v>
      </c>
    </row>
    <row r="1122" spans="1:10" x14ac:dyDescent="0.25">
      <c r="A1122" s="1" t="s">
        <v>57</v>
      </c>
      <c r="B1122" s="1" t="s">
        <v>24</v>
      </c>
      <c r="C1122" s="1" t="s">
        <v>28</v>
      </c>
      <c r="D1122" s="4">
        <v>0</v>
      </c>
      <c r="E1122" s="4">
        <v>0</v>
      </c>
      <c r="F1122" s="4">
        <v>0</v>
      </c>
      <c r="G1122" s="4">
        <v>0</v>
      </c>
      <c r="H1122" s="19">
        <v>0</v>
      </c>
      <c r="J1122" s="1" t="s">
        <v>78</v>
      </c>
    </row>
    <row r="1123" spans="1:10" x14ac:dyDescent="0.25">
      <c r="A1123" s="1" t="s">
        <v>57</v>
      </c>
      <c r="B1123" s="1" t="s">
        <v>24</v>
      </c>
      <c r="C1123" s="1" t="s">
        <v>29</v>
      </c>
      <c r="D1123" s="4">
        <v>0</v>
      </c>
      <c r="E1123" s="4">
        <v>0</v>
      </c>
      <c r="F1123" s="4">
        <v>0</v>
      </c>
      <c r="G1123" s="4">
        <v>0</v>
      </c>
      <c r="H1123" s="19">
        <v>0</v>
      </c>
      <c r="J1123" s="1" t="s">
        <v>78</v>
      </c>
    </row>
    <row r="1124" spans="1:10" x14ac:dyDescent="0.25">
      <c r="A1124" s="1" t="s">
        <v>57</v>
      </c>
      <c r="B1124" s="1" t="s">
        <v>24</v>
      </c>
      <c r="C1124" s="1" t="s">
        <v>30</v>
      </c>
      <c r="D1124" s="4">
        <v>0</v>
      </c>
      <c r="E1124" s="4">
        <v>0</v>
      </c>
      <c r="F1124" s="4">
        <v>0</v>
      </c>
      <c r="G1124" s="4">
        <v>0</v>
      </c>
      <c r="H1124" s="19">
        <v>0</v>
      </c>
      <c r="J1124" s="1" t="s">
        <v>78</v>
      </c>
    </row>
    <row r="1125" spans="1:10" x14ac:dyDescent="0.25">
      <c r="A1125" s="1" t="s">
        <v>57</v>
      </c>
      <c r="B1125" s="1" t="s">
        <v>24</v>
      </c>
      <c r="C1125" s="1" t="s">
        <v>31</v>
      </c>
      <c r="D1125" s="4">
        <v>0.12869999999999998</v>
      </c>
      <c r="E1125" s="4">
        <v>0.12869999999999998</v>
      </c>
      <c r="F1125" s="4">
        <v>0.79484717577768871</v>
      </c>
      <c r="G1125" s="4">
        <v>2.3650596880993247</v>
      </c>
      <c r="H1125" s="19">
        <v>-0.83808208178625243</v>
      </c>
      <c r="J1125" s="1" t="s">
        <v>78</v>
      </c>
    </row>
    <row r="1126" spans="1:10" x14ac:dyDescent="0.25">
      <c r="A1126" s="1" t="s">
        <v>57</v>
      </c>
      <c r="B1126" s="1" t="s">
        <v>24</v>
      </c>
      <c r="C1126" s="1" t="s">
        <v>32</v>
      </c>
      <c r="D1126" s="4">
        <v>6.3614426541400171</v>
      </c>
      <c r="E1126" s="4">
        <v>18.195272654140023</v>
      </c>
      <c r="F1126" s="4">
        <v>-0.81015031150463868</v>
      </c>
      <c r="G1126" s="4">
        <v>-3.6632574682966483</v>
      </c>
      <c r="H1126" s="19">
        <v>8.8521757799800511</v>
      </c>
      <c r="J1126" s="1" t="s">
        <v>78</v>
      </c>
    </row>
    <row r="1127" spans="1:10" x14ac:dyDescent="0.25">
      <c r="A1127" s="1" t="s">
        <v>58</v>
      </c>
      <c r="B1127" s="1" t="s">
        <v>1</v>
      </c>
      <c r="C1127" s="1" t="s">
        <v>63</v>
      </c>
      <c r="D1127" s="4">
        <v>-11418.415959999984</v>
      </c>
      <c r="E1127" s="4">
        <v>5711.2720600000175</v>
      </c>
      <c r="F1127" s="4">
        <v>11650.009711779445</v>
      </c>
      <c r="G1127" s="4">
        <v>126154.82913533837</v>
      </c>
      <c r="H1127" s="19">
        <v>-1.980120724573706</v>
      </c>
      <c r="J1127" s="1" t="s">
        <v>78</v>
      </c>
    </row>
    <row r="1128" spans="1:10" x14ac:dyDescent="0.25">
      <c r="A1128" s="1" t="s">
        <v>58</v>
      </c>
      <c r="B1128" s="1" t="s">
        <v>1</v>
      </c>
      <c r="C1128" s="1" t="s">
        <v>26</v>
      </c>
      <c r="E1128" s="4">
        <v>224169.53148999999</v>
      </c>
      <c r="G1128" s="4">
        <v>275787.02041711786</v>
      </c>
      <c r="H1128" s="19">
        <v>0</v>
      </c>
      <c r="J1128" s="1" t="s">
        <v>78</v>
      </c>
    </row>
    <row r="1129" spans="1:10" x14ac:dyDescent="0.25">
      <c r="A1129" s="1" t="s">
        <v>58</v>
      </c>
      <c r="B1129" s="1" t="s">
        <v>1</v>
      </c>
      <c r="C1129" s="1" t="s">
        <v>27</v>
      </c>
      <c r="D1129" s="4">
        <v>0</v>
      </c>
      <c r="E1129" s="4">
        <v>139603.56213999997</v>
      </c>
      <c r="G1129" s="4">
        <v>166599.94437027563</v>
      </c>
      <c r="H1129" s="19">
        <v>0</v>
      </c>
      <c r="J1129" s="1" t="s">
        <v>78</v>
      </c>
    </row>
    <row r="1130" spans="1:10" x14ac:dyDescent="0.25">
      <c r="A1130" s="1" t="s">
        <v>58</v>
      </c>
      <c r="B1130" s="1" t="s">
        <v>1</v>
      </c>
      <c r="C1130" s="1" t="s">
        <v>21</v>
      </c>
      <c r="D1130" s="4">
        <v>901.77700000000004</v>
      </c>
      <c r="E1130" s="4">
        <v>11442.675999999999</v>
      </c>
      <c r="F1130" s="4">
        <v>20868.444642439434</v>
      </c>
      <c r="G1130" s="4">
        <v>161611.33392731828</v>
      </c>
      <c r="H1130" s="19">
        <v>-0.9567875318237139</v>
      </c>
      <c r="J1130" s="1" t="s">
        <v>78</v>
      </c>
    </row>
    <row r="1131" spans="1:10" x14ac:dyDescent="0.25">
      <c r="A1131" s="1" t="s">
        <v>58</v>
      </c>
      <c r="B1131" s="1" t="s">
        <v>1</v>
      </c>
      <c r="C1131" s="1" t="s">
        <v>28</v>
      </c>
      <c r="D1131" s="4">
        <v>14500</v>
      </c>
      <c r="E1131" s="4">
        <v>61700</v>
      </c>
      <c r="F1131" s="4">
        <v>248443.22025675679</v>
      </c>
      <c r="G1131" s="4">
        <v>934329.66077027027</v>
      </c>
      <c r="H1131" s="19">
        <v>-0.94163656393998274</v>
      </c>
      <c r="J1131" s="1" t="s">
        <v>78</v>
      </c>
    </row>
    <row r="1132" spans="1:10" x14ac:dyDescent="0.25">
      <c r="A1132" s="1" t="s">
        <v>58</v>
      </c>
      <c r="B1132" s="1" t="s">
        <v>1</v>
      </c>
      <c r="C1132" s="1" t="s">
        <v>29</v>
      </c>
      <c r="D1132" s="4">
        <v>418302</v>
      </c>
      <c r="E1132" s="4">
        <v>774081</v>
      </c>
      <c r="F1132" s="4">
        <v>56000</v>
      </c>
      <c r="G1132" s="4">
        <v>465000</v>
      </c>
      <c r="H1132" s="19">
        <v>6.4696785714285712</v>
      </c>
      <c r="J1132" s="1" t="s">
        <v>78</v>
      </c>
    </row>
    <row r="1133" spans="1:10" x14ac:dyDescent="0.25">
      <c r="A1133" s="1" t="s">
        <v>58</v>
      </c>
      <c r="B1133" s="1" t="s">
        <v>1</v>
      </c>
      <c r="C1133" s="1" t="s">
        <v>30</v>
      </c>
      <c r="D1133" s="4">
        <v>131</v>
      </c>
      <c r="E1133" s="4">
        <v>745</v>
      </c>
      <c r="F1133" s="4">
        <v>178</v>
      </c>
      <c r="G1133" s="4">
        <v>1068</v>
      </c>
      <c r="H1133" s="19">
        <v>-0.2640449438202247</v>
      </c>
      <c r="J1133" s="1" t="s">
        <v>78</v>
      </c>
    </row>
    <row r="1134" spans="1:10" x14ac:dyDescent="0.25">
      <c r="A1134" s="1" t="s">
        <v>58</v>
      </c>
      <c r="B1134" s="1" t="s">
        <v>1</v>
      </c>
      <c r="C1134" s="1" t="s">
        <v>31</v>
      </c>
      <c r="D1134" s="4">
        <v>213.68154999999979</v>
      </c>
      <c r="E1134" s="4">
        <v>1609.2850799999999</v>
      </c>
      <c r="F1134" s="4">
        <v>1042.2471597548456</v>
      </c>
      <c r="G1134" s="4">
        <v>4059.4643952259794</v>
      </c>
      <c r="H1134" s="19">
        <v>-0.79497996420516859</v>
      </c>
      <c r="J1134" s="1" t="s">
        <v>78</v>
      </c>
    </row>
    <row r="1135" spans="1:10" x14ac:dyDescent="0.25">
      <c r="A1135" s="1" t="s">
        <v>58</v>
      </c>
      <c r="B1135" s="1" t="s">
        <v>1</v>
      </c>
      <c r="C1135" s="1" t="s">
        <v>32</v>
      </c>
      <c r="D1135" s="4">
        <v>453.69848279862663</v>
      </c>
      <c r="E1135" s="4">
        <v>-8701.7484272013699</v>
      </c>
      <c r="F1135" s="4">
        <v>-760.97058255146294</v>
      </c>
      <c r="G1135" s="4">
        <v>-9051.1601771787737</v>
      </c>
      <c r="H1135" s="19">
        <v>1.5962102782967222</v>
      </c>
      <c r="J1135" s="1" t="s">
        <v>78</v>
      </c>
    </row>
    <row r="1136" spans="1:10" x14ac:dyDescent="0.25">
      <c r="A1136" s="1" t="s">
        <v>38</v>
      </c>
      <c r="B1136" s="1" t="s">
        <v>18</v>
      </c>
      <c r="C1136" s="1" t="s">
        <v>63</v>
      </c>
      <c r="D1136" s="4">
        <v>0</v>
      </c>
      <c r="E1136" s="4">
        <v>0</v>
      </c>
      <c r="F1136" s="4">
        <v>0</v>
      </c>
      <c r="G1136" s="4">
        <v>0</v>
      </c>
      <c r="H1136" s="19">
        <v>0</v>
      </c>
      <c r="J1136" s="1" t="s">
        <v>79</v>
      </c>
    </row>
    <row r="1137" spans="1:10" x14ac:dyDescent="0.25">
      <c r="A1137" s="1" t="s">
        <v>38</v>
      </c>
      <c r="B1137" s="1" t="s">
        <v>18</v>
      </c>
      <c r="C1137" s="1" t="s">
        <v>26</v>
      </c>
      <c r="E1137" s="4">
        <v>0</v>
      </c>
      <c r="G1137" s="4">
        <v>0</v>
      </c>
      <c r="H1137" s="19">
        <v>0</v>
      </c>
      <c r="J1137" s="1" t="s">
        <v>79</v>
      </c>
    </row>
    <row r="1138" spans="1:10" x14ac:dyDescent="0.25">
      <c r="A1138" s="1" t="s">
        <v>38</v>
      </c>
      <c r="B1138" s="1" t="s">
        <v>18</v>
      </c>
      <c r="C1138" s="1" t="s">
        <v>27</v>
      </c>
      <c r="D1138" s="4">
        <v>0</v>
      </c>
      <c r="E1138" s="4">
        <v>0</v>
      </c>
      <c r="G1138" s="4">
        <v>0</v>
      </c>
      <c r="H1138" s="19">
        <v>0</v>
      </c>
      <c r="J1138" s="1" t="s">
        <v>79</v>
      </c>
    </row>
    <row r="1139" spans="1:10" x14ac:dyDescent="0.25">
      <c r="A1139" s="1" t="s">
        <v>38</v>
      </c>
      <c r="B1139" s="1" t="s">
        <v>18</v>
      </c>
      <c r="C1139" s="1" t="s">
        <v>21</v>
      </c>
      <c r="D1139" s="4">
        <v>0</v>
      </c>
      <c r="E1139" s="4">
        <v>0</v>
      </c>
      <c r="F1139" s="4">
        <v>0</v>
      </c>
      <c r="G1139" s="4">
        <v>0</v>
      </c>
      <c r="H1139" s="19">
        <v>0</v>
      </c>
      <c r="J1139" s="1" t="s">
        <v>79</v>
      </c>
    </row>
    <row r="1140" spans="1:10" x14ac:dyDescent="0.25">
      <c r="A1140" s="1" t="s">
        <v>38</v>
      </c>
      <c r="B1140" s="1" t="s">
        <v>18</v>
      </c>
      <c r="C1140" s="1" t="s">
        <v>28</v>
      </c>
      <c r="D1140" s="4">
        <v>0</v>
      </c>
      <c r="E1140" s="4">
        <v>0</v>
      </c>
      <c r="F1140" s="4">
        <v>0</v>
      </c>
      <c r="G1140" s="4">
        <v>0</v>
      </c>
      <c r="H1140" s="19">
        <v>0</v>
      </c>
      <c r="J1140" s="1" t="s">
        <v>79</v>
      </c>
    </row>
    <row r="1141" spans="1:10" x14ac:dyDescent="0.25">
      <c r="A1141" s="1" t="s">
        <v>38</v>
      </c>
      <c r="B1141" s="1" t="s">
        <v>18</v>
      </c>
      <c r="C1141" s="1" t="s">
        <v>29</v>
      </c>
      <c r="D1141" s="4">
        <v>0</v>
      </c>
      <c r="E1141" s="4">
        <v>243620</v>
      </c>
      <c r="F1141" s="4">
        <v>0</v>
      </c>
      <c r="G1141" s="4">
        <v>99000</v>
      </c>
      <c r="H1141" s="19">
        <v>0</v>
      </c>
      <c r="J1141" s="1" t="s">
        <v>79</v>
      </c>
    </row>
    <row r="1142" spans="1:10" x14ac:dyDescent="0.25">
      <c r="A1142" s="1" t="s">
        <v>38</v>
      </c>
      <c r="B1142" s="1" t="s">
        <v>18</v>
      </c>
      <c r="C1142" s="1" t="s">
        <v>30</v>
      </c>
      <c r="D1142" s="4">
        <v>0</v>
      </c>
      <c r="E1142" s="4">
        <v>0</v>
      </c>
      <c r="F1142" s="4">
        <v>0</v>
      </c>
      <c r="G1142" s="4">
        <v>0</v>
      </c>
      <c r="H1142" s="19">
        <v>0</v>
      </c>
      <c r="J1142" s="1" t="s">
        <v>79</v>
      </c>
    </row>
    <row r="1143" spans="1:10" x14ac:dyDescent="0.25">
      <c r="A1143" s="1" t="s">
        <v>38</v>
      </c>
      <c r="B1143" s="1" t="s">
        <v>18</v>
      </c>
      <c r="C1143" s="1" t="s">
        <v>31</v>
      </c>
      <c r="D1143" s="4">
        <v>366.00511999999992</v>
      </c>
      <c r="E1143" s="4">
        <v>819.77218999999991</v>
      </c>
      <c r="F1143" s="4">
        <v>4.5627263656299988E-2</v>
      </c>
      <c r="G1143" s="4">
        <v>117.63777051937082</v>
      </c>
      <c r="H1143" s="19">
        <v>8020.6320390596939</v>
      </c>
      <c r="J1143" s="1" t="s">
        <v>79</v>
      </c>
    </row>
    <row r="1144" spans="1:10" x14ac:dyDescent="0.25">
      <c r="A1144" s="1" t="s">
        <v>38</v>
      </c>
      <c r="B1144" s="1" t="s">
        <v>18</v>
      </c>
      <c r="C1144" s="1" t="s">
        <v>32</v>
      </c>
      <c r="D1144" s="4">
        <v>-11619.751584155827</v>
      </c>
      <c r="E1144" s="4">
        <v>-191075.57229259695</v>
      </c>
      <c r="F1144" s="4">
        <v>-20130.287509152782</v>
      </c>
      <c r="G1144" s="4">
        <v>-182192.67628132171</v>
      </c>
      <c r="H1144" s="19">
        <v>0.4227726961737337</v>
      </c>
      <c r="J1144" s="1" t="s">
        <v>79</v>
      </c>
    </row>
    <row r="1145" spans="1:10" x14ac:dyDescent="0.25">
      <c r="A1145" s="1" t="s">
        <v>39</v>
      </c>
      <c r="B1145" s="1" t="s">
        <v>8</v>
      </c>
      <c r="C1145" s="1" t="s">
        <v>63</v>
      </c>
      <c r="D1145" s="4">
        <v>5667.1291000000201</v>
      </c>
      <c r="E1145" s="4">
        <v>33197.184520000068</v>
      </c>
      <c r="F1145" s="4">
        <v>7465.9829260652068</v>
      </c>
      <c r="G1145" s="4">
        <v>87929.371704260819</v>
      </c>
      <c r="H1145" s="19">
        <v>-0.24093998658703547</v>
      </c>
      <c r="J1145" s="1" t="s">
        <v>79</v>
      </c>
    </row>
    <row r="1146" spans="1:10" x14ac:dyDescent="0.25">
      <c r="A1146" s="1" t="s">
        <v>39</v>
      </c>
      <c r="B1146" s="1" t="s">
        <v>8</v>
      </c>
      <c r="C1146" s="1" t="s">
        <v>26</v>
      </c>
      <c r="E1146" s="4">
        <v>511820.75765000004</v>
      </c>
      <c r="G1146" s="4">
        <v>523507.82474032586</v>
      </c>
      <c r="H1146" s="19">
        <v>0</v>
      </c>
      <c r="J1146" s="1" t="s">
        <v>79</v>
      </c>
    </row>
    <row r="1147" spans="1:10" x14ac:dyDescent="0.25">
      <c r="A1147" s="1" t="s">
        <v>39</v>
      </c>
      <c r="B1147" s="1" t="s">
        <v>8</v>
      </c>
      <c r="C1147" s="1" t="s">
        <v>27</v>
      </c>
      <c r="D1147" s="4">
        <v>0</v>
      </c>
      <c r="E1147" s="4">
        <v>677677.54038999998</v>
      </c>
      <c r="G1147" s="4">
        <v>532190.91187385854</v>
      </c>
      <c r="H1147" s="19">
        <v>0</v>
      </c>
      <c r="J1147" s="1" t="s">
        <v>79</v>
      </c>
    </row>
    <row r="1148" spans="1:10" x14ac:dyDescent="0.25">
      <c r="A1148" s="1" t="s">
        <v>39</v>
      </c>
      <c r="B1148" s="1" t="s">
        <v>8</v>
      </c>
      <c r="C1148" s="1" t="s">
        <v>21</v>
      </c>
      <c r="D1148" s="4">
        <v>5543.2675999999992</v>
      </c>
      <c r="E1148" s="4">
        <v>66041.948299999989</v>
      </c>
      <c r="F1148" s="4">
        <v>21166.644999582291</v>
      </c>
      <c r="G1148" s="4">
        <v>142248.37999832915</v>
      </c>
      <c r="H1148" s="19">
        <v>-0.73811307365388368</v>
      </c>
      <c r="J1148" s="1" t="s">
        <v>79</v>
      </c>
    </row>
    <row r="1149" spans="1:10" x14ac:dyDescent="0.25">
      <c r="A1149" s="1" t="s">
        <v>39</v>
      </c>
      <c r="B1149" s="1" t="s">
        <v>8</v>
      </c>
      <c r="C1149" s="1" t="s">
        <v>28</v>
      </c>
      <c r="D1149" s="4">
        <v>3237602</v>
      </c>
      <c r="E1149" s="4">
        <v>16572369.140000001</v>
      </c>
      <c r="F1149" s="4">
        <v>124221.61012837839</v>
      </c>
      <c r="G1149" s="4">
        <v>4546886.440513514</v>
      </c>
      <c r="H1149" s="19">
        <v>25.063114112383982</v>
      </c>
      <c r="J1149" s="1" t="s">
        <v>79</v>
      </c>
    </row>
    <row r="1150" spans="1:10" x14ac:dyDescent="0.25">
      <c r="A1150" s="1" t="s">
        <v>39</v>
      </c>
      <c r="B1150" s="1" t="s">
        <v>8</v>
      </c>
      <c r="C1150" s="1" t="s">
        <v>29</v>
      </c>
      <c r="D1150" s="4">
        <v>151786</v>
      </c>
      <c r="E1150" s="4">
        <v>529922</v>
      </c>
      <c r="F1150" s="4">
        <v>28000</v>
      </c>
      <c r="G1150" s="4">
        <v>118000</v>
      </c>
      <c r="H1150" s="19">
        <v>4.4209285714285711</v>
      </c>
      <c r="J1150" s="1" t="s">
        <v>79</v>
      </c>
    </row>
    <row r="1151" spans="1:10" x14ac:dyDescent="0.25">
      <c r="A1151" s="1" t="s">
        <v>39</v>
      </c>
      <c r="B1151" s="1" t="s">
        <v>8</v>
      </c>
      <c r="C1151" s="1" t="s">
        <v>30</v>
      </c>
      <c r="D1151" s="4">
        <v>21</v>
      </c>
      <c r="E1151" s="4">
        <v>336</v>
      </c>
      <c r="F1151" s="4">
        <v>85</v>
      </c>
      <c r="G1151" s="4">
        <v>595</v>
      </c>
      <c r="H1151" s="19">
        <v>-0.75294117647058822</v>
      </c>
      <c r="J1151" s="1" t="s">
        <v>79</v>
      </c>
    </row>
    <row r="1152" spans="1:10" x14ac:dyDescent="0.25">
      <c r="A1152" s="1" t="s">
        <v>39</v>
      </c>
      <c r="B1152" s="1" t="s">
        <v>8</v>
      </c>
      <c r="C1152" s="1" t="s">
        <v>31</v>
      </c>
      <c r="D1152" s="4">
        <v>3361.094850000005</v>
      </c>
      <c r="E1152" s="4">
        <v>18800.215560000004</v>
      </c>
      <c r="F1152" s="4">
        <v>986.9479166366873</v>
      </c>
      <c r="G1152" s="4">
        <v>11218.713957965554</v>
      </c>
      <c r="H1152" s="19">
        <v>2.4055442980759465</v>
      </c>
      <c r="J1152" s="1" t="s">
        <v>79</v>
      </c>
    </row>
    <row r="1153" spans="1:10" x14ac:dyDescent="0.25">
      <c r="A1153" s="1" t="s">
        <v>39</v>
      </c>
      <c r="B1153" s="1" t="s">
        <v>8</v>
      </c>
      <c r="C1153" s="1" t="s">
        <v>32</v>
      </c>
      <c r="D1153" s="4">
        <v>677.12395076019686</v>
      </c>
      <c r="E1153" s="4">
        <v>-5403.9423921841881</v>
      </c>
      <c r="F1153" s="4">
        <v>9488.057835807138</v>
      </c>
      <c r="G1153" s="4">
        <v>20741.542105463479</v>
      </c>
      <c r="H1153" s="19">
        <v>-0.92863408270923609</v>
      </c>
      <c r="J1153" s="1" t="s">
        <v>79</v>
      </c>
    </row>
    <row r="1154" spans="1:10" x14ac:dyDescent="0.25">
      <c r="A1154" s="1" t="s">
        <v>40</v>
      </c>
      <c r="B1154" s="1" t="s">
        <v>11</v>
      </c>
      <c r="C1154" s="1" t="s">
        <v>63</v>
      </c>
      <c r="D1154" s="4">
        <v>2084.1728600000206</v>
      </c>
      <c r="E1154" s="4">
        <v>-14081.778679999989</v>
      </c>
      <c r="F1154" s="4">
        <v>2986.0037593984976</v>
      </c>
      <c r="G1154" s="4">
        <v>71209.455037594002</v>
      </c>
      <c r="H1154" s="19">
        <v>-0.30201934493884974</v>
      </c>
      <c r="J1154" s="1" t="s">
        <v>79</v>
      </c>
    </row>
    <row r="1155" spans="1:10" x14ac:dyDescent="0.25">
      <c r="A1155" s="1" t="s">
        <v>40</v>
      </c>
      <c r="B1155" s="1" t="s">
        <v>11</v>
      </c>
      <c r="C1155" s="1" t="s">
        <v>26</v>
      </c>
      <c r="E1155" s="4">
        <v>59051.26443000001</v>
      </c>
      <c r="G1155" s="4">
        <v>64042.307596992476</v>
      </c>
      <c r="H1155" s="19">
        <v>0</v>
      </c>
      <c r="J1155" s="1" t="s">
        <v>79</v>
      </c>
    </row>
    <row r="1156" spans="1:10" x14ac:dyDescent="0.25">
      <c r="A1156" s="1" t="s">
        <v>40</v>
      </c>
      <c r="B1156" s="1" t="s">
        <v>11</v>
      </c>
      <c r="C1156" s="1" t="s">
        <v>27</v>
      </c>
      <c r="D1156" s="4">
        <v>0</v>
      </c>
      <c r="E1156" s="4">
        <v>91282.668689999977</v>
      </c>
      <c r="G1156" s="4">
        <v>84783.474342751651</v>
      </c>
      <c r="H1156" s="19">
        <v>0</v>
      </c>
      <c r="J1156" s="1" t="s">
        <v>79</v>
      </c>
    </row>
    <row r="1157" spans="1:10" x14ac:dyDescent="0.25">
      <c r="A1157" s="1" t="s">
        <v>40</v>
      </c>
      <c r="B1157" s="1" t="s">
        <v>11</v>
      </c>
      <c r="C1157" s="1" t="s">
        <v>21</v>
      </c>
      <c r="D1157" s="4">
        <v>2409.877</v>
      </c>
      <c r="E1157" s="4">
        <v>12893.64085</v>
      </c>
      <c r="F1157" s="4">
        <v>5348.7727218045111</v>
      </c>
      <c r="G1157" s="4">
        <v>80476.890887218033</v>
      </c>
      <c r="H1157" s="19">
        <v>-0.54945234629693118</v>
      </c>
      <c r="J1157" s="1" t="s">
        <v>79</v>
      </c>
    </row>
    <row r="1158" spans="1:10" x14ac:dyDescent="0.25">
      <c r="A1158" s="1" t="s">
        <v>40</v>
      </c>
      <c r="B1158" s="1" t="s">
        <v>11</v>
      </c>
      <c r="C1158" s="1" t="s">
        <v>28</v>
      </c>
      <c r="D1158" s="4">
        <v>19000</v>
      </c>
      <c r="E1158" s="4">
        <v>76500</v>
      </c>
      <c r="F1158" s="4">
        <v>62110.805064189197</v>
      </c>
      <c r="G1158" s="4">
        <v>338443.22025675676</v>
      </c>
      <c r="H1158" s="19">
        <v>-0.69409509375439249</v>
      </c>
      <c r="J1158" s="1" t="s">
        <v>79</v>
      </c>
    </row>
    <row r="1159" spans="1:10" x14ac:dyDescent="0.25">
      <c r="A1159" s="1" t="s">
        <v>40</v>
      </c>
      <c r="B1159" s="1" t="s">
        <v>11</v>
      </c>
      <c r="C1159" s="1" t="s">
        <v>29</v>
      </c>
      <c r="D1159" s="4">
        <v>742</v>
      </c>
      <c r="E1159" s="4">
        <v>277470</v>
      </c>
      <c r="F1159" s="4">
        <v>14000</v>
      </c>
      <c r="G1159" s="4">
        <v>275000</v>
      </c>
      <c r="H1159" s="19">
        <v>-0.94699999999999995</v>
      </c>
      <c r="J1159" s="1" t="s">
        <v>79</v>
      </c>
    </row>
    <row r="1160" spans="1:10" x14ac:dyDescent="0.25">
      <c r="A1160" s="1" t="s">
        <v>40</v>
      </c>
      <c r="B1160" s="1" t="s">
        <v>11</v>
      </c>
      <c r="C1160" s="1" t="s">
        <v>30</v>
      </c>
      <c r="D1160" s="4">
        <v>49</v>
      </c>
      <c r="E1160" s="4">
        <v>456</v>
      </c>
      <c r="F1160" s="4">
        <v>73</v>
      </c>
      <c r="G1160" s="4">
        <v>511</v>
      </c>
      <c r="H1160" s="19">
        <v>-0.32876712328767121</v>
      </c>
      <c r="J1160" s="1" t="s">
        <v>79</v>
      </c>
    </row>
    <row r="1161" spans="1:10" x14ac:dyDescent="0.25">
      <c r="A1161" s="1" t="s">
        <v>40</v>
      </c>
      <c r="B1161" s="1" t="s">
        <v>11</v>
      </c>
      <c r="C1161" s="1" t="s">
        <v>31</v>
      </c>
      <c r="D1161" s="4">
        <v>203.17012</v>
      </c>
      <c r="E1161" s="4">
        <v>1138.0803000000001</v>
      </c>
      <c r="F1161" s="4">
        <v>398.96047438593905</v>
      </c>
      <c r="G1161" s="4">
        <v>2076.1927166355167</v>
      </c>
      <c r="H1161" s="19">
        <v>-0.49075125721987933</v>
      </c>
      <c r="J1161" s="1" t="s">
        <v>79</v>
      </c>
    </row>
    <row r="1162" spans="1:10" x14ac:dyDescent="0.25">
      <c r="A1162" s="1" t="s">
        <v>40</v>
      </c>
      <c r="B1162" s="1" t="s">
        <v>11</v>
      </c>
      <c r="C1162" s="1" t="s">
        <v>32</v>
      </c>
      <c r="D1162" s="4">
        <v>-690.59690092022902</v>
      </c>
      <c r="E1162" s="4">
        <v>-8590.629379908989</v>
      </c>
      <c r="F1162" s="4">
        <v>215.77906161942155</v>
      </c>
      <c r="G1162" s="4">
        <v>-2201.9293244031987</v>
      </c>
      <c r="H1162" s="19">
        <v>-4.2004815283619283</v>
      </c>
      <c r="J1162" s="1" t="s">
        <v>79</v>
      </c>
    </row>
    <row r="1163" spans="1:10" x14ac:dyDescent="0.25">
      <c r="A1163" s="1" t="s">
        <v>41</v>
      </c>
      <c r="B1163" s="1" t="s">
        <v>15</v>
      </c>
      <c r="C1163" s="1" t="s">
        <v>63</v>
      </c>
      <c r="D1163" s="4">
        <v>2245.3767500000104</v>
      </c>
      <c r="E1163" s="4">
        <v>-2521.8215199999977</v>
      </c>
      <c r="F1163" s="4">
        <v>2986.0037593984976</v>
      </c>
      <c r="G1163" s="4">
        <v>63274.895037593989</v>
      </c>
      <c r="H1163" s="19">
        <v>-0.24803284559416613</v>
      </c>
      <c r="J1163" s="1" t="s">
        <v>79</v>
      </c>
    </row>
    <row r="1164" spans="1:10" x14ac:dyDescent="0.25">
      <c r="A1164" s="1" t="s">
        <v>41</v>
      </c>
      <c r="B1164" s="1" t="s">
        <v>15</v>
      </c>
      <c r="C1164" s="1" t="s">
        <v>26</v>
      </c>
      <c r="E1164" s="4">
        <v>37763.046699999999</v>
      </c>
      <c r="G1164" s="4">
        <v>61504.07928699247</v>
      </c>
      <c r="H1164" s="19">
        <v>0</v>
      </c>
      <c r="J1164" s="1" t="s">
        <v>79</v>
      </c>
    </row>
    <row r="1165" spans="1:10" x14ac:dyDescent="0.25">
      <c r="A1165" s="1" t="s">
        <v>41</v>
      </c>
      <c r="B1165" s="1" t="s">
        <v>15</v>
      </c>
      <c r="C1165" s="1" t="s">
        <v>27</v>
      </c>
      <c r="D1165" s="4">
        <v>0</v>
      </c>
      <c r="E1165" s="4">
        <v>96627.467019999967</v>
      </c>
      <c r="G1165" s="4">
        <v>92721.228749835296</v>
      </c>
      <c r="H1165" s="19">
        <v>0</v>
      </c>
      <c r="J1165" s="1" t="s">
        <v>79</v>
      </c>
    </row>
    <row r="1166" spans="1:10" x14ac:dyDescent="0.25">
      <c r="A1166" s="1" t="s">
        <v>41</v>
      </c>
      <c r="B1166" s="1" t="s">
        <v>15</v>
      </c>
      <c r="C1166" s="1" t="s">
        <v>21</v>
      </c>
      <c r="D1166" s="4">
        <v>649.04600000000005</v>
      </c>
      <c r="E1166" s="4">
        <v>7303.1098500000007</v>
      </c>
      <c r="F1166" s="4">
        <v>5348.7727218045111</v>
      </c>
      <c r="G1166" s="4">
        <v>70558.69088721805</v>
      </c>
      <c r="H1166" s="19">
        <v>-0.87865515441436959</v>
      </c>
      <c r="J1166" s="1" t="s">
        <v>79</v>
      </c>
    </row>
    <row r="1167" spans="1:10" x14ac:dyDescent="0.25">
      <c r="A1167" s="1" t="s">
        <v>41</v>
      </c>
      <c r="B1167" s="1" t="s">
        <v>15</v>
      </c>
      <c r="C1167" s="1" t="s">
        <v>28</v>
      </c>
      <c r="D1167" s="4">
        <v>5000</v>
      </c>
      <c r="E1167" s="4">
        <v>41000</v>
      </c>
      <c r="F1167" s="4">
        <v>62110.805064189197</v>
      </c>
      <c r="G1167" s="4">
        <v>284443.22025675676</v>
      </c>
      <c r="H1167" s="19">
        <v>-0.91949870888273488</v>
      </c>
      <c r="J1167" s="1" t="s">
        <v>79</v>
      </c>
    </row>
    <row r="1168" spans="1:10" x14ac:dyDescent="0.25">
      <c r="A1168" s="1" t="s">
        <v>41</v>
      </c>
      <c r="B1168" s="1" t="s">
        <v>15</v>
      </c>
      <c r="C1168" s="1" t="s">
        <v>29</v>
      </c>
      <c r="D1168" s="4">
        <v>0</v>
      </c>
      <c r="E1168" s="4">
        <v>0</v>
      </c>
      <c r="F1168" s="4">
        <v>14000</v>
      </c>
      <c r="G1168" s="4">
        <v>59000</v>
      </c>
      <c r="H1168" s="19">
        <v>-1</v>
      </c>
      <c r="J1168" s="1" t="s">
        <v>79</v>
      </c>
    </row>
    <row r="1169" spans="1:10" x14ac:dyDescent="0.25">
      <c r="A1169" s="1" t="s">
        <v>41</v>
      </c>
      <c r="B1169" s="1" t="s">
        <v>15</v>
      </c>
      <c r="C1169" s="1" t="s">
        <v>30</v>
      </c>
      <c r="D1169" s="4">
        <v>14</v>
      </c>
      <c r="E1169" s="4">
        <v>158</v>
      </c>
      <c r="F1169" s="4">
        <v>66</v>
      </c>
      <c r="G1169" s="4">
        <v>462</v>
      </c>
      <c r="H1169" s="19">
        <v>-0.78787878787878785</v>
      </c>
      <c r="J1169" s="1" t="s">
        <v>79</v>
      </c>
    </row>
    <row r="1170" spans="1:10" x14ac:dyDescent="0.25">
      <c r="A1170" s="1" t="s">
        <v>41</v>
      </c>
      <c r="B1170" s="1" t="s">
        <v>15</v>
      </c>
      <c r="C1170" s="1" t="s">
        <v>31</v>
      </c>
      <c r="D1170" s="4">
        <v>69.875720000000058</v>
      </c>
      <c r="E1170" s="4">
        <v>557.40955000000008</v>
      </c>
      <c r="F1170" s="4">
        <v>404.84405015835682</v>
      </c>
      <c r="G1170" s="4">
        <v>1851.197185316485</v>
      </c>
      <c r="H1170" s="19">
        <v>-0.82740089678317408</v>
      </c>
      <c r="J1170" s="1" t="s">
        <v>79</v>
      </c>
    </row>
    <row r="1171" spans="1:10" x14ac:dyDescent="0.25">
      <c r="A1171" s="1" t="s">
        <v>41</v>
      </c>
      <c r="B1171" s="1" t="s">
        <v>15</v>
      </c>
      <c r="C1171" s="1" t="s">
        <v>32</v>
      </c>
      <c r="D1171" s="4">
        <v>-891.73302783634881</v>
      </c>
      <c r="E1171" s="4">
        <v>-5442.7236481074415</v>
      </c>
      <c r="F1171" s="4">
        <v>571.6149204634396</v>
      </c>
      <c r="G1171" s="4">
        <v>-99.667668907730899</v>
      </c>
      <c r="H1171" s="19">
        <v>-2.5600240580028455</v>
      </c>
      <c r="J1171" s="1" t="s">
        <v>79</v>
      </c>
    </row>
    <row r="1172" spans="1:10" x14ac:dyDescent="0.25">
      <c r="A1172" s="1" t="s">
        <v>42</v>
      </c>
      <c r="B1172" s="1" t="s">
        <v>12</v>
      </c>
      <c r="C1172" s="1" t="s">
        <v>63</v>
      </c>
      <c r="D1172" s="4">
        <v>-7473.4667700000064</v>
      </c>
      <c r="E1172" s="4">
        <v>4442.5231100000128</v>
      </c>
      <c r="F1172" s="4">
        <v>4554.5513784461173</v>
      </c>
      <c r="G1172" s="4">
        <v>91214.525513784509</v>
      </c>
      <c r="H1172" s="19">
        <v>-2.6408787933246987</v>
      </c>
      <c r="J1172" s="1" t="s">
        <v>79</v>
      </c>
    </row>
    <row r="1173" spans="1:10" x14ac:dyDescent="0.25">
      <c r="A1173" s="1" t="s">
        <v>42</v>
      </c>
      <c r="B1173" s="1" t="s">
        <v>12</v>
      </c>
      <c r="C1173" s="1" t="s">
        <v>26</v>
      </c>
      <c r="E1173" s="4">
        <v>27322.242429999998</v>
      </c>
      <c r="G1173" s="4">
        <v>47076.873122230558</v>
      </c>
      <c r="H1173" s="19">
        <v>0</v>
      </c>
      <c r="J1173" s="1" t="s">
        <v>79</v>
      </c>
    </row>
    <row r="1174" spans="1:10" x14ac:dyDescent="0.25">
      <c r="A1174" s="1" t="s">
        <v>42</v>
      </c>
      <c r="B1174" s="1" t="s">
        <v>12</v>
      </c>
      <c r="C1174" s="1" t="s">
        <v>27</v>
      </c>
      <c r="D1174" s="4">
        <v>0</v>
      </c>
      <c r="E1174" s="4">
        <v>113355.08813934786</v>
      </c>
      <c r="G1174" s="4">
        <v>101028.46507708379</v>
      </c>
      <c r="H1174" s="19">
        <v>0</v>
      </c>
      <c r="J1174" s="1" t="s">
        <v>79</v>
      </c>
    </row>
    <row r="1175" spans="1:10" x14ac:dyDescent="0.25">
      <c r="A1175" s="1" t="s">
        <v>42</v>
      </c>
      <c r="B1175" s="1" t="s">
        <v>12</v>
      </c>
      <c r="C1175" s="1" t="s">
        <v>21</v>
      </c>
      <c r="D1175" s="4">
        <v>575</v>
      </c>
      <c r="E1175" s="4">
        <v>16005.12652</v>
      </c>
      <c r="F1175" s="4">
        <v>8158.4827535505428</v>
      </c>
      <c r="G1175" s="4">
        <v>108879.33101420218</v>
      </c>
      <c r="H1175" s="19">
        <v>-0.9295212091059748</v>
      </c>
      <c r="J1175" s="1" t="s">
        <v>79</v>
      </c>
    </row>
    <row r="1176" spans="1:10" x14ac:dyDescent="0.25">
      <c r="A1176" s="1" t="s">
        <v>42</v>
      </c>
      <c r="B1176" s="1" t="s">
        <v>12</v>
      </c>
      <c r="C1176" s="1" t="s">
        <v>28</v>
      </c>
      <c r="D1176" s="4">
        <v>6000</v>
      </c>
      <c r="E1176" s="4">
        <v>41000</v>
      </c>
      <c r="F1176" s="4">
        <v>124221.61012837839</v>
      </c>
      <c r="G1176" s="4">
        <v>757886.44051351352</v>
      </c>
      <c r="H1176" s="19">
        <v>-0.95169922532964091</v>
      </c>
      <c r="J1176" s="1" t="s">
        <v>79</v>
      </c>
    </row>
    <row r="1177" spans="1:10" x14ac:dyDescent="0.25">
      <c r="A1177" s="1" t="s">
        <v>42</v>
      </c>
      <c r="B1177" s="1" t="s">
        <v>12</v>
      </c>
      <c r="C1177" s="1" t="s">
        <v>29</v>
      </c>
      <c r="D1177" s="4">
        <v>198</v>
      </c>
      <c r="E1177" s="4">
        <v>28512</v>
      </c>
      <c r="F1177" s="4">
        <v>28000</v>
      </c>
      <c r="G1177" s="4">
        <v>115000</v>
      </c>
      <c r="H1177" s="19">
        <v>-0.99292857142857138</v>
      </c>
      <c r="J1177" s="1" t="s">
        <v>79</v>
      </c>
    </row>
    <row r="1178" spans="1:10" x14ac:dyDescent="0.25">
      <c r="A1178" s="1" t="s">
        <v>42</v>
      </c>
      <c r="B1178" s="1" t="s">
        <v>12</v>
      </c>
      <c r="C1178" s="1" t="s">
        <v>30</v>
      </c>
      <c r="D1178" s="4">
        <v>15</v>
      </c>
      <c r="E1178" s="4">
        <v>130</v>
      </c>
      <c r="F1178" s="4">
        <v>101</v>
      </c>
      <c r="G1178" s="4">
        <v>707</v>
      </c>
      <c r="H1178" s="19">
        <v>-0.85148514851485146</v>
      </c>
      <c r="J1178" s="1" t="s">
        <v>79</v>
      </c>
    </row>
    <row r="1179" spans="1:10" x14ac:dyDescent="0.25">
      <c r="A1179" s="1" t="s">
        <v>42</v>
      </c>
      <c r="B1179" s="1" t="s">
        <v>12</v>
      </c>
      <c r="C1179" s="1" t="s">
        <v>31</v>
      </c>
      <c r="D1179" s="4">
        <v>57.661429999999996</v>
      </c>
      <c r="E1179" s="4">
        <v>745.87081000000001</v>
      </c>
      <c r="F1179" s="4">
        <v>425.5776269626474</v>
      </c>
      <c r="G1179" s="4">
        <v>2143.7501580408152</v>
      </c>
      <c r="H1179" s="19">
        <v>-0.86451019427047815</v>
      </c>
      <c r="J1179" s="1" t="s">
        <v>79</v>
      </c>
    </row>
    <row r="1180" spans="1:10" x14ac:dyDescent="0.25">
      <c r="A1180" s="1" t="s">
        <v>42</v>
      </c>
      <c r="B1180" s="1" t="s">
        <v>12</v>
      </c>
      <c r="C1180" s="1" t="s">
        <v>32</v>
      </c>
      <c r="D1180" s="4">
        <v>842.51759548872076</v>
      </c>
      <c r="E1180" s="4">
        <v>-1682.6619337401364</v>
      </c>
      <c r="F1180" s="4">
        <v>595.41063368112327</v>
      </c>
      <c r="G1180" s="4">
        <v>3642.2204883524505</v>
      </c>
      <c r="H1180" s="19">
        <v>0.41501939641195174</v>
      </c>
      <c r="J1180" s="1" t="s">
        <v>79</v>
      </c>
    </row>
    <row r="1181" spans="1:10" x14ac:dyDescent="0.25">
      <c r="A1181" s="1" t="s">
        <v>43</v>
      </c>
      <c r="B1181" s="1" t="s">
        <v>22</v>
      </c>
      <c r="C1181" s="1" t="s">
        <v>63</v>
      </c>
      <c r="D1181" s="4">
        <v>4287.1022099999827</v>
      </c>
      <c r="E1181" s="4">
        <v>5311.0169399999431</v>
      </c>
      <c r="F1181" s="4">
        <v>8734.8787593984907</v>
      </c>
      <c r="G1181" s="4">
        <v>134604.95503759393</v>
      </c>
      <c r="H1181" s="19">
        <v>-0.5091972850353329</v>
      </c>
      <c r="J1181" s="1" t="s">
        <v>79</v>
      </c>
    </row>
    <row r="1182" spans="1:10" x14ac:dyDescent="0.25">
      <c r="A1182" s="1" t="s">
        <v>43</v>
      </c>
      <c r="B1182" s="1" t="s">
        <v>22</v>
      </c>
      <c r="C1182" s="1" t="s">
        <v>26</v>
      </c>
      <c r="E1182" s="4">
        <v>147624.60881999999</v>
      </c>
      <c r="G1182" s="4">
        <v>199173.7820769925</v>
      </c>
      <c r="H1182" s="19">
        <v>0</v>
      </c>
      <c r="J1182" s="1" t="s">
        <v>79</v>
      </c>
    </row>
    <row r="1183" spans="1:10" x14ac:dyDescent="0.25">
      <c r="A1183" s="1" t="s">
        <v>43</v>
      </c>
      <c r="B1183" s="1" t="s">
        <v>22</v>
      </c>
      <c r="C1183" s="1" t="s">
        <v>27</v>
      </c>
      <c r="D1183" s="4">
        <v>0</v>
      </c>
      <c r="E1183" s="4">
        <v>320360.48377000011</v>
      </c>
      <c r="G1183" s="4">
        <v>222381.71371174758</v>
      </c>
      <c r="H1183" s="19">
        <v>0</v>
      </c>
      <c r="J1183" s="1" t="s">
        <v>79</v>
      </c>
    </row>
    <row r="1184" spans="1:10" x14ac:dyDescent="0.25">
      <c r="A1184" s="1" t="s">
        <v>43</v>
      </c>
      <c r="B1184" s="1" t="s">
        <v>22</v>
      </c>
      <c r="C1184" s="1" t="s">
        <v>21</v>
      </c>
      <c r="D1184" s="4">
        <v>691.37300000000005</v>
      </c>
      <c r="E1184" s="4">
        <v>22005.592359999995</v>
      </c>
      <c r="F1184" s="4">
        <v>10575.010092174882</v>
      </c>
      <c r="G1184" s="4">
        <v>151881.84036869952</v>
      </c>
      <c r="H1184" s="19">
        <v>-0.9346220009273003</v>
      </c>
      <c r="J1184" s="1" t="s">
        <v>79</v>
      </c>
    </row>
    <row r="1185" spans="1:10" x14ac:dyDescent="0.25">
      <c r="A1185" s="1" t="s">
        <v>43</v>
      </c>
      <c r="B1185" s="1" t="s">
        <v>22</v>
      </c>
      <c r="C1185" s="1" t="s">
        <v>28</v>
      </c>
      <c r="D1185" s="4">
        <v>807588.65999999992</v>
      </c>
      <c r="E1185" s="4">
        <v>5040737.6900000004</v>
      </c>
      <c r="F1185" s="4">
        <v>1608965.6169009011</v>
      </c>
      <c r="G1185" s="4">
        <v>10998862.467603603</v>
      </c>
      <c r="H1185" s="19">
        <v>-0.49806965946510923</v>
      </c>
      <c r="J1185" s="1" t="s">
        <v>79</v>
      </c>
    </row>
    <row r="1186" spans="1:10" x14ac:dyDescent="0.25">
      <c r="A1186" s="1" t="s">
        <v>43</v>
      </c>
      <c r="B1186" s="1" t="s">
        <v>22</v>
      </c>
      <c r="C1186" s="1" t="s">
        <v>29</v>
      </c>
      <c r="D1186" s="4">
        <v>1920</v>
      </c>
      <c r="E1186" s="4">
        <v>351887</v>
      </c>
      <c r="F1186" s="4">
        <v>97666</v>
      </c>
      <c r="G1186" s="4">
        <v>651664</v>
      </c>
      <c r="H1186" s="19">
        <v>-0.98034116273831218</v>
      </c>
      <c r="J1186" s="1" t="s">
        <v>79</v>
      </c>
    </row>
    <row r="1187" spans="1:10" x14ac:dyDescent="0.25">
      <c r="A1187" s="1" t="s">
        <v>43</v>
      </c>
      <c r="B1187" s="1" t="s">
        <v>22</v>
      </c>
      <c r="C1187" s="1" t="s">
        <v>30</v>
      </c>
      <c r="D1187" s="4">
        <v>16</v>
      </c>
      <c r="E1187" s="4">
        <v>264</v>
      </c>
      <c r="F1187" s="4">
        <v>68</v>
      </c>
      <c r="G1187" s="4">
        <v>476</v>
      </c>
      <c r="H1187" s="19">
        <v>-0.76470588235294112</v>
      </c>
      <c r="J1187" s="1" t="s">
        <v>79</v>
      </c>
    </row>
    <row r="1188" spans="1:10" x14ac:dyDescent="0.25">
      <c r="A1188" s="1" t="s">
        <v>43</v>
      </c>
      <c r="B1188" s="1" t="s">
        <v>22</v>
      </c>
      <c r="C1188" s="1" t="s">
        <v>31</v>
      </c>
      <c r="D1188" s="4">
        <v>936.09970000000067</v>
      </c>
      <c r="E1188" s="4">
        <v>6497.5782400000016</v>
      </c>
      <c r="F1188" s="4">
        <v>2205.9043553692209</v>
      </c>
      <c r="G1188" s="4">
        <v>14030.174821007655</v>
      </c>
      <c r="H1188" s="19">
        <v>-0.57563903542711958</v>
      </c>
      <c r="J1188" s="1" t="s">
        <v>79</v>
      </c>
    </row>
    <row r="1189" spans="1:10" x14ac:dyDescent="0.25">
      <c r="A1189" s="1" t="s">
        <v>43</v>
      </c>
      <c r="B1189" s="1" t="s">
        <v>22</v>
      </c>
      <c r="C1189" s="1" t="s">
        <v>32</v>
      </c>
      <c r="D1189" s="4">
        <v>-1206.0451858914616</v>
      </c>
      <c r="E1189" s="4">
        <v>5538.2605323613279</v>
      </c>
      <c r="F1189" s="4">
        <v>4566.0577073731292</v>
      </c>
      <c r="G1189" s="4">
        <v>21093.953784323789</v>
      </c>
      <c r="H1189" s="19">
        <v>-1.2641327077281519</v>
      </c>
      <c r="J1189" s="1" t="s">
        <v>79</v>
      </c>
    </row>
    <row r="1190" spans="1:10" x14ac:dyDescent="0.25">
      <c r="A1190" s="1" t="s">
        <v>44</v>
      </c>
      <c r="B1190" s="1" t="s">
        <v>0</v>
      </c>
      <c r="C1190" s="1" t="s">
        <v>63</v>
      </c>
      <c r="D1190" s="4">
        <v>-23984.446739999999</v>
      </c>
      <c r="E1190" s="4">
        <v>4421.8819499999954</v>
      </c>
      <c r="F1190" s="4">
        <v>5601.4829260651622</v>
      </c>
      <c r="G1190" s="4">
        <v>89671.371704260659</v>
      </c>
      <c r="H1190" s="19">
        <v>-5.2818030611847631</v>
      </c>
      <c r="J1190" s="1" t="s">
        <v>79</v>
      </c>
    </row>
    <row r="1191" spans="1:10" x14ac:dyDescent="0.25">
      <c r="A1191" s="1" t="s">
        <v>44</v>
      </c>
      <c r="B1191" s="1" t="s">
        <v>0</v>
      </c>
      <c r="C1191" s="1" t="s">
        <v>26</v>
      </c>
      <c r="E1191" s="4">
        <v>82367.005860000005</v>
      </c>
      <c r="G1191" s="4">
        <v>97913.093430325811</v>
      </c>
      <c r="H1191" s="19">
        <v>0</v>
      </c>
      <c r="J1191" s="1" t="s">
        <v>79</v>
      </c>
    </row>
    <row r="1192" spans="1:10" x14ac:dyDescent="0.25">
      <c r="A1192" s="1" t="s">
        <v>44</v>
      </c>
      <c r="B1192" s="1" t="s">
        <v>0</v>
      </c>
      <c r="C1192" s="1" t="s">
        <v>27</v>
      </c>
      <c r="D1192" s="4">
        <v>0</v>
      </c>
      <c r="E1192" s="4">
        <v>173940.98021999997</v>
      </c>
      <c r="G1192" s="4">
        <v>159644.8451104335</v>
      </c>
      <c r="H1192" s="19">
        <v>0</v>
      </c>
      <c r="J1192" s="1" t="s">
        <v>79</v>
      </c>
    </row>
    <row r="1193" spans="1:10" x14ac:dyDescent="0.25">
      <c r="A1193" s="1" t="s">
        <v>44</v>
      </c>
      <c r="B1193" s="1" t="s">
        <v>0</v>
      </c>
      <c r="C1193" s="1" t="s">
        <v>21</v>
      </c>
      <c r="D1193" s="4">
        <v>3875.4291000000003</v>
      </c>
      <c r="E1193" s="4">
        <v>15580.9251</v>
      </c>
      <c r="F1193" s="4">
        <v>11147.112999582288</v>
      </c>
      <c r="G1193" s="4">
        <v>113670.25199832914</v>
      </c>
      <c r="H1193" s="19">
        <v>-0.65233786540557881</v>
      </c>
      <c r="J1193" s="1" t="s">
        <v>79</v>
      </c>
    </row>
    <row r="1194" spans="1:10" x14ac:dyDescent="0.25">
      <c r="A1194" s="1" t="s">
        <v>44</v>
      </c>
      <c r="B1194" s="1" t="s">
        <v>0</v>
      </c>
      <c r="C1194" s="1" t="s">
        <v>28</v>
      </c>
      <c r="D1194" s="4">
        <v>111187</v>
      </c>
      <c r="E1194" s="4">
        <v>334177.31</v>
      </c>
      <c r="F1194" s="4">
        <v>124221.61012837839</v>
      </c>
      <c r="G1194" s="4">
        <v>967886.44051351352</v>
      </c>
      <c r="H1194" s="19">
        <v>-0.10493029445446417</v>
      </c>
      <c r="J1194" s="1" t="s">
        <v>79</v>
      </c>
    </row>
    <row r="1195" spans="1:10" x14ac:dyDescent="0.25">
      <c r="A1195" s="1" t="s">
        <v>44</v>
      </c>
      <c r="B1195" s="1" t="s">
        <v>0</v>
      </c>
      <c r="C1195" s="1" t="s">
        <v>29</v>
      </c>
      <c r="D1195" s="4">
        <v>10303</v>
      </c>
      <c r="E1195" s="4">
        <v>333888</v>
      </c>
      <c r="F1195" s="4">
        <v>28000</v>
      </c>
      <c r="G1195" s="4">
        <v>214000</v>
      </c>
      <c r="H1195" s="19">
        <v>-0.63203571428571426</v>
      </c>
      <c r="J1195" s="1" t="s">
        <v>79</v>
      </c>
    </row>
    <row r="1196" spans="1:10" x14ac:dyDescent="0.25">
      <c r="A1196" s="1" t="s">
        <v>44</v>
      </c>
      <c r="B1196" s="1" t="s">
        <v>0</v>
      </c>
      <c r="C1196" s="1" t="s">
        <v>30</v>
      </c>
      <c r="D1196" s="4">
        <v>36</v>
      </c>
      <c r="E1196" s="4">
        <v>349</v>
      </c>
      <c r="F1196" s="4">
        <v>66</v>
      </c>
      <c r="G1196" s="4">
        <v>462</v>
      </c>
      <c r="H1196" s="19">
        <v>-0.45454545454545453</v>
      </c>
      <c r="J1196" s="1" t="s">
        <v>79</v>
      </c>
    </row>
    <row r="1197" spans="1:10" x14ac:dyDescent="0.25">
      <c r="A1197" s="1" t="s">
        <v>44</v>
      </c>
      <c r="B1197" s="1" t="s">
        <v>0</v>
      </c>
      <c r="C1197" s="1" t="s">
        <v>31</v>
      </c>
      <c r="D1197" s="4">
        <v>343.40968999999996</v>
      </c>
      <c r="E1197" s="4">
        <v>1424.7807900000003</v>
      </c>
      <c r="F1197" s="4">
        <v>755.24144823531879</v>
      </c>
      <c r="G1197" s="4">
        <v>3789.4792158813102</v>
      </c>
      <c r="H1197" s="19">
        <v>-0.54529814167058255</v>
      </c>
      <c r="J1197" s="1" t="s">
        <v>79</v>
      </c>
    </row>
    <row r="1198" spans="1:10" x14ac:dyDescent="0.25">
      <c r="A1198" s="1" t="s">
        <v>44</v>
      </c>
      <c r="B1198" s="1" t="s">
        <v>0</v>
      </c>
      <c r="C1198" s="1" t="s">
        <v>32</v>
      </c>
      <c r="D1198" s="4">
        <v>-592.89281138160777</v>
      </c>
      <c r="E1198" s="4">
        <v>2827.2894792095922</v>
      </c>
      <c r="F1198" s="4">
        <v>1393.0795797104256</v>
      </c>
      <c r="G1198" s="4">
        <v>10871.867166878241</v>
      </c>
      <c r="H1198" s="19">
        <v>-1.4255986664486535</v>
      </c>
      <c r="J1198" s="1" t="s">
        <v>79</v>
      </c>
    </row>
    <row r="1199" spans="1:10" x14ac:dyDescent="0.25">
      <c r="A1199" s="1" t="s">
        <v>45</v>
      </c>
      <c r="B1199" s="1" t="s">
        <v>9</v>
      </c>
      <c r="C1199" s="1" t="s">
        <v>63</v>
      </c>
      <c r="D1199" s="4">
        <v>-4344.3254299999971</v>
      </c>
      <c r="E1199" s="4">
        <v>-26821.916349999956</v>
      </c>
      <c r="F1199" s="4">
        <v>2789.9353070175348</v>
      </c>
      <c r="G1199" s="4">
        <v>89690.621228070086</v>
      </c>
      <c r="H1199" s="19">
        <v>-2.557141995039347</v>
      </c>
      <c r="J1199" s="1" t="s">
        <v>79</v>
      </c>
    </row>
    <row r="1200" spans="1:10" x14ac:dyDescent="0.25">
      <c r="A1200" s="1" t="s">
        <v>45</v>
      </c>
      <c r="B1200" s="1" t="s">
        <v>9</v>
      </c>
      <c r="C1200" s="1" t="s">
        <v>26</v>
      </c>
      <c r="E1200" s="4">
        <v>168267.49249</v>
      </c>
      <c r="G1200" s="4">
        <v>216727.37845508766</v>
      </c>
      <c r="H1200" s="19">
        <v>0</v>
      </c>
      <c r="J1200" s="1" t="s">
        <v>79</v>
      </c>
    </row>
    <row r="1201" spans="1:10" x14ac:dyDescent="0.25">
      <c r="A1201" s="1" t="s">
        <v>45</v>
      </c>
      <c r="B1201" s="1" t="s">
        <v>9</v>
      </c>
      <c r="C1201" s="1" t="s">
        <v>27</v>
      </c>
      <c r="D1201" s="4">
        <v>0</v>
      </c>
      <c r="E1201" s="4">
        <v>124132.87643999996</v>
      </c>
      <c r="G1201" s="4">
        <v>136342.58754522345</v>
      </c>
      <c r="H1201" s="19">
        <v>0</v>
      </c>
      <c r="J1201" s="1" t="s">
        <v>79</v>
      </c>
    </row>
    <row r="1202" spans="1:10" x14ac:dyDescent="0.25">
      <c r="A1202" s="1" t="s">
        <v>45</v>
      </c>
      <c r="B1202" s="1" t="s">
        <v>9</v>
      </c>
      <c r="C1202" s="1" t="s">
        <v>21</v>
      </c>
      <c r="D1202" s="4">
        <v>4460</v>
      </c>
      <c r="E1202" s="4">
        <v>14256.68211</v>
      </c>
      <c r="F1202" s="4">
        <v>4997.5589678362567</v>
      </c>
      <c r="G1202" s="4">
        <v>103153.83587134504</v>
      </c>
      <c r="H1202" s="19">
        <v>-0.10756430715393804</v>
      </c>
      <c r="J1202" s="1" t="s">
        <v>79</v>
      </c>
    </row>
    <row r="1203" spans="1:10" x14ac:dyDescent="0.25">
      <c r="A1203" s="1" t="s">
        <v>45</v>
      </c>
      <c r="B1203" s="1" t="s">
        <v>9</v>
      </c>
      <c r="C1203" s="1" t="s">
        <v>28</v>
      </c>
      <c r="D1203" s="4">
        <v>25892</v>
      </c>
      <c r="E1203" s="4">
        <v>247792</v>
      </c>
      <c r="F1203" s="4">
        <v>62110.805064189197</v>
      </c>
      <c r="G1203" s="4">
        <v>1028443.220256757</v>
      </c>
      <c r="H1203" s="19">
        <v>-0.58313211407835419</v>
      </c>
      <c r="J1203" s="1" t="s">
        <v>79</v>
      </c>
    </row>
    <row r="1204" spans="1:10" x14ac:dyDescent="0.25">
      <c r="A1204" s="1" t="s">
        <v>45</v>
      </c>
      <c r="B1204" s="1" t="s">
        <v>9</v>
      </c>
      <c r="C1204" s="1" t="s">
        <v>29</v>
      </c>
      <c r="D1204" s="4">
        <v>1768</v>
      </c>
      <c r="E1204" s="4">
        <v>5416</v>
      </c>
      <c r="F1204" s="4">
        <v>14000</v>
      </c>
      <c r="G1204" s="4">
        <v>110000</v>
      </c>
      <c r="H1204" s="19">
        <v>-0.87371428571428567</v>
      </c>
      <c r="J1204" s="1" t="s">
        <v>79</v>
      </c>
    </row>
    <row r="1205" spans="1:10" x14ac:dyDescent="0.25">
      <c r="A1205" s="1" t="s">
        <v>45</v>
      </c>
      <c r="B1205" s="1" t="s">
        <v>9</v>
      </c>
      <c r="C1205" s="1" t="s">
        <v>30</v>
      </c>
      <c r="D1205" s="4">
        <v>11</v>
      </c>
      <c r="E1205" s="4">
        <v>166</v>
      </c>
      <c r="F1205" s="4">
        <v>76</v>
      </c>
      <c r="G1205" s="4">
        <v>532</v>
      </c>
      <c r="H1205" s="19">
        <v>-0.85526315789473684</v>
      </c>
      <c r="J1205" s="1" t="s">
        <v>79</v>
      </c>
    </row>
    <row r="1206" spans="1:10" x14ac:dyDescent="0.25">
      <c r="A1206" s="1" t="s">
        <v>45</v>
      </c>
      <c r="B1206" s="1" t="s">
        <v>9</v>
      </c>
      <c r="C1206" s="1" t="s">
        <v>31</v>
      </c>
      <c r="D1206" s="4">
        <v>252.17205000000013</v>
      </c>
      <c r="E1206" s="4">
        <v>1285.8689300000001</v>
      </c>
      <c r="F1206" s="4">
        <v>388.35624873680104</v>
      </c>
      <c r="G1206" s="4">
        <v>2152.8908217103585</v>
      </c>
      <c r="H1206" s="19">
        <v>-0.35066823098576283</v>
      </c>
      <c r="J1206" s="1" t="s">
        <v>79</v>
      </c>
    </row>
    <row r="1207" spans="1:10" x14ac:dyDescent="0.25">
      <c r="A1207" s="1" t="s">
        <v>45</v>
      </c>
      <c r="B1207" s="1" t="s">
        <v>9</v>
      </c>
      <c r="C1207" s="1" t="s">
        <v>32</v>
      </c>
      <c r="D1207" s="4">
        <v>-1605.3495797475321</v>
      </c>
      <c r="E1207" s="4">
        <v>-4212.3121446850864</v>
      </c>
      <c r="F1207" s="4">
        <v>285.61715146881352</v>
      </c>
      <c r="G1207" s="4">
        <v>-800.64144099195119</v>
      </c>
      <c r="H1207" s="19">
        <v>-6.6206343753933137</v>
      </c>
      <c r="J1207" s="1" t="s">
        <v>79</v>
      </c>
    </row>
    <row r="1208" spans="1:10" x14ac:dyDescent="0.25">
      <c r="A1208" s="1" t="s">
        <v>46</v>
      </c>
      <c r="B1208" s="1" t="s">
        <v>2</v>
      </c>
      <c r="C1208" s="1" t="s">
        <v>63</v>
      </c>
      <c r="D1208" s="4">
        <v>-695.64522000000579</v>
      </c>
      <c r="E1208" s="4">
        <v>19408.81911000004</v>
      </c>
      <c r="F1208" s="4">
        <v>6907.3728070175648</v>
      </c>
      <c r="G1208" s="4">
        <v>103825.81122807041</v>
      </c>
      <c r="H1208" s="19">
        <v>-1.1007105363262373</v>
      </c>
      <c r="J1208" s="1" t="s">
        <v>79</v>
      </c>
    </row>
    <row r="1209" spans="1:10" x14ac:dyDescent="0.25">
      <c r="A1209" s="1" t="s">
        <v>46</v>
      </c>
      <c r="B1209" s="1" t="s">
        <v>2</v>
      </c>
      <c r="C1209" s="1" t="s">
        <v>26</v>
      </c>
      <c r="E1209" s="4">
        <v>354004.40804000007</v>
      </c>
      <c r="G1209" s="4">
        <v>369196.54621508776</v>
      </c>
      <c r="H1209" s="19">
        <v>0</v>
      </c>
      <c r="J1209" s="1" t="s">
        <v>79</v>
      </c>
    </row>
    <row r="1210" spans="1:10" x14ac:dyDescent="0.25">
      <c r="A1210" s="1" t="s">
        <v>46</v>
      </c>
      <c r="B1210" s="1" t="s">
        <v>2</v>
      </c>
      <c r="C1210" s="1" t="s">
        <v>27</v>
      </c>
      <c r="D1210" s="4">
        <v>0</v>
      </c>
      <c r="E1210" s="4">
        <v>332389.37753468298</v>
      </c>
      <c r="G1210" s="4">
        <v>268187.31255168875</v>
      </c>
      <c r="H1210" s="19">
        <v>0</v>
      </c>
      <c r="J1210" s="1" t="s">
        <v>79</v>
      </c>
    </row>
    <row r="1211" spans="1:10" x14ac:dyDescent="0.25">
      <c r="A1211" s="1" t="s">
        <v>46</v>
      </c>
      <c r="B1211" s="1" t="s">
        <v>2</v>
      </c>
      <c r="C1211" s="1" t="s">
        <v>21</v>
      </c>
      <c r="D1211" s="4">
        <v>872.24275</v>
      </c>
      <c r="E1211" s="4">
        <v>28009.081600000001</v>
      </c>
      <c r="F1211" s="4">
        <v>12373.04780116959</v>
      </c>
      <c r="G1211" s="4">
        <v>129737.59120467838</v>
      </c>
      <c r="H1211" s="19">
        <v>-0.9295046164844244</v>
      </c>
      <c r="J1211" s="1" t="s">
        <v>79</v>
      </c>
    </row>
    <row r="1212" spans="1:10" x14ac:dyDescent="0.25">
      <c r="A1212" s="1" t="s">
        <v>46</v>
      </c>
      <c r="B1212" s="1" t="s">
        <v>2</v>
      </c>
      <c r="C1212" s="1" t="s">
        <v>28</v>
      </c>
      <c r="D1212" s="4">
        <v>40000</v>
      </c>
      <c r="E1212" s="4">
        <v>450107</v>
      </c>
      <c r="F1212" s="4">
        <v>248443.22025675679</v>
      </c>
      <c r="G1212" s="4">
        <v>1551772.881027027</v>
      </c>
      <c r="H1212" s="19">
        <v>-0.83899741776546977</v>
      </c>
      <c r="J1212" s="1" t="s">
        <v>79</v>
      </c>
    </row>
    <row r="1213" spans="1:10" x14ac:dyDescent="0.25">
      <c r="A1213" s="1" t="s">
        <v>46</v>
      </c>
      <c r="B1213" s="1" t="s">
        <v>2</v>
      </c>
      <c r="C1213" s="1" t="s">
        <v>29</v>
      </c>
      <c r="D1213" s="4">
        <v>46921</v>
      </c>
      <c r="E1213" s="4">
        <v>456861</v>
      </c>
      <c r="F1213" s="4">
        <v>56000</v>
      </c>
      <c r="G1213" s="4">
        <v>458000</v>
      </c>
      <c r="H1213" s="19">
        <v>-0.16212499999999999</v>
      </c>
      <c r="J1213" s="1" t="s">
        <v>79</v>
      </c>
    </row>
    <row r="1214" spans="1:10" x14ac:dyDescent="0.25">
      <c r="A1214" s="1" t="s">
        <v>46</v>
      </c>
      <c r="B1214" s="1" t="s">
        <v>2</v>
      </c>
      <c r="C1214" s="1" t="s">
        <v>30</v>
      </c>
      <c r="D1214" s="4">
        <v>39</v>
      </c>
      <c r="E1214" s="4">
        <v>418</v>
      </c>
      <c r="F1214" s="4">
        <v>98</v>
      </c>
      <c r="G1214" s="4">
        <v>686</v>
      </c>
      <c r="H1214" s="19">
        <v>-0.60204081632653061</v>
      </c>
      <c r="J1214" s="1" t="s">
        <v>79</v>
      </c>
    </row>
    <row r="1215" spans="1:10" x14ac:dyDescent="0.25">
      <c r="A1215" s="1" t="s">
        <v>46</v>
      </c>
      <c r="B1215" s="1" t="s">
        <v>2</v>
      </c>
      <c r="C1215" s="1" t="s">
        <v>31</v>
      </c>
      <c r="D1215" s="4">
        <v>183.89836000000037</v>
      </c>
      <c r="E1215" s="4">
        <v>2129.0721800000001</v>
      </c>
      <c r="F1215" s="4">
        <v>826.19169730445992</v>
      </c>
      <c r="G1215" s="4">
        <v>4415.2396561424712</v>
      </c>
      <c r="H1215" s="19">
        <v>-0.77741441774349862</v>
      </c>
      <c r="J1215" s="1" t="s">
        <v>79</v>
      </c>
    </row>
    <row r="1216" spans="1:10" x14ac:dyDescent="0.25">
      <c r="A1216" s="1" t="s">
        <v>46</v>
      </c>
      <c r="B1216" s="1" t="s">
        <v>2</v>
      </c>
      <c r="C1216" s="1" t="s">
        <v>32</v>
      </c>
      <c r="D1216" s="4">
        <v>-1457.1522705610712</v>
      </c>
      <c r="E1216" s="4">
        <v>-7039.93132365779</v>
      </c>
      <c r="F1216" s="4">
        <v>4483.0964379053512</v>
      </c>
      <c r="G1216" s="4">
        <v>7128.342627890429</v>
      </c>
      <c r="H1216" s="19">
        <v>-1.3250325507701772</v>
      </c>
      <c r="J1216" s="1" t="s">
        <v>79</v>
      </c>
    </row>
    <row r="1217" spans="1:10" x14ac:dyDescent="0.25">
      <c r="A1217" s="1" t="s">
        <v>47</v>
      </c>
      <c r="B1217" s="1" t="s">
        <v>6</v>
      </c>
      <c r="C1217" s="1" t="s">
        <v>63</v>
      </c>
      <c r="D1217" s="4">
        <v>1009.1589300000051</v>
      </c>
      <c r="E1217" s="4">
        <v>11493.993009999984</v>
      </c>
      <c r="F1217" s="4">
        <v>2867.6228070175425</v>
      </c>
      <c r="G1217" s="4">
        <v>78001.371228070187</v>
      </c>
      <c r="H1217" s="19">
        <v>-0.64808519184237623</v>
      </c>
      <c r="J1217" s="1" t="s">
        <v>79</v>
      </c>
    </row>
    <row r="1218" spans="1:10" x14ac:dyDescent="0.25">
      <c r="A1218" s="1" t="s">
        <v>47</v>
      </c>
      <c r="B1218" s="1" t="s">
        <v>6</v>
      </c>
      <c r="C1218" s="1" t="s">
        <v>26</v>
      </c>
      <c r="E1218" s="4">
        <v>50567.000479999995</v>
      </c>
      <c r="G1218" s="4">
        <v>60141.533555087728</v>
      </c>
      <c r="H1218" s="19">
        <v>0</v>
      </c>
      <c r="J1218" s="1" t="s">
        <v>79</v>
      </c>
    </row>
    <row r="1219" spans="1:10" x14ac:dyDescent="0.25">
      <c r="A1219" s="1" t="s">
        <v>47</v>
      </c>
      <c r="B1219" s="1" t="s">
        <v>6</v>
      </c>
      <c r="C1219" s="1" t="s">
        <v>27</v>
      </c>
      <c r="D1219" s="4">
        <v>0</v>
      </c>
      <c r="E1219" s="4">
        <v>207593.63388999997</v>
      </c>
      <c r="G1219" s="4">
        <v>185575.70429591803</v>
      </c>
      <c r="H1219" s="19">
        <v>0</v>
      </c>
      <c r="J1219" s="1" t="s">
        <v>79</v>
      </c>
    </row>
    <row r="1220" spans="1:10" x14ac:dyDescent="0.25">
      <c r="A1220" s="1" t="s">
        <v>47</v>
      </c>
      <c r="B1220" s="1" t="s">
        <v>6</v>
      </c>
      <c r="C1220" s="1" t="s">
        <v>21</v>
      </c>
      <c r="D1220" s="4">
        <v>6241.5526</v>
      </c>
      <c r="E1220" s="4">
        <v>32128.74985</v>
      </c>
      <c r="F1220" s="4">
        <v>5136.719134502925</v>
      </c>
      <c r="G1220" s="4">
        <v>88710.476538011717</v>
      </c>
      <c r="H1220" s="19">
        <v>0.21508543421733892</v>
      </c>
      <c r="J1220" s="1" t="s">
        <v>79</v>
      </c>
    </row>
    <row r="1221" spans="1:10" x14ac:dyDescent="0.25">
      <c r="A1221" s="1" t="s">
        <v>47</v>
      </c>
      <c r="B1221" s="1" t="s">
        <v>6</v>
      </c>
      <c r="C1221" s="1" t="s">
        <v>28</v>
      </c>
      <c r="D1221" s="4">
        <v>16914</v>
      </c>
      <c r="E1221" s="4">
        <v>299962</v>
      </c>
      <c r="F1221" s="4">
        <v>0</v>
      </c>
      <c r="G1221" s="4">
        <v>102000</v>
      </c>
      <c r="H1221" s="19">
        <v>0</v>
      </c>
      <c r="J1221" s="1" t="s">
        <v>79</v>
      </c>
    </row>
    <row r="1222" spans="1:10" x14ac:dyDescent="0.25">
      <c r="A1222" s="1" t="s">
        <v>47</v>
      </c>
      <c r="B1222" s="1" t="s">
        <v>6</v>
      </c>
      <c r="C1222" s="1" t="s">
        <v>29</v>
      </c>
      <c r="D1222" s="4">
        <v>1178</v>
      </c>
      <c r="E1222" s="4">
        <v>8959</v>
      </c>
      <c r="F1222" s="4">
        <v>0</v>
      </c>
      <c r="G1222" s="4">
        <v>6000</v>
      </c>
      <c r="H1222" s="19">
        <v>0</v>
      </c>
      <c r="J1222" s="1" t="s">
        <v>79</v>
      </c>
    </row>
    <row r="1223" spans="1:10" x14ac:dyDescent="0.25">
      <c r="A1223" s="1" t="s">
        <v>47</v>
      </c>
      <c r="B1223" s="1" t="s">
        <v>6</v>
      </c>
      <c r="C1223" s="1" t="s">
        <v>30</v>
      </c>
      <c r="D1223" s="4">
        <v>46</v>
      </c>
      <c r="E1223" s="4">
        <v>316</v>
      </c>
      <c r="F1223" s="4">
        <v>73</v>
      </c>
      <c r="G1223" s="4">
        <v>511</v>
      </c>
      <c r="H1223" s="19">
        <v>-0.36986301369863012</v>
      </c>
      <c r="J1223" s="1" t="s">
        <v>79</v>
      </c>
    </row>
    <row r="1224" spans="1:10" x14ac:dyDescent="0.25">
      <c r="A1224" s="1" t="s">
        <v>47</v>
      </c>
      <c r="B1224" s="1" t="s">
        <v>6</v>
      </c>
      <c r="C1224" s="1" t="s">
        <v>31</v>
      </c>
      <c r="D1224" s="4">
        <v>306.78146999999967</v>
      </c>
      <c r="E1224" s="4">
        <v>2042.5651599999999</v>
      </c>
      <c r="F1224" s="4">
        <v>325.34340487493887</v>
      </c>
      <c r="G1224" s="4">
        <v>2294.9142660091811</v>
      </c>
      <c r="H1224" s="19">
        <v>-5.7053361453797892E-2</v>
      </c>
      <c r="J1224" s="1" t="s">
        <v>79</v>
      </c>
    </row>
    <row r="1225" spans="1:10" x14ac:dyDescent="0.25">
      <c r="A1225" s="1" t="s">
        <v>47</v>
      </c>
      <c r="B1225" s="1" t="s">
        <v>6</v>
      </c>
      <c r="C1225" s="1" t="s">
        <v>32</v>
      </c>
      <c r="D1225" s="4">
        <v>-1060.3941276763164</v>
      </c>
      <c r="E1225" s="4">
        <v>2484.2258872974485</v>
      </c>
      <c r="F1225" s="4">
        <v>1631.7611336245882</v>
      </c>
      <c r="G1225" s="4">
        <v>11093.567778933249</v>
      </c>
      <c r="H1225" s="19">
        <v>-1.6498464179747256</v>
      </c>
      <c r="J1225" s="1" t="s">
        <v>79</v>
      </c>
    </row>
    <row r="1226" spans="1:10" x14ac:dyDescent="0.25">
      <c r="A1226" s="1" t="s">
        <v>48</v>
      </c>
      <c r="B1226" s="1" t="s">
        <v>17</v>
      </c>
      <c r="C1226" s="1" t="s">
        <v>63</v>
      </c>
      <c r="D1226" s="4">
        <v>4524.0557299999637</v>
      </c>
      <c r="E1226" s="4">
        <v>-32740.194529999979</v>
      </c>
      <c r="F1226" s="4">
        <v>2986.0037593985198</v>
      </c>
      <c r="G1226" s="4">
        <v>94074.895037594048</v>
      </c>
      <c r="H1226" s="19">
        <v>0.51508708445539886</v>
      </c>
      <c r="J1226" s="1" t="s">
        <v>79</v>
      </c>
    </row>
    <row r="1227" spans="1:10" x14ac:dyDescent="0.25">
      <c r="A1227" s="1" t="s">
        <v>48</v>
      </c>
      <c r="B1227" s="1" t="s">
        <v>17</v>
      </c>
      <c r="C1227" s="1" t="s">
        <v>26</v>
      </c>
      <c r="E1227" s="4">
        <v>190265.05695999999</v>
      </c>
      <c r="G1227" s="4">
        <v>236582.85566699249</v>
      </c>
      <c r="H1227" s="19">
        <v>0</v>
      </c>
      <c r="J1227" s="1" t="s">
        <v>79</v>
      </c>
    </row>
    <row r="1228" spans="1:10" x14ac:dyDescent="0.25">
      <c r="A1228" s="1" t="s">
        <v>48</v>
      </c>
      <c r="B1228" s="1" t="s">
        <v>17</v>
      </c>
      <c r="C1228" s="1" t="s">
        <v>27</v>
      </c>
      <c r="D1228" s="4">
        <v>0</v>
      </c>
      <c r="E1228" s="4">
        <v>145057.62513</v>
      </c>
      <c r="G1228" s="4">
        <v>106966.16080724102</v>
      </c>
      <c r="H1228" s="19">
        <v>0</v>
      </c>
      <c r="J1228" s="1" t="s">
        <v>79</v>
      </c>
    </row>
    <row r="1229" spans="1:10" x14ac:dyDescent="0.25">
      <c r="A1229" s="1" t="s">
        <v>48</v>
      </c>
      <c r="B1229" s="1" t="s">
        <v>17</v>
      </c>
      <c r="C1229" s="1" t="s">
        <v>21</v>
      </c>
      <c r="D1229" s="4">
        <v>1513.604</v>
      </c>
      <c r="E1229" s="4">
        <v>30229.918849999998</v>
      </c>
      <c r="F1229" s="4">
        <v>5348.7727218045111</v>
      </c>
      <c r="G1229" s="4">
        <v>109058.69088721802</v>
      </c>
      <c r="H1229" s="19">
        <v>-0.71701844914259938</v>
      </c>
      <c r="J1229" s="1" t="s">
        <v>79</v>
      </c>
    </row>
    <row r="1230" spans="1:10" x14ac:dyDescent="0.25">
      <c r="A1230" s="1" t="s">
        <v>48</v>
      </c>
      <c r="B1230" s="1" t="s">
        <v>17</v>
      </c>
      <c r="C1230" s="1" t="s">
        <v>28</v>
      </c>
      <c r="D1230" s="4">
        <v>908840.19</v>
      </c>
      <c r="E1230" s="4">
        <v>5600587.1899999995</v>
      </c>
      <c r="F1230" s="4">
        <v>62110.805064189197</v>
      </c>
      <c r="G1230" s="4">
        <v>2732443.220256757</v>
      </c>
      <c r="H1230" s="19">
        <v>13.63256174285211</v>
      </c>
      <c r="J1230" s="1" t="s">
        <v>79</v>
      </c>
    </row>
    <row r="1231" spans="1:10" x14ac:dyDescent="0.25">
      <c r="A1231" s="1" t="s">
        <v>48</v>
      </c>
      <c r="B1231" s="1" t="s">
        <v>17</v>
      </c>
      <c r="C1231" s="1" t="s">
        <v>29</v>
      </c>
      <c r="D1231" s="4">
        <v>1308</v>
      </c>
      <c r="E1231" s="4">
        <v>18960</v>
      </c>
      <c r="F1231" s="4">
        <v>14000</v>
      </c>
      <c r="G1231" s="4">
        <v>233000</v>
      </c>
      <c r="H1231" s="19">
        <v>-0.90657142857142858</v>
      </c>
      <c r="J1231" s="1" t="s">
        <v>79</v>
      </c>
    </row>
    <row r="1232" spans="1:10" x14ac:dyDescent="0.25">
      <c r="A1232" s="1" t="s">
        <v>48</v>
      </c>
      <c r="B1232" s="1" t="s">
        <v>17</v>
      </c>
      <c r="C1232" s="1" t="s">
        <v>30</v>
      </c>
      <c r="D1232" s="4">
        <v>50</v>
      </c>
      <c r="E1232" s="4">
        <v>428</v>
      </c>
      <c r="F1232" s="4">
        <v>91</v>
      </c>
      <c r="G1232" s="4">
        <v>637</v>
      </c>
      <c r="H1232" s="19">
        <v>-0.45054945054945056</v>
      </c>
      <c r="J1232" s="1" t="s">
        <v>79</v>
      </c>
    </row>
    <row r="1233" spans="1:10" x14ac:dyDescent="0.25">
      <c r="A1233" s="1" t="s">
        <v>48</v>
      </c>
      <c r="B1233" s="1" t="s">
        <v>17</v>
      </c>
      <c r="C1233" s="1" t="s">
        <v>31</v>
      </c>
      <c r="D1233" s="4">
        <v>1121.6698699999997</v>
      </c>
      <c r="E1233" s="4">
        <v>7826.68228</v>
      </c>
      <c r="F1233" s="4">
        <v>481.68869562313239</v>
      </c>
      <c r="G1233" s="4">
        <v>4540.9339645073605</v>
      </c>
      <c r="H1233" s="19">
        <v>1.3286198746037858</v>
      </c>
      <c r="J1233" s="1" t="s">
        <v>79</v>
      </c>
    </row>
    <row r="1234" spans="1:10" x14ac:dyDescent="0.25">
      <c r="A1234" s="1" t="s">
        <v>48</v>
      </c>
      <c r="B1234" s="1" t="s">
        <v>17</v>
      </c>
      <c r="C1234" s="1" t="s">
        <v>32</v>
      </c>
      <c r="D1234" s="4">
        <v>557.09354367915455</v>
      </c>
      <c r="E1234" s="4">
        <v>134.08145522071084</v>
      </c>
      <c r="F1234" s="4">
        <v>-44.518997329371814</v>
      </c>
      <c r="G1234" s="4">
        <v>-5097.2991188261058</v>
      </c>
      <c r="H1234" s="19">
        <v>13.513613897400313</v>
      </c>
      <c r="J1234" s="1" t="s">
        <v>79</v>
      </c>
    </row>
    <row r="1235" spans="1:10" x14ac:dyDescent="0.25">
      <c r="A1235" s="1" t="s">
        <v>49</v>
      </c>
      <c r="B1235" s="1" t="s">
        <v>5</v>
      </c>
      <c r="C1235" s="1" t="s">
        <v>63</v>
      </c>
      <c r="D1235" s="4">
        <v>859.53439000000071</v>
      </c>
      <c r="E1235" s="4">
        <v>-6786.4567599999973</v>
      </c>
      <c r="F1235" s="4">
        <v>2986.0037593984976</v>
      </c>
      <c r="G1235" s="4">
        <v>56809.455037594009</v>
      </c>
      <c r="H1235" s="19">
        <v>-0.71214557674463685</v>
      </c>
      <c r="J1235" s="1" t="s">
        <v>79</v>
      </c>
    </row>
    <row r="1236" spans="1:10" x14ac:dyDescent="0.25">
      <c r="A1236" s="1" t="s">
        <v>49</v>
      </c>
      <c r="B1236" s="1" t="s">
        <v>5</v>
      </c>
      <c r="C1236" s="1" t="s">
        <v>26</v>
      </c>
      <c r="E1236" s="4">
        <v>31121.20937</v>
      </c>
      <c r="G1236" s="4">
        <v>44602.379476992472</v>
      </c>
      <c r="H1236" s="19">
        <v>0</v>
      </c>
      <c r="J1236" s="1" t="s">
        <v>79</v>
      </c>
    </row>
    <row r="1237" spans="1:10" x14ac:dyDescent="0.25">
      <c r="A1237" s="1" t="s">
        <v>49</v>
      </c>
      <c r="B1237" s="1" t="s">
        <v>5</v>
      </c>
      <c r="C1237" s="1" t="s">
        <v>27</v>
      </c>
      <c r="D1237" s="4">
        <v>0</v>
      </c>
      <c r="E1237" s="4">
        <v>71617.280420000025</v>
      </c>
      <c r="G1237" s="4">
        <v>94252.802720220076</v>
      </c>
      <c r="H1237" s="19">
        <v>0</v>
      </c>
      <c r="J1237" s="1" t="s">
        <v>79</v>
      </c>
    </row>
    <row r="1238" spans="1:10" x14ac:dyDescent="0.25">
      <c r="A1238" s="1" t="s">
        <v>49</v>
      </c>
      <c r="B1238" s="1" t="s">
        <v>5</v>
      </c>
      <c r="C1238" s="1" t="s">
        <v>21</v>
      </c>
      <c r="D1238" s="4">
        <v>1791.6739</v>
      </c>
      <c r="E1238" s="4">
        <v>16272.57475</v>
      </c>
      <c r="F1238" s="4">
        <v>10544.085610693401</v>
      </c>
      <c r="G1238" s="4">
        <v>83258.14244277362</v>
      </c>
      <c r="H1238" s="19">
        <v>-0.83007783072408348</v>
      </c>
      <c r="J1238" s="1" t="s">
        <v>79</v>
      </c>
    </row>
    <row r="1239" spans="1:10" x14ac:dyDescent="0.25">
      <c r="A1239" s="1" t="s">
        <v>49</v>
      </c>
      <c r="B1239" s="1" t="s">
        <v>5</v>
      </c>
      <c r="C1239" s="1" t="s">
        <v>28</v>
      </c>
      <c r="D1239" s="4">
        <v>32970</v>
      </c>
      <c r="E1239" s="4">
        <v>368299.14</v>
      </c>
      <c r="F1239" s="4">
        <v>62110.805064189197</v>
      </c>
      <c r="G1239" s="4">
        <v>602443.22025675687</v>
      </c>
      <c r="H1239" s="19">
        <v>-0.46917448637275372</v>
      </c>
      <c r="J1239" s="1" t="s">
        <v>79</v>
      </c>
    </row>
    <row r="1240" spans="1:10" x14ac:dyDescent="0.25">
      <c r="A1240" s="1" t="s">
        <v>49</v>
      </c>
      <c r="B1240" s="1" t="s">
        <v>5</v>
      </c>
      <c r="C1240" s="1" t="s">
        <v>29</v>
      </c>
      <c r="D1240" s="4">
        <v>395</v>
      </c>
      <c r="E1240" s="4">
        <v>4080</v>
      </c>
      <c r="F1240" s="4">
        <v>14000</v>
      </c>
      <c r="G1240" s="4">
        <v>134000</v>
      </c>
      <c r="H1240" s="19">
        <v>-0.97178571428571425</v>
      </c>
      <c r="J1240" s="1" t="s">
        <v>79</v>
      </c>
    </row>
    <row r="1241" spans="1:10" x14ac:dyDescent="0.25">
      <c r="A1241" s="1" t="s">
        <v>49</v>
      </c>
      <c r="B1241" s="1" t="s">
        <v>5</v>
      </c>
      <c r="C1241" s="1" t="s">
        <v>30</v>
      </c>
      <c r="D1241" s="4">
        <v>45</v>
      </c>
      <c r="E1241" s="4">
        <v>344</v>
      </c>
      <c r="F1241" s="4">
        <v>58</v>
      </c>
      <c r="G1241" s="4">
        <v>406</v>
      </c>
      <c r="H1241" s="19">
        <v>-0.22413793103448276</v>
      </c>
      <c r="J1241" s="1" t="s">
        <v>79</v>
      </c>
    </row>
    <row r="1242" spans="1:10" x14ac:dyDescent="0.25">
      <c r="A1242" s="1" t="s">
        <v>49</v>
      </c>
      <c r="B1242" s="1" t="s">
        <v>5</v>
      </c>
      <c r="C1242" s="1" t="s">
        <v>31</v>
      </c>
      <c r="D1242" s="4">
        <v>199.08481999999981</v>
      </c>
      <c r="E1242" s="4">
        <v>1456.2241799999999</v>
      </c>
      <c r="F1242" s="4">
        <v>522.6201863936858</v>
      </c>
      <c r="G1242" s="4">
        <v>2744.0184718523442</v>
      </c>
      <c r="H1242" s="19">
        <v>-0.6190640446290937</v>
      </c>
      <c r="J1242" s="1" t="s">
        <v>79</v>
      </c>
    </row>
    <row r="1243" spans="1:10" x14ac:dyDescent="0.25">
      <c r="A1243" s="1" t="s">
        <v>49</v>
      </c>
      <c r="B1243" s="1" t="s">
        <v>5</v>
      </c>
      <c r="C1243" s="1" t="s">
        <v>32</v>
      </c>
      <c r="D1243" s="4">
        <v>-352.15088405438536</v>
      </c>
      <c r="E1243" s="4">
        <v>-2361.1585013296049</v>
      </c>
      <c r="F1243" s="4">
        <v>725.64028375753037</v>
      </c>
      <c r="G1243" s="4">
        <v>2748.6623707254835</v>
      </c>
      <c r="H1243" s="19">
        <v>-1.4852967674711608</v>
      </c>
      <c r="J1243" s="1" t="s">
        <v>79</v>
      </c>
    </row>
    <row r="1244" spans="1:10" x14ac:dyDescent="0.25">
      <c r="A1244" s="1" t="s">
        <v>50</v>
      </c>
      <c r="B1244" s="1" t="s">
        <v>4</v>
      </c>
      <c r="C1244" s="1" t="s">
        <v>63</v>
      </c>
      <c r="D1244" s="4">
        <v>33394.378080000286</v>
      </c>
      <c r="E1244" s="4">
        <v>165641.48097999999</v>
      </c>
      <c r="F1244" s="4">
        <v>6444.9472117794749</v>
      </c>
      <c r="G1244" s="4">
        <v>105910.66884711792</v>
      </c>
      <c r="H1244" s="19">
        <v>4.1814820172561147</v>
      </c>
      <c r="J1244" s="1" t="s">
        <v>79</v>
      </c>
    </row>
    <row r="1245" spans="1:10" x14ac:dyDescent="0.25">
      <c r="A1245" s="1" t="s">
        <v>50</v>
      </c>
      <c r="B1245" s="1" t="s">
        <v>4</v>
      </c>
      <c r="C1245" s="1" t="s">
        <v>26</v>
      </c>
      <c r="E1245" s="4">
        <v>870801.72499999998</v>
      </c>
      <c r="G1245" s="4">
        <v>716696.74792889715</v>
      </c>
      <c r="H1245" s="19">
        <v>0</v>
      </c>
      <c r="J1245" s="1" t="s">
        <v>79</v>
      </c>
    </row>
    <row r="1246" spans="1:10" x14ac:dyDescent="0.25">
      <c r="A1246" s="1" t="s">
        <v>50</v>
      </c>
      <c r="B1246" s="1" t="s">
        <v>4</v>
      </c>
      <c r="C1246" s="1" t="s">
        <v>27</v>
      </c>
      <c r="D1246" s="4">
        <v>0</v>
      </c>
      <c r="E1246" s="4">
        <v>398371.34654000006</v>
      </c>
      <c r="G1246" s="4">
        <v>298586.69610323728</v>
      </c>
      <c r="H1246" s="19">
        <v>0</v>
      </c>
      <c r="J1246" s="1" t="s">
        <v>79</v>
      </c>
    </row>
    <row r="1247" spans="1:10" x14ac:dyDescent="0.25">
      <c r="A1247" s="1" t="s">
        <v>50</v>
      </c>
      <c r="B1247" s="1" t="s">
        <v>4</v>
      </c>
      <c r="C1247" s="1" t="s">
        <v>21</v>
      </c>
      <c r="D1247" s="4">
        <v>2025.7564499999999</v>
      </c>
      <c r="E1247" s="4">
        <v>34874.026400000002</v>
      </c>
      <c r="F1247" s="4">
        <v>11173.619697994987</v>
      </c>
      <c r="G1247" s="4">
        <v>129858.07879197996</v>
      </c>
      <c r="H1247" s="19">
        <v>-0.81870186163902603</v>
      </c>
      <c r="J1247" s="1" t="s">
        <v>79</v>
      </c>
    </row>
    <row r="1248" spans="1:10" x14ac:dyDescent="0.25">
      <c r="A1248" s="1" t="s">
        <v>50</v>
      </c>
      <c r="B1248" s="1" t="s">
        <v>4</v>
      </c>
      <c r="C1248" s="1" t="s">
        <v>28</v>
      </c>
      <c r="D1248" s="4">
        <v>4592933.9700000007</v>
      </c>
      <c r="E1248" s="4">
        <v>27823258.299999997</v>
      </c>
      <c r="F1248" s="4">
        <v>2812732.172192568</v>
      </c>
      <c r="G1248" s="4">
        <v>27906928.688770264</v>
      </c>
      <c r="H1248" s="19">
        <v>0.63290839256115095</v>
      </c>
      <c r="J1248" s="1" t="s">
        <v>79</v>
      </c>
    </row>
    <row r="1249" spans="1:10" x14ac:dyDescent="0.25">
      <c r="A1249" s="1" t="s">
        <v>50</v>
      </c>
      <c r="B1249" s="1" t="s">
        <v>4</v>
      </c>
      <c r="C1249" s="1" t="s">
        <v>29</v>
      </c>
      <c r="D1249" s="4">
        <v>1132854</v>
      </c>
      <c r="E1249" s="4">
        <v>2162739</v>
      </c>
      <c r="F1249" s="4">
        <v>56000</v>
      </c>
      <c r="G1249" s="4">
        <v>683000</v>
      </c>
      <c r="H1249" s="19">
        <v>19.229535714285714</v>
      </c>
      <c r="J1249" s="1" t="s">
        <v>79</v>
      </c>
    </row>
    <row r="1250" spans="1:10" x14ac:dyDescent="0.25">
      <c r="A1250" s="1" t="s">
        <v>50</v>
      </c>
      <c r="B1250" s="1" t="s">
        <v>4</v>
      </c>
      <c r="C1250" s="1" t="s">
        <v>30</v>
      </c>
      <c r="D1250" s="4">
        <v>33</v>
      </c>
      <c r="E1250" s="4">
        <v>316</v>
      </c>
      <c r="F1250" s="4">
        <v>98</v>
      </c>
      <c r="G1250" s="4">
        <v>686</v>
      </c>
      <c r="H1250" s="19">
        <v>-0.66326530612244894</v>
      </c>
      <c r="J1250" s="1" t="s">
        <v>79</v>
      </c>
    </row>
    <row r="1251" spans="1:10" x14ac:dyDescent="0.25">
      <c r="A1251" s="1" t="s">
        <v>50</v>
      </c>
      <c r="B1251" s="1" t="s">
        <v>4</v>
      </c>
      <c r="C1251" s="1" t="s">
        <v>31</v>
      </c>
      <c r="D1251" s="4">
        <v>4798.8710300000021</v>
      </c>
      <c r="E1251" s="4">
        <v>29680.78484</v>
      </c>
      <c r="F1251" s="4">
        <v>3346.1038598779414</v>
      </c>
      <c r="G1251" s="4">
        <v>23226.63321652398</v>
      </c>
      <c r="H1251" s="19">
        <v>0.43416678948365173</v>
      </c>
      <c r="J1251" s="1" t="s">
        <v>79</v>
      </c>
    </row>
    <row r="1252" spans="1:10" x14ac:dyDescent="0.25">
      <c r="A1252" s="1" t="s">
        <v>50</v>
      </c>
      <c r="B1252" s="1" t="s">
        <v>4</v>
      </c>
      <c r="C1252" s="1" t="s">
        <v>32</v>
      </c>
      <c r="D1252" s="4">
        <v>14997.288387801089</v>
      </c>
      <c r="E1252" s="4">
        <v>40688.352890640817</v>
      </c>
      <c r="F1252" s="4">
        <v>1610.7263685158614</v>
      </c>
      <c r="G1252" s="4">
        <v>15720.622484051886</v>
      </c>
      <c r="H1252" s="19">
        <v>8.3108852508696014</v>
      </c>
      <c r="J1252" s="1" t="s">
        <v>79</v>
      </c>
    </row>
    <row r="1253" spans="1:10" x14ac:dyDescent="0.25">
      <c r="A1253" s="1" t="s">
        <v>51</v>
      </c>
      <c r="B1253" s="1" t="s">
        <v>3</v>
      </c>
      <c r="C1253" s="1" t="s">
        <v>63</v>
      </c>
      <c r="D1253" s="4">
        <v>3807.1088399999862</v>
      </c>
      <c r="E1253" s="4">
        <v>8441.5127300000022</v>
      </c>
      <c r="F1253" s="4">
        <v>6004.7180451127888</v>
      </c>
      <c r="G1253" s="4">
        <v>83092.792180451128</v>
      </c>
      <c r="H1253" s="19">
        <v>-0.36598041550034577</v>
      </c>
      <c r="J1253" s="1" t="s">
        <v>79</v>
      </c>
    </row>
    <row r="1254" spans="1:10" x14ac:dyDescent="0.25">
      <c r="A1254" s="1" t="s">
        <v>51</v>
      </c>
      <c r="B1254" s="1" t="s">
        <v>3</v>
      </c>
      <c r="C1254" s="1" t="s">
        <v>26</v>
      </c>
      <c r="E1254" s="4">
        <v>86896.521679999991</v>
      </c>
      <c r="G1254" s="4">
        <v>115140.18844556388</v>
      </c>
      <c r="H1254" s="19">
        <v>0</v>
      </c>
      <c r="J1254" s="1" t="s">
        <v>79</v>
      </c>
    </row>
    <row r="1255" spans="1:10" x14ac:dyDescent="0.25">
      <c r="A1255" s="1" t="s">
        <v>51</v>
      </c>
      <c r="B1255" s="1" t="s">
        <v>3</v>
      </c>
      <c r="C1255" s="1" t="s">
        <v>27</v>
      </c>
      <c r="D1255" s="4">
        <v>0</v>
      </c>
      <c r="E1255" s="4">
        <v>159759.35823999997</v>
      </c>
      <c r="G1255" s="4">
        <v>162169.77747771417</v>
      </c>
      <c r="H1255" s="19">
        <v>0</v>
      </c>
      <c r="J1255" s="1" t="s">
        <v>79</v>
      </c>
    </row>
    <row r="1256" spans="1:10" x14ac:dyDescent="0.25">
      <c r="A1256" s="1" t="s">
        <v>51</v>
      </c>
      <c r="B1256" s="1" t="s">
        <v>3</v>
      </c>
      <c r="C1256" s="1" t="s">
        <v>21</v>
      </c>
      <c r="D1256" s="4">
        <v>914.5</v>
      </c>
      <c r="E1256" s="4">
        <v>26926.513549999996</v>
      </c>
      <c r="F1256" s="4">
        <v>10756.139197994988</v>
      </c>
      <c r="G1256" s="4">
        <v>101866.95679197994</v>
      </c>
      <c r="H1256" s="19">
        <v>-0.91497878716831138</v>
      </c>
      <c r="J1256" s="1" t="s">
        <v>79</v>
      </c>
    </row>
    <row r="1257" spans="1:10" x14ac:dyDescent="0.25">
      <c r="A1257" s="1" t="s">
        <v>51</v>
      </c>
      <c r="B1257" s="1" t="s">
        <v>3</v>
      </c>
      <c r="C1257" s="1" t="s">
        <v>28</v>
      </c>
      <c r="D1257" s="4">
        <v>35800</v>
      </c>
      <c r="E1257" s="4">
        <v>229180</v>
      </c>
      <c r="F1257" s="4">
        <v>124221.61012837839</v>
      </c>
      <c r="G1257" s="4">
        <v>769886.44051351352</v>
      </c>
      <c r="H1257" s="19">
        <v>-0.71180537780019082</v>
      </c>
      <c r="J1257" s="1" t="s">
        <v>79</v>
      </c>
    </row>
    <row r="1258" spans="1:10" x14ac:dyDescent="0.25">
      <c r="A1258" s="1" t="s">
        <v>51</v>
      </c>
      <c r="B1258" s="1" t="s">
        <v>3</v>
      </c>
      <c r="C1258" s="1" t="s">
        <v>29</v>
      </c>
      <c r="D1258" s="4">
        <v>1156</v>
      </c>
      <c r="E1258" s="4">
        <v>51011</v>
      </c>
      <c r="F1258" s="4">
        <v>28000</v>
      </c>
      <c r="G1258" s="4">
        <v>187000</v>
      </c>
      <c r="H1258" s="19">
        <v>-0.95871428571428574</v>
      </c>
      <c r="J1258" s="1" t="s">
        <v>79</v>
      </c>
    </row>
    <row r="1259" spans="1:10" x14ac:dyDescent="0.25">
      <c r="A1259" s="1" t="s">
        <v>51</v>
      </c>
      <c r="B1259" s="1" t="s">
        <v>3</v>
      </c>
      <c r="C1259" s="1" t="s">
        <v>30</v>
      </c>
      <c r="D1259" s="4">
        <v>54</v>
      </c>
      <c r="E1259" s="4">
        <v>381</v>
      </c>
      <c r="F1259" s="4">
        <v>68</v>
      </c>
      <c r="G1259" s="4">
        <v>476</v>
      </c>
      <c r="H1259" s="19">
        <v>-0.20588235294117646</v>
      </c>
      <c r="J1259" s="1" t="s">
        <v>79</v>
      </c>
    </row>
    <row r="1260" spans="1:10" x14ac:dyDescent="0.25">
      <c r="A1260" s="1" t="s">
        <v>51</v>
      </c>
      <c r="B1260" s="1" t="s">
        <v>3</v>
      </c>
      <c r="C1260" s="1" t="s">
        <v>31</v>
      </c>
      <c r="D1260" s="4">
        <v>179.4681099999998</v>
      </c>
      <c r="E1260" s="4">
        <v>1617.9131399999999</v>
      </c>
      <c r="F1260" s="4">
        <v>663.49269522738268</v>
      </c>
      <c r="G1260" s="4">
        <v>3435.0701377782148</v>
      </c>
      <c r="H1260" s="19">
        <v>-0.72951004390712237</v>
      </c>
      <c r="J1260" s="1" t="s">
        <v>79</v>
      </c>
    </row>
    <row r="1261" spans="1:10" x14ac:dyDescent="0.25">
      <c r="A1261" s="1" t="s">
        <v>51</v>
      </c>
      <c r="B1261" s="1" t="s">
        <v>3</v>
      </c>
      <c r="C1261" s="1" t="s">
        <v>32</v>
      </c>
      <c r="D1261" s="4">
        <v>633.11376575601071</v>
      </c>
      <c r="E1261" s="4">
        <v>999.23075897300373</v>
      </c>
      <c r="F1261" s="4">
        <v>1613.3356238238193</v>
      </c>
      <c r="G1261" s="4">
        <v>6291.4155745357357</v>
      </c>
      <c r="H1261" s="19">
        <v>-0.60757466927095605</v>
      </c>
      <c r="J1261" s="1" t="s">
        <v>79</v>
      </c>
    </row>
    <row r="1262" spans="1:10" x14ac:dyDescent="0.25">
      <c r="A1262" s="1" t="s">
        <v>52</v>
      </c>
      <c r="B1262" s="1" t="s">
        <v>13</v>
      </c>
      <c r="C1262" s="1" t="s">
        <v>63</v>
      </c>
      <c r="D1262" s="4">
        <v>-84510.37156</v>
      </c>
      <c r="E1262" s="4">
        <v>-103380.19229000001</v>
      </c>
      <c r="F1262" s="4">
        <v>4358.4829260651468</v>
      </c>
      <c r="G1262" s="4">
        <v>86633.931704260729</v>
      </c>
      <c r="H1262" s="19">
        <v>-20.389859497808391</v>
      </c>
      <c r="J1262" s="1" t="s">
        <v>79</v>
      </c>
    </row>
    <row r="1263" spans="1:10" x14ac:dyDescent="0.25">
      <c r="A1263" s="1" t="s">
        <v>52</v>
      </c>
      <c r="B1263" s="1" t="s">
        <v>13</v>
      </c>
      <c r="C1263" s="1" t="s">
        <v>26</v>
      </c>
      <c r="E1263" s="4">
        <v>147757.57507000002</v>
      </c>
      <c r="G1263" s="4">
        <v>275020.39833032584</v>
      </c>
      <c r="H1263" s="19">
        <v>0</v>
      </c>
      <c r="J1263" s="1" t="s">
        <v>79</v>
      </c>
    </row>
    <row r="1264" spans="1:10" x14ac:dyDescent="0.25">
      <c r="A1264" s="1" t="s">
        <v>52</v>
      </c>
      <c r="B1264" s="1" t="s">
        <v>13</v>
      </c>
      <c r="C1264" s="1" t="s">
        <v>27</v>
      </c>
      <c r="D1264" s="4">
        <v>0</v>
      </c>
      <c r="E1264" s="4">
        <v>211855.16805000004</v>
      </c>
      <c r="G1264" s="4">
        <v>184518.82756460615</v>
      </c>
      <c r="H1264" s="19">
        <v>0</v>
      </c>
      <c r="J1264" s="1" t="s">
        <v>79</v>
      </c>
    </row>
    <row r="1265" spans="1:10" x14ac:dyDescent="0.25">
      <c r="A1265" s="1" t="s">
        <v>52</v>
      </c>
      <c r="B1265" s="1" t="s">
        <v>13</v>
      </c>
      <c r="C1265" s="1" t="s">
        <v>21</v>
      </c>
      <c r="D1265" s="4">
        <v>5258.5479999999998</v>
      </c>
      <c r="E1265" s="4">
        <v>27898.892999999996</v>
      </c>
      <c r="F1265" s="4">
        <v>7807.2689995822902</v>
      </c>
      <c r="G1265" s="4">
        <v>102729.07599832915</v>
      </c>
      <c r="H1265" s="19">
        <v>-0.32645487169952181</v>
      </c>
      <c r="J1265" s="1" t="s">
        <v>79</v>
      </c>
    </row>
    <row r="1266" spans="1:10" x14ac:dyDescent="0.25">
      <c r="A1266" s="1" t="s">
        <v>52</v>
      </c>
      <c r="B1266" s="1" t="s">
        <v>13</v>
      </c>
      <c r="C1266" s="1" t="s">
        <v>28</v>
      </c>
      <c r="D1266" s="4">
        <v>2794839.24</v>
      </c>
      <c r="E1266" s="4">
        <v>12401279.17</v>
      </c>
      <c r="F1266" s="4">
        <v>124221.61012837839</v>
      </c>
      <c r="G1266" s="4">
        <v>4129886.440513514</v>
      </c>
      <c r="H1266" s="19">
        <v>21.498816728519603</v>
      </c>
      <c r="J1266" s="1" t="s">
        <v>79</v>
      </c>
    </row>
    <row r="1267" spans="1:10" x14ac:dyDescent="0.25">
      <c r="A1267" s="1" t="s">
        <v>52</v>
      </c>
      <c r="B1267" s="1" t="s">
        <v>13</v>
      </c>
      <c r="C1267" s="1" t="s">
        <v>29</v>
      </c>
      <c r="D1267" s="4">
        <v>1560</v>
      </c>
      <c r="E1267" s="4">
        <v>38231</v>
      </c>
      <c r="F1267" s="4">
        <v>28000</v>
      </c>
      <c r="G1267" s="4">
        <v>148000</v>
      </c>
      <c r="H1267" s="19">
        <v>-0.94428571428571428</v>
      </c>
      <c r="J1267" s="1" t="s">
        <v>79</v>
      </c>
    </row>
    <row r="1268" spans="1:10" x14ac:dyDescent="0.25">
      <c r="A1268" s="1" t="s">
        <v>52</v>
      </c>
      <c r="B1268" s="1" t="s">
        <v>13</v>
      </c>
      <c r="C1268" s="1" t="s">
        <v>30</v>
      </c>
      <c r="D1268" s="4">
        <v>34</v>
      </c>
      <c r="E1268" s="4">
        <v>197</v>
      </c>
      <c r="F1268" s="4">
        <v>65</v>
      </c>
      <c r="G1268" s="4">
        <v>455</v>
      </c>
      <c r="H1268" s="19">
        <v>-0.47692307692307695</v>
      </c>
      <c r="J1268" s="1" t="s">
        <v>79</v>
      </c>
    </row>
    <row r="1269" spans="1:10" x14ac:dyDescent="0.25">
      <c r="A1269" s="1" t="s">
        <v>52</v>
      </c>
      <c r="B1269" s="1" t="s">
        <v>13</v>
      </c>
      <c r="C1269" s="1" t="s">
        <v>31</v>
      </c>
      <c r="D1269" s="4">
        <v>2929.9157899999991</v>
      </c>
      <c r="E1269" s="4">
        <v>13600.858319999998</v>
      </c>
      <c r="F1269" s="4">
        <v>471.50983052239917</v>
      </c>
      <c r="G1269" s="4">
        <v>8528.3906848390197</v>
      </c>
      <c r="H1269" s="19">
        <v>5.2139018114508069</v>
      </c>
      <c r="J1269" s="1" t="s">
        <v>79</v>
      </c>
    </row>
    <row r="1270" spans="1:10" x14ac:dyDescent="0.25">
      <c r="A1270" s="1" t="s">
        <v>52</v>
      </c>
      <c r="B1270" s="1" t="s">
        <v>13</v>
      </c>
      <c r="C1270" s="1" t="s">
        <v>32</v>
      </c>
      <c r="D1270" s="4">
        <v>2371.4952897354979</v>
      </c>
      <c r="E1270" s="4">
        <v>-1987.7439230411367</v>
      </c>
      <c r="F1270" s="4">
        <v>749.51111250653469</v>
      </c>
      <c r="G1270" s="4">
        <v>811.97428547768277</v>
      </c>
      <c r="H1270" s="19">
        <v>2.1640562096600293</v>
      </c>
      <c r="J1270" s="1" t="s">
        <v>79</v>
      </c>
    </row>
    <row r="1271" spans="1:10" x14ac:dyDescent="0.25">
      <c r="A1271" s="1" t="s">
        <v>53</v>
      </c>
      <c r="B1271" s="1" t="s">
        <v>14</v>
      </c>
      <c r="C1271" s="1" t="s">
        <v>63</v>
      </c>
      <c r="D1271" s="4">
        <v>-4445.9658100000161</v>
      </c>
      <c r="E1271" s="4">
        <v>12112.039209999992</v>
      </c>
      <c r="F1271" s="4">
        <v>2986.0037593984976</v>
      </c>
      <c r="G1271" s="4">
        <v>71274.895037594004</v>
      </c>
      <c r="H1271" s="19">
        <v>-2.4889351013059726</v>
      </c>
      <c r="J1271" s="1" t="s">
        <v>79</v>
      </c>
    </row>
    <row r="1272" spans="1:10" x14ac:dyDescent="0.25">
      <c r="A1272" s="1" t="s">
        <v>53</v>
      </c>
      <c r="B1272" s="1" t="s">
        <v>14</v>
      </c>
      <c r="C1272" s="1" t="s">
        <v>26</v>
      </c>
      <c r="E1272" s="4">
        <v>40406.574059999992</v>
      </c>
      <c r="G1272" s="4">
        <v>52235.222386992471</v>
      </c>
      <c r="H1272" s="19">
        <v>0</v>
      </c>
      <c r="J1272" s="1" t="s">
        <v>79</v>
      </c>
    </row>
    <row r="1273" spans="1:10" x14ac:dyDescent="0.25">
      <c r="A1273" s="1" t="s">
        <v>53</v>
      </c>
      <c r="B1273" s="1" t="s">
        <v>14</v>
      </c>
      <c r="C1273" s="1" t="s">
        <v>27</v>
      </c>
      <c r="D1273" s="4">
        <v>0</v>
      </c>
      <c r="E1273" s="4">
        <v>149824.70967000001</v>
      </c>
      <c r="G1273" s="4">
        <v>113680.05292932376</v>
      </c>
      <c r="H1273" s="19">
        <v>0</v>
      </c>
      <c r="J1273" s="1" t="s">
        <v>79</v>
      </c>
    </row>
    <row r="1274" spans="1:10" x14ac:dyDescent="0.25">
      <c r="A1274" s="1" t="s">
        <v>53</v>
      </c>
      <c r="B1274" s="1" t="s">
        <v>14</v>
      </c>
      <c r="C1274" s="1" t="s">
        <v>21</v>
      </c>
      <c r="D1274" s="4">
        <v>832.93700000000001</v>
      </c>
      <c r="E1274" s="4">
        <v>14694.737999999999</v>
      </c>
      <c r="F1274" s="4">
        <v>5348.7727218045111</v>
      </c>
      <c r="G1274" s="4">
        <v>80558.69088721805</v>
      </c>
      <c r="H1274" s="19">
        <v>-0.84427511817720446</v>
      </c>
      <c r="J1274" s="1" t="s">
        <v>79</v>
      </c>
    </row>
    <row r="1275" spans="1:10" x14ac:dyDescent="0.25">
      <c r="A1275" s="1" t="s">
        <v>53</v>
      </c>
      <c r="B1275" s="1" t="s">
        <v>14</v>
      </c>
      <c r="C1275" s="1" t="s">
        <v>28</v>
      </c>
      <c r="D1275" s="4">
        <v>0</v>
      </c>
      <c r="E1275" s="4">
        <v>168120</v>
      </c>
      <c r="F1275" s="4">
        <v>62110.805064189197</v>
      </c>
      <c r="G1275" s="4">
        <v>422443.22025675676</v>
      </c>
      <c r="H1275" s="19">
        <v>-1</v>
      </c>
      <c r="J1275" s="1" t="s">
        <v>79</v>
      </c>
    </row>
    <row r="1276" spans="1:10" x14ac:dyDescent="0.25">
      <c r="A1276" s="1" t="s">
        <v>53</v>
      </c>
      <c r="B1276" s="1" t="s">
        <v>14</v>
      </c>
      <c r="C1276" s="1" t="s">
        <v>29</v>
      </c>
      <c r="D1276" s="4">
        <v>4185</v>
      </c>
      <c r="E1276" s="4">
        <v>17625</v>
      </c>
      <c r="F1276" s="4">
        <v>14000</v>
      </c>
      <c r="G1276" s="4">
        <v>62000</v>
      </c>
      <c r="H1276" s="19">
        <v>-0.70107142857142857</v>
      </c>
      <c r="J1276" s="1" t="s">
        <v>79</v>
      </c>
    </row>
    <row r="1277" spans="1:10" x14ac:dyDescent="0.25">
      <c r="A1277" s="1" t="s">
        <v>53</v>
      </c>
      <c r="B1277" s="1" t="s">
        <v>14</v>
      </c>
      <c r="C1277" s="1" t="s">
        <v>30</v>
      </c>
      <c r="D1277" s="4">
        <v>18</v>
      </c>
      <c r="E1277" s="4">
        <v>212</v>
      </c>
      <c r="F1277" s="4">
        <v>61</v>
      </c>
      <c r="G1277" s="4">
        <v>427</v>
      </c>
      <c r="H1277" s="19">
        <v>-0.70491803278688525</v>
      </c>
      <c r="J1277" s="1" t="s">
        <v>79</v>
      </c>
    </row>
    <row r="1278" spans="1:10" x14ac:dyDescent="0.25">
      <c r="A1278" s="1" t="s">
        <v>53</v>
      </c>
      <c r="B1278" s="1" t="s">
        <v>14</v>
      </c>
      <c r="C1278" s="1" t="s">
        <v>31</v>
      </c>
      <c r="D1278" s="4">
        <v>103.95722000000001</v>
      </c>
      <c r="E1278" s="4">
        <v>1140.47605</v>
      </c>
      <c r="F1278" s="4">
        <v>357.96895445905261</v>
      </c>
      <c r="G1278" s="4">
        <v>1949.5649492297287</v>
      </c>
      <c r="H1278" s="19">
        <v>-0.70959151986491198</v>
      </c>
      <c r="J1278" s="1" t="s">
        <v>79</v>
      </c>
    </row>
    <row r="1279" spans="1:10" x14ac:dyDescent="0.25">
      <c r="A1279" s="1" t="s">
        <v>53</v>
      </c>
      <c r="B1279" s="1" t="s">
        <v>14</v>
      </c>
      <c r="C1279" s="1" t="s">
        <v>32</v>
      </c>
      <c r="D1279" s="4">
        <v>-134.13320161294192</v>
      </c>
      <c r="E1279" s="4">
        <v>-2839.2461898411452</v>
      </c>
      <c r="F1279" s="4">
        <v>854.98740189024147</v>
      </c>
      <c r="G1279" s="4">
        <v>3096.0970849598075</v>
      </c>
      <c r="H1279" s="19">
        <v>-1.1568832491758296</v>
      </c>
      <c r="J1279" s="1" t="s">
        <v>79</v>
      </c>
    </row>
    <row r="1280" spans="1:10" x14ac:dyDescent="0.25">
      <c r="A1280" s="1" t="s">
        <v>54</v>
      </c>
      <c r="B1280" s="1" t="s">
        <v>16</v>
      </c>
      <c r="C1280" s="1" t="s">
        <v>63</v>
      </c>
      <c r="D1280" s="4">
        <v>417.1205300000147</v>
      </c>
      <c r="E1280" s="4">
        <v>-14774.54442000002</v>
      </c>
      <c r="F1280" s="4">
        <v>8812.5662593984907</v>
      </c>
      <c r="G1280" s="4">
        <v>102515.70503759402</v>
      </c>
      <c r="H1280" s="19">
        <v>-0.9526675297839422</v>
      </c>
      <c r="J1280" s="1" t="s">
        <v>79</v>
      </c>
    </row>
    <row r="1281" spans="1:10" x14ac:dyDescent="0.25">
      <c r="A1281" s="1" t="s">
        <v>54</v>
      </c>
      <c r="B1281" s="1" t="s">
        <v>16</v>
      </c>
      <c r="C1281" s="1" t="s">
        <v>26</v>
      </c>
      <c r="E1281" s="4">
        <v>142117.18552</v>
      </c>
      <c r="G1281" s="4">
        <v>188863.64392699243</v>
      </c>
      <c r="H1281" s="19">
        <v>0</v>
      </c>
      <c r="J1281" s="1" t="s">
        <v>79</v>
      </c>
    </row>
    <row r="1282" spans="1:10" x14ac:dyDescent="0.25">
      <c r="A1282" s="1" t="s">
        <v>54</v>
      </c>
      <c r="B1282" s="1" t="s">
        <v>16</v>
      </c>
      <c r="C1282" s="1" t="s">
        <v>27</v>
      </c>
      <c r="D1282" s="4">
        <v>0</v>
      </c>
      <c r="E1282" s="4">
        <v>160111.37570097009</v>
      </c>
      <c r="G1282" s="4">
        <v>167630.91096383287</v>
      </c>
      <c r="H1282" s="19">
        <v>0</v>
      </c>
      <c r="J1282" s="1" t="s">
        <v>79</v>
      </c>
    </row>
    <row r="1283" spans="1:10" x14ac:dyDescent="0.25">
      <c r="A1283" s="1" t="s">
        <v>54</v>
      </c>
      <c r="B1283" s="1" t="s">
        <v>16</v>
      </c>
      <c r="C1283" s="1" t="s">
        <v>21</v>
      </c>
      <c r="D1283" s="4">
        <v>2087.9859000000001</v>
      </c>
      <c r="E1283" s="4">
        <v>26760.50805</v>
      </c>
      <c r="F1283" s="4">
        <v>8116.5138143971044</v>
      </c>
      <c r="G1283" s="4">
        <v>101547.8552575884</v>
      </c>
      <c r="H1283" s="19">
        <v>-0.74274843267113977</v>
      </c>
      <c r="J1283" s="1" t="s">
        <v>79</v>
      </c>
    </row>
    <row r="1284" spans="1:10" x14ac:dyDescent="0.25">
      <c r="A1284" s="1" t="s">
        <v>54</v>
      </c>
      <c r="B1284" s="1" t="s">
        <v>16</v>
      </c>
      <c r="C1284" s="1" t="s">
        <v>28</v>
      </c>
      <c r="D1284" s="4">
        <v>414555</v>
      </c>
      <c r="E1284" s="4">
        <v>1707585</v>
      </c>
      <c r="F1284" s="4">
        <v>1656288.1350450451</v>
      </c>
      <c r="G1284" s="4">
        <v>8119152.5401801802</v>
      </c>
      <c r="H1284" s="19">
        <v>-0.74970840445661613</v>
      </c>
      <c r="J1284" s="1" t="s">
        <v>79</v>
      </c>
    </row>
    <row r="1285" spans="1:10" x14ac:dyDescent="0.25">
      <c r="A1285" s="1" t="s">
        <v>54</v>
      </c>
      <c r="B1285" s="1" t="s">
        <v>16</v>
      </c>
      <c r="C1285" s="1" t="s">
        <v>29</v>
      </c>
      <c r="D1285" s="4">
        <v>23022</v>
      </c>
      <c r="E1285" s="4">
        <v>346229</v>
      </c>
      <c r="F1285" s="4">
        <v>83666</v>
      </c>
      <c r="G1285" s="4">
        <v>1201664</v>
      </c>
      <c r="H1285" s="19">
        <v>-0.72483446083235725</v>
      </c>
      <c r="J1285" s="1" t="s">
        <v>79</v>
      </c>
    </row>
    <row r="1286" spans="1:10" x14ac:dyDescent="0.25">
      <c r="A1286" s="1" t="s">
        <v>54</v>
      </c>
      <c r="B1286" s="1" t="s">
        <v>16</v>
      </c>
      <c r="C1286" s="1" t="s">
        <v>30</v>
      </c>
      <c r="D1286" s="4">
        <v>44</v>
      </c>
      <c r="E1286" s="4">
        <v>337</v>
      </c>
      <c r="F1286" s="4">
        <v>56</v>
      </c>
      <c r="G1286" s="4">
        <v>392</v>
      </c>
      <c r="H1286" s="19">
        <v>-0.21428571428571427</v>
      </c>
      <c r="J1286" s="1" t="s">
        <v>79</v>
      </c>
    </row>
    <row r="1287" spans="1:10" x14ac:dyDescent="0.25">
      <c r="A1287" s="1" t="s">
        <v>54</v>
      </c>
      <c r="B1287" s="1" t="s">
        <v>16</v>
      </c>
      <c r="C1287" s="1" t="s">
        <v>31</v>
      </c>
      <c r="D1287" s="4">
        <v>585.20710000000054</v>
      </c>
      <c r="E1287" s="4">
        <v>3368.8893599999997</v>
      </c>
      <c r="F1287" s="4">
        <v>2123.4790553681341</v>
      </c>
      <c r="G1287" s="4">
        <v>11980.980320717612</v>
      </c>
      <c r="H1287" s="19">
        <v>-0.72441117395502308</v>
      </c>
      <c r="J1287" s="1" t="s">
        <v>79</v>
      </c>
    </row>
    <row r="1288" spans="1:10" x14ac:dyDescent="0.25">
      <c r="A1288" s="1" t="s">
        <v>54</v>
      </c>
      <c r="B1288" s="1" t="s">
        <v>16</v>
      </c>
      <c r="C1288" s="1" t="s">
        <v>32</v>
      </c>
      <c r="D1288" s="4">
        <v>1994.405910905866</v>
      </c>
      <c r="E1288" s="4">
        <v>10878.630297655105</v>
      </c>
      <c r="F1288" s="4">
        <v>2985.7367099927251</v>
      </c>
      <c r="G1288" s="4">
        <v>16933.421008194684</v>
      </c>
      <c r="H1288" s="19">
        <v>-0.33202217589014221</v>
      </c>
      <c r="J1288" s="1" t="s">
        <v>79</v>
      </c>
    </row>
    <row r="1289" spans="1:10" x14ac:dyDescent="0.25">
      <c r="A1289" s="1" t="s">
        <v>55</v>
      </c>
      <c r="B1289" s="1" t="s">
        <v>10</v>
      </c>
      <c r="C1289" s="1" t="s">
        <v>63</v>
      </c>
      <c r="D1289" s="4">
        <v>-10827.017260000008</v>
      </c>
      <c r="E1289" s="4">
        <v>6096.1736099999689</v>
      </c>
      <c r="F1289" s="4">
        <v>4462.0662593985053</v>
      </c>
      <c r="G1289" s="4">
        <v>72713.705037594002</v>
      </c>
      <c r="H1289" s="19">
        <v>-3.4264581990899234</v>
      </c>
      <c r="J1289" s="1" t="s">
        <v>79</v>
      </c>
    </row>
    <row r="1290" spans="1:10" x14ac:dyDescent="0.25">
      <c r="A1290" s="1" t="s">
        <v>55</v>
      </c>
      <c r="B1290" s="1" t="s">
        <v>10</v>
      </c>
      <c r="C1290" s="1" t="s">
        <v>26</v>
      </c>
      <c r="E1290" s="4">
        <v>87945.795299999983</v>
      </c>
      <c r="G1290" s="4">
        <v>90637.749256992494</v>
      </c>
      <c r="H1290" s="19">
        <v>0</v>
      </c>
      <c r="J1290" s="1" t="s">
        <v>79</v>
      </c>
    </row>
    <row r="1291" spans="1:10" x14ac:dyDescent="0.25">
      <c r="A1291" s="1" t="s">
        <v>55</v>
      </c>
      <c r="B1291" s="1" t="s">
        <v>10</v>
      </c>
      <c r="C1291" s="1" t="s">
        <v>27</v>
      </c>
      <c r="D1291" s="4">
        <v>0</v>
      </c>
      <c r="E1291" s="4">
        <v>162811.74414000002</v>
      </c>
      <c r="G1291" s="4">
        <v>134947.19395471018</v>
      </c>
      <c r="H1291" s="19">
        <v>0</v>
      </c>
      <c r="J1291" s="1" t="s">
        <v>79</v>
      </c>
    </row>
    <row r="1292" spans="1:10" x14ac:dyDescent="0.25">
      <c r="A1292" s="1" t="s">
        <v>55</v>
      </c>
      <c r="B1292" s="1" t="s">
        <v>10</v>
      </c>
      <c r="C1292" s="1" t="s">
        <v>21</v>
      </c>
      <c r="D1292" s="4">
        <v>1649.7611499999998</v>
      </c>
      <c r="E1292" s="4">
        <v>24056.22595</v>
      </c>
      <c r="F1292" s="4">
        <v>8116.5138143971044</v>
      </c>
      <c r="G1292" s="4">
        <v>86047.855257588395</v>
      </c>
      <c r="H1292" s="19">
        <v>-0.79674017839116518</v>
      </c>
      <c r="J1292" s="1" t="s">
        <v>79</v>
      </c>
    </row>
    <row r="1293" spans="1:10" x14ac:dyDescent="0.25">
      <c r="A1293" s="1" t="s">
        <v>55</v>
      </c>
      <c r="B1293" s="1" t="s">
        <v>10</v>
      </c>
      <c r="C1293" s="1" t="s">
        <v>28</v>
      </c>
      <c r="D1293" s="4">
        <v>2394754.25</v>
      </c>
      <c r="E1293" s="4">
        <v>5336509.99</v>
      </c>
      <c r="F1293" s="4">
        <v>1437421.4886283781</v>
      </c>
      <c r="G1293" s="4">
        <v>6241685.9545135126</v>
      </c>
      <c r="H1293" s="19">
        <v>0.6660069916480319</v>
      </c>
      <c r="J1293" s="1" t="s">
        <v>79</v>
      </c>
    </row>
    <row r="1294" spans="1:10" x14ac:dyDescent="0.25">
      <c r="A1294" s="1" t="s">
        <v>55</v>
      </c>
      <c r="B1294" s="1" t="s">
        <v>10</v>
      </c>
      <c r="C1294" s="1" t="s">
        <v>29</v>
      </c>
      <c r="D1294" s="4">
        <v>0</v>
      </c>
      <c r="E1294" s="4">
        <v>505138</v>
      </c>
      <c r="F1294" s="4">
        <v>42000</v>
      </c>
      <c r="G1294" s="4">
        <v>174000</v>
      </c>
      <c r="H1294" s="19">
        <v>-1</v>
      </c>
      <c r="J1294" s="1" t="s">
        <v>79</v>
      </c>
    </row>
    <row r="1295" spans="1:10" x14ac:dyDescent="0.25">
      <c r="A1295" s="1" t="s">
        <v>55</v>
      </c>
      <c r="B1295" s="1" t="s">
        <v>10</v>
      </c>
      <c r="C1295" s="1" t="s">
        <v>30</v>
      </c>
      <c r="D1295" s="4">
        <v>15</v>
      </c>
      <c r="E1295" s="4">
        <v>179</v>
      </c>
      <c r="F1295" s="4">
        <v>48</v>
      </c>
      <c r="G1295" s="4">
        <v>336</v>
      </c>
      <c r="H1295" s="19">
        <v>-0.6875</v>
      </c>
      <c r="J1295" s="1" t="s">
        <v>79</v>
      </c>
    </row>
    <row r="1296" spans="1:10" x14ac:dyDescent="0.25">
      <c r="A1296" s="1" t="s">
        <v>55</v>
      </c>
      <c r="B1296" s="1" t="s">
        <v>10</v>
      </c>
      <c r="C1296" s="1" t="s">
        <v>31</v>
      </c>
      <c r="D1296" s="4">
        <v>2542.7175700000007</v>
      </c>
      <c r="E1296" s="4">
        <v>6643.90967</v>
      </c>
      <c r="F1296" s="4">
        <v>1829.5827951702995</v>
      </c>
      <c r="G1296" s="4">
        <v>10218.600346551049</v>
      </c>
      <c r="H1296" s="19">
        <v>0.38977999613475917</v>
      </c>
      <c r="J1296" s="1" t="s">
        <v>79</v>
      </c>
    </row>
    <row r="1297" spans="1:10" x14ac:dyDescent="0.25">
      <c r="A1297" s="1" t="s">
        <v>55</v>
      </c>
      <c r="B1297" s="1" t="s">
        <v>10</v>
      </c>
      <c r="C1297" s="1" t="s">
        <v>32</v>
      </c>
      <c r="D1297" s="4">
        <v>2644.6908231809252</v>
      </c>
      <c r="E1297" s="4">
        <v>1758.2372131505942</v>
      </c>
      <c r="F1297" s="4">
        <v>1617.0966325246436</v>
      </c>
      <c r="G1297" s="4">
        <v>6502.6205107839669</v>
      </c>
      <c r="H1297" s="19">
        <v>0.63545626772593111</v>
      </c>
      <c r="J1297" s="1" t="s">
        <v>79</v>
      </c>
    </row>
    <row r="1298" spans="1:10" x14ac:dyDescent="0.25">
      <c r="A1298" s="1" t="s">
        <v>56</v>
      </c>
      <c r="B1298" s="1" t="s">
        <v>7</v>
      </c>
      <c r="C1298" s="1" t="s">
        <v>63</v>
      </c>
      <c r="D1298" s="4">
        <v>1902.5908999999956</v>
      </c>
      <c r="E1298" s="4">
        <v>16120.095189999989</v>
      </c>
      <c r="F1298" s="4">
        <v>7998.697211779453</v>
      </c>
      <c r="G1298" s="4">
        <v>102925.66884711781</v>
      </c>
      <c r="H1298" s="19">
        <v>-0.76213740192614066</v>
      </c>
      <c r="J1298" s="1" t="s">
        <v>79</v>
      </c>
    </row>
    <row r="1299" spans="1:10" x14ac:dyDescent="0.25">
      <c r="A1299" s="1" t="s">
        <v>56</v>
      </c>
      <c r="B1299" s="1" t="s">
        <v>7</v>
      </c>
      <c r="C1299" s="1" t="s">
        <v>26</v>
      </c>
      <c r="E1299" s="4">
        <v>48625.474949999996</v>
      </c>
      <c r="G1299" s="4">
        <v>72203.365078897259</v>
      </c>
      <c r="H1299" s="19">
        <v>0</v>
      </c>
      <c r="J1299" s="1" t="s">
        <v>79</v>
      </c>
    </row>
    <row r="1300" spans="1:10" x14ac:dyDescent="0.25">
      <c r="A1300" s="1" t="s">
        <v>56</v>
      </c>
      <c r="B1300" s="1" t="s">
        <v>7</v>
      </c>
      <c r="C1300" s="1" t="s">
        <v>27</v>
      </c>
      <c r="D1300" s="4">
        <v>0</v>
      </c>
      <c r="E1300" s="4">
        <v>173212.40981000001</v>
      </c>
      <c r="G1300" s="4">
        <v>182611.69821533526</v>
      </c>
      <c r="H1300" s="19">
        <v>0</v>
      </c>
      <c r="J1300" s="1" t="s">
        <v>79</v>
      </c>
    </row>
    <row r="1301" spans="1:10" x14ac:dyDescent="0.25">
      <c r="A1301" s="1" t="s">
        <v>56</v>
      </c>
      <c r="B1301" s="1" t="s">
        <v>7</v>
      </c>
      <c r="C1301" s="1" t="s">
        <v>21</v>
      </c>
      <c r="D1301" s="4">
        <v>3653.8420000000001</v>
      </c>
      <c r="E1301" s="4">
        <v>27179.398950000003</v>
      </c>
      <c r="F1301" s="4">
        <v>13214.635475772764</v>
      </c>
      <c r="G1301" s="4">
        <v>126522.14190309108</v>
      </c>
      <c r="H1301" s="19">
        <v>-0.72350035635119692</v>
      </c>
      <c r="J1301" s="1" t="s">
        <v>79</v>
      </c>
    </row>
    <row r="1302" spans="1:10" x14ac:dyDescent="0.25">
      <c r="A1302" s="1" t="s">
        <v>56</v>
      </c>
      <c r="B1302" s="1" t="s">
        <v>7</v>
      </c>
      <c r="C1302" s="1" t="s">
        <v>28</v>
      </c>
      <c r="D1302" s="4">
        <v>101783.4</v>
      </c>
      <c r="E1302" s="4">
        <v>969969.55</v>
      </c>
      <c r="F1302" s="4">
        <v>1499532.2936925676</v>
      </c>
      <c r="G1302" s="4">
        <v>6838129.1747702695</v>
      </c>
      <c r="H1302" s="19">
        <v>-0.93212323573948486</v>
      </c>
      <c r="J1302" s="1" t="s">
        <v>79</v>
      </c>
    </row>
    <row r="1303" spans="1:10" x14ac:dyDescent="0.25">
      <c r="A1303" s="1" t="s">
        <v>56</v>
      </c>
      <c r="B1303" s="1" t="s">
        <v>7</v>
      </c>
      <c r="C1303" s="1" t="s">
        <v>29</v>
      </c>
      <c r="D1303" s="4">
        <v>2358</v>
      </c>
      <c r="E1303" s="4">
        <v>30652</v>
      </c>
      <c r="F1303" s="4">
        <v>56000</v>
      </c>
      <c r="G1303" s="4">
        <v>245000</v>
      </c>
      <c r="H1303" s="19">
        <v>-0.9578928571428571</v>
      </c>
      <c r="J1303" s="1" t="s">
        <v>79</v>
      </c>
    </row>
    <row r="1304" spans="1:10" x14ac:dyDescent="0.25">
      <c r="A1304" s="1" t="s">
        <v>56</v>
      </c>
      <c r="B1304" s="1" t="s">
        <v>7</v>
      </c>
      <c r="C1304" s="1" t="s">
        <v>30</v>
      </c>
      <c r="D1304" s="4">
        <v>64</v>
      </c>
      <c r="E1304" s="4">
        <v>578</v>
      </c>
      <c r="F1304" s="4">
        <v>108</v>
      </c>
      <c r="G1304" s="4">
        <v>756</v>
      </c>
      <c r="H1304" s="19">
        <v>-0.40740740740740738</v>
      </c>
      <c r="J1304" s="1" t="s">
        <v>79</v>
      </c>
    </row>
    <row r="1305" spans="1:10" x14ac:dyDescent="0.25">
      <c r="A1305" s="1" t="s">
        <v>56</v>
      </c>
      <c r="B1305" s="1" t="s">
        <v>7</v>
      </c>
      <c r="C1305" s="1" t="s">
        <v>31</v>
      </c>
      <c r="D1305" s="4">
        <v>369.02829999999949</v>
      </c>
      <c r="E1305" s="4">
        <v>2808.3774199999998</v>
      </c>
      <c r="F1305" s="4">
        <v>2071.1625608285212</v>
      </c>
      <c r="G1305" s="4">
        <v>11505.915775769197</v>
      </c>
      <c r="H1305" s="19">
        <v>-0.82182552592473568</v>
      </c>
      <c r="J1305" s="1" t="s">
        <v>79</v>
      </c>
    </row>
    <row r="1306" spans="1:10" x14ac:dyDescent="0.25">
      <c r="A1306" s="1" t="s">
        <v>56</v>
      </c>
      <c r="B1306" s="1" t="s">
        <v>7</v>
      </c>
      <c r="C1306" s="1" t="s">
        <v>32</v>
      </c>
      <c r="D1306" s="4">
        <v>311.83086301068681</v>
      </c>
      <c r="E1306" s="4">
        <v>-8369.0758431842296</v>
      </c>
      <c r="F1306" s="4">
        <v>3583.9021330047726</v>
      </c>
      <c r="G1306" s="4">
        <v>16906.255742413352</v>
      </c>
      <c r="H1306" s="19">
        <v>-0.91299124489505934</v>
      </c>
      <c r="J1306" s="1" t="s">
        <v>79</v>
      </c>
    </row>
    <row r="1307" spans="1:10" x14ac:dyDescent="0.25">
      <c r="A1307" s="1" t="s">
        <v>57</v>
      </c>
      <c r="B1307" s="1" t="s">
        <v>24</v>
      </c>
      <c r="C1307" s="1" t="s">
        <v>63</v>
      </c>
      <c r="D1307" s="4">
        <v>-0.4014399999998659</v>
      </c>
      <c r="E1307" s="4">
        <v>-11.495749999999816</v>
      </c>
      <c r="F1307" s="4">
        <v>0</v>
      </c>
      <c r="G1307" s="4">
        <v>0</v>
      </c>
      <c r="H1307" s="19">
        <v>0</v>
      </c>
      <c r="J1307" s="1" t="s">
        <v>79</v>
      </c>
    </row>
    <row r="1308" spans="1:10" x14ac:dyDescent="0.25">
      <c r="A1308" s="1" t="s">
        <v>57</v>
      </c>
      <c r="B1308" s="1" t="s">
        <v>24</v>
      </c>
      <c r="C1308" s="1" t="s">
        <v>26</v>
      </c>
      <c r="E1308" s="4">
        <v>603.68931000000009</v>
      </c>
      <c r="G1308" s="4">
        <v>620.50470999999993</v>
      </c>
      <c r="H1308" s="19">
        <v>0</v>
      </c>
      <c r="J1308" s="1" t="s">
        <v>79</v>
      </c>
    </row>
    <row r="1309" spans="1:10" x14ac:dyDescent="0.25">
      <c r="A1309" s="1" t="s">
        <v>57</v>
      </c>
      <c r="B1309" s="1" t="s">
        <v>24</v>
      </c>
      <c r="C1309" s="1" t="s">
        <v>27</v>
      </c>
      <c r="D1309" s="4">
        <v>0</v>
      </c>
      <c r="E1309" s="4">
        <v>0</v>
      </c>
      <c r="G1309" s="4">
        <v>-15.040850000000001</v>
      </c>
      <c r="H1309" s="19">
        <v>0</v>
      </c>
      <c r="J1309" s="1" t="s">
        <v>79</v>
      </c>
    </row>
    <row r="1310" spans="1:10" x14ac:dyDescent="0.25">
      <c r="A1310" s="1" t="s">
        <v>57</v>
      </c>
      <c r="B1310" s="1" t="s">
        <v>24</v>
      </c>
      <c r="C1310" s="1" t="s">
        <v>21</v>
      </c>
      <c r="D1310" s="4">
        <v>0</v>
      </c>
      <c r="E1310" s="4">
        <v>0</v>
      </c>
      <c r="F1310" s="4">
        <v>0</v>
      </c>
      <c r="G1310" s="4">
        <v>0</v>
      </c>
      <c r="H1310" s="19">
        <v>0</v>
      </c>
      <c r="J1310" s="1" t="s">
        <v>79</v>
      </c>
    </row>
    <row r="1311" spans="1:10" x14ac:dyDescent="0.25">
      <c r="A1311" s="1" t="s">
        <v>57</v>
      </c>
      <c r="B1311" s="1" t="s">
        <v>24</v>
      </c>
      <c r="C1311" s="1" t="s">
        <v>28</v>
      </c>
      <c r="D1311" s="4">
        <v>0</v>
      </c>
      <c r="E1311" s="4">
        <v>0</v>
      </c>
      <c r="F1311" s="4">
        <v>0</v>
      </c>
      <c r="G1311" s="4">
        <v>0</v>
      </c>
      <c r="H1311" s="19">
        <v>0</v>
      </c>
      <c r="J1311" s="1" t="s">
        <v>79</v>
      </c>
    </row>
    <row r="1312" spans="1:10" x14ac:dyDescent="0.25">
      <c r="A1312" s="1" t="s">
        <v>57</v>
      </c>
      <c r="B1312" s="1" t="s">
        <v>24</v>
      </c>
      <c r="C1312" s="1" t="s">
        <v>29</v>
      </c>
      <c r="D1312" s="4">
        <v>0</v>
      </c>
      <c r="E1312" s="4">
        <v>0</v>
      </c>
      <c r="F1312" s="4">
        <v>0</v>
      </c>
      <c r="G1312" s="4">
        <v>0</v>
      </c>
      <c r="H1312" s="19">
        <v>0</v>
      </c>
      <c r="J1312" s="1" t="s">
        <v>79</v>
      </c>
    </row>
    <row r="1313" spans="1:10" x14ac:dyDescent="0.25">
      <c r="A1313" s="1" t="s">
        <v>57</v>
      </c>
      <c r="B1313" s="1" t="s">
        <v>24</v>
      </c>
      <c r="C1313" s="1" t="s">
        <v>30</v>
      </c>
      <c r="D1313" s="4">
        <v>0</v>
      </c>
      <c r="E1313" s="4">
        <v>0</v>
      </c>
      <c r="F1313" s="4">
        <v>0</v>
      </c>
      <c r="G1313" s="4">
        <v>0</v>
      </c>
      <c r="H1313" s="19">
        <v>0</v>
      </c>
      <c r="J1313" s="1" t="s">
        <v>79</v>
      </c>
    </row>
    <row r="1314" spans="1:10" x14ac:dyDescent="0.25">
      <c r="A1314" s="1" t="s">
        <v>57</v>
      </c>
      <c r="B1314" s="1" t="s">
        <v>24</v>
      </c>
      <c r="C1314" s="1" t="s">
        <v>31</v>
      </c>
      <c r="D1314" s="4">
        <v>0</v>
      </c>
      <c r="E1314" s="4">
        <v>0.12869999999999998</v>
      </c>
      <c r="F1314" s="4">
        <v>0.83649983369877701</v>
      </c>
      <c r="G1314" s="4">
        <v>3.2015595217981017</v>
      </c>
      <c r="H1314" s="19">
        <v>-1</v>
      </c>
      <c r="J1314" s="1" t="s">
        <v>79</v>
      </c>
    </row>
    <row r="1315" spans="1:10" x14ac:dyDescent="0.25">
      <c r="A1315" s="1" t="s">
        <v>57</v>
      </c>
      <c r="B1315" s="1" t="s">
        <v>24</v>
      </c>
      <c r="C1315" s="1" t="s">
        <v>32</v>
      </c>
      <c r="D1315" s="4">
        <v>6.3795949730753305</v>
      </c>
      <c r="E1315" s="4">
        <v>24.574867627215355</v>
      </c>
      <c r="F1315" s="4">
        <v>-0.80148959643915152</v>
      </c>
      <c r="G1315" s="4">
        <v>-4.4647470647357999</v>
      </c>
      <c r="H1315" s="19">
        <v>8.9596728409433126</v>
      </c>
      <c r="J1315" s="1" t="s">
        <v>79</v>
      </c>
    </row>
    <row r="1316" spans="1:10" x14ac:dyDescent="0.25">
      <c r="A1316" s="1" t="s">
        <v>58</v>
      </c>
      <c r="B1316" s="1" t="s">
        <v>1</v>
      </c>
      <c r="C1316" s="1" t="s">
        <v>63</v>
      </c>
      <c r="D1316" s="4">
        <v>52.017259999993257</v>
      </c>
      <c r="E1316" s="4">
        <v>5763.2893200000108</v>
      </c>
      <c r="F1316" s="4">
        <v>11650.009711779445</v>
      </c>
      <c r="G1316" s="4">
        <v>137804.83884711782</v>
      </c>
      <c r="H1316" s="19">
        <v>-0.99553500286378316</v>
      </c>
      <c r="J1316" s="1" t="s">
        <v>79</v>
      </c>
    </row>
    <row r="1317" spans="1:10" x14ac:dyDescent="0.25">
      <c r="A1317" s="1" t="s">
        <v>58</v>
      </c>
      <c r="B1317" s="1" t="s">
        <v>1</v>
      </c>
      <c r="C1317" s="1" t="s">
        <v>26</v>
      </c>
      <c r="E1317" s="4">
        <v>224221.54874999999</v>
      </c>
      <c r="G1317" s="4">
        <v>287437.03012889728</v>
      </c>
      <c r="H1317" s="19">
        <v>0</v>
      </c>
      <c r="J1317" s="1" t="s">
        <v>79</v>
      </c>
    </row>
    <row r="1318" spans="1:10" x14ac:dyDescent="0.25">
      <c r="A1318" s="1" t="s">
        <v>58</v>
      </c>
      <c r="B1318" s="1" t="s">
        <v>1</v>
      </c>
      <c r="C1318" s="1" t="s">
        <v>27</v>
      </c>
      <c r="D1318" s="4">
        <v>0</v>
      </c>
      <c r="E1318" s="4">
        <v>131874.74236999999</v>
      </c>
      <c r="G1318" s="4">
        <v>183358.8347606356</v>
      </c>
      <c r="H1318" s="19">
        <v>0</v>
      </c>
      <c r="J1318" s="1" t="s">
        <v>79</v>
      </c>
    </row>
    <row r="1319" spans="1:10" x14ac:dyDescent="0.25">
      <c r="A1319" s="1" t="s">
        <v>58</v>
      </c>
      <c r="B1319" s="1" t="s">
        <v>1</v>
      </c>
      <c r="C1319" s="1" t="s">
        <v>21</v>
      </c>
      <c r="D1319" s="4">
        <v>762.76499999999999</v>
      </c>
      <c r="E1319" s="4">
        <v>12205.440999999999</v>
      </c>
      <c r="F1319" s="4">
        <v>20868.444642439434</v>
      </c>
      <c r="G1319" s="4">
        <v>182479.77856975771</v>
      </c>
      <c r="H1319" s="19">
        <v>-0.96344888116631411</v>
      </c>
      <c r="J1319" s="1" t="s">
        <v>79</v>
      </c>
    </row>
    <row r="1320" spans="1:10" x14ac:dyDescent="0.25">
      <c r="A1320" s="1" t="s">
        <v>58</v>
      </c>
      <c r="B1320" s="1" t="s">
        <v>1</v>
      </c>
      <c r="C1320" s="1" t="s">
        <v>28</v>
      </c>
      <c r="D1320" s="4">
        <v>9700</v>
      </c>
      <c r="E1320" s="4">
        <v>71400</v>
      </c>
      <c r="F1320" s="4">
        <v>248443.22025675679</v>
      </c>
      <c r="G1320" s="4">
        <v>1182772.881027027</v>
      </c>
      <c r="H1320" s="19">
        <v>-0.96095687380812644</v>
      </c>
      <c r="J1320" s="1" t="s">
        <v>79</v>
      </c>
    </row>
    <row r="1321" spans="1:10" x14ac:dyDescent="0.25">
      <c r="A1321" s="1" t="s">
        <v>58</v>
      </c>
      <c r="B1321" s="1" t="s">
        <v>1</v>
      </c>
      <c r="C1321" s="1" t="s">
        <v>29</v>
      </c>
      <c r="D1321" s="4">
        <v>44727</v>
      </c>
      <c r="E1321" s="4">
        <v>818808</v>
      </c>
      <c r="F1321" s="4">
        <v>56000</v>
      </c>
      <c r="G1321" s="4">
        <v>521000</v>
      </c>
      <c r="H1321" s="19">
        <v>-0.20130357142857142</v>
      </c>
      <c r="J1321" s="1" t="s">
        <v>79</v>
      </c>
    </row>
    <row r="1322" spans="1:10" x14ac:dyDescent="0.25">
      <c r="A1322" s="1" t="s">
        <v>58</v>
      </c>
      <c r="B1322" s="1" t="s">
        <v>1</v>
      </c>
      <c r="C1322" s="1" t="s">
        <v>30</v>
      </c>
      <c r="D1322" s="4">
        <v>78</v>
      </c>
      <c r="E1322" s="4">
        <v>823</v>
      </c>
      <c r="F1322" s="4">
        <v>178</v>
      </c>
      <c r="G1322" s="4">
        <v>1246</v>
      </c>
      <c r="H1322" s="19">
        <v>-0.5617977528089888</v>
      </c>
      <c r="J1322" s="1" t="s">
        <v>79</v>
      </c>
    </row>
    <row r="1323" spans="1:10" x14ac:dyDescent="0.25">
      <c r="A1323" s="1" t="s">
        <v>58</v>
      </c>
      <c r="B1323" s="1" t="s">
        <v>1</v>
      </c>
      <c r="C1323" s="1" t="s">
        <v>31</v>
      </c>
      <c r="D1323" s="4">
        <v>137.66662000000019</v>
      </c>
      <c r="E1323" s="4">
        <v>1746.9517000000001</v>
      </c>
      <c r="F1323" s="4">
        <v>1070.2568231113255</v>
      </c>
      <c r="G1323" s="4">
        <v>5129.7212183373049</v>
      </c>
      <c r="H1323" s="19">
        <v>-0.8713704813394304</v>
      </c>
      <c r="J1323" s="1" t="s">
        <v>79</v>
      </c>
    </row>
    <row r="1324" spans="1:10" x14ac:dyDescent="0.25">
      <c r="A1324" s="1" t="s">
        <v>58</v>
      </c>
      <c r="B1324" s="1" t="s">
        <v>1</v>
      </c>
      <c r="C1324" s="1" t="s">
        <v>32</v>
      </c>
      <c r="D1324" s="4">
        <v>355.92624291341752</v>
      </c>
      <c r="E1324" s="4">
        <v>-8345.822184287952</v>
      </c>
      <c r="F1324" s="4">
        <v>-826.79746759572117</v>
      </c>
      <c r="G1324" s="4">
        <v>-9877.9576447744948</v>
      </c>
      <c r="H1324" s="19">
        <v>1.4304878242412018</v>
      </c>
      <c r="J1324" s="1" t="s">
        <v>79</v>
      </c>
    </row>
    <row r="1325" spans="1:10" x14ac:dyDescent="0.25">
      <c r="A1325" s="1" t="s">
        <v>38</v>
      </c>
      <c r="B1325" s="1" t="s">
        <v>18</v>
      </c>
      <c r="C1325" s="1" t="s">
        <v>63</v>
      </c>
      <c r="D1325" s="4">
        <v>0</v>
      </c>
      <c r="E1325" s="4">
        <v>0</v>
      </c>
      <c r="F1325" s="4">
        <v>0</v>
      </c>
      <c r="G1325" s="4">
        <v>0</v>
      </c>
      <c r="H1325" s="19">
        <v>0</v>
      </c>
      <c r="J1325" s="1" t="s">
        <v>80</v>
      </c>
    </row>
    <row r="1326" spans="1:10" x14ac:dyDescent="0.25">
      <c r="A1326" s="1" t="s">
        <v>38</v>
      </c>
      <c r="B1326" s="1" t="s">
        <v>18</v>
      </c>
      <c r="C1326" s="1" t="s">
        <v>26</v>
      </c>
      <c r="E1326" s="4">
        <v>0</v>
      </c>
      <c r="G1326" s="4">
        <v>0</v>
      </c>
      <c r="H1326" s="19">
        <v>0</v>
      </c>
      <c r="J1326" s="1" t="s">
        <v>80</v>
      </c>
    </row>
    <row r="1327" spans="1:10" x14ac:dyDescent="0.25">
      <c r="A1327" s="1" t="s">
        <v>38</v>
      </c>
      <c r="B1327" s="1" t="s">
        <v>18</v>
      </c>
      <c r="C1327" s="1" t="s">
        <v>27</v>
      </c>
      <c r="D1327" s="4">
        <v>0</v>
      </c>
      <c r="E1327" s="4">
        <v>0</v>
      </c>
      <c r="G1327" s="4">
        <v>0</v>
      </c>
      <c r="H1327" s="19">
        <v>0</v>
      </c>
      <c r="J1327" s="1" t="s">
        <v>80</v>
      </c>
    </row>
    <row r="1328" spans="1:10" x14ac:dyDescent="0.25">
      <c r="A1328" s="1" t="s">
        <v>38</v>
      </c>
      <c r="B1328" s="1" t="s">
        <v>18</v>
      </c>
      <c r="C1328" s="1" t="s">
        <v>21</v>
      </c>
      <c r="D1328" s="4">
        <v>0</v>
      </c>
      <c r="E1328" s="4">
        <v>0</v>
      </c>
      <c r="F1328" s="4">
        <v>0</v>
      </c>
      <c r="G1328" s="4">
        <v>0</v>
      </c>
      <c r="H1328" s="19">
        <v>0</v>
      </c>
      <c r="J1328" s="1" t="s">
        <v>80</v>
      </c>
    </row>
    <row r="1329" spans="1:10" x14ac:dyDescent="0.25">
      <c r="A1329" s="1" t="s">
        <v>38</v>
      </c>
      <c r="B1329" s="1" t="s">
        <v>18</v>
      </c>
      <c r="C1329" s="1" t="s">
        <v>28</v>
      </c>
      <c r="D1329" s="4">
        <v>0</v>
      </c>
      <c r="E1329" s="4">
        <v>0</v>
      </c>
      <c r="F1329" s="4">
        <v>0</v>
      </c>
      <c r="G1329" s="4">
        <v>0</v>
      </c>
      <c r="H1329" s="19">
        <v>0</v>
      </c>
      <c r="J1329" s="1" t="s">
        <v>80</v>
      </c>
    </row>
    <row r="1330" spans="1:10" x14ac:dyDescent="0.25">
      <c r="A1330" s="1" t="s">
        <v>38</v>
      </c>
      <c r="B1330" s="1" t="s">
        <v>18</v>
      </c>
      <c r="C1330" s="1" t="s">
        <v>29</v>
      </c>
      <c r="D1330" s="4">
        <v>4</v>
      </c>
      <c r="E1330" s="4">
        <v>243624</v>
      </c>
      <c r="F1330" s="4">
        <v>0</v>
      </c>
      <c r="G1330" s="4">
        <v>99000</v>
      </c>
      <c r="H1330" s="19">
        <v>0</v>
      </c>
      <c r="J1330" s="1" t="s">
        <v>80</v>
      </c>
    </row>
    <row r="1331" spans="1:10" x14ac:dyDescent="0.25">
      <c r="A1331" s="1" t="s">
        <v>38</v>
      </c>
      <c r="B1331" s="1" t="s">
        <v>18</v>
      </c>
      <c r="C1331" s="1" t="s">
        <v>30</v>
      </c>
      <c r="D1331" s="4">
        <v>0</v>
      </c>
      <c r="E1331" s="4">
        <v>0</v>
      </c>
      <c r="F1331" s="4">
        <v>0</v>
      </c>
      <c r="G1331" s="4">
        <v>0</v>
      </c>
      <c r="H1331" s="19">
        <v>0</v>
      </c>
      <c r="J1331" s="1" t="s">
        <v>80</v>
      </c>
    </row>
    <row r="1332" spans="1:10" x14ac:dyDescent="0.25">
      <c r="A1332" s="1" t="s">
        <v>38</v>
      </c>
      <c r="B1332" s="1" t="s">
        <v>18</v>
      </c>
      <c r="C1332" s="1" t="s">
        <v>31</v>
      </c>
      <c r="D1332" s="4">
        <v>82.136170000000106</v>
      </c>
      <c r="E1332" s="4">
        <v>901.90836000000002</v>
      </c>
      <c r="F1332" s="4">
        <v>4.6471160216611906E-2</v>
      </c>
      <c r="G1332" s="4">
        <v>117.68424167958743</v>
      </c>
      <c r="H1332" s="19">
        <v>1766.4654477561146</v>
      </c>
      <c r="J1332" s="1" t="s">
        <v>80</v>
      </c>
    </row>
    <row r="1333" spans="1:10" x14ac:dyDescent="0.25">
      <c r="A1333" s="1" t="s">
        <v>38</v>
      </c>
      <c r="B1333" s="1" t="s">
        <v>18</v>
      </c>
      <c r="C1333" s="1" t="s">
        <v>32</v>
      </c>
      <c r="D1333" s="4">
        <v>-37627.097292403072</v>
      </c>
      <c r="E1333" s="4">
        <v>-228702.669585</v>
      </c>
      <c r="F1333" s="4">
        <v>-18978.688375871367</v>
      </c>
      <c r="G1333" s="4">
        <v>-201171.36465719307</v>
      </c>
      <c r="H1333" s="19">
        <v>-0.98259735062832043</v>
      </c>
      <c r="J1333" s="1" t="s">
        <v>80</v>
      </c>
    </row>
    <row r="1334" spans="1:10" x14ac:dyDescent="0.25">
      <c r="A1334" s="1" t="s">
        <v>39</v>
      </c>
      <c r="B1334" s="1" t="s">
        <v>8</v>
      </c>
      <c r="C1334" s="1" t="s">
        <v>63</v>
      </c>
      <c r="D1334" s="4">
        <v>-4255.7760099999723</v>
      </c>
      <c r="E1334" s="4">
        <v>28941.408510000096</v>
      </c>
      <c r="F1334" s="4">
        <v>7465.9829260652068</v>
      </c>
      <c r="G1334" s="4">
        <v>95395.354630326023</v>
      </c>
      <c r="H1334" s="19">
        <v>-1.570022199641286</v>
      </c>
      <c r="J1334" s="1" t="s">
        <v>80</v>
      </c>
    </row>
    <row r="1335" spans="1:10" x14ac:dyDescent="0.25">
      <c r="A1335" s="1" t="s">
        <v>39</v>
      </c>
      <c r="B1335" s="1" t="s">
        <v>8</v>
      </c>
      <c r="C1335" s="1" t="s">
        <v>26</v>
      </c>
      <c r="E1335" s="4">
        <v>507564.98164000007</v>
      </c>
      <c r="G1335" s="4">
        <v>530973.80766639102</v>
      </c>
      <c r="H1335" s="19">
        <v>0</v>
      </c>
      <c r="J1335" s="1" t="s">
        <v>80</v>
      </c>
    </row>
    <row r="1336" spans="1:10" x14ac:dyDescent="0.25">
      <c r="A1336" s="1" t="s">
        <v>39</v>
      </c>
      <c r="B1336" s="1" t="s">
        <v>8</v>
      </c>
      <c r="C1336" s="1" t="s">
        <v>27</v>
      </c>
      <c r="D1336" s="4">
        <v>0</v>
      </c>
      <c r="E1336" s="4">
        <v>676022.37401999999</v>
      </c>
      <c r="G1336" s="4">
        <v>538700.1520884796</v>
      </c>
      <c r="H1336" s="19">
        <v>0</v>
      </c>
      <c r="J1336" s="1" t="s">
        <v>80</v>
      </c>
    </row>
    <row r="1337" spans="1:10" x14ac:dyDescent="0.25">
      <c r="A1337" s="1" t="s">
        <v>39</v>
      </c>
      <c r="B1337" s="1" t="s">
        <v>8</v>
      </c>
      <c r="C1337" s="1" t="s">
        <v>21</v>
      </c>
      <c r="D1337" s="4">
        <v>9433.8192099999997</v>
      </c>
      <c r="E1337" s="4">
        <v>75475.767509999991</v>
      </c>
      <c r="F1337" s="4">
        <v>21166.644999582291</v>
      </c>
      <c r="G1337" s="4">
        <v>163415.02499791145</v>
      </c>
      <c r="H1337" s="19">
        <v>-0.55430729762859587</v>
      </c>
      <c r="J1337" s="1" t="s">
        <v>80</v>
      </c>
    </row>
    <row r="1338" spans="1:10" x14ac:dyDescent="0.25">
      <c r="A1338" s="1" t="s">
        <v>39</v>
      </c>
      <c r="B1338" s="1" t="s">
        <v>8</v>
      </c>
      <c r="C1338" s="1" t="s">
        <v>28</v>
      </c>
      <c r="D1338" s="4">
        <v>2972157</v>
      </c>
      <c r="E1338" s="4">
        <v>19544526.140000001</v>
      </c>
      <c r="F1338" s="4">
        <v>124221.61012837839</v>
      </c>
      <c r="G1338" s="4">
        <v>4671108.0506418925</v>
      </c>
      <c r="H1338" s="19">
        <v>22.926247590321736</v>
      </c>
      <c r="J1338" s="1" t="s">
        <v>80</v>
      </c>
    </row>
    <row r="1339" spans="1:10" x14ac:dyDescent="0.25">
      <c r="A1339" s="1" t="s">
        <v>39</v>
      </c>
      <c r="B1339" s="1" t="s">
        <v>8</v>
      </c>
      <c r="C1339" s="1" t="s">
        <v>29</v>
      </c>
      <c r="D1339" s="4">
        <v>74347</v>
      </c>
      <c r="E1339" s="4">
        <v>604269</v>
      </c>
      <c r="F1339" s="4">
        <v>28000</v>
      </c>
      <c r="G1339" s="4">
        <v>146000</v>
      </c>
      <c r="H1339" s="19">
        <v>1.6552500000000001</v>
      </c>
      <c r="J1339" s="1" t="s">
        <v>80</v>
      </c>
    </row>
    <row r="1340" spans="1:10" x14ac:dyDescent="0.25">
      <c r="A1340" s="1" t="s">
        <v>39</v>
      </c>
      <c r="B1340" s="1" t="s">
        <v>8</v>
      </c>
      <c r="C1340" s="1" t="s">
        <v>30</v>
      </c>
      <c r="D1340" s="4">
        <v>58</v>
      </c>
      <c r="E1340" s="4">
        <v>394</v>
      </c>
      <c r="F1340" s="4">
        <v>85</v>
      </c>
      <c r="G1340" s="4">
        <v>680</v>
      </c>
      <c r="H1340" s="19">
        <v>-0.31764705882352939</v>
      </c>
      <c r="J1340" s="1" t="s">
        <v>80</v>
      </c>
    </row>
    <row r="1341" spans="1:10" x14ac:dyDescent="0.25">
      <c r="A1341" s="1" t="s">
        <v>39</v>
      </c>
      <c r="B1341" s="1" t="s">
        <v>8</v>
      </c>
      <c r="C1341" s="1" t="s">
        <v>31</v>
      </c>
      <c r="D1341" s="4">
        <v>3197.6560599999975</v>
      </c>
      <c r="E1341" s="4">
        <v>21997.871620000002</v>
      </c>
      <c r="F1341" s="4">
        <v>1010.9170825115925</v>
      </c>
      <c r="G1341" s="4">
        <v>12229.631040477147</v>
      </c>
      <c r="H1341" s="19">
        <v>2.1631239745751638</v>
      </c>
      <c r="J1341" s="1" t="s">
        <v>80</v>
      </c>
    </row>
    <row r="1342" spans="1:10" x14ac:dyDescent="0.25">
      <c r="A1342" s="1" t="s">
        <v>39</v>
      </c>
      <c r="B1342" s="1" t="s">
        <v>8</v>
      </c>
      <c r="C1342" s="1" t="s">
        <v>32</v>
      </c>
      <c r="D1342" s="4">
        <v>473.28483218416943</v>
      </c>
      <c r="E1342" s="4">
        <v>-4930.6575600000178</v>
      </c>
      <c r="F1342" s="4">
        <v>5269.5993396534577</v>
      </c>
      <c r="G1342" s="4">
        <v>26011.141445116937</v>
      </c>
      <c r="H1342" s="19">
        <v>-0.91018580319328535</v>
      </c>
      <c r="J1342" s="1" t="s">
        <v>80</v>
      </c>
    </row>
    <row r="1343" spans="1:10" x14ac:dyDescent="0.25">
      <c r="A1343" s="1" t="s">
        <v>40</v>
      </c>
      <c r="B1343" s="1" t="s">
        <v>11</v>
      </c>
      <c r="C1343" s="1" t="s">
        <v>63</v>
      </c>
      <c r="D1343" s="4">
        <v>-8810.9618900000423</v>
      </c>
      <c r="E1343" s="4">
        <v>-22892.740570000031</v>
      </c>
      <c r="F1343" s="4">
        <v>2986.0037593984976</v>
      </c>
      <c r="G1343" s="4">
        <v>74195.458796992505</v>
      </c>
      <c r="H1343" s="19">
        <v>-3.9507537833023116</v>
      </c>
      <c r="J1343" s="1" t="s">
        <v>80</v>
      </c>
    </row>
    <row r="1344" spans="1:10" x14ac:dyDescent="0.25">
      <c r="A1344" s="1" t="s">
        <v>40</v>
      </c>
      <c r="B1344" s="1" t="s">
        <v>11</v>
      </c>
      <c r="C1344" s="1" t="s">
        <v>26</v>
      </c>
      <c r="E1344" s="4">
        <v>50240.302539999968</v>
      </c>
      <c r="G1344" s="4">
        <v>67028.311356390972</v>
      </c>
      <c r="H1344" s="19">
        <v>0</v>
      </c>
      <c r="J1344" s="1" t="s">
        <v>80</v>
      </c>
    </row>
    <row r="1345" spans="1:10" x14ac:dyDescent="0.25">
      <c r="A1345" s="1" t="s">
        <v>40</v>
      </c>
      <c r="B1345" s="1" t="s">
        <v>11</v>
      </c>
      <c r="C1345" s="1" t="s">
        <v>27</v>
      </c>
      <c r="D1345" s="4">
        <v>0</v>
      </c>
      <c r="E1345" s="4">
        <v>89653.750450000007</v>
      </c>
      <c r="G1345" s="4">
        <v>87715.137654904524</v>
      </c>
      <c r="H1345" s="19">
        <v>0</v>
      </c>
      <c r="J1345" s="1" t="s">
        <v>80</v>
      </c>
    </row>
    <row r="1346" spans="1:10" x14ac:dyDescent="0.25">
      <c r="A1346" s="1" t="s">
        <v>40</v>
      </c>
      <c r="B1346" s="1" t="s">
        <v>11</v>
      </c>
      <c r="C1346" s="1" t="s">
        <v>21</v>
      </c>
      <c r="D1346" s="4">
        <v>1589.7090000000001</v>
      </c>
      <c r="E1346" s="4">
        <v>14483.349850000001</v>
      </c>
      <c r="F1346" s="4">
        <v>5348.7727218045111</v>
      </c>
      <c r="G1346" s="4">
        <v>85825.663609022537</v>
      </c>
      <c r="H1346" s="19">
        <v>-0.70278995151177759</v>
      </c>
      <c r="J1346" s="1" t="s">
        <v>80</v>
      </c>
    </row>
    <row r="1347" spans="1:10" x14ac:dyDescent="0.25">
      <c r="A1347" s="1" t="s">
        <v>40</v>
      </c>
      <c r="B1347" s="1" t="s">
        <v>11</v>
      </c>
      <c r="C1347" s="1" t="s">
        <v>28</v>
      </c>
      <c r="D1347" s="4">
        <v>107638.13</v>
      </c>
      <c r="E1347" s="4">
        <v>184138.13</v>
      </c>
      <c r="F1347" s="4">
        <v>62110.805064189197</v>
      </c>
      <c r="G1347" s="4">
        <v>400554.02532094595</v>
      </c>
      <c r="H1347" s="19">
        <v>0.73300168768960594</v>
      </c>
      <c r="J1347" s="1" t="s">
        <v>80</v>
      </c>
    </row>
    <row r="1348" spans="1:10" x14ac:dyDescent="0.25">
      <c r="A1348" s="1" t="s">
        <v>40</v>
      </c>
      <c r="B1348" s="1" t="s">
        <v>11</v>
      </c>
      <c r="C1348" s="1" t="s">
        <v>29</v>
      </c>
      <c r="D1348" s="4">
        <v>67485</v>
      </c>
      <c r="E1348" s="4">
        <v>344955</v>
      </c>
      <c r="F1348" s="4">
        <v>14000</v>
      </c>
      <c r="G1348" s="4">
        <v>289000</v>
      </c>
      <c r="H1348" s="19">
        <v>3.820357142857143</v>
      </c>
      <c r="J1348" s="1" t="s">
        <v>80</v>
      </c>
    </row>
    <row r="1349" spans="1:10" x14ac:dyDescent="0.25">
      <c r="A1349" s="1" t="s">
        <v>40</v>
      </c>
      <c r="B1349" s="1" t="s">
        <v>11</v>
      </c>
      <c r="C1349" s="1" t="s">
        <v>30</v>
      </c>
      <c r="D1349" s="4">
        <v>65</v>
      </c>
      <c r="E1349" s="4">
        <v>521</v>
      </c>
      <c r="F1349" s="4">
        <v>73</v>
      </c>
      <c r="G1349" s="4">
        <v>584</v>
      </c>
      <c r="H1349" s="19">
        <v>-0.1095890410958904</v>
      </c>
      <c r="J1349" s="1" t="s">
        <v>80</v>
      </c>
    </row>
    <row r="1350" spans="1:10" x14ac:dyDescent="0.25">
      <c r="A1350" s="1" t="s">
        <v>40</v>
      </c>
      <c r="B1350" s="1" t="s">
        <v>11</v>
      </c>
      <c r="C1350" s="1" t="s">
        <v>31</v>
      </c>
      <c r="D1350" s="4">
        <v>278.90791999999965</v>
      </c>
      <c r="E1350" s="4">
        <v>1416.9882199999997</v>
      </c>
      <c r="F1350" s="4">
        <v>399.93078953184568</v>
      </c>
      <c r="G1350" s="4">
        <v>2476.1235061673624</v>
      </c>
      <c r="H1350" s="19">
        <v>-0.30260953319826661</v>
      </c>
      <c r="J1350" s="1" t="s">
        <v>80</v>
      </c>
    </row>
    <row r="1351" spans="1:10" x14ac:dyDescent="0.25">
      <c r="A1351" s="1" t="s">
        <v>40</v>
      </c>
      <c r="B1351" s="1" t="s">
        <v>11</v>
      </c>
      <c r="C1351" s="1" t="s">
        <v>32</v>
      </c>
      <c r="D1351" s="4">
        <v>-583.98888009101154</v>
      </c>
      <c r="E1351" s="4">
        <v>-9174.6182599999993</v>
      </c>
      <c r="F1351" s="4">
        <v>295.32183379033495</v>
      </c>
      <c r="G1351" s="4">
        <v>-1906.6074906128638</v>
      </c>
      <c r="H1351" s="19">
        <v>-2.9774659820974057</v>
      </c>
      <c r="J1351" s="1" t="s">
        <v>80</v>
      </c>
    </row>
    <row r="1352" spans="1:10" x14ac:dyDescent="0.25">
      <c r="A1352" s="1" t="s">
        <v>41</v>
      </c>
      <c r="B1352" s="1" t="s">
        <v>15</v>
      </c>
      <c r="C1352" s="1" t="s">
        <v>63</v>
      </c>
      <c r="D1352" s="4">
        <v>6500.2048400000058</v>
      </c>
      <c r="E1352" s="4">
        <v>3978.3833200000081</v>
      </c>
      <c r="F1352" s="4">
        <v>2986.0037593984976</v>
      </c>
      <c r="G1352" s="4">
        <v>66260.898796992493</v>
      </c>
      <c r="H1352" s="19">
        <v>1.1768910436031772</v>
      </c>
      <c r="J1352" s="1" t="s">
        <v>80</v>
      </c>
    </row>
    <row r="1353" spans="1:10" x14ac:dyDescent="0.25">
      <c r="A1353" s="1" t="s">
        <v>41</v>
      </c>
      <c r="B1353" s="1" t="s">
        <v>15</v>
      </c>
      <c r="C1353" s="1" t="s">
        <v>26</v>
      </c>
      <c r="E1353" s="4">
        <v>44263.251540000005</v>
      </c>
      <c r="G1353" s="4">
        <v>64490.083046390966</v>
      </c>
      <c r="H1353" s="19">
        <v>0</v>
      </c>
      <c r="J1353" s="1" t="s">
        <v>80</v>
      </c>
    </row>
    <row r="1354" spans="1:10" x14ac:dyDescent="0.25">
      <c r="A1354" s="1" t="s">
        <v>41</v>
      </c>
      <c r="B1354" s="1" t="s">
        <v>15</v>
      </c>
      <c r="C1354" s="1" t="s">
        <v>27</v>
      </c>
      <c r="D1354" s="4">
        <v>0</v>
      </c>
      <c r="E1354" s="4">
        <v>101560.37172</v>
      </c>
      <c r="G1354" s="4">
        <v>95864.794467922256</v>
      </c>
      <c r="H1354" s="19">
        <v>0</v>
      </c>
      <c r="J1354" s="1" t="s">
        <v>80</v>
      </c>
    </row>
    <row r="1355" spans="1:10" x14ac:dyDescent="0.25">
      <c r="A1355" s="1" t="s">
        <v>41</v>
      </c>
      <c r="B1355" s="1" t="s">
        <v>15</v>
      </c>
      <c r="C1355" s="1" t="s">
        <v>21</v>
      </c>
      <c r="D1355" s="4">
        <v>6877.2950000000001</v>
      </c>
      <c r="E1355" s="4">
        <v>14180.404850000001</v>
      </c>
      <c r="F1355" s="4">
        <v>5348.7727218045111</v>
      </c>
      <c r="G1355" s="4">
        <v>75907.463609022554</v>
      </c>
      <c r="H1355" s="19">
        <v>0.28577065388559131</v>
      </c>
      <c r="J1355" s="1" t="s">
        <v>80</v>
      </c>
    </row>
    <row r="1356" spans="1:10" x14ac:dyDescent="0.25">
      <c r="A1356" s="1" t="s">
        <v>41</v>
      </c>
      <c r="B1356" s="1" t="s">
        <v>15</v>
      </c>
      <c r="C1356" s="1" t="s">
        <v>28</v>
      </c>
      <c r="D1356" s="4">
        <v>26000</v>
      </c>
      <c r="E1356" s="4">
        <v>67000</v>
      </c>
      <c r="F1356" s="4">
        <v>62110.805064189197</v>
      </c>
      <c r="G1356" s="4">
        <v>346554.02532094595</v>
      </c>
      <c r="H1356" s="19">
        <v>-0.58139328619022135</v>
      </c>
      <c r="J1356" s="1" t="s">
        <v>80</v>
      </c>
    </row>
    <row r="1357" spans="1:10" x14ac:dyDescent="0.25">
      <c r="A1357" s="1" t="s">
        <v>41</v>
      </c>
      <c r="B1357" s="1" t="s">
        <v>15</v>
      </c>
      <c r="C1357" s="1" t="s">
        <v>29</v>
      </c>
      <c r="D1357" s="4">
        <v>2438</v>
      </c>
      <c r="E1357" s="4">
        <v>2438</v>
      </c>
      <c r="F1357" s="4">
        <v>14000</v>
      </c>
      <c r="G1357" s="4">
        <v>73000</v>
      </c>
      <c r="H1357" s="19">
        <v>-0.82585714285714285</v>
      </c>
      <c r="J1357" s="1" t="s">
        <v>80</v>
      </c>
    </row>
    <row r="1358" spans="1:10" x14ac:dyDescent="0.25">
      <c r="A1358" s="1" t="s">
        <v>41</v>
      </c>
      <c r="B1358" s="1" t="s">
        <v>15</v>
      </c>
      <c r="C1358" s="1" t="s">
        <v>30</v>
      </c>
      <c r="D1358" s="4">
        <v>25</v>
      </c>
      <c r="E1358" s="4">
        <v>183</v>
      </c>
      <c r="F1358" s="4">
        <v>66</v>
      </c>
      <c r="G1358" s="4">
        <v>528</v>
      </c>
      <c r="H1358" s="19">
        <v>-0.62121212121212122</v>
      </c>
      <c r="J1358" s="1" t="s">
        <v>80</v>
      </c>
    </row>
    <row r="1359" spans="1:10" x14ac:dyDescent="0.25">
      <c r="A1359" s="1" t="s">
        <v>41</v>
      </c>
      <c r="B1359" s="1" t="s">
        <v>15</v>
      </c>
      <c r="C1359" s="1" t="s">
        <v>31</v>
      </c>
      <c r="D1359" s="4">
        <v>269.37171000000001</v>
      </c>
      <c r="E1359" s="4">
        <v>826.78126000000009</v>
      </c>
      <c r="F1359" s="4">
        <v>416.41564005413056</v>
      </c>
      <c r="G1359" s="4">
        <v>2267.6128253706156</v>
      </c>
      <c r="H1359" s="19">
        <v>-0.35311817307105964</v>
      </c>
      <c r="J1359" s="1" t="s">
        <v>80</v>
      </c>
    </row>
    <row r="1360" spans="1:10" x14ac:dyDescent="0.25">
      <c r="A1360" s="1" t="s">
        <v>41</v>
      </c>
      <c r="B1360" s="1" t="s">
        <v>15</v>
      </c>
      <c r="C1360" s="1" t="s">
        <v>32</v>
      </c>
      <c r="D1360" s="4">
        <v>-820.75467189255448</v>
      </c>
      <c r="E1360" s="4">
        <v>-6263.4783199999956</v>
      </c>
      <c r="F1360" s="4">
        <v>642.59127024997224</v>
      </c>
      <c r="G1360" s="4">
        <v>542.92360134224134</v>
      </c>
      <c r="H1360" s="19">
        <v>-2.2772577373690055</v>
      </c>
      <c r="J1360" s="1" t="s">
        <v>80</v>
      </c>
    </row>
    <row r="1361" spans="1:10" x14ac:dyDescent="0.25">
      <c r="A1361" s="1" t="s">
        <v>42</v>
      </c>
      <c r="B1361" s="1" t="s">
        <v>12</v>
      </c>
      <c r="C1361" s="1" t="s">
        <v>63</v>
      </c>
      <c r="D1361" s="4">
        <v>-326.01374999999825</v>
      </c>
      <c r="E1361" s="4">
        <v>4116.5093600000146</v>
      </c>
      <c r="F1361" s="4">
        <v>4554.5513784461173</v>
      </c>
      <c r="G1361" s="4">
        <v>95769.076892230631</v>
      </c>
      <c r="H1361" s="19">
        <v>-1.071579772168741</v>
      </c>
      <c r="J1361" s="1" t="s">
        <v>80</v>
      </c>
    </row>
    <row r="1362" spans="1:10" x14ac:dyDescent="0.25">
      <c r="A1362" s="1" t="s">
        <v>42</v>
      </c>
      <c r="B1362" s="1" t="s">
        <v>12</v>
      </c>
      <c r="C1362" s="1" t="s">
        <v>26</v>
      </c>
      <c r="E1362" s="4">
        <v>26996.22868</v>
      </c>
      <c r="G1362" s="4">
        <v>51631.42450067668</v>
      </c>
      <c r="H1362" s="19">
        <v>0</v>
      </c>
      <c r="J1362" s="1" t="s">
        <v>80</v>
      </c>
    </row>
    <row r="1363" spans="1:10" x14ac:dyDescent="0.25">
      <c r="A1363" s="1" t="s">
        <v>42</v>
      </c>
      <c r="B1363" s="1" t="s">
        <v>12</v>
      </c>
      <c r="C1363" s="1" t="s">
        <v>27</v>
      </c>
      <c r="D1363" s="4">
        <v>0</v>
      </c>
      <c r="E1363" s="4">
        <v>110282.84515934787</v>
      </c>
      <c r="G1363" s="4">
        <v>106338.4422856178</v>
      </c>
      <c r="H1363" s="19">
        <v>0</v>
      </c>
      <c r="J1363" s="1" t="s">
        <v>80</v>
      </c>
    </row>
    <row r="1364" spans="1:10" x14ac:dyDescent="0.25">
      <c r="A1364" s="1" t="s">
        <v>42</v>
      </c>
      <c r="B1364" s="1" t="s">
        <v>12</v>
      </c>
      <c r="C1364" s="1" t="s">
        <v>21</v>
      </c>
      <c r="D1364" s="4">
        <v>1047.5999999999999</v>
      </c>
      <c r="E1364" s="4">
        <v>17052.72652</v>
      </c>
      <c r="F1364" s="4">
        <v>8158.4827535505428</v>
      </c>
      <c r="G1364" s="4">
        <v>117037.81376775273</v>
      </c>
      <c r="H1364" s="19">
        <v>-0.87159377158159845</v>
      </c>
      <c r="J1364" s="1" t="s">
        <v>80</v>
      </c>
    </row>
    <row r="1365" spans="1:10" x14ac:dyDescent="0.25">
      <c r="A1365" s="1" t="s">
        <v>42</v>
      </c>
      <c r="B1365" s="1" t="s">
        <v>12</v>
      </c>
      <c r="C1365" s="1" t="s">
        <v>28</v>
      </c>
      <c r="D1365" s="4">
        <v>8000</v>
      </c>
      <c r="E1365" s="4">
        <v>49000</v>
      </c>
      <c r="F1365" s="4">
        <v>124221.61012837839</v>
      </c>
      <c r="G1365" s="4">
        <v>882108.0506418919</v>
      </c>
      <c r="H1365" s="19">
        <v>-0.93559896710618784</v>
      </c>
      <c r="J1365" s="1" t="s">
        <v>80</v>
      </c>
    </row>
    <row r="1366" spans="1:10" x14ac:dyDescent="0.25">
      <c r="A1366" s="1" t="s">
        <v>42</v>
      </c>
      <c r="B1366" s="1" t="s">
        <v>12</v>
      </c>
      <c r="C1366" s="1" t="s">
        <v>29</v>
      </c>
      <c r="D1366" s="4">
        <v>1875</v>
      </c>
      <c r="E1366" s="4">
        <v>30387</v>
      </c>
      <c r="F1366" s="4">
        <v>28000</v>
      </c>
      <c r="G1366" s="4">
        <v>143000</v>
      </c>
      <c r="H1366" s="19">
        <v>-0.9330357142857143</v>
      </c>
      <c r="J1366" s="1" t="s">
        <v>80</v>
      </c>
    </row>
    <row r="1367" spans="1:10" x14ac:dyDescent="0.25">
      <c r="A1367" s="1" t="s">
        <v>42</v>
      </c>
      <c r="B1367" s="1" t="s">
        <v>12</v>
      </c>
      <c r="C1367" s="1" t="s">
        <v>30</v>
      </c>
      <c r="D1367" s="4">
        <v>23</v>
      </c>
      <c r="E1367" s="4">
        <v>153</v>
      </c>
      <c r="F1367" s="4">
        <v>101</v>
      </c>
      <c r="G1367" s="4">
        <v>808</v>
      </c>
      <c r="H1367" s="19">
        <v>-0.7722772277227723</v>
      </c>
      <c r="J1367" s="1" t="s">
        <v>80</v>
      </c>
    </row>
    <row r="1368" spans="1:10" x14ac:dyDescent="0.25">
      <c r="A1368" s="1" t="s">
        <v>42</v>
      </c>
      <c r="B1368" s="1" t="s">
        <v>12</v>
      </c>
      <c r="C1368" s="1" t="s">
        <v>31</v>
      </c>
      <c r="D1368" s="4">
        <v>67.522709999999961</v>
      </c>
      <c r="E1368" s="4">
        <v>813.39351999999997</v>
      </c>
      <c r="F1368" s="4">
        <v>431.48602859983157</v>
      </c>
      <c r="G1368" s="4">
        <v>2575.2361866406468</v>
      </c>
      <c r="H1368" s="19">
        <v>-0.84351124828048185</v>
      </c>
      <c r="J1368" s="1" t="s">
        <v>80</v>
      </c>
    </row>
    <row r="1369" spans="1:10" x14ac:dyDescent="0.25">
      <c r="A1369" s="1" t="s">
        <v>42</v>
      </c>
      <c r="B1369" s="1" t="s">
        <v>12</v>
      </c>
      <c r="C1369" s="1" t="s">
        <v>32</v>
      </c>
      <c r="D1369" s="4">
        <v>1281.804213740131</v>
      </c>
      <c r="E1369" s="4">
        <v>-400.85772000000554</v>
      </c>
      <c r="F1369" s="4">
        <v>729.15842528493931</v>
      </c>
      <c r="G1369" s="4">
        <v>4371.3789136373898</v>
      </c>
      <c r="H1369" s="19">
        <v>0.75792279056397061</v>
      </c>
      <c r="J1369" s="1" t="s">
        <v>80</v>
      </c>
    </row>
    <row r="1370" spans="1:10" x14ac:dyDescent="0.25">
      <c r="A1370" s="1" t="s">
        <v>43</v>
      </c>
      <c r="B1370" s="1" t="s">
        <v>22</v>
      </c>
      <c r="C1370" s="1" t="s">
        <v>63</v>
      </c>
      <c r="D1370" s="4">
        <v>-3466.5494199999957</v>
      </c>
      <c r="E1370" s="4">
        <v>1844.4675199999474</v>
      </c>
      <c r="F1370" s="4">
        <v>8734.8787593984907</v>
      </c>
      <c r="G1370" s="4">
        <v>143339.83379699243</v>
      </c>
      <c r="H1370" s="19">
        <v>-1.3968629119517066</v>
      </c>
      <c r="J1370" s="1" t="s">
        <v>80</v>
      </c>
    </row>
    <row r="1371" spans="1:10" x14ac:dyDescent="0.25">
      <c r="A1371" s="1" t="s">
        <v>43</v>
      </c>
      <c r="B1371" s="1" t="s">
        <v>22</v>
      </c>
      <c r="C1371" s="1" t="s">
        <v>26</v>
      </c>
      <c r="E1371" s="4">
        <v>144158.0594</v>
      </c>
      <c r="G1371" s="4">
        <v>207908.66083639103</v>
      </c>
      <c r="H1371" s="19">
        <v>0</v>
      </c>
      <c r="J1371" s="1" t="s">
        <v>80</v>
      </c>
    </row>
    <row r="1372" spans="1:10" x14ac:dyDescent="0.25">
      <c r="A1372" s="1" t="s">
        <v>43</v>
      </c>
      <c r="B1372" s="1" t="s">
        <v>22</v>
      </c>
      <c r="C1372" s="1" t="s">
        <v>27</v>
      </c>
      <c r="D1372" s="4">
        <v>0</v>
      </c>
      <c r="E1372" s="4">
        <v>260566.99004</v>
      </c>
      <c r="G1372" s="4">
        <v>222248.10914227154</v>
      </c>
      <c r="H1372" s="19">
        <v>0</v>
      </c>
      <c r="J1372" s="1" t="s">
        <v>80</v>
      </c>
    </row>
    <row r="1373" spans="1:10" x14ac:dyDescent="0.25">
      <c r="A1373" s="1" t="s">
        <v>43</v>
      </c>
      <c r="B1373" s="1" t="s">
        <v>22</v>
      </c>
      <c r="C1373" s="1" t="s">
        <v>21</v>
      </c>
      <c r="D1373" s="4">
        <v>1725.7429999999999</v>
      </c>
      <c r="E1373" s="4">
        <v>23731.335359999994</v>
      </c>
      <c r="F1373" s="4">
        <v>10575.010092174882</v>
      </c>
      <c r="G1373" s="4">
        <v>162456.85046087438</v>
      </c>
      <c r="H1373" s="19">
        <v>-0.8368093283166711</v>
      </c>
      <c r="J1373" s="1" t="s">
        <v>80</v>
      </c>
    </row>
    <row r="1374" spans="1:10" x14ac:dyDescent="0.25">
      <c r="A1374" s="1" t="s">
        <v>43</v>
      </c>
      <c r="B1374" s="1" t="s">
        <v>22</v>
      </c>
      <c r="C1374" s="1" t="s">
        <v>28</v>
      </c>
      <c r="D1374" s="4">
        <v>963998.36</v>
      </c>
      <c r="E1374" s="4">
        <v>6004736.0500000007</v>
      </c>
      <c r="F1374" s="4">
        <v>1608965.6169009011</v>
      </c>
      <c r="G1374" s="4">
        <v>12607828.084504504</v>
      </c>
      <c r="H1374" s="19">
        <v>-0.40085832172299657</v>
      </c>
      <c r="J1374" s="1" t="s">
        <v>80</v>
      </c>
    </row>
    <row r="1375" spans="1:10" x14ac:dyDescent="0.25">
      <c r="A1375" s="1" t="s">
        <v>43</v>
      </c>
      <c r="B1375" s="1" t="s">
        <v>22</v>
      </c>
      <c r="C1375" s="1" t="s">
        <v>29</v>
      </c>
      <c r="D1375" s="4">
        <v>54151</v>
      </c>
      <c r="E1375" s="4">
        <v>406038</v>
      </c>
      <c r="F1375" s="4">
        <v>97666</v>
      </c>
      <c r="G1375" s="4">
        <v>749330</v>
      </c>
      <c r="H1375" s="19">
        <v>-0.44554911637622102</v>
      </c>
      <c r="J1375" s="1" t="s">
        <v>80</v>
      </c>
    </row>
    <row r="1376" spans="1:10" x14ac:dyDescent="0.25">
      <c r="A1376" s="1" t="s">
        <v>43</v>
      </c>
      <c r="B1376" s="1" t="s">
        <v>22</v>
      </c>
      <c r="C1376" s="1" t="s">
        <v>30</v>
      </c>
      <c r="D1376" s="4">
        <v>17</v>
      </c>
      <c r="E1376" s="4">
        <v>281</v>
      </c>
      <c r="F1376" s="4">
        <v>68</v>
      </c>
      <c r="G1376" s="4">
        <v>544</v>
      </c>
      <c r="H1376" s="19">
        <v>-0.75</v>
      </c>
      <c r="J1376" s="1" t="s">
        <v>80</v>
      </c>
    </row>
    <row r="1377" spans="1:10" x14ac:dyDescent="0.25">
      <c r="A1377" s="1" t="s">
        <v>43</v>
      </c>
      <c r="B1377" s="1" t="s">
        <v>22</v>
      </c>
      <c r="C1377" s="1" t="s">
        <v>31</v>
      </c>
      <c r="D1377" s="4">
        <v>1152.1150899999984</v>
      </c>
      <c r="E1377" s="4">
        <v>7649.6933300000001</v>
      </c>
      <c r="F1377" s="4">
        <v>2237.2430358688471</v>
      </c>
      <c r="G1377" s="4">
        <v>16267.417856876502</v>
      </c>
      <c r="H1377" s="19">
        <v>-0.48502908645659615</v>
      </c>
      <c r="J1377" s="1" t="s">
        <v>80</v>
      </c>
    </row>
    <row r="1378" spans="1:10" x14ac:dyDescent="0.25">
      <c r="A1378" s="1" t="s">
        <v>43</v>
      </c>
      <c r="B1378" s="1" t="s">
        <v>22</v>
      </c>
      <c r="C1378" s="1" t="s">
        <v>32</v>
      </c>
      <c r="D1378" s="4">
        <v>-558.19449236131459</v>
      </c>
      <c r="E1378" s="4">
        <v>4980.0660400000133</v>
      </c>
      <c r="F1378" s="4">
        <v>4150.0920129429287</v>
      </c>
      <c r="G1378" s="4">
        <v>25244.045797266717</v>
      </c>
      <c r="H1378" s="19">
        <v>-1.1345017148102905</v>
      </c>
      <c r="J1378" s="1" t="s">
        <v>80</v>
      </c>
    </row>
    <row r="1379" spans="1:10" x14ac:dyDescent="0.25">
      <c r="A1379" s="1" t="s">
        <v>44</v>
      </c>
      <c r="B1379" s="1" t="s">
        <v>0</v>
      </c>
      <c r="C1379" s="1" t="s">
        <v>63</v>
      </c>
      <c r="D1379" s="4">
        <v>857.39939000000595</v>
      </c>
      <c r="E1379" s="4">
        <v>5279.2813400000014</v>
      </c>
      <c r="F1379" s="4">
        <v>5601.4829260651622</v>
      </c>
      <c r="G1379" s="4">
        <v>95272.854630325819</v>
      </c>
      <c r="H1379" s="19">
        <v>-0.84693349933991535</v>
      </c>
      <c r="J1379" s="1" t="s">
        <v>80</v>
      </c>
    </row>
    <row r="1380" spans="1:10" x14ac:dyDescent="0.25">
      <c r="A1380" s="1" t="s">
        <v>44</v>
      </c>
      <c r="B1380" s="1" t="s">
        <v>0</v>
      </c>
      <c r="C1380" s="1" t="s">
        <v>26</v>
      </c>
      <c r="E1380" s="4">
        <v>83224.405250000011</v>
      </c>
      <c r="G1380" s="4">
        <v>103514.57635639097</v>
      </c>
      <c r="H1380" s="19">
        <v>0</v>
      </c>
      <c r="J1380" s="1" t="s">
        <v>80</v>
      </c>
    </row>
    <row r="1381" spans="1:10" x14ac:dyDescent="0.25">
      <c r="A1381" s="1" t="s">
        <v>44</v>
      </c>
      <c r="B1381" s="1" t="s">
        <v>0</v>
      </c>
      <c r="C1381" s="1" t="s">
        <v>27</v>
      </c>
      <c r="D1381" s="4">
        <v>0</v>
      </c>
      <c r="E1381" s="4">
        <v>173373.01925000001</v>
      </c>
      <c r="G1381" s="4">
        <v>165930.08053555255</v>
      </c>
      <c r="H1381" s="19">
        <v>0</v>
      </c>
      <c r="J1381" s="1" t="s">
        <v>80</v>
      </c>
    </row>
    <row r="1382" spans="1:10" x14ac:dyDescent="0.25">
      <c r="A1382" s="1" t="s">
        <v>44</v>
      </c>
      <c r="B1382" s="1" t="s">
        <v>0</v>
      </c>
      <c r="C1382" s="1" t="s">
        <v>21</v>
      </c>
      <c r="D1382" s="4">
        <v>2813.80285</v>
      </c>
      <c r="E1382" s="4">
        <v>18394.72795</v>
      </c>
      <c r="F1382" s="4">
        <v>11147.112999582288</v>
      </c>
      <c r="G1382" s="4">
        <v>124817.36499791143</v>
      </c>
      <c r="H1382" s="19">
        <v>-0.74757564132475907</v>
      </c>
      <c r="J1382" s="1" t="s">
        <v>80</v>
      </c>
    </row>
    <row r="1383" spans="1:10" x14ac:dyDescent="0.25">
      <c r="A1383" s="1" t="s">
        <v>44</v>
      </c>
      <c r="B1383" s="1" t="s">
        <v>0</v>
      </c>
      <c r="C1383" s="1" t="s">
        <v>28</v>
      </c>
      <c r="D1383" s="4">
        <v>110700.87</v>
      </c>
      <c r="E1383" s="4">
        <v>444878.18</v>
      </c>
      <c r="F1383" s="4">
        <v>124221.61012837839</v>
      </c>
      <c r="G1383" s="4">
        <v>1092108.050641892</v>
      </c>
      <c r="H1383" s="19">
        <v>-0.10884370371954782</v>
      </c>
      <c r="J1383" s="1" t="s">
        <v>80</v>
      </c>
    </row>
    <row r="1384" spans="1:10" x14ac:dyDescent="0.25">
      <c r="A1384" s="1" t="s">
        <v>44</v>
      </c>
      <c r="B1384" s="1" t="s">
        <v>0</v>
      </c>
      <c r="C1384" s="1" t="s">
        <v>29</v>
      </c>
      <c r="D1384" s="4">
        <v>2644</v>
      </c>
      <c r="E1384" s="4">
        <v>336532</v>
      </c>
      <c r="F1384" s="4">
        <v>28000</v>
      </c>
      <c r="G1384" s="4">
        <v>242000</v>
      </c>
      <c r="H1384" s="19">
        <v>-0.90557142857142858</v>
      </c>
      <c r="J1384" s="1" t="s">
        <v>80</v>
      </c>
    </row>
    <row r="1385" spans="1:10" x14ac:dyDescent="0.25">
      <c r="A1385" s="1" t="s">
        <v>44</v>
      </c>
      <c r="B1385" s="1" t="s">
        <v>0</v>
      </c>
      <c r="C1385" s="1" t="s">
        <v>30</v>
      </c>
      <c r="D1385" s="4">
        <v>37</v>
      </c>
      <c r="E1385" s="4">
        <v>386</v>
      </c>
      <c r="F1385" s="4">
        <v>66</v>
      </c>
      <c r="G1385" s="4">
        <v>528</v>
      </c>
      <c r="H1385" s="19">
        <v>-0.43939393939393939</v>
      </c>
      <c r="J1385" s="1" t="s">
        <v>80</v>
      </c>
    </row>
    <row r="1386" spans="1:10" x14ac:dyDescent="0.25">
      <c r="A1386" s="1" t="s">
        <v>44</v>
      </c>
      <c r="B1386" s="1" t="s">
        <v>0</v>
      </c>
      <c r="C1386" s="1" t="s">
        <v>31</v>
      </c>
      <c r="D1386" s="4">
        <v>302.70795999999973</v>
      </c>
      <c r="E1386" s="4">
        <v>1727.48875</v>
      </c>
      <c r="F1386" s="4">
        <v>776.73681717020327</v>
      </c>
      <c r="G1386" s="4">
        <v>4566.2160330515135</v>
      </c>
      <c r="H1386" s="19">
        <v>-0.61028246207921344</v>
      </c>
      <c r="J1386" s="1" t="s">
        <v>80</v>
      </c>
    </row>
    <row r="1387" spans="1:10" x14ac:dyDescent="0.25">
      <c r="A1387" s="1" t="s">
        <v>44</v>
      </c>
      <c r="B1387" s="1" t="s">
        <v>0</v>
      </c>
      <c r="C1387" s="1" t="s">
        <v>32</v>
      </c>
      <c r="D1387" s="4">
        <v>599.27730079040441</v>
      </c>
      <c r="E1387" s="4">
        <v>3426.5667799999965</v>
      </c>
      <c r="F1387" s="4">
        <v>1494.7940783632366</v>
      </c>
      <c r="G1387" s="4">
        <v>12366.661245241477</v>
      </c>
      <c r="H1387" s="19">
        <v>-0.59909039682134779</v>
      </c>
      <c r="J1387" s="1" t="s">
        <v>80</v>
      </c>
    </row>
    <row r="1388" spans="1:10" x14ac:dyDescent="0.25">
      <c r="A1388" s="1" t="s">
        <v>45</v>
      </c>
      <c r="B1388" s="1" t="s">
        <v>9</v>
      </c>
      <c r="C1388" s="1" t="s">
        <v>63</v>
      </c>
      <c r="D1388" s="4">
        <v>-884.65073999998276</v>
      </c>
      <c r="E1388" s="4">
        <v>-27706.567089999939</v>
      </c>
      <c r="F1388" s="4">
        <v>2789.9353070175348</v>
      </c>
      <c r="G1388" s="4">
        <v>92480.556535087613</v>
      </c>
      <c r="H1388" s="19">
        <v>-1.317086470705904</v>
      </c>
      <c r="J1388" s="1" t="s">
        <v>80</v>
      </c>
    </row>
    <row r="1389" spans="1:10" x14ac:dyDescent="0.25">
      <c r="A1389" s="1" t="s">
        <v>45</v>
      </c>
      <c r="B1389" s="1" t="s">
        <v>9</v>
      </c>
      <c r="C1389" s="1" t="s">
        <v>26</v>
      </c>
      <c r="E1389" s="4">
        <v>167382.84175000002</v>
      </c>
      <c r="G1389" s="4">
        <v>219517.31376210519</v>
      </c>
      <c r="H1389" s="19">
        <v>0</v>
      </c>
      <c r="J1389" s="1" t="s">
        <v>80</v>
      </c>
    </row>
    <row r="1390" spans="1:10" x14ac:dyDescent="0.25">
      <c r="A1390" s="1" t="s">
        <v>45</v>
      </c>
      <c r="B1390" s="1" t="s">
        <v>9</v>
      </c>
      <c r="C1390" s="1" t="s">
        <v>27</v>
      </c>
      <c r="D1390" s="4">
        <v>0</v>
      </c>
      <c r="E1390" s="4">
        <v>120667.94548999998</v>
      </c>
      <c r="G1390" s="4">
        <v>137662.81141692499</v>
      </c>
      <c r="H1390" s="19">
        <v>0</v>
      </c>
      <c r="J1390" s="1" t="s">
        <v>80</v>
      </c>
    </row>
    <row r="1391" spans="1:10" x14ac:dyDescent="0.25">
      <c r="A1391" s="1" t="s">
        <v>45</v>
      </c>
      <c r="B1391" s="1" t="s">
        <v>9</v>
      </c>
      <c r="C1391" s="1" t="s">
        <v>21</v>
      </c>
      <c r="D1391" s="4">
        <v>440.6</v>
      </c>
      <c r="E1391" s="4">
        <v>14697.28211</v>
      </c>
      <c r="F1391" s="4">
        <v>4997.5589678362567</v>
      </c>
      <c r="G1391" s="4">
        <v>108151.3948391813</v>
      </c>
      <c r="H1391" s="19">
        <v>-0.91183695823587996</v>
      </c>
      <c r="J1391" s="1" t="s">
        <v>80</v>
      </c>
    </row>
    <row r="1392" spans="1:10" x14ac:dyDescent="0.25">
      <c r="A1392" s="1" t="s">
        <v>45</v>
      </c>
      <c r="B1392" s="1" t="s">
        <v>9</v>
      </c>
      <c r="C1392" s="1" t="s">
        <v>28</v>
      </c>
      <c r="D1392" s="4">
        <v>28000</v>
      </c>
      <c r="E1392" s="4">
        <v>275792</v>
      </c>
      <c r="F1392" s="4">
        <v>62110.805064189197</v>
      </c>
      <c r="G1392" s="4">
        <v>1090554.0253209462</v>
      </c>
      <c r="H1392" s="19">
        <v>-0.54919276974331521</v>
      </c>
      <c r="J1392" s="1" t="s">
        <v>80</v>
      </c>
    </row>
    <row r="1393" spans="1:10" x14ac:dyDescent="0.25">
      <c r="A1393" s="1" t="s">
        <v>45</v>
      </c>
      <c r="B1393" s="1" t="s">
        <v>9</v>
      </c>
      <c r="C1393" s="1" t="s">
        <v>29</v>
      </c>
      <c r="D1393" s="4">
        <v>3625</v>
      </c>
      <c r="E1393" s="4">
        <v>9041</v>
      </c>
      <c r="F1393" s="4">
        <v>14000</v>
      </c>
      <c r="G1393" s="4">
        <v>124000</v>
      </c>
      <c r="H1393" s="19">
        <v>-0.7410714285714286</v>
      </c>
      <c r="J1393" s="1" t="s">
        <v>80</v>
      </c>
    </row>
    <row r="1394" spans="1:10" x14ac:dyDescent="0.25">
      <c r="A1394" s="1" t="s">
        <v>45</v>
      </c>
      <c r="B1394" s="1" t="s">
        <v>9</v>
      </c>
      <c r="C1394" s="1" t="s">
        <v>30</v>
      </c>
      <c r="D1394" s="4">
        <v>9</v>
      </c>
      <c r="E1394" s="4">
        <v>175</v>
      </c>
      <c r="F1394" s="4">
        <v>76</v>
      </c>
      <c r="G1394" s="4">
        <v>608</v>
      </c>
      <c r="H1394" s="19">
        <v>-0.88157894736842102</v>
      </c>
      <c r="J1394" s="1" t="s">
        <v>80</v>
      </c>
    </row>
    <row r="1395" spans="1:10" x14ac:dyDescent="0.25">
      <c r="A1395" s="1" t="s">
        <v>45</v>
      </c>
      <c r="B1395" s="1" t="s">
        <v>9</v>
      </c>
      <c r="C1395" s="1" t="s">
        <v>31</v>
      </c>
      <c r="D1395" s="4">
        <v>121.16863999999987</v>
      </c>
      <c r="E1395" s="4">
        <v>1407.03757</v>
      </c>
      <c r="F1395" s="4">
        <v>396.26032414769043</v>
      </c>
      <c r="G1395" s="4">
        <v>2549.1511458580489</v>
      </c>
      <c r="H1395" s="19">
        <v>-0.69421960106498315</v>
      </c>
      <c r="J1395" s="1" t="s">
        <v>80</v>
      </c>
    </row>
    <row r="1396" spans="1:10" x14ac:dyDescent="0.25">
      <c r="A1396" s="1" t="s">
        <v>45</v>
      </c>
      <c r="B1396" s="1" t="s">
        <v>9</v>
      </c>
      <c r="C1396" s="1" t="s">
        <v>32</v>
      </c>
      <c r="D1396" s="4">
        <v>-1092.0473353149118</v>
      </c>
      <c r="E1396" s="4">
        <v>-5304.3594799999983</v>
      </c>
      <c r="F1396" s="4">
        <v>312.09764311868543</v>
      </c>
      <c r="G1396" s="4">
        <v>-488.54379787326576</v>
      </c>
      <c r="H1396" s="19">
        <v>-4.499056655482736</v>
      </c>
      <c r="J1396" s="1" t="s">
        <v>80</v>
      </c>
    </row>
    <row r="1397" spans="1:10" x14ac:dyDescent="0.25">
      <c r="A1397" s="1" t="s">
        <v>46</v>
      </c>
      <c r="B1397" s="1" t="s">
        <v>2</v>
      </c>
      <c r="C1397" s="1" t="s">
        <v>63</v>
      </c>
      <c r="D1397" s="4">
        <v>-3076.8930200000759</v>
      </c>
      <c r="E1397" s="4">
        <v>16331.926089999964</v>
      </c>
      <c r="F1397" s="4">
        <v>6907.3728070175648</v>
      </c>
      <c r="G1397" s="4">
        <v>110733.18403508798</v>
      </c>
      <c r="H1397" s="19">
        <v>-1.4454505505876412</v>
      </c>
      <c r="J1397" s="1" t="s">
        <v>80</v>
      </c>
    </row>
    <row r="1398" spans="1:10" x14ac:dyDescent="0.25">
      <c r="A1398" s="1" t="s">
        <v>46</v>
      </c>
      <c r="B1398" s="1" t="s">
        <v>2</v>
      </c>
      <c r="C1398" s="1" t="s">
        <v>26</v>
      </c>
      <c r="E1398" s="4">
        <v>350927.51501999999</v>
      </c>
      <c r="G1398" s="4">
        <v>376103.91902210534</v>
      </c>
      <c r="H1398" s="19">
        <v>0</v>
      </c>
      <c r="J1398" s="1" t="s">
        <v>80</v>
      </c>
    </row>
    <row r="1399" spans="1:10" x14ac:dyDescent="0.25">
      <c r="A1399" s="1" t="s">
        <v>46</v>
      </c>
      <c r="B1399" s="1" t="s">
        <v>2</v>
      </c>
      <c r="C1399" s="1" t="s">
        <v>27</v>
      </c>
      <c r="D1399" s="4">
        <v>0</v>
      </c>
      <c r="E1399" s="4">
        <v>331758.0411610122</v>
      </c>
      <c r="G1399" s="4">
        <v>232201.11362279236</v>
      </c>
      <c r="H1399" s="19">
        <v>0</v>
      </c>
      <c r="J1399" s="1" t="s">
        <v>80</v>
      </c>
    </row>
    <row r="1400" spans="1:10" x14ac:dyDescent="0.25">
      <c r="A1400" s="1" t="s">
        <v>46</v>
      </c>
      <c r="B1400" s="1" t="s">
        <v>2</v>
      </c>
      <c r="C1400" s="1" t="s">
        <v>21</v>
      </c>
      <c r="D1400" s="4">
        <v>7526.68</v>
      </c>
      <c r="E1400" s="4">
        <v>35535.761599999998</v>
      </c>
      <c r="F1400" s="4">
        <v>12373.04780116959</v>
      </c>
      <c r="G1400" s="4">
        <v>142110.63900584797</v>
      </c>
      <c r="H1400" s="19">
        <v>-0.39168747094886969</v>
      </c>
      <c r="J1400" s="1" t="s">
        <v>80</v>
      </c>
    </row>
    <row r="1401" spans="1:10" x14ac:dyDescent="0.25">
      <c r="A1401" s="1" t="s">
        <v>46</v>
      </c>
      <c r="B1401" s="1" t="s">
        <v>2</v>
      </c>
      <c r="C1401" s="1" t="s">
        <v>28</v>
      </c>
      <c r="D1401" s="4">
        <v>114000</v>
      </c>
      <c r="E1401" s="4">
        <v>564107</v>
      </c>
      <c r="F1401" s="4">
        <v>248443.22025675679</v>
      </c>
      <c r="G1401" s="4">
        <v>1800216.1012837838</v>
      </c>
      <c r="H1401" s="19">
        <v>-0.54114264063158879</v>
      </c>
      <c r="J1401" s="1" t="s">
        <v>80</v>
      </c>
    </row>
    <row r="1402" spans="1:10" x14ac:dyDescent="0.25">
      <c r="A1402" s="1" t="s">
        <v>46</v>
      </c>
      <c r="B1402" s="1" t="s">
        <v>2</v>
      </c>
      <c r="C1402" s="1" t="s">
        <v>29</v>
      </c>
      <c r="D1402" s="4">
        <v>49071</v>
      </c>
      <c r="E1402" s="4">
        <v>505932</v>
      </c>
      <c r="F1402" s="4">
        <v>56000</v>
      </c>
      <c r="G1402" s="4">
        <v>514000</v>
      </c>
      <c r="H1402" s="19">
        <v>-0.12373214285714286</v>
      </c>
      <c r="J1402" s="1" t="s">
        <v>80</v>
      </c>
    </row>
    <row r="1403" spans="1:10" x14ac:dyDescent="0.25">
      <c r="A1403" s="1" t="s">
        <v>46</v>
      </c>
      <c r="B1403" s="1" t="s">
        <v>2</v>
      </c>
      <c r="C1403" s="1" t="s">
        <v>30</v>
      </c>
      <c r="D1403" s="4">
        <v>69</v>
      </c>
      <c r="E1403" s="4">
        <v>487</v>
      </c>
      <c r="F1403" s="4">
        <v>98</v>
      </c>
      <c r="G1403" s="4">
        <v>784</v>
      </c>
      <c r="H1403" s="19">
        <v>-0.29591836734693877</v>
      </c>
      <c r="J1403" s="1" t="s">
        <v>80</v>
      </c>
    </row>
    <row r="1404" spans="1:10" x14ac:dyDescent="0.25">
      <c r="A1404" s="1" t="s">
        <v>46</v>
      </c>
      <c r="B1404" s="1" t="s">
        <v>2</v>
      </c>
      <c r="C1404" s="1" t="s">
        <v>31</v>
      </c>
      <c r="D1404" s="4">
        <v>351.57211000000052</v>
      </c>
      <c r="E1404" s="4">
        <v>2480.6442900000006</v>
      </c>
      <c r="F1404" s="4">
        <v>841.65651031077232</v>
      </c>
      <c r="G1404" s="4">
        <v>5256.8961664532435</v>
      </c>
      <c r="H1404" s="19">
        <v>-0.58228552183338256</v>
      </c>
      <c r="J1404" s="1" t="s">
        <v>80</v>
      </c>
    </row>
    <row r="1405" spans="1:10" x14ac:dyDescent="0.25">
      <c r="A1405" s="1" t="s">
        <v>46</v>
      </c>
      <c r="B1405" s="1" t="s">
        <v>2</v>
      </c>
      <c r="C1405" s="1" t="s">
        <v>32</v>
      </c>
      <c r="D1405" s="4">
        <v>-1241.9474963421915</v>
      </c>
      <c r="E1405" s="4">
        <v>-8281.8788199999817</v>
      </c>
      <c r="F1405" s="4">
        <v>3025.1849889535324</v>
      </c>
      <c r="G1405" s="4">
        <v>10153.527616843961</v>
      </c>
      <c r="H1405" s="19">
        <v>-1.4105360501513675</v>
      </c>
      <c r="J1405" s="1" t="s">
        <v>80</v>
      </c>
    </row>
    <row r="1406" spans="1:10" x14ac:dyDescent="0.25">
      <c r="A1406" s="1" t="s">
        <v>47</v>
      </c>
      <c r="B1406" s="1" t="s">
        <v>6</v>
      </c>
      <c r="C1406" s="1" t="s">
        <v>63</v>
      </c>
      <c r="D1406" s="4">
        <v>1497.1442099999986</v>
      </c>
      <c r="E1406" s="4">
        <v>12991.137219999982</v>
      </c>
      <c r="F1406" s="4">
        <v>2867.6228070175425</v>
      </c>
      <c r="G1406" s="4">
        <v>80868.99403508773</v>
      </c>
      <c r="H1406" s="19">
        <v>-0.47791452685609781</v>
      </c>
      <c r="J1406" s="1" t="s">
        <v>80</v>
      </c>
    </row>
    <row r="1407" spans="1:10" x14ac:dyDescent="0.25">
      <c r="A1407" s="1" t="s">
        <v>47</v>
      </c>
      <c r="B1407" s="1" t="s">
        <v>6</v>
      </c>
      <c r="C1407" s="1" t="s">
        <v>26</v>
      </c>
      <c r="E1407" s="4">
        <v>52064.144689999994</v>
      </c>
      <c r="G1407" s="4">
        <v>63009.156362105277</v>
      </c>
      <c r="H1407" s="19">
        <v>0</v>
      </c>
      <c r="J1407" s="1" t="s">
        <v>80</v>
      </c>
    </row>
    <row r="1408" spans="1:10" x14ac:dyDescent="0.25">
      <c r="A1408" s="1" t="s">
        <v>47</v>
      </c>
      <c r="B1408" s="1" t="s">
        <v>6</v>
      </c>
      <c r="C1408" s="1" t="s">
        <v>27</v>
      </c>
      <c r="D1408" s="4">
        <v>0</v>
      </c>
      <c r="E1408" s="4">
        <v>207763.93825999997</v>
      </c>
      <c r="G1408" s="4">
        <v>185411.43073494575</v>
      </c>
      <c r="H1408" s="19">
        <v>0</v>
      </c>
      <c r="J1408" s="1" t="s">
        <v>80</v>
      </c>
    </row>
    <row r="1409" spans="1:10" x14ac:dyDescent="0.25">
      <c r="A1409" s="1" t="s">
        <v>47</v>
      </c>
      <c r="B1409" s="1" t="s">
        <v>6</v>
      </c>
      <c r="C1409" s="1" t="s">
        <v>21</v>
      </c>
      <c r="D1409" s="4">
        <v>2395.0622999999996</v>
      </c>
      <c r="E1409" s="4">
        <v>34523.812149999998</v>
      </c>
      <c r="F1409" s="4">
        <v>5136.719134502925</v>
      </c>
      <c r="G1409" s="4">
        <v>93847.195672514645</v>
      </c>
      <c r="H1409" s="19">
        <v>-0.53373695596620019</v>
      </c>
      <c r="J1409" s="1" t="s">
        <v>80</v>
      </c>
    </row>
    <row r="1410" spans="1:10" x14ac:dyDescent="0.25">
      <c r="A1410" s="1" t="s">
        <v>47</v>
      </c>
      <c r="B1410" s="1" t="s">
        <v>6</v>
      </c>
      <c r="C1410" s="1" t="s">
        <v>28</v>
      </c>
      <c r="D1410" s="4">
        <v>6000</v>
      </c>
      <c r="E1410" s="4">
        <v>305962</v>
      </c>
      <c r="F1410" s="4">
        <v>0</v>
      </c>
      <c r="G1410" s="4">
        <v>102000</v>
      </c>
      <c r="H1410" s="19">
        <v>0</v>
      </c>
      <c r="J1410" s="1" t="s">
        <v>80</v>
      </c>
    </row>
    <row r="1411" spans="1:10" x14ac:dyDescent="0.25">
      <c r="A1411" s="1" t="s">
        <v>47</v>
      </c>
      <c r="B1411" s="1" t="s">
        <v>6</v>
      </c>
      <c r="C1411" s="1" t="s">
        <v>29</v>
      </c>
      <c r="D1411" s="4">
        <v>700</v>
      </c>
      <c r="E1411" s="4">
        <v>9659</v>
      </c>
      <c r="F1411" s="4">
        <v>0</v>
      </c>
      <c r="G1411" s="4">
        <v>6000</v>
      </c>
      <c r="H1411" s="19">
        <v>0</v>
      </c>
      <c r="J1411" s="1" t="s">
        <v>80</v>
      </c>
    </row>
    <row r="1412" spans="1:10" x14ac:dyDescent="0.25">
      <c r="A1412" s="1" t="s">
        <v>47</v>
      </c>
      <c r="B1412" s="1" t="s">
        <v>6</v>
      </c>
      <c r="C1412" s="1" t="s">
        <v>30</v>
      </c>
      <c r="D1412" s="4">
        <v>43</v>
      </c>
      <c r="E1412" s="4">
        <v>359</v>
      </c>
      <c r="F1412" s="4">
        <v>73</v>
      </c>
      <c r="G1412" s="4">
        <v>584</v>
      </c>
      <c r="H1412" s="19">
        <v>-0.41095890410958902</v>
      </c>
      <c r="J1412" s="1" t="s">
        <v>80</v>
      </c>
    </row>
    <row r="1413" spans="1:10" x14ac:dyDescent="0.25">
      <c r="A1413" s="1" t="s">
        <v>47</v>
      </c>
      <c r="B1413" s="1" t="s">
        <v>6</v>
      </c>
      <c r="C1413" s="1" t="s">
        <v>31</v>
      </c>
      <c r="D1413" s="4">
        <v>166.87913000000003</v>
      </c>
      <c r="E1413" s="4">
        <v>2209.4442899999999</v>
      </c>
      <c r="F1413" s="4">
        <v>339.6525289741694</v>
      </c>
      <c r="G1413" s="4">
        <v>2634.5667949833505</v>
      </c>
      <c r="H1413" s="19">
        <v>-0.50867691018225514</v>
      </c>
      <c r="J1413" s="1" t="s">
        <v>80</v>
      </c>
    </row>
    <row r="1414" spans="1:10" x14ac:dyDescent="0.25">
      <c r="A1414" s="1" t="s">
        <v>47</v>
      </c>
      <c r="B1414" s="1" t="s">
        <v>6</v>
      </c>
      <c r="C1414" s="1" t="s">
        <v>32</v>
      </c>
      <c r="D1414" s="4">
        <v>754.47743270255444</v>
      </c>
      <c r="E1414" s="4">
        <v>3238.7033200000033</v>
      </c>
      <c r="F1414" s="4">
        <v>1672.2500631627627</v>
      </c>
      <c r="G1414" s="4">
        <v>12765.817842096012</v>
      </c>
      <c r="H1414" s="19">
        <v>-0.54882499374788785</v>
      </c>
      <c r="J1414" s="1" t="s">
        <v>80</v>
      </c>
    </row>
    <row r="1415" spans="1:10" x14ac:dyDescent="0.25">
      <c r="A1415" s="1" t="s">
        <v>48</v>
      </c>
      <c r="B1415" s="1" t="s">
        <v>17</v>
      </c>
      <c r="C1415" s="1" t="s">
        <v>63</v>
      </c>
      <c r="D1415" s="4">
        <v>-25707.974129999959</v>
      </c>
      <c r="E1415" s="4">
        <v>-58448.168659999938</v>
      </c>
      <c r="F1415" s="4">
        <v>2986.0037593985198</v>
      </c>
      <c r="G1415" s="4">
        <v>97060.898796992566</v>
      </c>
      <c r="H1415" s="19">
        <v>-9.609491548389208</v>
      </c>
      <c r="J1415" s="1" t="s">
        <v>80</v>
      </c>
    </row>
    <row r="1416" spans="1:10" x14ac:dyDescent="0.25">
      <c r="A1416" s="1" t="s">
        <v>48</v>
      </c>
      <c r="B1416" s="1" t="s">
        <v>17</v>
      </c>
      <c r="C1416" s="1" t="s">
        <v>26</v>
      </c>
      <c r="E1416" s="4">
        <v>164557.08283000003</v>
      </c>
      <c r="G1416" s="4">
        <v>239568.85942639093</v>
      </c>
      <c r="H1416" s="19">
        <v>0</v>
      </c>
      <c r="J1416" s="1" t="s">
        <v>80</v>
      </c>
    </row>
    <row r="1417" spans="1:10" x14ac:dyDescent="0.25">
      <c r="A1417" s="1" t="s">
        <v>48</v>
      </c>
      <c r="B1417" s="1" t="s">
        <v>17</v>
      </c>
      <c r="C1417" s="1" t="s">
        <v>27</v>
      </c>
      <c r="D1417" s="4">
        <v>0</v>
      </c>
      <c r="E1417" s="4">
        <v>135200.70376</v>
      </c>
      <c r="G1417" s="4">
        <v>108566.873034378</v>
      </c>
      <c r="H1417" s="19">
        <v>0</v>
      </c>
      <c r="J1417" s="1" t="s">
        <v>80</v>
      </c>
    </row>
    <row r="1418" spans="1:10" x14ac:dyDescent="0.25">
      <c r="A1418" s="1" t="s">
        <v>48</v>
      </c>
      <c r="B1418" s="1" t="s">
        <v>17</v>
      </c>
      <c r="C1418" s="1" t="s">
        <v>21</v>
      </c>
      <c r="D1418" s="4">
        <v>1550.3679999999999</v>
      </c>
      <c r="E1418" s="4">
        <v>31780.286849999997</v>
      </c>
      <c r="F1418" s="4">
        <v>5348.7727218045111</v>
      </c>
      <c r="G1418" s="4">
        <v>114407.46360902252</v>
      </c>
      <c r="H1418" s="19">
        <v>-0.71014509670978254</v>
      </c>
      <c r="J1418" s="1" t="s">
        <v>80</v>
      </c>
    </row>
    <row r="1419" spans="1:10" x14ac:dyDescent="0.25">
      <c r="A1419" s="1" t="s">
        <v>48</v>
      </c>
      <c r="B1419" s="1" t="s">
        <v>17</v>
      </c>
      <c r="C1419" s="1" t="s">
        <v>28</v>
      </c>
      <c r="D1419" s="4">
        <v>1667513</v>
      </c>
      <c r="E1419" s="4">
        <v>7268100.1899999995</v>
      </c>
      <c r="F1419" s="4">
        <v>62110.805064189197</v>
      </c>
      <c r="G1419" s="4">
        <v>2794554.0253209462</v>
      </c>
      <c r="H1419" s="19">
        <v>25.847389890964827</v>
      </c>
      <c r="J1419" s="1" t="s">
        <v>80</v>
      </c>
    </row>
    <row r="1420" spans="1:10" x14ac:dyDescent="0.25">
      <c r="A1420" s="1" t="s">
        <v>48</v>
      </c>
      <c r="B1420" s="1" t="s">
        <v>17</v>
      </c>
      <c r="C1420" s="1" t="s">
        <v>29</v>
      </c>
      <c r="D1420" s="4">
        <v>2240</v>
      </c>
      <c r="E1420" s="4">
        <v>21200</v>
      </c>
      <c r="F1420" s="4">
        <v>14000</v>
      </c>
      <c r="G1420" s="4">
        <v>247000</v>
      </c>
      <c r="H1420" s="19">
        <v>-0.84</v>
      </c>
      <c r="J1420" s="1" t="s">
        <v>80</v>
      </c>
    </row>
    <row r="1421" spans="1:10" x14ac:dyDescent="0.25">
      <c r="A1421" s="1" t="s">
        <v>48</v>
      </c>
      <c r="B1421" s="1" t="s">
        <v>17</v>
      </c>
      <c r="C1421" s="1" t="s">
        <v>30</v>
      </c>
      <c r="D1421" s="4">
        <v>48</v>
      </c>
      <c r="E1421" s="4">
        <v>476</v>
      </c>
      <c r="F1421" s="4">
        <v>91</v>
      </c>
      <c r="G1421" s="4">
        <v>728</v>
      </c>
      <c r="H1421" s="19">
        <v>-0.47252747252747251</v>
      </c>
      <c r="J1421" s="1" t="s">
        <v>80</v>
      </c>
    </row>
    <row r="1422" spans="1:10" x14ac:dyDescent="0.25">
      <c r="A1422" s="1" t="s">
        <v>48</v>
      </c>
      <c r="B1422" s="1" t="s">
        <v>17</v>
      </c>
      <c r="C1422" s="1" t="s">
        <v>31</v>
      </c>
      <c r="D1422" s="4">
        <v>1890.703889999998</v>
      </c>
      <c r="E1422" s="4">
        <v>9717.3861699999979</v>
      </c>
      <c r="F1422" s="4">
        <v>514.51264544765763</v>
      </c>
      <c r="G1422" s="4">
        <v>5055.4466099550182</v>
      </c>
      <c r="H1422" s="19">
        <v>2.674747174299223</v>
      </c>
      <c r="J1422" s="1" t="s">
        <v>80</v>
      </c>
    </row>
    <row r="1423" spans="1:10" x14ac:dyDescent="0.25">
      <c r="A1423" s="1" t="s">
        <v>48</v>
      </c>
      <c r="B1423" s="1" t="s">
        <v>17</v>
      </c>
      <c r="C1423" s="1" t="s">
        <v>32</v>
      </c>
      <c r="D1423" s="4">
        <v>650.17006477928771</v>
      </c>
      <c r="E1423" s="4">
        <v>784.25151999999855</v>
      </c>
      <c r="F1423" s="4">
        <v>21.549256558277193</v>
      </c>
      <c r="G1423" s="4">
        <v>-5075.7498622678286</v>
      </c>
      <c r="H1423" s="19">
        <v>29.171345494958789</v>
      </c>
      <c r="J1423" s="1" t="s">
        <v>80</v>
      </c>
    </row>
    <row r="1424" spans="1:10" x14ac:dyDescent="0.25">
      <c r="A1424" s="1" t="s">
        <v>49</v>
      </c>
      <c r="B1424" s="1" t="s">
        <v>5</v>
      </c>
      <c r="C1424" s="1" t="s">
        <v>63</v>
      </c>
      <c r="D1424" s="4">
        <v>-295.9004200000054</v>
      </c>
      <c r="E1424" s="4">
        <v>-7082.3571800000027</v>
      </c>
      <c r="F1424" s="4">
        <v>2986.0037593984976</v>
      </c>
      <c r="G1424" s="4">
        <v>59795.458796992505</v>
      </c>
      <c r="H1424" s="19">
        <v>-1.0990957962020824</v>
      </c>
      <c r="J1424" s="1" t="s">
        <v>80</v>
      </c>
    </row>
    <row r="1425" spans="1:10" x14ac:dyDescent="0.25">
      <c r="A1425" s="1" t="s">
        <v>49</v>
      </c>
      <c r="B1425" s="1" t="s">
        <v>5</v>
      </c>
      <c r="C1425" s="1" t="s">
        <v>26</v>
      </c>
      <c r="E1425" s="4">
        <v>30825.308949999995</v>
      </c>
      <c r="G1425" s="4">
        <v>47588.383236390968</v>
      </c>
      <c r="H1425" s="19">
        <v>0</v>
      </c>
      <c r="J1425" s="1" t="s">
        <v>80</v>
      </c>
    </row>
    <row r="1426" spans="1:10" x14ac:dyDescent="0.25">
      <c r="A1426" s="1" t="s">
        <v>49</v>
      </c>
      <c r="B1426" s="1" t="s">
        <v>5</v>
      </c>
      <c r="C1426" s="1" t="s">
        <v>27</v>
      </c>
      <c r="D1426" s="4">
        <v>0</v>
      </c>
      <c r="E1426" s="4">
        <v>71345.580720000013</v>
      </c>
      <c r="G1426" s="4">
        <v>102702.51143166266</v>
      </c>
      <c r="H1426" s="19">
        <v>0</v>
      </c>
      <c r="J1426" s="1" t="s">
        <v>80</v>
      </c>
    </row>
    <row r="1427" spans="1:10" x14ac:dyDescent="0.25">
      <c r="A1427" s="1" t="s">
        <v>49</v>
      </c>
      <c r="B1427" s="1" t="s">
        <v>5</v>
      </c>
      <c r="C1427" s="1" t="s">
        <v>21</v>
      </c>
      <c r="D1427" s="4">
        <v>1849.29775</v>
      </c>
      <c r="E1427" s="4">
        <v>18121.872500000001</v>
      </c>
      <c r="F1427" s="4">
        <v>10544.085610693401</v>
      </c>
      <c r="G1427" s="4">
        <v>93802.228053467028</v>
      </c>
      <c r="H1427" s="19">
        <v>-0.82461279068860049</v>
      </c>
      <c r="J1427" s="1" t="s">
        <v>80</v>
      </c>
    </row>
    <row r="1428" spans="1:10" x14ac:dyDescent="0.25">
      <c r="A1428" s="1" t="s">
        <v>49</v>
      </c>
      <c r="B1428" s="1" t="s">
        <v>5</v>
      </c>
      <c r="C1428" s="1" t="s">
        <v>28</v>
      </c>
      <c r="D1428" s="4">
        <v>42680</v>
      </c>
      <c r="E1428" s="4">
        <v>410979.14</v>
      </c>
      <c r="F1428" s="4">
        <v>62110.805064189197</v>
      </c>
      <c r="G1428" s="4">
        <v>664554.02532094612</v>
      </c>
      <c r="H1428" s="19">
        <v>-0.31284097902302482</v>
      </c>
      <c r="J1428" s="1" t="s">
        <v>80</v>
      </c>
    </row>
    <row r="1429" spans="1:10" x14ac:dyDescent="0.25">
      <c r="A1429" s="1" t="s">
        <v>49</v>
      </c>
      <c r="B1429" s="1" t="s">
        <v>5</v>
      </c>
      <c r="C1429" s="1" t="s">
        <v>29</v>
      </c>
      <c r="D1429" s="4">
        <v>4698</v>
      </c>
      <c r="E1429" s="4">
        <v>8778</v>
      </c>
      <c r="F1429" s="4">
        <v>14000</v>
      </c>
      <c r="G1429" s="4">
        <v>148000</v>
      </c>
      <c r="H1429" s="19">
        <v>-0.66442857142857148</v>
      </c>
      <c r="J1429" s="1" t="s">
        <v>80</v>
      </c>
    </row>
    <row r="1430" spans="1:10" x14ac:dyDescent="0.25">
      <c r="A1430" s="1" t="s">
        <v>49</v>
      </c>
      <c r="B1430" s="1" t="s">
        <v>5</v>
      </c>
      <c r="C1430" s="1" t="s">
        <v>30</v>
      </c>
      <c r="D1430" s="4">
        <v>29</v>
      </c>
      <c r="E1430" s="4">
        <v>373</v>
      </c>
      <c r="F1430" s="4">
        <v>58</v>
      </c>
      <c r="G1430" s="4">
        <v>464</v>
      </c>
      <c r="H1430" s="19">
        <v>-0.5</v>
      </c>
      <c r="J1430" s="1" t="s">
        <v>80</v>
      </c>
    </row>
    <row r="1431" spans="1:10" x14ac:dyDescent="0.25">
      <c r="A1431" s="1" t="s">
        <v>49</v>
      </c>
      <c r="B1431" s="1" t="s">
        <v>5</v>
      </c>
      <c r="C1431" s="1" t="s">
        <v>31</v>
      </c>
      <c r="D1431" s="4">
        <v>182.07906999999977</v>
      </c>
      <c r="E1431" s="4">
        <v>1638.3032499999997</v>
      </c>
      <c r="F1431" s="4">
        <v>533.95561181342146</v>
      </c>
      <c r="G1431" s="4">
        <v>3277.9740836657656</v>
      </c>
      <c r="H1431" s="19">
        <v>-0.65899961350415937</v>
      </c>
      <c r="J1431" s="1" t="s">
        <v>80</v>
      </c>
    </row>
    <row r="1432" spans="1:10" x14ac:dyDescent="0.25">
      <c r="A1432" s="1" t="s">
        <v>49</v>
      </c>
      <c r="B1432" s="1" t="s">
        <v>5</v>
      </c>
      <c r="C1432" s="1" t="s">
        <v>32</v>
      </c>
      <c r="D1432" s="4">
        <v>-55.19943867039494</v>
      </c>
      <c r="E1432" s="4">
        <v>-2416.3579399999999</v>
      </c>
      <c r="F1432" s="4">
        <v>896.85371274195631</v>
      </c>
      <c r="G1432" s="4">
        <v>3645.5160834674398</v>
      </c>
      <c r="H1432" s="19">
        <v>-1.0615478732887589</v>
      </c>
      <c r="J1432" s="1" t="s">
        <v>80</v>
      </c>
    </row>
    <row r="1433" spans="1:10" x14ac:dyDescent="0.25">
      <c r="A1433" s="1" t="s">
        <v>50</v>
      </c>
      <c r="B1433" s="1" t="s">
        <v>4</v>
      </c>
      <c r="C1433" s="1" t="s">
        <v>63</v>
      </c>
      <c r="D1433" s="4">
        <v>21635.191630000016</v>
      </c>
      <c r="E1433" s="4">
        <v>187276.67261000001</v>
      </c>
      <c r="F1433" s="4">
        <v>6444.9472117794749</v>
      </c>
      <c r="G1433" s="4">
        <v>112355.6160588974</v>
      </c>
      <c r="H1433" s="19">
        <v>2.3569230156698917</v>
      </c>
      <c r="J1433" s="1" t="s">
        <v>80</v>
      </c>
    </row>
    <row r="1434" spans="1:10" x14ac:dyDescent="0.25">
      <c r="A1434" s="1" t="s">
        <v>50</v>
      </c>
      <c r="B1434" s="1" t="s">
        <v>4</v>
      </c>
      <c r="C1434" s="1" t="s">
        <v>26</v>
      </c>
      <c r="E1434" s="4">
        <v>892436.91662999999</v>
      </c>
      <c r="G1434" s="4">
        <v>723141.69514067646</v>
      </c>
      <c r="H1434" s="19">
        <v>0</v>
      </c>
      <c r="J1434" s="1" t="s">
        <v>80</v>
      </c>
    </row>
    <row r="1435" spans="1:10" x14ac:dyDescent="0.25">
      <c r="A1435" s="1" t="s">
        <v>50</v>
      </c>
      <c r="B1435" s="1" t="s">
        <v>4</v>
      </c>
      <c r="C1435" s="1" t="s">
        <v>27</v>
      </c>
      <c r="D1435" s="4">
        <v>0</v>
      </c>
      <c r="E1435" s="4">
        <v>393627.59528000007</v>
      </c>
      <c r="G1435" s="4">
        <v>302062.58497546706</v>
      </c>
      <c r="H1435" s="19">
        <v>0</v>
      </c>
      <c r="J1435" s="1" t="s">
        <v>80</v>
      </c>
    </row>
    <row r="1436" spans="1:10" x14ac:dyDescent="0.25">
      <c r="A1436" s="1" t="s">
        <v>50</v>
      </c>
      <c r="B1436" s="1" t="s">
        <v>4</v>
      </c>
      <c r="C1436" s="1" t="s">
        <v>21</v>
      </c>
      <c r="D1436" s="4">
        <v>3720.4727000000003</v>
      </c>
      <c r="E1436" s="4">
        <v>38594.499100000001</v>
      </c>
      <c r="F1436" s="4">
        <v>11173.619697994987</v>
      </c>
      <c r="G1436" s="4">
        <v>141031.69848997495</v>
      </c>
      <c r="H1436" s="19">
        <v>-0.66703066682432299</v>
      </c>
      <c r="J1436" s="1" t="s">
        <v>80</v>
      </c>
    </row>
    <row r="1437" spans="1:10" x14ac:dyDescent="0.25">
      <c r="A1437" s="1" t="s">
        <v>50</v>
      </c>
      <c r="B1437" s="1" t="s">
        <v>4</v>
      </c>
      <c r="C1437" s="1" t="s">
        <v>28</v>
      </c>
      <c r="D1437" s="4">
        <v>3016129.41</v>
      </c>
      <c r="E1437" s="4">
        <v>30839387.709999997</v>
      </c>
      <c r="F1437" s="4">
        <v>2812732.172192568</v>
      </c>
      <c r="G1437" s="4">
        <v>30719660.86096283</v>
      </c>
      <c r="H1437" s="19">
        <v>7.2313048436773456E-2</v>
      </c>
      <c r="J1437" s="1" t="s">
        <v>80</v>
      </c>
    </row>
    <row r="1438" spans="1:10" x14ac:dyDescent="0.25">
      <c r="A1438" s="1" t="s">
        <v>50</v>
      </c>
      <c r="B1438" s="1" t="s">
        <v>4</v>
      </c>
      <c r="C1438" s="1" t="s">
        <v>29</v>
      </c>
      <c r="D1438" s="4">
        <v>8888</v>
      </c>
      <c r="E1438" s="4">
        <v>2171627</v>
      </c>
      <c r="F1438" s="4">
        <v>56000</v>
      </c>
      <c r="G1438" s="4">
        <v>739000</v>
      </c>
      <c r="H1438" s="19">
        <v>-0.8412857142857143</v>
      </c>
      <c r="J1438" s="1" t="s">
        <v>80</v>
      </c>
    </row>
    <row r="1439" spans="1:10" x14ac:dyDescent="0.25">
      <c r="A1439" s="1" t="s">
        <v>50</v>
      </c>
      <c r="B1439" s="1" t="s">
        <v>4</v>
      </c>
      <c r="C1439" s="1" t="s">
        <v>30</v>
      </c>
      <c r="D1439" s="4">
        <v>29</v>
      </c>
      <c r="E1439" s="4">
        <v>345</v>
      </c>
      <c r="F1439" s="4">
        <v>98</v>
      </c>
      <c r="G1439" s="4">
        <v>784</v>
      </c>
      <c r="H1439" s="19">
        <v>-0.70408163265306123</v>
      </c>
      <c r="J1439" s="1" t="s">
        <v>80</v>
      </c>
    </row>
    <row r="1440" spans="1:10" x14ac:dyDescent="0.25">
      <c r="A1440" s="1" t="s">
        <v>50</v>
      </c>
      <c r="B1440" s="1" t="s">
        <v>4</v>
      </c>
      <c r="C1440" s="1" t="s">
        <v>31</v>
      </c>
      <c r="D1440" s="4">
        <v>3237.2811000000002</v>
      </c>
      <c r="E1440" s="4">
        <v>32918.06594</v>
      </c>
      <c r="F1440" s="4">
        <v>3359.2694013572509</v>
      </c>
      <c r="G1440" s="4">
        <v>26585.902617881231</v>
      </c>
      <c r="H1440" s="19">
        <v>-3.6313938175950883E-2</v>
      </c>
      <c r="J1440" s="1" t="s">
        <v>80</v>
      </c>
    </row>
    <row r="1441" spans="1:10" x14ac:dyDescent="0.25">
      <c r="A1441" s="1" t="s">
        <v>50</v>
      </c>
      <c r="B1441" s="1" t="s">
        <v>4</v>
      </c>
      <c r="C1441" s="1" t="s">
        <v>32</v>
      </c>
      <c r="D1441" s="4">
        <v>326.73369935919345</v>
      </c>
      <c r="E1441" s="4">
        <v>41015.086590000014</v>
      </c>
      <c r="F1441" s="4">
        <v>1559.9703218008526</v>
      </c>
      <c r="G1441" s="4">
        <v>17280.592805852739</v>
      </c>
      <c r="H1441" s="19">
        <v>-0.79055133627029051</v>
      </c>
      <c r="J1441" s="1" t="s">
        <v>80</v>
      </c>
    </row>
    <row r="1442" spans="1:10" x14ac:dyDescent="0.25">
      <c r="A1442" s="1" t="s">
        <v>51</v>
      </c>
      <c r="B1442" s="1" t="s">
        <v>3</v>
      </c>
      <c r="C1442" s="1" t="s">
        <v>63</v>
      </c>
      <c r="D1442" s="4">
        <v>256.79485999999451</v>
      </c>
      <c r="E1442" s="4">
        <v>8698.3075899999967</v>
      </c>
      <c r="F1442" s="4">
        <v>6004.7180451127888</v>
      </c>
      <c r="G1442" s="4">
        <v>89097.510225563921</v>
      </c>
      <c r="H1442" s="19">
        <v>-0.95723448493822305</v>
      </c>
      <c r="J1442" s="1" t="s">
        <v>80</v>
      </c>
    </row>
    <row r="1443" spans="1:10" x14ac:dyDescent="0.25">
      <c r="A1443" s="1" t="s">
        <v>51</v>
      </c>
      <c r="B1443" s="1" t="s">
        <v>3</v>
      </c>
      <c r="C1443" s="1" t="s">
        <v>26</v>
      </c>
      <c r="E1443" s="4">
        <v>87153.316539999985</v>
      </c>
      <c r="G1443" s="4">
        <v>121144.90649067667</v>
      </c>
      <c r="H1443" s="19">
        <v>0</v>
      </c>
      <c r="J1443" s="1" t="s">
        <v>80</v>
      </c>
    </row>
    <row r="1444" spans="1:10" x14ac:dyDescent="0.25">
      <c r="A1444" s="1" t="s">
        <v>51</v>
      </c>
      <c r="B1444" s="1" t="s">
        <v>3</v>
      </c>
      <c r="C1444" s="1" t="s">
        <v>27</v>
      </c>
      <c r="D1444" s="4">
        <v>0</v>
      </c>
      <c r="E1444" s="4">
        <v>156856.94180999999</v>
      </c>
      <c r="G1444" s="4">
        <v>170105.21018820637</v>
      </c>
      <c r="H1444" s="19">
        <v>0</v>
      </c>
      <c r="J1444" s="1" t="s">
        <v>80</v>
      </c>
    </row>
    <row r="1445" spans="1:10" x14ac:dyDescent="0.25">
      <c r="A1445" s="1" t="s">
        <v>51</v>
      </c>
      <c r="B1445" s="1" t="s">
        <v>3</v>
      </c>
      <c r="C1445" s="1" t="s">
        <v>21</v>
      </c>
      <c r="D1445" s="4">
        <v>2393.3339999999998</v>
      </c>
      <c r="E1445" s="4">
        <v>29319.847549999995</v>
      </c>
      <c r="F1445" s="4">
        <v>10756.139197994988</v>
      </c>
      <c r="G1445" s="4">
        <v>112623.09598997493</v>
      </c>
      <c r="H1445" s="19">
        <v>-0.77749135113032641</v>
      </c>
      <c r="J1445" s="1" t="s">
        <v>80</v>
      </c>
    </row>
    <row r="1446" spans="1:10" x14ac:dyDescent="0.25">
      <c r="A1446" s="1" t="s">
        <v>51</v>
      </c>
      <c r="B1446" s="1" t="s">
        <v>3</v>
      </c>
      <c r="C1446" s="1" t="s">
        <v>28</v>
      </c>
      <c r="D1446" s="4">
        <v>20300</v>
      </c>
      <c r="E1446" s="4">
        <v>249480</v>
      </c>
      <c r="F1446" s="4">
        <v>124221.61012837839</v>
      </c>
      <c r="G1446" s="4">
        <v>894108.0506418919</v>
      </c>
      <c r="H1446" s="19">
        <v>-0.83658237903195176</v>
      </c>
      <c r="J1446" s="1" t="s">
        <v>80</v>
      </c>
    </row>
    <row r="1447" spans="1:10" x14ac:dyDescent="0.25">
      <c r="A1447" s="1" t="s">
        <v>51</v>
      </c>
      <c r="B1447" s="1" t="s">
        <v>3</v>
      </c>
      <c r="C1447" s="1" t="s">
        <v>29</v>
      </c>
      <c r="D1447" s="4">
        <v>2193</v>
      </c>
      <c r="E1447" s="4">
        <v>53204</v>
      </c>
      <c r="F1447" s="4">
        <v>28000</v>
      </c>
      <c r="G1447" s="4">
        <v>215000</v>
      </c>
      <c r="H1447" s="19">
        <v>-0.92167857142857146</v>
      </c>
      <c r="J1447" s="1" t="s">
        <v>80</v>
      </c>
    </row>
    <row r="1448" spans="1:10" x14ac:dyDescent="0.25">
      <c r="A1448" s="1" t="s">
        <v>51</v>
      </c>
      <c r="B1448" s="1" t="s">
        <v>3</v>
      </c>
      <c r="C1448" s="1" t="s">
        <v>30</v>
      </c>
      <c r="D1448" s="4">
        <v>48</v>
      </c>
      <c r="E1448" s="4">
        <v>429</v>
      </c>
      <c r="F1448" s="4">
        <v>68</v>
      </c>
      <c r="G1448" s="4">
        <v>544</v>
      </c>
      <c r="H1448" s="19">
        <v>-0.29411764705882354</v>
      </c>
      <c r="J1448" s="1" t="s">
        <v>80</v>
      </c>
    </row>
    <row r="1449" spans="1:10" x14ac:dyDescent="0.25">
      <c r="A1449" s="1" t="s">
        <v>51</v>
      </c>
      <c r="B1449" s="1" t="s">
        <v>3</v>
      </c>
      <c r="C1449" s="1" t="s">
        <v>31</v>
      </c>
      <c r="D1449" s="4">
        <v>199.86208000000033</v>
      </c>
      <c r="E1449" s="4">
        <v>1817.7752200000002</v>
      </c>
      <c r="F1449" s="4">
        <v>681.86611645509629</v>
      </c>
      <c r="G1449" s="4">
        <v>4116.936254233311</v>
      </c>
      <c r="H1449" s="19">
        <v>-0.70688955620929128</v>
      </c>
      <c r="J1449" s="1" t="s">
        <v>80</v>
      </c>
    </row>
    <row r="1450" spans="1:10" x14ac:dyDescent="0.25">
      <c r="A1450" s="1" t="s">
        <v>51</v>
      </c>
      <c r="B1450" s="1" t="s">
        <v>3</v>
      </c>
      <c r="C1450" s="1" t="s">
        <v>32</v>
      </c>
      <c r="D1450" s="4">
        <v>529.38095102700163</v>
      </c>
      <c r="E1450" s="4">
        <v>1528.6117100000054</v>
      </c>
      <c r="F1450" s="4">
        <v>1816.1778494748278</v>
      </c>
      <c r="G1450" s="4">
        <v>8107.5934240105635</v>
      </c>
      <c r="H1450" s="19">
        <v>-0.70851921182714606</v>
      </c>
      <c r="J1450" s="1" t="s">
        <v>80</v>
      </c>
    </row>
    <row r="1451" spans="1:10" x14ac:dyDescent="0.25">
      <c r="A1451" s="1" t="s">
        <v>52</v>
      </c>
      <c r="B1451" s="1" t="s">
        <v>13</v>
      </c>
      <c r="C1451" s="1" t="s">
        <v>63</v>
      </c>
      <c r="D1451" s="4">
        <v>3166.0975399999588</v>
      </c>
      <c r="E1451" s="4">
        <v>-100214.09475000005</v>
      </c>
      <c r="F1451" s="4">
        <v>4358.4829260651468</v>
      </c>
      <c r="G1451" s="4">
        <v>90992.414630325875</v>
      </c>
      <c r="H1451" s="19">
        <v>-0.27357807895365038</v>
      </c>
      <c r="J1451" s="1" t="s">
        <v>80</v>
      </c>
    </row>
    <row r="1452" spans="1:10" x14ac:dyDescent="0.25">
      <c r="A1452" s="1" t="s">
        <v>52</v>
      </c>
      <c r="B1452" s="1" t="s">
        <v>13</v>
      </c>
      <c r="C1452" s="1" t="s">
        <v>26</v>
      </c>
      <c r="E1452" s="4">
        <v>150923.67260999998</v>
      </c>
      <c r="G1452" s="4">
        <v>279378.881256391</v>
      </c>
      <c r="H1452" s="19">
        <v>0</v>
      </c>
      <c r="J1452" s="1" t="s">
        <v>80</v>
      </c>
    </row>
    <row r="1453" spans="1:10" x14ac:dyDescent="0.25">
      <c r="A1453" s="1" t="s">
        <v>52</v>
      </c>
      <c r="B1453" s="1" t="s">
        <v>13</v>
      </c>
      <c r="C1453" s="1" t="s">
        <v>27</v>
      </c>
      <c r="D1453" s="4">
        <v>0</v>
      </c>
      <c r="E1453" s="4">
        <v>211891.69296000004</v>
      </c>
      <c r="G1453" s="4">
        <v>188137.12613081708</v>
      </c>
      <c r="H1453" s="19">
        <v>0</v>
      </c>
      <c r="J1453" s="1" t="s">
        <v>80</v>
      </c>
    </row>
    <row r="1454" spans="1:10" x14ac:dyDescent="0.25">
      <c r="A1454" s="1" t="s">
        <v>52</v>
      </c>
      <c r="B1454" s="1" t="s">
        <v>13</v>
      </c>
      <c r="C1454" s="1" t="s">
        <v>21</v>
      </c>
      <c r="D1454" s="4">
        <v>1146.3671000000002</v>
      </c>
      <c r="E1454" s="4">
        <v>29045.260099999996</v>
      </c>
      <c r="F1454" s="4">
        <v>7807.2689995822902</v>
      </c>
      <c r="G1454" s="4">
        <v>110536.34499791144</v>
      </c>
      <c r="H1454" s="19">
        <v>-0.85316669631066455</v>
      </c>
      <c r="J1454" s="1" t="s">
        <v>80</v>
      </c>
    </row>
    <row r="1455" spans="1:10" x14ac:dyDescent="0.25">
      <c r="A1455" s="1" t="s">
        <v>52</v>
      </c>
      <c r="B1455" s="1" t="s">
        <v>13</v>
      </c>
      <c r="C1455" s="1" t="s">
        <v>28</v>
      </c>
      <c r="D1455" s="4">
        <v>2649894.58</v>
      </c>
      <c r="E1455" s="4">
        <v>15051173.75</v>
      </c>
      <c r="F1455" s="4">
        <v>124221.61012837839</v>
      </c>
      <c r="G1455" s="4">
        <v>4254108.0506418925</v>
      </c>
      <c r="H1455" s="19">
        <v>20.3319935014643</v>
      </c>
      <c r="J1455" s="1" t="s">
        <v>80</v>
      </c>
    </row>
    <row r="1456" spans="1:10" x14ac:dyDescent="0.25">
      <c r="A1456" s="1" t="s">
        <v>52</v>
      </c>
      <c r="B1456" s="1" t="s">
        <v>13</v>
      </c>
      <c r="C1456" s="1" t="s">
        <v>29</v>
      </c>
      <c r="D1456" s="4">
        <v>1998</v>
      </c>
      <c r="E1456" s="4">
        <v>40229</v>
      </c>
      <c r="F1456" s="4">
        <v>28000</v>
      </c>
      <c r="G1456" s="4">
        <v>176000</v>
      </c>
      <c r="H1456" s="19">
        <v>-0.9286428571428571</v>
      </c>
      <c r="J1456" s="1" t="s">
        <v>80</v>
      </c>
    </row>
    <row r="1457" spans="1:10" x14ac:dyDescent="0.25">
      <c r="A1457" s="1" t="s">
        <v>52</v>
      </c>
      <c r="B1457" s="1" t="s">
        <v>13</v>
      </c>
      <c r="C1457" s="1" t="s">
        <v>30</v>
      </c>
      <c r="D1457" s="4">
        <v>33</v>
      </c>
      <c r="E1457" s="4">
        <v>230</v>
      </c>
      <c r="F1457" s="4">
        <v>65</v>
      </c>
      <c r="G1457" s="4">
        <v>520</v>
      </c>
      <c r="H1457" s="19">
        <v>-0.49230769230769234</v>
      </c>
      <c r="J1457" s="1" t="s">
        <v>80</v>
      </c>
    </row>
    <row r="1458" spans="1:10" x14ac:dyDescent="0.25">
      <c r="A1458" s="1" t="s">
        <v>52</v>
      </c>
      <c r="B1458" s="1" t="s">
        <v>13</v>
      </c>
      <c r="C1458" s="1" t="s">
        <v>31</v>
      </c>
      <c r="D1458" s="4">
        <v>2752.2493900000009</v>
      </c>
      <c r="E1458" s="4">
        <v>16353.107709999998</v>
      </c>
      <c r="F1458" s="4">
        <v>489.35741507288913</v>
      </c>
      <c r="G1458" s="4">
        <v>9017.7480999119089</v>
      </c>
      <c r="H1458" s="19">
        <v>4.6242110678757307</v>
      </c>
      <c r="J1458" s="1" t="s">
        <v>80</v>
      </c>
    </row>
    <row r="1459" spans="1:10" x14ac:dyDescent="0.25">
      <c r="A1459" s="1" t="s">
        <v>52</v>
      </c>
      <c r="B1459" s="1" t="s">
        <v>13</v>
      </c>
      <c r="C1459" s="1" t="s">
        <v>32</v>
      </c>
      <c r="D1459" s="4">
        <v>2348.8973930411316</v>
      </c>
      <c r="E1459" s="4">
        <v>361.15346999999485</v>
      </c>
      <c r="F1459" s="4">
        <v>911.52749081745242</v>
      </c>
      <c r="G1459" s="4">
        <v>1723.5017762951352</v>
      </c>
      <c r="H1459" s="19">
        <v>1.5768804744820746</v>
      </c>
      <c r="J1459" s="1" t="s">
        <v>80</v>
      </c>
    </row>
    <row r="1460" spans="1:10" x14ac:dyDescent="0.25">
      <c r="A1460" s="1" t="s">
        <v>53</v>
      </c>
      <c r="B1460" s="1" t="s">
        <v>14</v>
      </c>
      <c r="C1460" s="1" t="s">
        <v>63</v>
      </c>
      <c r="D1460" s="4">
        <v>1219.9558100000067</v>
      </c>
      <c r="E1460" s="4">
        <v>13331.995019999998</v>
      </c>
      <c r="F1460" s="4">
        <v>2986.0037593984976</v>
      </c>
      <c r="G1460" s="4">
        <v>74260.898796992507</v>
      </c>
      <c r="H1460" s="19">
        <v>-0.59144197117630037</v>
      </c>
      <c r="J1460" s="1" t="s">
        <v>80</v>
      </c>
    </row>
    <row r="1461" spans="1:10" x14ac:dyDescent="0.25">
      <c r="A1461" s="1" t="s">
        <v>53</v>
      </c>
      <c r="B1461" s="1" t="s">
        <v>14</v>
      </c>
      <c r="C1461" s="1" t="s">
        <v>26</v>
      </c>
      <c r="E1461" s="4">
        <v>41626.529869999998</v>
      </c>
      <c r="G1461" s="4">
        <v>55221.226146390974</v>
      </c>
      <c r="H1461" s="19">
        <v>0</v>
      </c>
      <c r="J1461" s="1" t="s">
        <v>80</v>
      </c>
    </row>
    <row r="1462" spans="1:10" x14ac:dyDescent="0.25">
      <c r="A1462" s="1" t="s">
        <v>53</v>
      </c>
      <c r="B1462" s="1" t="s">
        <v>14</v>
      </c>
      <c r="C1462" s="1" t="s">
        <v>27</v>
      </c>
      <c r="D1462" s="4">
        <v>0</v>
      </c>
      <c r="E1462" s="4">
        <v>137376.55793000007</v>
      </c>
      <c r="G1462" s="4">
        <v>114173.97547221155</v>
      </c>
      <c r="H1462" s="19">
        <v>0</v>
      </c>
      <c r="J1462" s="1" t="s">
        <v>80</v>
      </c>
    </row>
    <row r="1463" spans="1:10" x14ac:dyDescent="0.25">
      <c r="A1463" s="1" t="s">
        <v>53</v>
      </c>
      <c r="B1463" s="1" t="s">
        <v>14</v>
      </c>
      <c r="C1463" s="1" t="s">
        <v>21</v>
      </c>
      <c r="D1463" s="4">
        <v>1264.5640000000001</v>
      </c>
      <c r="E1463" s="4">
        <v>15959.302</v>
      </c>
      <c r="F1463" s="4">
        <v>5348.7727218045111</v>
      </c>
      <c r="G1463" s="4">
        <v>85907.463609022554</v>
      </c>
      <c r="H1463" s="19">
        <v>-0.76357866266312857</v>
      </c>
      <c r="J1463" s="1" t="s">
        <v>80</v>
      </c>
    </row>
    <row r="1464" spans="1:10" x14ac:dyDescent="0.25">
      <c r="A1464" s="1" t="s">
        <v>53</v>
      </c>
      <c r="B1464" s="1" t="s">
        <v>14</v>
      </c>
      <c r="C1464" s="1" t="s">
        <v>28</v>
      </c>
      <c r="D1464" s="4">
        <v>65000</v>
      </c>
      <c r="E1464" s="4">
        <v>233120</v>
      </c>
      <c r="F1464" s="4">
        <v>62110.805064189197</v>
      </c>
      <c r="G1464" s="4">
        <v>484554.02532094595</v>
      </c>
      <c r="H1464" s="19">
        <v>4.6516784524446721E-2</v>
      </c>
      <c r="J1464" s="1" t="s">
        <v>80</v>
      </c>
    </row>
    <row r="1465" spans="1:10" x14ac:dyDescent="0.25">
      <c r="A1465" s="1" t="s">
        <v>53</v>
      </c>
      <c r="B1465" s="1" t="s">
        <v>14</v>
      </c>
      <c r="C1465" s="1" t="s">
        <v>29</v>
      </c>
      <c r="D1465" s="4">
        <v>6510</v>
      </c>
      <c r="E1465" s="4">
        <v>24135</v>
      </c>
      <c r="F1465" s="4">
        <v>14000</v>
      </c>
      <c r="G1465" s="4">
        <v>76000</v>
      </c>
      <c r="H1465" s="19">
        <v>-0.53500000000000003</v>
      </c>
      <c r="J1465" s="1" t="s">
        <v>80</v>
      </c>
    </row>
    <row r="1466" spans="1:10" x14ac:dyDescent="0.25">
      <c r="A1466" s="1" t="s">
        <v>53</v>
      </c>
      <c r="B1466" s="1" t="s">
        <v>14</v>
      </c>
      <c r="C1466" s="1" t="s">
        <v>30</v>
      </c>
      <c r="D1466" s="4">
        <v>40</v>
      </c>
      <c r="E1466" s="4">
        <v>252</v>
      </c>
      <c r="F1466" s="4">
        <v>61</v>
      </c>
      <c r="G1466" s="4">
        <v>488</v>
      </c>
      <c r="H1466" s="19">
        <v>-0.34426229508196721</v>
      </c>
      <c r="J1466" s="1" t="s">
        <v>80</v>
      </c>
    </row>
    <row r="1467" spans="1:10" x14ac:dyDescent="0.25">
      <c r="A1467" s="1" t="s">
        <v>53</v>
      </c>
      <c r="B1467" s="1" t="s">
        <v>14</v>
      </c>
      <c r="C1467" s="1" t="s">
        <v>31</v>
      </c>
      <c r="D1467" s="4">
        <v>188.47539000000006</v>
      </c>
      <c r="E1467" s="4">
        <v>1328.95144</v>
      </c>
      <c r="F1467" s="4">
        <v>366.67331065710664</v>
      </c>
      <c r="G1467" s="4">
        <v>2316.2382598868353</v>
      </c>
      <c r="H1467" s="19">
        <v>-0.48598552301983</v>
      </c>
      <c r="J1467" s="1" t="s">
        <v>80</v>
      </c>
    </row>
    <row r="1468" spans="1:10" x14ac:dyDescent="0.25">
      <c r="A1468" s="1" t="s">
        <v>53</v>
      </c>
      <c r="B1468" s="1" t="s">
        <v>14</v>
      </c>
      <c r="C1468" s="1" t="s">
        <v>32</v>
      </c>
      <c r="D1468" s="4">
        <v>-19.491020158855711</v>
      </c>
      <c r="E1468" s="4">
        <v>-2858.7372100000007</v>
      </c>
      <c r="F1468" s="4">
        <v>887.47369870749299</v>
      </c>
      <c r="G1468" s="4">
        <v>3983.5707836673005</v>
      </c>
      <c r="H1468" s="19">
        <v>-1.0219623637153892</v>
      </c>
      <c r="J1468" s="1" t="s">
        <v>80</v>
      </c>
    </row>
    <row r="1469" spans="1:10" x14ac:dyDescent="0.25">
      <c r="A1469" s="1" t="s">
        <v>54</v>
      </c>
      <c r="B1469" s="1" t="s">
        <v>16</v>
      </c>
      <c r="C1469" s="1" t="s">
        <v>63</v>
      </c>
      <c r="D1469" s="4">
        <v>3577.840269999986</v>
      </c>
      <c r="E1469" s="4">
        <v>-11196.704150000034</v>
      </c>
      <c r="F1469" s="4">
        <v>8812.5662593984907</v>
      </c>
      <c r="G1469" s="4">
        <v>111328.27129699251</v>
      </c>
      <c r="H1469" s="19">
        <v>-0.59400699357190478</v>
      </c>
      <c r="J1469" s="1" t="s">
        <v>80</v>
      </c>
    </row>
    <row r="1470" spans="1:10" x14ac:dyDescent="0.25">
      <c r="A1470" s="1" t="s">
        <v>54</v>
      </c>
      <c r="B1470" s="1" t="s">
        <v>16</v>
      </c>
      <c r="C1470" s="1" t="s">
        <v>26</v>
      </c>
      <c r="E1470" s="4">
        <v>145695.02578999999</v>
      </c>
      <c r="G1470" s="4">
        <v>197676.2101863909</v>
      </c>
      <c r="H1470" s="19">
        <v>0</v>
      </c>
      <c r="J1470" s="1" t="s">
        <v>80</v>
      </c>
    </row>
    <row r="1471" spans="1:10" x14ac:dyDescent="0.25">
      <c r="A1471" s="1" t="s">
        <v>54</v>
      </c>
      <c r="B1471" s="1" t="s">
        <v>16</v>
      </c>
      <c r="C1471" s="1" t="s">
        <v>27</v>
      </c>
      <c r="D1471" s="4">
        <v>0</v>
      </c>
      <c r="E1471" s="4">
        <v>155935.85093999997</v>
      </c>
      <c r="G1471" s="4">
        <v>170821.01562437363</v>
      </c>
      <c r="H1471" s="19">
        <v>0</v>
      </c>
      <c r="J1471" s="1" t="s">
        <v>80</v>
      </c>
    </row>
    <row r="1472" spans="1:10" x14ac:dyDescent="0.25">
      <c r="A1472" s="1" t="s">
        <v>54</v>
      </c>
      <c r="B1472" s="1" t="s">
        <v>16</v>
      </c>
      <c r="C1472" s="1" t="s">
        <v>21</v>
      </c>
      <c r="D1472" s="4">
        <v>3372.7460000000001</v>
      </c>
      <c r="E1472" s="4">
        <v>30133.25405</v>
      </c>
      <c r="F1472" s="4">
        <v>8116.5138143971044</v>
      </c>
      <c r="G1472" s="4">
        <v>109664.36907198549</v>
      </c>
      <c r="H1472" s="19">
        <v>-0.5844587864783265</v>
      </c>
      <c r="J1472" s="1" t="s">
        <v>80</v>
      </c>
    </row>
    <row r="1473" spans="1:10" x14ac:dyDescent="0.25">
      <c r="A1473" s="1" t="s">
        <v>54</v>
      </c>
      <c r="B1473" s="1" t="s">
        <v>16</v>
      </c>
      <c r="C1473" s="1" t="s">
        <v>28</v>
      </c>
      <c r="D1473" s="4">
        <v>238500</v>
      </c>
      <c r="E1473" s="4">
        <v>1946085</v>
      </c>
      <c r="F1473" s="4">
        <v>1656288.1350450451</v>
      </c>
      <c r="G1473" s="4">
        <v>9775440.6752252243</v>
      </c>
      <c r="H1473" s="19">
        <v>-0.856003315513992</v>
      </c>
      <c r="J1473" s="1" t="s">
        <v>80</v>
      </c>
    </row>
    <row r="1474" spans="1:10" x14ac:dyDescent="0.25">
      <c r="A1474" s="1" t="s">
        <v>54</v>
      </c>
      <c r="B1474" s="1" t="s">
        <v>16</v>
      </c>
      <c r="C1474" s="1" t="s">
        <v>29</v>
      </c>
      <c r="D1474" s="4">
        <v>34305</v>
      </c>
      <c r="E1474" s="4">
        <v>380534</v>
      </c>
      <c r="F1474" s="4">
        <v>83666</v>
      </c>
      <c r="G1474" s="4">
        <v>1285330</v>
      </c>
      <c r="H1474" s="19">
        <v>-0.5899768125642435</v>
      </c>
      <c r="J1474" s="1" t="s">
        <v>80</v>
      </c>
    </row>
    <row r="1475" spans="1:10" x14ac:dyDescent="0.25">
      <c r="A1475" s="1" t="s">
        <v>54</v>
      </c>
      <c r="B1475" s="1" t="s">
        <v>16</v>
      </c>
      <c r="C1475" s="1" t="s">
        <v>30</v>
      </c>
      <c r="D1475" s="4">
        <v>48</v>
      </c>
      <c r="E1475" s="4">
        <v>385</v>
      </c>
      <c r="F1475" s="4">
        <v>56</v>
      </c>
      <c r="G1475" s="4">
        <v>448</v>
      </c>
      <c r="H1475" s="19">
        <v>-0.14285714285714285</v>
      </c>
      <c r="J1475" s="1" t="s">
        <v>80</v>
      </c>
    </row>
    <row r="1476" spans="1:10" x14ac:dyDescent="0.25">
      <c r="A1476" s="1" t="s">
        <v>54</v>
      </c>
      <c r="B1476" s="1" t="s">
        <v>16</v>
      </c>
      <c r="C1476" s="1" t="s">
        <v>31</v>
      </c>
      <c r="D1476" s="4">
        <v>434.95698000000039</v>
      </c>
      <c r="E1476" s="4">
        <v>3803.8463400000001</v>
      </c>
      <c r="F1476" s="4">
        <v>2142.1472774053709</v>
      </c>
      <c r="G1476" s="4">
        <v>14123.127598122983</v>
      </c>
      <c r="H1476" s="19">
        <v>-0.79695281244768912</v>
      </c>
      <c r="J1476" s="1" t="s">
        <v>80</v>
      </c>
    </row>
    <row r="1477" spans="1:10" x14ac:dyDescent="0.25">
      <c r="A1477" s="1" t="s">
        <v>54</v>
      </c>
      <c r="B1477" s="1" t="s">
        <v>16</v>
      </c>
      <c r="C1477" s="1" t="s">
        <v>32</v>
      </c>
      <c r="D1477" s="4">
        <v>424.17411234490385</v>
      </c>
      <c r="E1477" s="4">
        <v>11302.80441000001</v>
      </c>
      <c r="F1477" s="4">
        <v>3084.6387138648497</v>
      </c>
      <c r="G1477" s="4">
        <v>20018.059722059534</v>
      </c>
      <c r="H1477" s="19">
        <v>-0.86248823551415477</v>
      </c>
      <c r="J1477" s="1" t="s">
        <v>80</v>
      </c>
    </row>
    <row r="1478" spans="1:10" x14ac:dyDescent="0.25">
      <c r="A1478" s="1" t="s">
        <v>55</v>
      </c>
      <c r="B1478" s="1" t="s">
        <v>10</v>
      </c>
      <c r="C1478" s="1" t="s">
        <v>63</v>
      </c>
      <c r="D1478" s="4">
        <v>-3335.0135100000043</v>
      </c>
      <c r="E1478" s="4">
        <v>2761.1600999999646</v>
      </c>
      <c r="F1478" s="4">
        <v>4462.0662593985053</v>
      </c>
      <c r="G1478" s="4">
        <v>77175.771296992505</v>
      </c>
      <c r="H1478" s="19">
        <v>-1.7474146093136613</v>
      </c>
      <c r="J1478" s="1" t="s">
        <v>80</v>
      </c>
    </row>
    <row r="1479" spans="1:10" x14ac:dyDescent="0.25">
      <c r="A1479" s="1" t="s">
        <v>55</v>
      </c>
      <c r="B1479" s="1" t="s">
        <v>10</v>
      </c>
      <c r="C1479" s="1" t="s">
        <v>26</v>
      </c>
      <c r="E1479" s="4">
        <v>84610.781789999979</v>
      </c>
      <c r="G1479" s="4">
        <v>95099.815516390983</v>
      </c>
      <c r="H1479" s="19">
        <v>0</v>
      </c>
      <c r="J1479" s="1" t="s">
        <v>80</v>
      </c>
    </row>
    <row r="1480" spans="1:10" x14ac:dyDescent="0.25">
      <c r="A1480" s="1" t="s">
        <v>55</v>
      </c>
      <c r="B1480" s="1" t="s">
        <v>10</v>
      </c>
      <c r="C1480" s="1" t="s">
        <v>27</v>
      </c>
      <c r="D1480" s="4">
        <v>0</v>
      </c>
      <c r="E1480" s="4">
        <v>162132.67430000004</v>
      </c>
      <c r="G1480" s="4">
        <v>139514.60543910653</v>
      </c>
      <c r="H1480" s="19">
        <v>0</v>
      </c>
      <c r="J1480" s="1" t="s">
        <v>80</v>
      </c>
    </row>
    <row r="1481" spans="1:10" x14ac:dyDescent="0.25">
      <c r="A1481" s="1" t="s">
        <v>55</v>
      </c>
      <c r="B1481" s="1" t="s">
        <v>10</v>
      </c>
      <c r="C1481" s="1" t="s">
        <v>21</v>
      </c>
      <c r="D1481" s="4">
        <v>216</v>
      </c>
      <c r="E1481" s="4">
        <v>24272.22595</v>
      </c>
      <c r="F1481" s="4">
        <v>8116.5138143971044</v>
      </c>
      <c r="G1481" s="4">
        <v>94164.369071985493</v>
      </c>
      <c r="H1481" s="19">
        <v>-0.97338758918676904</v>
      </c>
      <c r="J1481" s="1" t="s">
        <v>80</v>
      </c>
    </row>
    <row r="1482" spans="1:10" x14ac:dyDescent="0.25">
      <c r="A1482" s="1" t="s">
        <v>55</v>
      </c>
      <c r="B1482" s="1" t="s">
        <v>10</v>
      </c>
      <c r="C1482" s="1" t="s">
        <v>28</v>
      </c>
      <c r="D1482" s="4">
        <v>1678469.7</v>
      </c>
      <c r="E1482" s="4">
        <v>7014979.6900000004</v>
      </c>
      <c r="F1482" s="4">
        <v>1437421.4886283781</v>
      </c>
      <c r="G1482" s="4">
        <v>7679107.4431418907</v>
      </c>
      <c r="H1482" s="19">
        <v>0.16769487118328513</v>
      </c>
      <c r="J1482" s="1" t="s">
        <v>80</v>
      </c>
    </row>
    <row r="1483" spans="1:10" x14ac:dyDescent="0.25">
      <c r="A1483" s="1" t="s">
        <v>55</v>
      </c>
      <c r="B1483" s="1" t="s">
        <v>10</v>
      </c>
      <c r="C1483" s="1" t="s">
        <v>29</v>
      </c>
      <c r="D1483" s="4">
        <v>175205</v>
      </c>
      <c r="E1483" s="4">
        <v>680343</v>
      </c>
      <c r="F1483" s="4">
        <v>42000</v>
      </c>
      <c r="G1483" s="4">
        <v>216000</v>
      </c>
      <c r="H1483" s="19">
        <v>3.1715476190476188</v>
      </c>
      <c r="J1483" s="1" t="s">
        <v>80</v>
      </c>
    </row>
    <row r="1484" spans="1:10" x14ac:dyDescent="0.25">
      <c r="A1484" s="1" t="s">
        <v>55</v>
      </c>
      <c r="B1484" s="1" t="s">
        <v>10</v>
      </c>
      <c r="C1484" s="1" t="s">
        <v>30</v>
      </c>
      <c r="D1484" s="4">
        <v>22</v>
      </c>
      <c r="E1484" s="4">
        <v>201</v>
      </c>
      <c r="F1484" s="4">
        <v>48</v>
      </c>
      <c r="G1484" s="4">
        <v>384</v>
      </c>
      <c r="H1484" s="19">
        <v>-0.54166666666666663</v>
      </c>
      <c r="J1484" s="1" t="s">
        <v>80</v>
      </c>
    </row>
    <row r="1485" spans="1:10" x14ac:dyDescent="0.25">
      <c r="A1485" s="1" t="s">
        <v>55</v>
      </c>
      <c r="B1485" s="1" t="s">
        <v>10</v>
      </c>
      <c r="C1485" s="1" t="s">
        <v>31</v>
      </c>
      <c r="D1485" s="4">
        <v>1762.5458100000005</v>
      </c>
      <c r="E1485" s="4">
        <v>8406.4554800000005</v>
      </c>
      <c r="F1485" s="4">
        <v>1857.9176313761782</v>
      </c>
      <c r="G1485" s="4">
        <v>12076.517977927228</v>
      </c>
      <c r="H1485" s="19">
        <v>-5.1332642397895104E-2</v>
      </c>
      <c r="J1485" s="1" t="s">
        <v>80</v>
      </c>
    </row>
    <row r="1486" spans="1:10" x14ac:dyDescent="0.25">
      <c r="A1486" s="1" t="s">
        <v>55</v>
      </c>
      <c r="B1486" s="1" t="s">
        <v>10</v>
      </c>
      <c r="C1486" s="1" t="s">
        <v>32</v>
      </c>
      <c r="D1486" s="4">
        <v>2286.040106849407</v>
      </c>
      <c r="E1486" s="4">
        <v>4044.2773200000011</v>
      </c>
      <c r="F1486" s="4">
        <v>1727.7022285194053</v>
      </c>
      <c r="G1486" s="4">
        <v>8230.3227393033721</v>
      </c>
      <c r="H1486" s="19">
        <v>0.32316788686930298</v>
      </c>
      <c r="J1486" s="1" t="s">
        <v>80</v>
      </c>
    </row>
    <row r="1487" spans="1:10" x14ac:dyDescent="0.25">
      <c r="A1487" s="1" t="s">
        <v>56</v>
      </c>
      <c r="B1487" s="1" t="s">
        <v>7</v>
      </c>
      <c r="C1487" s="1" t="s">
        <v>63</v>
      </c>
      <c r="D1487" s="4">
        <v>-498.3159300000043</v>
      </c>
      <c r="E1487" s="4">
        <v>15621.779259999985</v>
      </c>
      <c r="F1487" s="4">
        <v>7998.697211779453</v>
      </c>
      <c r="G1487" s="4">
        <v>110924.36605889726</v>
      </c>
      <c r="H1487" s="19">
        <v>-1.0622996366540978</v>
      </c>
      <c r="J1487" s="1" t="s">
        <v>80</v>
      </c>
    </row>
    <row r="1488" spans="1:10" x14ac:dyDescent="0.25">
      <c r="A1488" s="1" t="s">
        <v>56</v>
      </c>
      <c r="B1488" s="1" t="s">
        <v>7</v>
      </c>
      <c r="C1488" s="1" t="s">
        <v>26</v>
      </c>
      <c r="E1488" s="4">
        <v>48127.159019999992</v>
      </c>
      <c r="G1488" s="4">
        <v>80202.062290676709</v>
      </c>
      <c r="H1488" s="19">
        <v>0</v>
      </c>
      <c r="J1488" s="1" t="s">
        <v>80</v>
      </c>
    </row>
    <row r="1489" spans="1:10" x14ac:dyDescent="0.25">
      <c r="A1489" s="1" t="s">
        <v>56</v>
      </c>
      <c r="B1489" s="1" t="s">
        <v>7</v>
      </c>
      <c r="C1489" s="1" t="s">
        <v>27</v>
      </c>
      <c r="D1489" s="4">
        <v>0</v>
      </c>
      <c r="E1489" s="4">
        <v>174420.84773999994</v>
      </c>
      <c r="G1489" s="4">
        <v>192025.74154235816</v>
      </c>
      <c r="H1489" s="19">
        <v>0</v>
      </c>
      <c r="J1489" s="1" t="s">
        <v>80</v>
      </c>
    </row>
    <row r="1490" spans="1:10" x14ac:dyDescent="0.25">
      <c r="A1490" s="1" t="s">
        <v>56</v>
      </c>
      <c r="B1490" s="1" t="s">
        <v>7</v>
      </c>
      <c r="C1490" s="1" t="s">
        <v>21</v>
      </c>
      <c r="D1490" s="4">
        <v>2728.6350000000002</v>
      </c>
      <c r="E1490" s="4">
        <v>29908.033950000005</v>
      </c>
      <c r="F1490" s="4">
        <v>13214.635475772764</v>
      </c>
      <c r="G1490" s="4">
        <v>139736.77737886383</v>
      </c>
      <c r="H1490" s="19">
        <v>-0.79351416805990738</v>
      </c>
      <c r="J1490" s="1" t="s">
        <v>80</v>
      </c>
    </row>
    <row r="1491" spans="1:10" x14ac:dyDescent="0.25">
      <c r="A1491" s="1" t="s">
        <v>56</v>
      </c>
      <c r="B1491" s="1" t="s">
        <v>7</v>
      </c>
      <c r="C1491" s="1" t="s">
        <v>28</v>
      </c>
      <c r="D1491" s="4">
        <v>153000</v>
      </c>
      <c r="E1491" s="4">
        <v>1122969.55</v>
      </c>
      <c r="F1491" s="4">
        <v>1499532.2936925676</v>
      </c>
      <c r="G1491" s="4">
        <v>8337661.4684628369</v>
      </c>
      <c r="H1491" s="19">
        <v>-0.89796818605137163</v>
      </c>
      <c r="J1491" s="1" t="s">
        <v>80</v>
      </c>
    </row>
    <row r="1492" spans="1:10" x14ac:dyDescent="0.25">
      <c r="A1492" s="1" t="s">
        <v>56</v>
      </c>
      <c r="B1492" s="1" t="s">
        <v>7</v>
      </c>
      <c r="C1492" s="1" t="s">
        <v>29</v>
      </c>
      <c r="D1492" s="4">
        <v>500</v>
      </c>
      <c r="E1492" s="4">
        <v>31152</v>
      </c>
      <c r="F1492" s="4">
        <v>56000</v>
      </c>
      <c r="G1492" s="4">
        <v>301000</v>
      </c>
      <c r="H1492" s="19">
        <v>-0.9910714285714286</v>
      </c>
      <c r="J1492" s="1" t="s">
        <v>80</v>
      </c>
    </row>
    <row r="1493" spans="1:10" x14ac:dyDescent="0.25">
      <c r="A1493" s="1" t="s">
        <v>56</v>
      </c>
      <c r="B1493" s="1" t="s">
        <v>7</v>
      </c>
      <c r="C1493" s="1" t="s">
        <v>30</v>
      </c>
      <c r="D1493" s="4">
        <v>96</v>
      </c>
      <c r="E1493" s="4">
        <v>674</v>
      </c>
      <c r="F1493" s="4">
        <v>108</v>
      </c>
      <c r="G1493" s="4">
        <v>864</v>
      </c>
      <c r="H1493" s="19">
        <v>-0.1111111111111111</v>
      </c>
      <c r="J1493" s="1" t="s">
        <v>80</v>
      </c>
    </row>
    <row r="1494" spans="1:10" x14ac:dyDescent="0.25">
      <c r="A1494" s="1" t="s">
        <v>56</v>
      </c>
      <c r="B1494" s="1" t="s">
        <v>7</v>
      </c>
      <c r="C1494" s="1" t="s">
        <v>31</v>
      </c>
      <c r="D1494" s="4">
        <v>388.77116000000024</v>
      </c>
      <c r="E1494" s="4">
        <v>3197.14858</v>
      </c>
      <c r="F1494" s="4">
        <v>2090.9204428146058</v>
      </c>
      <c r="G1494" s="4">
        <v>13596.836218583803</v>
      </c>
      <c r="H1494" s="19">
        <v>-0.81406697641892478</v>
      </c>
      <c r="J1494" s="1" t="s">
        <v>80</v>
      </c>
    </row>
    <row r="1495" spans="1:10" x14ac:dyDescent="0.25">
      <c r="A1495" s="1" t="s">
        <v>56</v>
      </c>
      <c r="B1495" s="1" t="s">
        <v>7</v>
      </c>
      <c r="C1495" s="1" t="s">
        <v>32</v>
      </c>
      <c r="D1495" s="4">
        <v>206.86570318423398</v>
      </c>
      <c r="E1495" s="4">
        <v>-8162.2101399999956</v>
      </c>
      <c r="F1495" s="4">
        <v>3790.9567873872329</v>
      </c>
      <c r="G1495" s="4">
        <v>20697.212529800585</v>
      </c>
      <c r="H1495" s="19">
        <v>-0.94543179603827454</v>
      </c>
      <c r="J1495" s="1" t="s">
        <v>80</v>
      </c>
    </row>
    <row r="1496" spans="1:10" x14ac:dyDescent="0.25">
      <c r="A1496" s="1" t="s">
        <v>57</v>
      </c>
      <c r="B1496" s="1" t="s">
        <v>24</v>
      </c>
      <c r="C1496" s="1" t="s">
        <v>63</v>
      </c>
      <c r="D1496" s="4">
        <v>7.1901199999998653</v>
      </c>
      <c r="E1496" s="4">
        <v>-4.305629999999951</v>
      </c>
      <c r="F1496" s="4">
        <v>0</v>
      </c>
      <c r="G1496" s="4">
        <v>0</v>
      </c>
      <c r="H1496" s="19">
        <v>0</v>
      </c>
      <c r="J1496" s="1" t="s">
        <v>80</v>
      </c>
    </row>
    <row r="1497" spans="1:10" x14ac:dyDescent="0.25">
      <c r="A1497" s="1" t="s">
        <v>57</v>
      </c>
      <c r="B1497" s="1" t="s">
        <v>24</v>
      </c>
      <c r="C1497" s="1" t="s">
        <v>26</v>
      </c>
      <c r="E1497" s="4">
        <v>610.87942999999996</v>
      </c>
      <c r="G1497" s="4">
        <v>620.50470999999993</v>
      </c>
      <c r="H1497" s="19">
        <v>0</v>
      </c>
      <c r="J1497" s="1" t="s">
        <v>80</v>
      </c>
    </row>
    <row r="1498" spans="1:10" x14ac:dyDescent="0.25">
      <c r="A1498" s="1" t="s">
        <v>57</v>
      </c>
      <c r="B1498" s="1" t="s">
        <v>24</v>
      </c>
      <c r="C1498" s="1" t="s">
        <v>27</v>
      </c>
      <c r="D1498" s="4">
        <v>0</v>
      </c>
      <c r="E1498" s="4">
        <v>0</v>
      </c>
      <c r="G1498" s="4">
        <v>-15.040850000000001</v>
      </c>
      <c r="H1498" s="19">
        <v>0</v>
      </c>
      <c r="J1498" s="1" t="s">
        <v>80</v>
      </c>
    </row>
    <row r="1499" spans="1:10" x14ac:dyDescent="0.25">
      <c r="A1499" s="1" t="s">
        <v>57</v>
      </c>
      <c r="B1499" s="1" t="s">
        <v>24</v>
      </c>
      <c r="C1499" s="1" t="s">
        <v>21</v>
      </c>
      <c r="D1499" s="4">
        <v>0</v>
      </c>
      <c r="E1499" s="4">
        <v>0</v>
      </c>
      <c r="F1499" s="4">
        <v>0</v>
      </c>
      <c r="G1499" s="4">
        <v>0</v>
      </c>
      <c r="H1499" s="19">
        <v>0</v>
      </c>
      <c r="J1499" s="1" t="s">
        <v>80</v>
      </c>
    </row>
    <row r="1500" spans="1:10" x14ac:dyDescent="0.25">
      <c r="A1500" s="1" t="s">
        <v>57</v>
      </c>
      <c r="B1500" s="1" t="s">
        <v>24</v>
      </c>
      <c r="C1500" s="1" t="s">
        <v>28</v>
      </c>
      <c r="D1500" s="4">
        <v>0</v>
      </c>
      <c r="E1500" s="4">
        <v>0</v>
      </c>
      <c r="F1500" s="4">
        <v>0</v>
      </c>
      <c r="G1500" s="4">
        <v>0</v>
      </c>
      <c r="H1500" s="19">
        <v>0</v>
      </c>
      <c r="J1500" s="1" t="s">
        <v>80</v>
      </c>
    </row>
    <row r="1501" spans="1:10" x14ac:dyDescent="0.25">
      <c r="A1501" s="1" t="s">
        <v>57</v>
      </c>
      <c r="B1501" s="1" t="s">
        <v>24</v>
      </c>
      <c r="C1501" s="1" t="s">
        <v>29</v>
      </c>
      <c r="D1501" s="4">
        <v>0</v>
      </c>
      <c r="E1501" s="4">
        <v>0</v>
      </c>
      <c r="F1501" s="4">
        <v>0</v>
      </c>
      <c r="G1501" s="4">
        <v>0</v>
      </c>
      <c r="H1501" s="19">
        <v>0</v>
      </c>
      <c r="J1501" s="1" t="s">
        <v>80</v>
      </c>
    </row>
    <row r="1502" spans="1:10" x14ac:dyDescent="0.25">
      <c r="A1502" s="1" t="s">
        <v>57</v>
      </c>
      <c r="B1502" s="1" t="s">
        <v>24</v>
      </c>
      <c r="C1502" s="1" t="s">
        <v>30</v>
      </c>
      <c r="D1502" s="4">
        <v>0</v>
      </c>
      <c r="E1502" s="4">
        <v>0</v>
      </c>
      <c r="F1502" s="4">
        <v>0</v>
      </c>
      <c r="G1502" s="4">
        <v>0</v>
      </c>
      <c r="H1502" s="19">
        <v>0</v>
      </c>
      <c r="J1502" s="1" t="s">
        <v>80</v>
      </c>
    </row>
    <row r="1503" spans="1:10" x14ac:dyDescent="0.25">
      <c r="A1503" s="1" t="s">
        <v>57</v>
      </c>
      <c r="B1503" s="1" t="s">
        <v>24</v>
      </c>
      <c r="C1503" s="1" t="s">
        <v>31</v>
      </c>
      <c r="D1503" s="4">
        <v>8.0000000000000071E-3</v>
      </c>
      <c r="E1503" s="4">
        <v>0.13669999999999999</v>
      </c>
      <c r="F1503" s="4">
        <v>0.85197127063788392</v>
      </c>
      <c r="G1503" s="4">
        <v>4.0535307924359856</v>
      </c>
      <c r="H1503" s="19">
        <v>-0.99061001200896093</v>
      </c>
      <c r="J1503" s="1" t="s">
        <v>80</v>
      </c>
    </row>
    <row r="1504" spans="1:10" x14ac:dyDescent="0.25">
      <c r="A1504" s="1" t="s">
        <v>57</v>
      </c>
      <c r="B1504" s="1" t="s">
        <v>24</v>
      </c>
      <c r="C1504" s="1" t="s">
        <v>32</v>
      </c>
      <c r="D1504" s="4">
        <v>-1.9939976272153581</v>
      </c>
      <c r="E1504" s="4">
        <v>22.580869999999994</v>
      </c>
      <c r="F1504" s="4">
        <v>-0.79426175526610177</v>
      </c>
      <c r="G1504" s="4">
        <v>-5.2590088200019016</v>
      </c>
      <c r="H1504" s="19">
        <v>-1.5105043947977936</v>
      </c>
      <c r="J1504" s="1" t="s">
        <v>80</v>
      </c>
    </row>
    <row r="1505" spans="1:10" x14ac:dyDescent="0.25">
      <c r="A1505" s="1" t="s">
        <v>58</v>
      </c>
      <c r="B1505" s="1" t="s">
        <v>1</v>
      </c>
      <c r="C1505" s="1" t="s">
        <v>63</v>
      </c>
      <c r="D1505" s="4">
        <v>-11609.882409999962</v>
      </c>
      <c r="E1505" s="4">
        <v>-5846.5930899999512</v>
      </c>
      <c r="F1505" s="4">
        <v>11650.009711779445</v>
      </c>
      <c r="G1505" s="4">
        <v>149454.84855889727</v>
      </c>
      <c r="H1505" s="19">
        <v>-1.9965555992851309</v>
      </c>
      <c r="J1505" s="1" t="s">
        <v>80</v>
      </c>
    </row>
    <row r="1506" spans="1:10" x14ac:dyDescent="0.25">
      <c r="A1506" s="1" t="s">
        <v>58</v>
      </c>
      <c r="B1506" s="1" t="s">
        <v>1</v>
      </c>
      <c r="C1506" s="1" t="s">
        <v>26</v>
      </c>
      <c r="E1506" s="4">
        <v>212611.66634000003</v>
      </c>
      <c r="G1506" s="4">
        <v>299087.03984067676</v>
      </c>
      <c r="H1506" s="19">
        <v>0</v>
      </c>
      <c r="J1506" s="1" t="s">
        <v>80</v>
      </c>
    </row>
    <row r="1507" spans="1:10" x14ac:dyDescent="0.25">
      <c r="A1507" s="1" t="s">
        <v>58</v>
      </c>
      <c r="B1507" s="1" t="s">
        <v>1</v>
      </c>
      <c r="C1507" s="1" t="s">
        <v>27</v>
      </c>
      <c r="D1507" s="4">
        <v>0</v>
      </c>
      <c r="E1507" s="4">
        <v>127775.79931999998</v>
      </c>
      <c r="G1507" s="4">
        <v>200608.01794420165</v>
      </c>
      <c r="H1507" s="19">
        <v>0</v>
      </c>
      <c r="J1507" s="1" t="s">
        <v>80</v>
      </c>
    </row>
    <row r="1508" spans="1:10" x14ac:dyDescent="0.25">
      <c r="A1508" s="1" t="s">
        <v>58</v>
      </c>
      <c r="B1508" s="1" t="s">
        <v>1</v>
      </c>
      <c r="C1508" s="1" t="s">
        <v>21</v>
      </c>
      <c r="D1508" s="4">
        <v>1016.756</v>
      </c>
      <c r="E1508" s="4">
        <v>13222.196999999998</v>
      </c>
      <c r="F1508" s="4">
        <v>20868.444642439434</v>
      </c>
      <c r="G1508" s="4">
        <v>203348.22321219713</v>
      </c>
      <c r="H1508" s="19">
        <v>-0.95127782556768703</v>
      </c>
      <c r="J1508" s="1" t="s">
        <v>80</v>
      </c>
    </row>
    <row r="1509" spans="1:10" x14ac:dyDescent="0.25">
      <c r="A1509" s="1" t="s">
        <v>58</v>
      </c>
      <c r="B1509" s="1" t="s">
        <v>1</v>
      </c>
      <c r="C1509" s="1" t="s">
        <v>28</v>
      </c>
      <c r="D1509" s="4">
        <v>74900</v>
      </c>
      <c r="E1509" s="4">
        <v>146300</v>
      </c>
      <c r="F1509" s="4">
        <v>248443.22025675679</v>
      </c>
      <c r="G1509" s="4">
        <v>1431216.1012837838</v>
      </c>
      <c r="H1509" s="19">
        <v>-0.69852266476584213</v>
      </c>
      <c r="J1509" s="1" t="s">
        <v>80</v>
      </c>
    </row>
    <row r="1510" spans="1:10" x14ac:dyDescent="0.25">
      <c r="A1510" s="1" t="s">
        <v>58</v>
      </c>
      <c r="B1510" s="1" t="s">
        <v>1</v>
      </c>
      <c r="C1510" s="1" t="s">
        <v>29</v>
      </c>
      <c r="D1510" s="4">
        <v>61495</v>
      </c>
      <c r="E1510" s="4">
        <v>880303</v>
      </c>
      <c r="F1510" s="4">
        <v>56000</v>
      </c>
      <c r="G1510" s="4">
        <v>577000</v>
      </c>
      <c r="H1510" s="19">
        <v>9.8125000000000004E-2</v>
      </c>
      <c r="J1510" s="1" t="s">
        <v>80</v>
      </c>
    </row>
    <row r="1511" spans="1:10" x14ac:dyDescent="0.25">
      <c r="A1511" s="1" t="s">
        <v>58</v>
      </c>
      <c r="B1511" s="1" t="s">
        <v>1</v>
      </c>
      <c r="C1511" s="1" t="s">
        <v>30</v>
      </c>
      <c r="D1511" s="4">
        <v>74</v>
      </c>
      <c r="E1511" s="4">
        <v>897</v>
      </c>
      <c r="F1511" s="4">
        <v>178</v>
      </c>
      <c r="G1511" s="4">
        <v>1424</v>
      </c>
      <c r="H1511" s="19">
        <v>-0.5842696629213483</v>
      </c>
      <c r="J1511" s="1" t="s">
        <v>80</v>
      </c>
    </row>
    <row r="1512" spans="1:10" x14ac:dyDescent="0.25">
      <c r="A1512" s="1" t="s">
        <v>58</v>
      </c>
      <c r="B1512" s="1" t="s">
        <v>1</v>
      </c>
      <c r="C1512" s="1" t="s">
        <v>31</v>
      </c>
      <c r="D1512" s="4">
        <v>228.56294000000003</v>
      </c>
      <c r="E1512" s="4">
        <v>1975.5146400000001</v>
      </c>
      <c r="F1512" s="4">
        <v>1069.8016152559539</v>
      </c>
      <c r="G1512" s="4">
        <v>6199.5228335932588</v>
      </c>
      <c r="H1512" s="19">
        <v>-0.78635016367467769</v>
      </c>
      <c r="J1512" s="1" t="s">
        <v>80</v>
      </c>
    </row>
    <row r="1513" spans="1:10" x14ac:dyDescent="0.25">
      <c r="A1513" s="1" t="s">
        <v>58</v>
      </c>
      <c r="B1513" s="1" t="s">
        <v>1</v>
      </c>
      <c r="C1513" s="1" t="s">
        <v>32</v>
      </c>
      <c r="D1513" s="4">
        <v>-2234.8122757120468</v>
      </c>
      <c r="E1513" s="4">
        <v>-10580.634459999999</v>
      </c>
      <c r="F1513" s="4">
        <v>-551.64586953600519</v>
      </c>
      <c r="G1513" s="4">
        <v>-10429.6035143105</v>
      </c>
      <c r="H1513" s="19">
        <v>-3.0511719549205898</v>
      </c>
      <c r="J1513" s="1" t="s">
        <v>80</v>
      </c>
    </row>
    <row r="1514" spans="1:10" x14ac:dyDescent="0.25">
      <c r="A1514" s="1" t="s">
        <v>38</v>
      </c>
      <c r="B1514" s="1" t="s">
        <v>18</v>
      </c>
      <c r="C1514" s="1" t="s">
        <v>63</v>
      </c>
      <c r="D1514" s="4">
        <v>0</v>
      </c>
      <c r="E1514" s="4">
        <v>0</v>
      </c>
      <c r="F1514" s="4">
        <v>0</v>
      </c>
      <c r="G1514" s="4">
        <v>0</v>
      </c>
      <c r="H1514" s="19">
        <v>0</v>
      </c>
      <c r="J1514" s="1" t="s">
        <v>81</v>
      </c>
    </row>
    <row r="1515" spans="1:10" x14ac:dyDescent="0.25">
      <c r="A1515" s="1" t="s">
        <v>38</v>
      </c>
      <c r="B1515" s="1" t="s">
        <v>18</v>
      </c>
      <c r="C1515" s="1" t="s">
        <v>26</v>
      </c>
      <c r="E1515" s="4">
        <v>0</v>
      </c>
      <c r="G1515" s="4">
        <v>0</v>
      </c>
      <c r="H1515" s="19">
        <v>0</v>
      </c>
      <c r="J1515" s="1" t="s">
        <v>81</v>
      </c>
    </row>
    <row r="1516" spans="1:10" x14ac:dyDescent="0.25">
      <c r="A1516" s="1" t="s">
        <v>38</v>
      </c>
      <c r="B1516" s="1" t="s">
        <v>18</v>
      </c>
      <c r="C1516" s="1" t="s">
        <v>27</v>
      </c>
      <c r="E1516" s="4">
        <v>0</v>
      </c>
      <c r="G1516" s="4">
        <v>0</v>
      </c>
      <c r="H1516" s="19">
        <v>0</v>
      </c>
      <c r="J1516" s="1" t="s">
        <v>81</v>
      </c>
    </row>
    <row r="1517" spans="1:10" x14ac:dyDescent="0.25">
      <c r="A1517" s="1" t="s">
        <v>38</v>
      </c>
      <c r="B1517" s="1" t="s">
        <v>18</v>
      </c>
      <c r="C1517" s="1" t="s">
        <v>21</v>
      </c>
      <c r="D1517" s="4">
        <v>0</v>
      </c>
      <c r="E1517" s="4">
        <v>0</v>
      </c>
      <c r="F1517" s="4">
        <v>0</v>
      </c>
      <c r="G1517" s="4">
        <v>0</v>
      </c>
      <c r="H1517" s="19">
        <v>0</v>
      </c>
      <c r="J1517" s="1" t="s">
        <v>81</v>
      </c>
    </row>
    <row r="1518" spans="1:10" x14ac:dyDescent="0.25">
      <c r="A1518" s="1" t="s">
        <v>38</v>
      </c>
      <c r="B1518" s="1" t="s">
        <v>18</v>
      </c>
      <c r="C1518" s="1" t="s">
        <v>28</v>
      </c>
      <c r="D1518" s="4">
        <v>0</v>
      </c>
      <c r="E1518" s="4">
        <v>0</v>
      </c>
      <c r="F1518" s="4">
        <v>0</v>
      </c>
      <c r="G1518" s="4">
        <v>0</v>
      </c>
      <c r="H1518" s="19">
        <v>0</v>
      </c>
      <c r="J1518" s="1" t="s">
        <v>81</v>
      </c>
    </row>
    <row r="1519" spans="1:10" x14ac:dyDescent="0.25">
      <c r="A1519" s="1" t="s">
        <v>38</v>
      </c>
      <c r="B1519" s="1" t="s">
        <v>18</v>
      </c>
      <c r="C1519" s="1" t="s">
        <v>29</v>
      </c>
      <c r="D1519" s="4">
        <v>-12395</v>
      </c>
      <c r="E1519" s="4">
        <v>231229</v>
      </c>
      <c r="F1519" s="4">
        <v>0</v>
      </c>
      <c r="G1519" s="4">
        <v>209869.92</v>
      </c>
      <c r="H1519" s="19">
        <v>0</v>
      </c>
      <c r="J1519" s="1" t="s">
        <v>81</v>
      </c>
    </row>
    <row r="1520" spans="1:10" x14ac:dyDescent="0.25">
      <c r="A1520" s="1" t="s">
        <v>38</v>
      </c>
      <c r="B1520" s="1" t="s">
        <v>18</v>
      </c>
      <c r="C1520" s="1" t="s">
        <v>30</v>
      </c>
      <c r="D1520" s="4">
        <v>0</v>
      </c>
      <c r="E1520" s="4">
        <v>0</v>
      </c>
      <c r="F1520" s="4">
        <v>0</v>
      </c>
      <c r="G1520" s="4">
        <v>0</v>
      </c>
      <c r="H1520" s="19">
        <v>0</v>
      </c>
      <c r="J1520" s="1" t="s">
        <v>81</v>
      </c>
    </row>
    <row r="1521" spans="1:10" x14ac:dyDescent="0.25">
      <c r="A1521" s="1" t="s">
        <v>38</v>
      </c>
      <c r="B1521" s="1" t="s">
        <v>18</v>
      </c>
      <c r="C1521" s="1" t="s">
        <v>31</v>
      </c>
      <c r="D1521" s="4">
        <v>9.9999999747524271E-6</v>
      </c>
      <c r="E1521" s="4">
        <v>901.90836999999999</v>
      </c>
      <c r="F1521" s="4">
        <v>117.68424167958743</v>
      </c>
      <c r="G1521" s="4">
        <v>117.68424167958743</v>
      </c>
      <c r="H1521" s="19">
        <v>0</v>
      </c>
      <c r="J1521" s="1" t="s">
        <v>81</v>
      </c>
    </row>
    <row r="1522" spans="1:10" x14ac:dyDescent="0.25">
      <c r="A1522" s="1" t="s">
        <v>38</v>
      </c>
      <c r="B1522" s="1" t="s">
        <v>18</v>
      </c>
      <c r="C1522" s="1" t="s">
        <v>32</v>
      </c>
      <c r="D1522" s="4">
        <v>-31485.338986013463</v>
      </c>
      <c r="E1522" s="4">
        <v>-263648.79542000004</v>
      </c>
      <c r="F1522" s="4">
        <v>-21931.175783694125</v>
      </c>
      <c r="G1522" s="4">
        <v>-225738.16942088713</v>
      </c>
      <c r="H1522" s="19">
        <v>1.350066110942767</v>
      </c>
      <c r="J1522" s="1" t="s">
        <v>81</v>
      </c>
    </row>
    <row r="1523" spans="1:10" x14ac:dyDescent="0.25">
      <c r="A1523" s="1" t="s">
        <v>39</v>
      </c>
      <c r="B1523" s="1" t="s">
        <v>8</v>
      </c>
      <c r="C1523" s="1" t="s">
        <v>63</v>
      </c>
      <c r="D1523" s="4">
        <v>21791.207050000026</v>
      </c>
      <c r="E1523" s="4">
        <v>50732.615560000122</v>
      </c>
      <c r="F1523" s="4">
        <v>7465.9829260651468</v>
      </c>
      <c r="G1523" s="4">
        <v>102861.33755639117</v>
      </c>
      <c r="H1523" s="19">
        <v>-0.29896060145981423</v>
      </c>
      <c r="J1523" s="1" t="s">
        <v>81</v>
      </c>
    </row>
    <row r="1524" spans="1:10" x14ac:dyDescent="0.25">
      <c r="A1524" s="1" t="s">
        <v>39</v>
      </c>
      <c r="B1524" s="1" t="s">
        <v>8</v>
      </c>
      <c r="C1524" s="1" t="s">
        <v>26</v>
      </c>
      <c r="E1524" s="4">
        <v>529356.1886900001</v>
      </c>
      <c r="G1524" s="4">
        <v>538439.79059245624</v>
      </c>
      <c r="H1524" s="19">
        <v>0</v>
      </c>
      <c r="J1524" s="1" t="s">
        <v>81</v>
      </c>
    </row>
    <row r="1525" spans="1:10" x14ac:dyDescent="0.25">
      <c r="A1525" s="1" t="s">
        <v>39</v>
      </c>
      <c r="B1525" s="1" t="s">
        <v>8</v>
      </c>
      <c r="C1525" s="1" t="s">
        <v>27</v>
      </c>
      <c r="E1525" s="4">
        <v>676633.67795000016</v>
      </c>
      <c r="G1525" s="4">
        <v>545194.48484311544</v>
      </c>
      <c r="H1525" s="19">
        <v>0</v>
      </c>
      <c r="J1525" s="1" t="s">
        <v>81</v>
      </c>
    </row>
    <row r="1526" spans="1:10" x14ac:dyDescent="0.25">
      <c r="A1526" s="1" t="s">
        <v>39</v>
      </c>
      <c r="B1526" s="1" t="s">
        <v>8</v>
      </c>
      <c r="C1526" s="1" t="s">
        <v>21</v>
      </c>
      <c r="D1526" s="4">
        <v>8740.643399999999</v>
      </c>
      <c r="E1526" s="4">
        <v>84216.410909999977</v>
      </c>
      <c r="F1526" s="4">
        <v>21166.644999582291</v>
      </c>
      <c r="G1526" s="4">
        <v>184581.66999749374</v>
      </c>
      <c r="H1526" s="19">
        <v>-0.79430555952131665</v>
      </c>
      <c r="J1526" s="1" t="s">
        <v>81</v>
      </c>
    </row>
    <row r="1527" spans="1:10" x14ac:dyDescent="0.25">
      <c r="A1527" s="1" t="s">
        <v>39</v>
      </c>
      <c r="B1527" s="1" t="s">
        <v>8</v>
      </c>
      <c r="C1527" s="1" t="s">
        <v>28</v>
      </c>
      <c r="D1527" s="4">
        <v>3407770</v>
      </c>
      <c r="E1527" s="4">
        <v>22952296.140000001</v>
      </c>
      <c r="F1527" s="4">
        <v>124221.61012837839</v>
      </c>
      <c r="G1527" s="4">
        <v>4795329.660770271</v>
      </c>
      <c r="H1527" s="19">
        <v>10.250675293579404</v>
      </c>
      <c r="J1527" s="1" t="s">
        <v>81</v>
      </c>
    </row>
    <row r="1528" spans="1:10" x14ac:dyDescent="0.25">
      <c r="A1528" s="1" t="s">
        <v>39</v>
      </c>
      <c r="B1528" s="1" t="s">
        <v>8</v>
      </c>
      <c r="C1528" s="1" t="s">
        <v>29</v>
      </c>
      <c r="D1528" s="4">
        <v>2345</v>
      </c>
      <c r="E1528" s="4">
        <v>606614</v>
      </c>
      <c r="F1528" s="4">
        <v>28000</v>
      </c>
      <c r="G1528" s="4">
        <v>400755.81</v>
      </c>
      <c r="H1528" s="19">
        <v>-1</v>
      </c>
      <c r="J1528" s="1" t="s">
        <v>81</v>
      </c>
    </row>
    <row r="1529" spans="1:10" x14ac:dyDescent="0.25">
      <c r="A1529" s="1" t="s">
        <v>39</v>
      </c>
      <c r="B1529" s="1" t="s">
        <v>8</v>
      </c>
      <c r="C1529" s="1" t="s">
        <v>30</v>
      </c>
      <c r="D1529" s="4">
        <v>21</v>
      </c>
      <c r="E1529" s="4">
        <v>415</v>
      </c>
      <c r="F1529" s="4">
        <v>85</v>
      </c>
      <c r="G1529" s="4">
        <v>765</v>
      </c>
      <c r="H1529" s="19">
        <v>-0.82352941176470584</v>
      </c>
      <c r="J1529" s="1" t="s">
        <v>81</v>
      </c>
    </row>
    <row r="1530" spans="1:10" x14ac:dyDescent="0.25">
      <c r="A1530" s="1" t="s">
        <v>39</v>
      </c>
      <c r="B1530" s="1" t="s">
        <v>8</v>
      </c>
      <c r="C1530" s="1" t="s">
        <v>31</v>
      </c>
      <c r="D1530" s="4">
        <v>3533.5904599999958</v>
      </c>
      <c r="E1530" s="4">
        <v>25531.462079999998</v>
      </c>
      <c r="F1530" s="4">
        <v>1018.5078765615326</v>
      </c>
      <c r="G1530" s="4">
        <v>13248.138917038679</v>
      </c>
      <c r="H1530" s="19">
        <v>0</v>
      </c>
      <c r="J1530" s="1" t="s">
        <v>81</v>
      </c>
    </row>
    <row r="1531" spans="1:10" x14ac:dyDescent="0.25">
      <c r="A1531" s="1" t="s">
        <v>39</v>
      </c>
      <c r="B1531" s="1" t="s">
        <v>8</v>
      </c>
      <c r="C1531" s="1" t="s">
        <v>32</v>
      </c>
      <c r="D1531" s="4">
        <v>8135.4749502262912</v>
      </c>
      <c r="E1531" s="4">
        <v>-12044.209059999992</v>
      </c>
      <c r="F1531" s="4">
        <v>5553.9570918260306</v>
      </c>
      <c r="G1531" s="4">
        <v>31565.09853694298</v>
      </c>
      <c r="H1531" s="19">
        <v>0.45946206389127131</v>
      </c>
      <c r="J1531" s="1" t="s">
        <v>81</v>
      </c>
    </row>
    <row r="1532" spans="1:10" x14ac:dyDescent="0.25">
      <c r="A1532" s="1" t="s">
        <v>40</v>
      </c>
      <c r="B1532" s="1" t="s">
        <v>11</v>
      </c>
      <c r="C1532" s="1" t="s">
        <v>63</v>
      </c>
      <c r="D1532" s="4">
        <v>12647.119370000015</v>
      </c>
      <c r="E1532" s="4">
        <v>-10245.621200000016</v>
      </c>
      <c r="F1532" s="4">
        <v>2986.0037593984903</v>
      </c>
      <c r="G1532" s="4">
        <v>77181.462556390994</v>
      </c>
      <c r="H1532" s="19">
        <v>4.9186008505093435</v>
      </c>
      <c r="J1532" s="1" t="s">
        <v>81</v>
      </c>
    </row>
    <row r="1533" spans="1:10" x14ac:dyDescent="0.25">
      <c r="A1533" s="1" t="s">
        <v>40</v>
      </c>
      <c r="B1533" s="1" t="s">
        <v>11</v>
      </c>
      <c r="C1533" s="1" t="s">
        <v>26</v>
      </c>
      <c r="E1533" s="4">
        <v>62887.421909999983</v>
      </c>
      <c r="G1533" s="4">
        <v>70014.315115789475</v>
      </c>
      <c r="H1533" s="19">
        <v>0</v>
      </c>
      <c r="J1533" s="1" t="s">
        <v>81</v>
      </c>
    </row>
    <row r="1534" spans="1:10" x14ac:dyDescent="0.25">
      <c r="A1534" s="1" t="s">
        <v>40</v>
      </c>
      <c r="B1534" s="1" t="s">
        <v>11</v>
      </c>
      <c r="C1534" s="1" t="s">
        <v>27</v>
      </c>
      <c r="E1534" s="4">
        <v>85658.53439999999</v>
      </c>
      <c r="G1534" s="4">
        <v>90660.364104775756</v>
      </c>
      <c r="H1534" s="19">
        <v>0</v>
      </c>
      <c r="J1534" s="1" t="s">
        <v>81</v>
      </c>
    </row>
    <row r="1535" spans="1:10" x14ac:dyDescent="0.25">
      <c r="A1535" s="1" t="s">
        <v>40</v>
      </c>
      <c r="B1535" s="1" t="s">
        <v>11</v>
      </c>
      <c r="C1535" s="1" t="s">
        <v>21</v>
      </c>
      <c r="D1535" s="4">
        <v>1523.71</v>
      </c>
      <c r="E1535" s="4">
        <v>16007.059850000001</v>
      </c>
      <c r="F1535" s="4">
        <v>5348.7727218045111</v>
      </c>
      <c r="G1535" s="4">
        <v>91174.43633082704</v>
      </c>
      <c r="H1535" s="19">
        <v>-0.79984810428833786</v>
      </c>
      <c r="J1535" s="1" t="s">
        <v>81</v>
      </c>
    </row>
    <row r="1536" spans="1:10" x14ac:dyDescent="0.25">
      <c r="A1536" s="1" t="s">
        <v>40</v>
      </c>
      <c r="B1536" s="1" t="s">
        <v>11</v>
      </c>
      <c r="C1536" s="1" t="s">
        <v>28</v>
      </c>
      <c r="D1536" s="4">
        <v>292254.69999999995</v>
      </c>
      <c r="E1536" s="4">
        <v>476392.82999999996</v>
      </c>
      <c r="F1536" s="4">
        <v>62110.805064189197</v>
      </c>
      <c r="G1536" s="4">
        <v>462664.83038513514</v>
      </c>
      <c r="H1536" s="19">
        <v>3.6731756205708908</v>
      </c>
      <c r="J1536" s="1" t="s">
        <v>81</v>
      </c>
    </row>
    <row r="1537" spans="1:10" x14ac:dyDescent="0.25">
      <c r="A1537" s="1" t="s">
        <v>40</v>
      </c>
      <c r="B1537" s="1" t="s">
        <v>11</v>
      </c>
      <c r="C1537" s="1" t="s">
        <v>29</v>
      </c>
      <c r="D1537" s="4">
        <v>74494</v>
      </c>
      <c r="E1537" s="4">
        <v>419449</v>
      </c>
      <c r="F1537" s="4">
        <v>14000</v>
      </c>
      <c r="G1537" s="4">
        <v>202313.7</v>
      </c>
      <c r="H1537" s="19">
        <v>4.3209999999999997</v>
      </c>
      <c r="J1537" s="1" t="s">
        <v>81</v>
      </c>
    </row>
    <row r="1538" spans="1:10" x14ac:dyDescent="0.25">
      <c r="A1538" s="1" t="s">
        <v>40</v>
      </c>
      <c r="B1538" s="1" t="s">
        <v>11</v>
      </c>
      <c r="C1538" s="1" t="s">
        <v>30</v>
      </c>
      <c r="D1538" s="4">
        <v>55</v>
      </c>
      <c r="E1538" s="4">
        <v>576</v>
      </c>
      <c r="F1538" s="4">
        <v>73</v>
      </c>
      <c r="G1538" s="4">
        <v>657</v>
      </c>
      <c r="H1538" s="19">
        <v>-0.52054794520547942</v>
      </c>
      <c r="J1538" s="1" t="s">
        <v>81</v>
      </c>
    </row>
    <row r="1539" spans="1:10" x14ac:dyDescent="0.25">
      <c r="A1539" s="1" t="s">
        <v>40</v>
      </c>
      <c r="B1539" s="1" t="s">
        <v>11</v>
      </c>
      <c r="C1539" s="1" t="s">
        <v>31</v>
      </c>
      <c r="D1539" s="4">
        <v>447.41494999999986</v>
      </c>
      <c r="E1539" s="4">
        <v>1864.4031699999996</v>
      </c>
      <c r="F1539" s="4">
        <v>407.75085076004689</v>
      </c>
      <c r="G1539" s="4">
        <v>2883.8743569274093</v>
      </c>
      <c r="H1539" s="19">
        <v>0</v>
      </c>
      <c r="J1539" s="1" t="s">
        <v>81</v>
      </c>
    </row>
    <row r="1540" spans="1:10" x14ac:dyDescent="0.25">
      <c r="A1540" s="1" t="s">
        <v>40</v>
      </c>
      <c r="B1540" s="1" t="s">
        <v>11</v>
      </c>
      <c r="C1540" s="1" t="s">
        <v>32</v>
      </c>
      <c r="D1540" s="4">
        <v>-71.079585991383283</v>
      </c>
      <c r="E1540" s="4">
        <v>-8075.2019700000037</v>
      </c>
      <c r="F1540" s="4">
        <v>336.26810244799964</v>
      </c>
      <c r="G1540" s="4">
        <v>-1570.3393881648585</v>
      </c>
      <c r="H1540" s="19">
        <v>2.2171341620702409</v>
      </c>
      <c r="J1540" s="1" t="s">
        <v>81</v>
      </c>
    </row>
    <row r="1541" spans="1:10" x14ac:dyDescent="0.25">
      <c r="A1541" s="1" t="s">
        <v>41</v>
      </c>
      <c r="B1541" s="1" t="s">
        <v>15</v>
      </c>
      <c r="C1541" s="1" t="s">
        <v>63</v>
      </c>
      <c r="D1541" s="4">
        <v>-7877.7839299999978</v>
      </c>
      <c r="E1541" s="4">
        <v>-3899.4006099999897</v>
      </c>
      <c r="F1541" s="4">
        <v>2986.0037593984976</v>
      </c>
      <c r="G1541" s="4">
        <v>69246.902556390996</v>
      </c>
      <c r="H1541" s="19">
        <v>-3.1734659976809083</v>
      </c>
      <c r="J1541" s="1" t="s">
        <v>81</v>
      </c>
    </row>
    <row r="1542" spans="1:10" x14ac:dyDescent="0.25">
      <c r="A1542" s="1" t="s">
        <v>41</v>
      </c>
      <c r="B1542" s="1" t="s">
        <v>15</v>
      </c>
      <c r="C1542" s="1" t="s">
        <v>26</v>
      </c>
      <c r="E1542" s="4">
        <v>36385.467610000007</v>
      </c>
      <c r="G1542" s="4">
        <v>67476.08680578947</v>
      </c>
      <c r="H1542" s="19">
        <v>0</v>
      </c>
      <c r="J1542" s="1" t="s">
        <v>81</v>
      </c>
    </row>
    <row r="1543" spans="1:10" x14ac:dyDescent="0.25">
      <c r="A1543" s="1" t="s">
        <v>41</v>
      </c>
      <c r="B1543" s="1" t="s">
        <v>15</v>
      </c>
      <c r="C1543" s="1" t="s">
        <v>27</v>
      </c>
      <c r="E1543" s="4">
        <v>100515.87258000001</v>
      </c>
      <c r="G1543" s="4">
        <v>99154.905725252072</v>
      </c>
      <c r="H1543" s="19">
        <v>0</v>
      </c>
      <c r="J1543" s="1" t="s">
        <v>81</v>
      </c>
    </row>
    <row r="1544" spans="1:10" x14ac:dyDescent="0.25">
      <c r="A1544" s="1" t="s">
        <v>41</v>
      </c>
      <c r="B1544" s="1" t="s">
        <v>15</v>
      </c>
      <c r="C1544" s="1" t="s">
        <v>21</v>
      </c>
      <c r="D1544" s="4">
        <v>547.26499999999999</v>
      </c>
      <c r="E1544" s="4">
        <v>14727.66985</v>
      </c>
      <c r="F1544" s="4">
        <v>5348.7727218045111</v>
      </c>
      <c r="G1544" s="4">
        <v>81256.236330827058</v>
      </c>
      <c r="H1544" s="19">
        <v>-0.90940632081362349</v>
      </c>
      <c r="J1544" s="1" t="s">
        <v>81</v>
      </c>
    </row>
    <row r="1545" spans="1:10" x14ac:dyDescent="0.25">
      <c r="A1545" s="1" t="s">
        <v>41</v>
      </c>
      <c r="B1545" s="1" t="s">
        <v>15</v>
      </c>
      <c r="C1545" s="1" t="s">
        <v>28</v>
      </c>
      <c r="D1545" s="4">
        <v>14000</v>
      </c>
      <c r="E1545" s="4">
        <v>81000</v>
      </c>
      <c r="F1545" s="4">
        <v>62110.805064189197</v>
      </c>
      <c r="G1545" s="4">
        <v>408664.83038513514</v>
      </c>
      <c r="H1545" s="19">
        <v>-0.83899741776546977</v>
      </c>
      <c r="J1545" s="1" t="s">
        <v>81</v>
      </c>
    </row>
    <row r="1546" spans="1:10" x14ac:dyDescent="0.25">
      <c r="A1546" s="1" t="s">
        <v>41</v>
      </c>
      <c r="B1546" s="1" t="s">
        <v>15</v>
      </c>
      <c r="C1546" s="1" t="s">
        <v>29</v>
      </c>
      <c r="D1546" s="4">
        <v>0</v>
      </c>
      <c r="E1546" s="4">
        <v>2438</v>
      </c>
      <c r="F1546" s="4">
        <v>14000</v>
      </c>
      <c r="G1546" s="4">
        <v>84000</v>
      </c>
      <c r="H1546" s="19">
        <v>-1</v>
      </c>
      <c r="J1546" s="1" t="s">
        <v>81</v>
      </c>
    </row>
    <row r="1547" spans="1:10" x14ac:dyDescent="0.25">
      <c r="A1547" s="1" t="s">
        <v>41</v>
      </c>
      <c r="B1547" s="1" t="s">
        <v>15</v>
      </c>
      <c r="C1547" s="1" t="s">
        <v>30</v>
      </c>
      <c r="D1547" s="4">
        <v>11</v>
      </c>
      <c r="E1547" s="4">
        <v>194</v>
      </c>
      <c r="F1547" s="4">
        <v>66</v>
      </c>
      <c r="G1547" s="4">
        <v>594</v>
      </c>
      <c r="H1547" s="19">
        <v>-0.90909090909090906</v>
      </c>
      <c r="J1547" s="1" t="s">
        <v>81</v>
      </c>
    </row>
    <row r="1548" spans="1:10" x14ac:dyDescent="0.25">
      <c r="A1548" s="1" t="s">
        <v>41</v>
      </c>
      <c r="B1548" s="1" t="s">
        <v>15</v>
      </c>
      <c r="C1548" s="1" t="s">
        <v>31</v>
      </c>
      <c r="D1548" s="4">
        <v>48.283849999999916</v>
      </c>
      <c r="E1548" s="4">
        <v>875.06511</v>
      </c>
      <c r="F1548" s="4">
        <v>416.99674353260571</v>
      </c>
      <c r="G1548" s="4">
        <v>2684.6095689032213</v>
      </c>
      <c r="H1548" s="19">
        <v>0</v>
      </c>
      <c r="J1548" s="1" t="s">
        <v>81</v>
      </c>
    </row>
    <row r="1549" spans="1:10" x14ac:dyDescent="0.25">
      <c r="A1549" s="1" t="s">
        <v>41</v>
      </c>
      <c r="B1549" s="1" t="s">
        <v>15</v>
      </c>
      <c r="C1549" s="1" t="s">
        <v>32</v>
      </c>
      <c r="D1549" s="4">
        <v>-304.21945351075101</v>
      </c>
      <c r="E1549" s="4">
        <v>-7215.9383099999932</v>
      </c>
      <c r="F1549" s="4">
        <v>669.01705098410025</v>
      </c>
      <c r="G1549" s="4">
        <v>1211.9406523263467</v>
      </c>
      <c r="H1549" s="19">
        <v>-0.21106928556811463</v>
      </c>
      <c r="J1549" s="1" t="s">
        <v>81</v>
      </c>
    </row>
    <row r="1550" spans="1:10" x14ac:dyDescent="0.25">
      <c r="A1550" s="1" t="s">
        <v>42</v>
      </c>
      <c r="B1550" s="1" t="s">
        <v>12</v>
      </c>
      <c r="C1550" s="1" t="s">
        <v>63</v>
      </c>
      <c r="D1550" s="4">
        <v>-461.41438000000198</v>
      </c>
      <c r="E1550" s="4">
        <v>3655.0949800000126</v>
      </c>
      <c r="F1550" s="4">
        <v>4554.5513784461173</v>
      </c>
      <c r="G1550" s="4">
        <v>100323.62827067675</v>
      </c>
      <c r="H1550" s="19">
        <v>-1.1309631839532572</v>
      </c>
      <c r="J1550" s="1" t="s">
        <v>81</v>
      </c>
    </row>
    <row r="1551" spans="1:10" x14ac:dyDescent="0.25">
      <c r="A1551" s="1" t="s">
        <v>42</v>
      </c>
      <c r="B1551" s="1" t="s">
        <v>12</v>
      </c>
      <c r="C1551" s="1" t="s">
        <v>26</v>
      </c>
      <c r="E1551" s="4">
        <v>26534.814299999998</v>
      </c>
      <c r="G1551" s="4">
        <v>56185.975879122787</v>
      </c>
      <c r="H1551" s="19">
        <v>0</v>
      </c>
      <c r="J1551" s="1" t="s">
        <v>81</v>
      </c>
    </row>
    <row r="1552" spans="1:10" x14ac:dyDescent="0.25">
      <c r="A1552" s="1" t="s">
        <v>42</v>
      </c>
      <c r="B1552" s="1" t="s">
        <v>12</v>
      </c>
      <c r="C1552" s="1" t="s">
        <v>27</v>
      </c>
      <c r="E1552" s="4">
        <v>111018.57127934785</v>
      </c>
      <c r="G1552" s="4">
        <v>110875.60786483395</v>
      </c>
      <c r="H1552" s="19">
        <v>0</v>
      </c>
      <c r="J1552" s="1" t="s">
        <v>81</v>
      </c>
    </row>
    <row r="1553" spans="1:10" x14ac:dyDescent="0.25">
      <c r="A1553" s="1" t="s">
        <v>42</v>
      </c>
      <c r="B1553" s="1" t="s">
        <v>12</v>
      </c>
      <c r="C1553" s="1" t="s">
        <v>21</v>
      </c>
      <c r="D1553" s="4">
        <v>2656.9</v>
      </c>
      <c r="E1553" s="4">
        <v>19709.626520000002</v>
      </c>
      <c r="F1553" s="4">
        <v>8158.4827535505428</v>
      </c>
      <c r="G1553" s="4">
        <v>125196.29652130327</v>
      </c>
      <c r="H1553" s="19">
        <v>-0.7492793621326459</v>
      </c>
      <c r="J1553" s="1" t="s">
        <v>81</v>
      </c>
    </row>
    <row r="1554" spans="1:10" x14ac:dyDescent="0.25">
      <c r="A1554" s="1" t="s">
        <v>42</v>
      </c>
      <c r="B1554" s="1" t="s">
        <v>12</v>
      </c>
      <c r="C1554" s="1" t="s">
        <v>28</v>
      </c>
      <c r="D1554" s="4">
        <v>14000</v>
      </c>
      <c r="E1554" s="4">
        <v>63000</v>
      </c>
      <c r="F1554" s="4">
        <v>124221.61012837839</v>
      </c>
      <c r="G1554" s="4">
        <v>1006329.6607702703</v>
      </c>
      <c r="H1554" s="19">
        <v>-0.88729819243582886</v>
      </c>
      <c r="J1554" s="1" t="s">
        <v>81</v>
      </c>
    </row>
    <row r="1555" spans="1:10" x14ac:dyDescent="0.25">
      <c r="A1555" s="1" t="s">
        <v>42</v>
      </c>
      <c r="B1555" s="1" t="s">
        <v>12</v>
      </c>
      <c r="C1555" s="1" t="s">
        <v>29</v>
      </c>
      <c r="D1555" s="4">
        <v>875</v>
      </c>
      <c r="E1555" s="4">
        <v>31262</v>
      </c>
      <c r="F1555" s="4">
        <v>28000</v>
      </c>
      <c r="G1555" s="4">
        <v>195984</v>
      </c>
      <c r="H1555" s="19">
        <v>-0.98703571428571424</v>
      </c>
      <c r="J1555" s="1" t="s">
        <v>81</v>
      </c>
    </row>
    <row r="1556" spans="1:10" x14ac:dyDescent="0.25">
      <c r="A1556" s="1" t="s">
        <v>42</v>
      </c>
      <c r="B1556" s="1" t="s">
        <v>12</v>
      </c>
      <c r="C1556" s="1" t="s">
        <v>30</v>
      </c>
      <c r="D1556" s="4">
        <v>25</v>
      </c>
      <c r="E1556" s="4">
        <v>178</v>
      </c>
      <c r="F1556" s="4">
        <v>101</v>
      </c>
      <c r="G1556" s="4">
        <v>909</v>
      </c>
      <c r="H1556" s="19">
        <v>-0.86138613861386137</v>
      </c>
      <c r="J1556" s="1" t="s">
        <v>81</v>
      </c>
    </row>
    <row r="1557" spans="1:10" x14ac:dyDescent="0.25">
      <c r="A1557" s="1" t="s">
        <v>42</v>
      </c>
      <c r="B1557" s="1" t="s">
        <v>12</v>
      </c>
      <c r="C1557" s="1" t="s">
        <v>31</v>
      </c>
      <c r="D1557" s="4">
        <v>123.52645000000018</v>
      </c>
      <c r="E1557" s="4">
        <v>936.91997000000015</v>
      </c>
      <c r="F1557" s="4">
        <v>433.93977816563711</v>
      </c>
      <c r="G1557" s="4">
        <v>3009.1759648062839</v>
      </c>
      <c r="H1557" s="19">
        <v>0</v>
      </c>
      <c r="J1557" s="1" t="s">
        <v>81</v>
      </c>
    </row>
    <row r="1558" spans="1:10" x14ac:dyDescent="0.25">
      <c r="A1558" s="1" t="s">
        <v>42</v>
      </c>
      <c r="B1558" s="1" t="s">
        <v>12</v>
      </c>
      <c r="C1558" s="1" t="s">
        <v>32</v>
      </c>
      <c r="D1558" s="4">
        <v>-851.97544084122296</v>
      </c>
      <c r="E1558" s="4">
        <v>-1370.0164500000012</v>
      </c>
      <c r="F1558" s="4">
        <v>1752.4295655537348</v>
      </c>
      <c r="G1558" s="4">
        <v>6123.808479191126</v>
      </c>
      <c r="H1558" s="19">
        <v>-0.95700166130431541</v>
      </c>
      <c r="J1558" s="1" t="s">
        <v>81</v>
      </c>
    </row>
    <row r="1559" spans="1:10" x14ac:dyDescent="0.25">
      <c r="A1559" s="1" t="s">
        <v>43</v>
      </c>
      <c r="B1559" s="1" t="s">
        <v>22</v>
      </c>
      <c r="C1559" s="1" t="s">
        <v>63</v>
      </c>
      <c r="D1559" s="4">
        <v>-6548.3276699999697</v>
      </c>
      <c r="E1559" s="4">
        <v>-4703.8601500000223</v>
      </c>
      <c r="F1559" s="4">
        <v>8734.8787593984907</v>
      </c>
      <c r="G1559" s="4">
        <v>152074.71255639094</v>
      </c>
      <c r="H1559" s="19">
        <v>-1.0701219440900565</v>
      </c>
      <c r="J1559" s="1" t="s">
        <v>81</v>
      </c>
    </row>
    <row r="1560" spans="1:10" x14ac:dyDescent="0.25">
      <c r="A1560" s="1" t="s">
        <v>43</v>
      </c>
      <c r="B1560" s="1" t="s">
        <v>22</v>
      </c>
      <c r="C1560" s="1" t="s">
        <v>26</v>
      </c>
      <c r="E1560" s="4">
        <v>137609.73173000003</v>
      </c>
      <c r="G1560" s="4">
        <v>216643.53959578951</v>
      </c>
      <c r="H1560" s="19">
        <v>0</v>
      </c>
      <c r="J1560" s="1" t="s">
        <v>81</v>
      </c>
    </row>
    <row r="1561" spans="1:10" x14ac:dyDescent="0.25">
      <c r="A1561" s="1" t="s">
        <v>43</v>
      </c>
      <c r="B1561" s="1" t="s">
        <v>22</v>
      </c>
      <c r="C1561" s="1" t="s">
        <v>27</v>
      </c>
      <c r="E1561" s="4">
        <v>260467.22664000007</v>
      </c>
      <c r="G1561" s="4">
        <v>221241.50604463759</v>
      </c>
      <c r="H1561" s="19">
        <v>0</v>
      </c>
      <c r="J1561" s="1" t="s">
        <v>81</v>
      </c>
    </row>
    <row r="1562" spans="1:10" x14ac:dyDescent="0.25">
      <c r="A1562" s="1" t="s">
        <v>43</v>
      </c>
      <c r="B1562" s="1" t="s">
        <v>22</v>
      </c>
      <c r="C1562" s="1" t="s">
        <v>21</v>
      </c>
      <c r="D1562" s="4">
        <v>1075.3000999999999</v>
      </c>
      <c r="E1562" s="4">
        <v>24806.635459999998</v>
      </c>
      <c r="F1562" s="4">
        <v>10575.010092174882</v>
      </c>
      <c r="G1562" s="4">
        <v>173031.86055304925</v>
      </c>
      <c r="H1562" s="19">
        <v>-0.93175419278946769</v>
      </c>
      <c r="J1562" s="1" t="s">
        <v>81</v>
      </c>
    </row>
    <row r="1563" spans="1:10" x14ac:dyDescent="0.25">
      <c r="A1563" s="1" t="s">
        <v>43</v>
      </c>
      <c r="B1563" s="1" t="s">
        <v>22</v>
      </c>
      <c r="C1563" s="1" t="s">
        <v>28</v>
      </c>
      <c r="D1563" s="4">
        <v>730586.90999999992</v>
      </c>
      <c r="E1563" s="4">
        <v>6776355.3400000008</v>
      </c>
      <c r="F1563" s="4">
        <v>1608965.6169009011</v>
      </c>
      <c r="G1563" s="4">
        <v>14216793.701405404</v>
      </c>
      <c r="H1563" s="19">
        <v>-0.63143364670388447</v>
      </c>
      <c r="J1563" s="1" t="s">
        <v>81</v>
      </c>
    </row>
    <row r="1564" spans="1:10" x14ac:dyDescent="0.25">
      <c r="A1564" s="1" t="s">
        <v>43</v>
      </c>
      <c r="B1564" s="1" t="s">
        <v>22</v>
      </c>
      <c r="C1564" s="1" t="s">
        <v>29</v>
      </c>
      <c r="D1564" s="4">
        <v>16512</v>
      </c>
      <c r="E1564" s="4">
        <v>422550</v>
      </c>
      <c r="F1564" s="4">
        <v>97666</v>
      </c>
      <c r="G1564" s="4">
        <v>768278.45</v>
      </c>
      <c r="H1564" s="19">
        <v>-0.86421067720598777</v>
      </c>
      <c r="J1564" s="1" t="s">
        <v>81</v>
      </c>
    </row>
    <row r="1565" spans="1:10" x14ac:dyDescent="0.25">
      <c r="A1565" s="1" t="s">
        <v>43</v>
      </c>
      <c r="B1565" s="1" t="s">
        <v>22</v>
      </c>
      <c r="C1565" s="1" t="s">
        <v>30</v>
      </c>
      <c r="D1565" s="4">
        <v>37</v>
      </c>
      <c r="E1565" s="4">
        <v>318</v>
      </c>
      <c r="F1565" s="4">
        <v>68</v>
      </c>
      <c r="G1565" s="4">
        <v>612</v>
      </c>
      <c r="H1565" s="19">
        <v>-0.77941176470588236</v>
      </c>
      <c r="J1565" s="1" t="s">
        <v>81</v>
      </c>
    </row>
    <row r="1566" spans="1:10" x14ac:dyDescent="0.25">
      <c r="A1566" s="1" t="s">
        <v>43</v>
      </c>
      <c r="B1566" s="1" t="s">
        <v>22</v>
      </c>
      <c r="C1566" s="1" t="s">
        <v>31</v>
      </c>
      <c r="D1566" s="4">
        <v>886.66119000000072</v>
      </c>
      <c r="E1566" s="4">
        <v>8536.3545200000008</v>
      </c>
      <c r="F1566" s="4">
        <v>2234.9442266878068</v>
      </c>
      <c r="G1566" s="4">
        <v>18502.362083564309</v>
      </c>
      <c r="H1566" s="19">
        <v>0</v>
      </c>
      <c r="J1566" s="1" t="s">
        <v>81</v>
      </c>
    </row>
    <row r="1567" spans="1:10" x14ac:dyDescent="0.25">
      <c r="A1567" s="1" t="s">
        <v>43</v>
      </c>
      <c r="B1567" s="1" t="s">
        <v>22</v>
      </c>
      <c r="C1567" s="1" t="s">
        <v>32</v>
      </c>
      <c r="D1567" s="4">
        <v>-1114.9367746516309</v>
      </c>
      <c r="E1567" s="4">
        <v>3592.4297099999876</v>
      </c>
      <c r="F1567" s="4">
        <v>4008.7320762681611</v>
      </c>
      <c r="G1567" s="4">
        <v>29252.77787353488</v>
      </c>
      <c r="H1567" s="19">
        <v>-0.74426266697415255</v>
      </c>
      <c r="J1567" s="1" t="s">
        <v>81</v>
      </c>
    </row>
    <row r="1568" spans="1:10" x14ac:dyDescent="0.25">
      <c r="A1568" s="1" t="s">
        <v>44</v>
      </c>
      <c r="B1568" s="1" t="s">
        <v>0</v>
      </c>
      <c r="C1568" s="1" t="s">
        <v>63</v>
      </c>
      <c r="D1568" s="4">
        <v>15272.935440000001</v>
      </c>
      <c r="E1568" s="4">
        <v>20552.216780000002</v>
      </c>
      <c r="F1568" s="4">
        <v>5601.4829260651768</v>
      </c>
      <c r="G1568" s="4">
        <v>100874.33755639099</v>
      </c>
      <c r="H1568" s="19">
        <v>-0.962601083897767</v>
      </c>
      <c r="J1568" s="1" t="s">
        <v>81</v>
      </c>
    </row>
    <row r="1569" spans="1:10" x14ac:dyDescent="0.25">
      <c r="A1569" s="1" t="s">
        <v>44</v>
      </c>
      <c r="B1569" s="1" t="s">
        <v>0</v>
      </c>
      <c r="C1569" s="1" t="s">
        <v>26</v>
      </c>
      <c r="E1569" s="4">
        <v>98497.340690000012</v>
      </c>
      <c r="G1569" s="4">
        <v>109116.05928245613</v>
      </c>
      <c r="H1569" s="19">
        <v>0</v>
      </c>
      <c r="J1569" s="1" t="s">
        <v>81</v>
      </c>
    </row>
    <row r="1570" spans="1:10" x14ac:dyDescent="0.25">
      <c r="A1570" s="1" t="s">
        <v>44</v>
      </c>
      <c r="B1570" s="1" t="s">
        <v>0</v>
      </c>
      <c r="C1570" s="1" t="s">
        <v>27</v>
      </c>
      <c r="E1570" s="4">
        <v>169138.76613</v>
      </c>
      <c r="G1570" s="4">
        <v>179998.95138947575</v>
      </c>
      <c r="H1570" s="19">
        <v>0</v>
      </c>
      <c r="J1570" s="1" t="s">
        <v>81</v>
      </c>
    </row>
    <row r="1571" spans="1:10" x14ac:dyDescent="0.25">
      <c r="A1571" s="1" t="s">
        <v>44</v>
      </c>
      <c r="B1571" s="1" t="s">
        <v>0</v>
      </c>
      <c r="C1571" s="1" t="s">
        <v>21</v>
      </c>
      <c r="D1571" s="4">
        <v>712.69500000000005</v>
      </c>
      <c r="E1571" s="4">
        <v>19107.42295</v>
      </c>
      <c r="F1571" s="4">
        <v>11147.112999582288</v>
      </c>
      <c r="G1571" s="4">
        <v>135964.47799749373</v>
      </c>
      <c r="H1571" s="19">
        <v>-0.93606461152527065</v>
      </c>
      <c r="J1571" s="1" t="s">
        <v>81</v>
      </c>
    </row>
    <row r="1572" spans="1:10" x14ac:dyDescent="0.25">
      <c r="A1572" s="1" t="s">
        <v>44</v>
      </c>
      <c r="B1572" s="1" t="s">
        <v>0</v>
      </c>
      <c r="C1572" s="1" t="s">
        <v>28</v>
      </c>
      <c r="D1572" s="4">
        <v>136739</v>
      </c>
      <c r="E1572" s="4">
        <v>581617.17999999993</v>
      </c>
      <c r="F1572" s="4">
        <v>124221.61012837839</v>
      </c>
      <c r="G1572" s="4">
        <v>1216329.6607702705</v>
      </c>
      <c r="H1572" s="19">
        <v>-0.30978998008968051</v>
      </c>
      <c r="J1572" s="1" t="s">
        <v>81</v>
      </c>
    </row>
    <row r="1573" spans="1:10" x14ac:dyDescent="0.25">
      <c r="A1573" s="1" t="s">
        <v>44</v>
      </c>
      <c r="B1573" s="1" t="s">
        <v>0</v>
      </c>
      <c r="C1573" s="1" t="s">
        <v>29</v>
      </c>
      <c r="D1573" s="4">
        <v>7943</v>
      </c>
      <c r="E1573" s="4">
        <v>344475</v>
      </c>
      <c r="F1573" s="4">
        <v>28000</v>
      </c>
      <c r="G1573" s="4">
        <v>474478.26</v>
      </c>
      <c r="H1573" s="19">
        <v>-0.82353571428571426</v>
      </c>
      <c r="J1573" s="1" t="s">
        <v>81</v>
      </c>
    </row>
    <row r="1574" spans="1:10" x14ac:dyDescent="0.25">
      <c r="A1574" s="1" t="s">
        <v>44</v>
      </c>
      <c r="B1574" s="1" t="s">
        <v>0</v>
      </c>
      <c r="C1574" s="1" t="s">
        <v>30</v>
      </c>
      <c r="D1574" s="4">
        <v>17</v>
      </c>
      <c r="E1574" s="4">
        <v>403</v>
      </c>
      <c r="F1574" s="4">
        <v>66</v>
      </c>
      <c r="G1574" s="4">
        <v>594</v>
      </c>
      <c r="H1574" s="19">
        <v>-0.86363636363636365</v>
      </c>
      <c r="J1574" s="1" t="s">
        <v>81</v>
      </c>
    </row>
    <row r="1575" spans="1:10" x14ac:dyDescent="0.25">
      <c r="A1575" s="1" t="s">
        <v>44</v>
      </c>
      <c r="B1575" s="1" t="s">
        <v>0</v>
      </c>
      <c r="C1575" s="1" t="s">
        <v>31</v>
      </c>
      <c r="D1575" s="4">
        <v>248.43295000000035</v>
      </c>
      <c r="E1575" s="4">
        <v>1975.9217000000003</v>
      </c>
      <c r="F1575" s="4">
        <v>780.57831409124447</v>
      </c>
      <c r="G1575" s="4">
        <v>5346.7943471427579</v>
      </c>
      <c r="H1575" s="19">
        <v>0</v>
      </c>
      <c r="J1575" s="1" t="s">
        <v>81</v>
      </c>
    </row>
    <row r="1576" spans="1:10" x14ac:dyDescent="0.25">
      <c r="A1576" s="1" t="s">
        <v>44</v>
      </c>
      <c r="B1576" s="1" t="s">
        <v>0</v>
      </c>
      <c r="C1576" s="1" t="s">
        <v>32</v>
      </c>
      <c r="D1576" s="4">
        <v>-543.29090298386564</v>
      </c>
      <c r="E1576" s="4">
        <v>2765.4453900000053</v>
      </c>
      <c r="F1576" s="4">
        <v>1981.0426402841006</v>
      </c>
      <c r="G1576" s="4">
        <v>14347.703885525563</v>
      </c>
      <c r="H1576" s="19">
        <v>-0.57189293013987319</v>
      </c>
      <c r="J1576" s="1" t="s">
        <v>81</v>
      </c>
    </row>
    <row r="1577" spans="1:10" x14ac:dyDescent="0.25">
      <c r="A1577" s="1" t="s">
        <v>45</v>
      </c>
      <c r="B1577" s="1" t="s">
        <v>9</v>
      </c>
      <c r="C1577" s="1" t="s">
        <v>63</v>
      </c>
      <c r="D1577" s="4">
        <v>3137.0867699999944</v>
      </c>
      <c r="E1577" s="4">
        <v>-24569.480319999944</v>
      </c>
      <c r="F1577" s="4">
        <v>2789.9353070175348</v>
      </c>
      <c r="G1577" s="4">
        <v>95270.491842105141</v>
      </c>
      <c r="H1577" s="19">
        <v>0.86112160627505874</v>
      </c>
      <c r="J1577" s="1" t="s">
        <v>81</v>
      </c>
    </row>
    <row r="1578" spans="1:10" x14ac:dyDescent="0.25">
      <c r="A1578" s="1" t="s">
        <v>45</v>
      </c>
      <c r="B1578" s="1" t="s">
        <v>9</v>
      </c>
      <c r="C1578" s="1" t="s">
        <v>26</v>
      </c>
      <c r="E1578" s="4">
        <v>170519.92852000002</v>
      </c>
      <c r="G1578" s="4">
        <v>222307.24906912274</v>
      </c>
      <c r="H1578" s="19">
        <v>0</v>
      </c>
      <c r="J1578" s="1" t="s">
        <v>81</v>
      </c>
    </row>
    <row r="1579" spans="1:10" x14ac:dyDescent="0.25">
      <c r="A1579" s="1" t="s">
        <v>45</v>
      </c>
      <c r="B1579" s="1" t="s">
        <v>9</v>
      </c>
      <c r="C1579" s="1" t="s">
        <v>27</v>
      </c>
      <c r="E1579" s="4">
        <v>119126.21129999998</v>
      </c>
      <c r="G1579" s="4">
        <v>139021.86514560535</v>
      </c>
      <c r="H1579" s="19">
        <v>0</v>
      </c>
      <c r="J1579" s="1" t="s">
        <v>81</v>
      </c>
    </row>
    <row r="1580" spans="1:10" x14ac:dyDescent="0.25">
      <c r="A1580" s="1" t="s">
        <v>45</v>
      </c>
      <c r="B1580" s="1" t="s">
        <v>9</v>
      </c>
      <c r="C1580" s="1" t="s">
        <v>21</v>
      </c>
      <c r="D1580" s="4">
        <v>356.62099999999998</v>
      </c>
      <c r="E1580" s="4">
        <v>15053.903109999999</v>
      </c>
      <c r="F1580" s="4">
        <v>4997.5589678362567</v>
      </c>
      <c r="G1580" s="4">
        <v>113148.95380701756</v>
      </c>
      <c r="H1580" s="19">
        <v>-0.93864584650758909</v>
      </c>
      <c r="J1580" s="1" t="s">
        <v>81</v>
      </c>
    </row>
    <row r="1581" spans="1:10" x14ac:dyDescent="0.25">
      <c r="A1581" s="1" t="s">
        <v>45</v>
      </c>
      <c r="B1581" s="1" t="s">
        <v>9</v>
      </c>
      <c r="C1581" s="1" t="s">
        <v>28</v>
      </c>
      <c r="D1581" s="4">
        <v>20000</v>
      </c>
      <c r="E1581" s="4">
        <v>295792</v>
      </c>
      <c r="F1581" s="4">
        <v>62110.805064189197</v>
      </c>
      <c r="G1581" s="4">
        <v>1152664.8303851355</v>
      </c>
      <c r="H1581" s="19">
        <v>-0.74239586842475158</v>
      </c>
      <c r="J1581" s="1" t="s">
        <v>81</v>
      </c>
    </row>
    <row r="1582" spans="1:10" x14ac:dyDescent="0.25">
      <c r="A1582" s="1" t="s">
        <v>45</v>
      </c>
      <c r="B1582" s="1" t="s">
        <v>9</v>
      </c>
      <c r="C1582" s="1" t="s">
        <v>29</v>
      </c>
      <c r="D1582" s="4">
        <v>186</v>
      </c>
      <c r="E1582" s="4">
        <v>9227</v>
      </c>
      <c r="F1582" s="4">
        <v>14000</v>
      </c>
      <c r="G1582" s="4">
        <v>86302</v>
      </c>
      <c r="H1582" s="19">
        <v>-0.98671428571428577</v>
      </c>
      <c r="J1582" s="1" t="s">
        <v>81</v>
      </c>
    </row>
    <row r="1583" spans="1:10" x14ac:dyDescent="0.25">
      <c r="A1583" s="1" t="s">
        <v>45</v>
      </c>
      <c r="B1583" s="1" t="s">
        <v>9</v>
      </c>
      <c r="C1583" s="1" t="s">
        <v>30</v>
      </c>
      <c r="D1583" s="4">
        <v>21</v>
      </c>
      <c r="E1583" s="4">
        <v>196</v>
      </c>
      <c r="F1583" s="4">
        <v>76</v>
      </c>
      <c r="G1583" s="4">
        <v>684</v>
      </c>
      <c r="H1583" s="19">
        <v>-0.89473684210526316</v>
      </c>
      <c r="J1583" s="1" t="s">
        <v>81</v>
      </c>
    </row>
    <row r="1584" spans="1:10" x14ac:dyDescent="0.25">
      <c r="A1584" s="1" t="s">
        <v>45</v>
      </c>
      <c r="B1584" s="1" t="s">
        <v>9</v>
      </c>
      <c r="C1584" s="1" t="s">
        <v>31</v>
      </c>
      <c r="D1584" s="4">
        <v>111.66228000000024</v>
      </c>
      <c r="E1584" s="4">
        <v>1518.6998500000002</v>
      </c>
      <c r="F1584" s="4">
        <v>402.36733828298065</v>
      </c>
      <c r="G1584" s="4">
        <v>2951.5184841410296</v>
      </c>
      <c r="H1584" s="19">
        <v>0</v>
      </c>
      <c r="J1584" s="1" t="s">
        <v>81</v>
      </c>
    </row>
    <row r="1585" spans="1:10" x14ac:dyDescent="0.25">
      <c r="A1585" s="1" t="s">
        <v>45</v>
      </c>
      <c r="B1585" s="1" t="s">
        <v>9</v>
      </c>
      <c r="C1585" s="1" t="s">
        <v>32</v>
      </c>
      <c r="D1585" s="4">
        <v>-812.44920031207857</v>
      </c>
      <c r="E1585" s="4">
        <v>-5266.977479999995</v>
      </c>
      <c r="F1585" s="4">
        <v>334.13376445647407</v>
      </c>
      <c r="G1585" s="4">
        <v>-154.41003341679078</v>
      </c>
      <c r="H1585" s="19">
        <v>0.13322845602251709</v>
      </c>
      <c r="J1585" s="1" t="s">
        <v>81</v>
      </c>
    </row>
    <row r="1586" spans="1:10" x14ac:dyDescent="0.25">
      <c r="A1586" s="1" t="s">
        <v>46</v>
      </c>
      <c r="B1586" s="1" t="s">
        <v>2</v>
      </c>
      <c r="C1586" s="1" t="s">
        <v>63</v>
      </c>
      <c r="D1586" s="4">
        <v>-10221.02078999998</v>
      </c>
      <c r="E1586" s="4">
        <v>6110.905299999984</v>
      </c>
      <c r="F1586" s="4">
        <v>6907.3728070175648</v>
      </c>
      <c r="G1586" s="4">
        <v>117640.55684210555</v>
      </c>
      <c r="H1586" s="19">
        <v>-2.2663650876224963</v>
      </c>
      <c r="J1586" s="1" t="s">
        <v>81</v>
      </c>
    </row>
    <row r="1587" spans="1:10" x14ac:dyDescent="0.25">
      <c r="A1587" s="1" t="s">
        <v>46</v>
      </c>
      <c r="B1587" s="1" t="s">
        <v>2</v>
      </c>
      <c r="C1587" s="1" t="s">
        <v>26</v>
      </c>
      <c r="E1587" s="4">
        <v>340706.49423000001</v>
      </c>
      <c r="G1587" s="4">
        <v>383011.29182912281</v>
      </c>
      <c r="H1587" s="19">
        <v>0</v>
      </c>
      <c r="J1587" s="1" t="s">
        <v>81</v>
      </c>
    </row>
    <row r="1588" spans="1:10" x14ac:dyDescent="0.25">
      <c r="A1588" s="1" t="s">
        <v>46</v>
      </c>
      <c r="B1588" s="1" t="s">
        <v>2</v>
      </c>
      <c r="C1588" s="1" t="s">
        <v>27</v>
      </c>
      <c r="E1588" s="4">
        <v>325119.14138734137</v>
      </c>
      <c r="G1588" s="4">
        <v>257946.38948632334</v>
      </c>
      <c r="H1588" s="19">
        <v>0</v>
      </c>
      <c r="J1588" s="1" t="s">
        <v>81</v>
      </c>
    </row>
    <row r="1589" spans="1:10" x14ac:dyDescent="0.25">
      <c r="A1589" s="1" t="s">
        <v>46</v>
      </c>
      <c r="B1589" s="1" t="s">
        <v>2</v>
      </c>
      <c r="C1589" s="1" t="s">
        <v>21</v>
      </c>
      <c r="D1589" s="4">
        <v>1050.5</v>
      </c>
      <c r="E1589" s="4">
        <v>36586.261599999998</v>
      </c>
      <c r="F1589" s="4">
        <v>12373.04780116959</v>
      </c>
      <c r="G1589" s="4">
        <v>154483.68680701757</v>
      </c>
      <c r="H1589" s="19">
        <v>-0.93451896307040738</v>
      </c>
      <c r="J1589" s="1" t="s">
        <v>81</v>
      </c>
    </row>
    <row r="1590" spans="1:10" x14ac:dyDescent="0.25">
      <c r="A1590" s="1" t="s">
        <v>46</v>
      </c>
      <c r="B1590" s="1" t="s">
        <v>2</v>
      </c>
      <c r="C1590" s="1" t="s">
        <v>28</v>
      </c>
      <c r="D1590" s="4">
        <v>42600</v>
      </c>
      <c r="E1590" s="4">
        <v>606707</v>
      </c>
      <c r="F1590" s="4">
        <v>248443.22025675679</v>
      </c>
      <c r="G1590" s="4">
        <v>2048659.3215405405</v>
      </c>
      <c r="H1590" s="19">
        <v>-0.95974935444136744</v>
      </c>
      <c r="J1590" s="1" t="s">
        <v>81</v>
      </c>
    </row>
    <row r="1591" spans="1:10" x14ac:dyDescent="0.25">
      <c r="A1591" s="1" t="s">
        <v>46</v>
      </c>
      <c r="B1591" s="1" t="s">
        <v>2</v>
      </c>
      <c r="C1591" s="1" t="s">
        <v>29</v>
      </c>
      <c r="D1591" s="4">
        <v>37656</v>
      </c>
      <c r="E1591" s="4">
        <v>543588</v>
      </c>
      <c r="F1591" s="4">
        <v>56000</v>
      </c>
      <c r="G1591" s="4">
        <v>563382.89</v>
      </c>
      <c r="H1591" s="19">
        <v>-0.63830357142857141</v>
      </c>
      <c r="J1591" s="1" t="s">
        <v>81</v>
      </c>
    </row>
    <row r="1592" spans="1:10" x14ac:dyDescent="0.25">
      <c r="A1592" s="1" t="s">
        <v>46</v>
      </c>
      <c r="B1592" s="1" t="s">
        <v>2</v>
      </c>
      <c r="C1592" s="1" t="s">
        <v>30</v>
      </c>
      <c r="D1592" s="4">
        <v>39</v>
      </c>
      <c r="E1592" s="4">
        <v>526</v>
      </c>
      <c r="F1592" s="4">
        <v>98</v>
      </c>
      <c r="G1592" s="4">
        <v>882</v>
      </c>
      <c r="H1592" s="19">
        <v>-0.69387755102040816</v>
      </c>
      <c r="J1592" s="1" t="s">
        <v>81</v>
      </c>
    </row>
    <row r="1593" spans="1:10" x14ac:dyDescent="0.25">
      <c r="A1593" s="1" t="s">
        <v>46</v>
      </c>
      <c r="B1593" s="1" t="s">
        <v>2</v>
      </c>
      <c r="C1593" s="1" t="s">
        <v>31</v>
      </c>
      <c r="D1593" s="4">
        <v>170.48258999999916</v>
      </c>
      <c r="E1593" s="4">
        <v>2651.1268799999998</v>
      </c>
      <c r="F1593" s="4">
        <v>846.22887005580469</v>
      </c>
      <c r="G1593" s="4">
        <v>6103.1250365090482</v>
      </c>
      <c r="H1593" s="19">
        <v>0</v>
      </c>
      <c r="J1593" s="1" t="s">
        <v>81</v>
      </c>
    </row>
    <row r="1594" spans="1:10" x14ac:dyDescent="0.25">
      <c r="A1594" s="1" t="s">
        <v>46</v>
      </c>
      <c r="B1594" s="1" t="s">
        <v>2</v>
      </c>
      <c r="C1594" s="1" t="s">
        <v>32</v>
      </c>
      <c r="D1594" s="4">
        <v>-1682.2283728009879</v>
      </c>
      <c r="E1594" s="4">
        <v>-7737.0892699999958</v>
      </c>
      <c r="F1594" s="4">
        <v>3877.2261649134348</v>
      </c>
      <c r="G1594" s="4">
        <v>14030.753781757396</v>
      </c>
      <c r="H1594" s="19">
        <v>-1.1926452386913227</v>
      </c>
      <c r="J1594" s="1" t="s">
        <v>81</v>
      </c>
    </row>
    <row r="1595" spans="1:10" x14ac:dyDescent="0.25">
      <c r="A1595" s="1" t="s">
        <v>47</v>
      </c>
      <c r="B1595" s="1" t="s">
        <v>6</v>
      </c>
      <c r="C1595" s="1" t="s">
        <v>63</v>
      </c>
      <c r="D1595" s="4">
        <v>-2652.0436299999928</v>
      </c>
      <c r="E1595" s="4">
        <v>10339.093589999989</v>
      </c>
      <c r="F1595" s="4">
        <v>2867.6228070175498</v>
      </c>
      <c r="G1595" s="4">
        <v>83736.616842105286</v>
      </c>
      <c r="H1595" s="19">
        <v>-1.5415116124058943</v>
      </c>
      <c r="J1595" s="1" t="s">
        <v>81</v>
      </c>
    </row>
    <row r="1596" spans="1:10" x14ac:dyDescent="0.25">
      <c r="A1596" s="1" t="s">
        <v>47</v>
      </c>
      <c r="B1596" s="1" t="s">
        <v>6</v>
      </c>
      <c r="C1596" s="1" t="s">
        <v>26</v>
      </c>
      <c r="E1596" s="4">
        <v>49412.101060000001</v>
      </c>
      <c r="G1596" s="4">
        <v>65876.779169122834</v>
      </c>
      <c r="H1596" s="19">
        <v>0</v>
      </c>
      <c r="J1596" s="1" t="s">
        <v>81</v>
      </c>
    </row>
    <row r="1597" spans="1:10" x14ac:dyDescent="0.25">
      <c r="A1597" s="1" t="s">
        <v>47</v>
      </c>
      <c r="B1597" s="1" t="s">
        <v>6</v>
      </c>
      <c r="C1597" s="1" t="s">
        <v>27</v>
      </c>
      <c r="E1597" s="4">
        <v>210146.67785000007</v>
      </c>
      <c r="G1597" s="4">
        <v>187019.91768942148</v>
      </c>
      <c r="H1597" s="19">
        <v>0</v>
      </c>
      <c r="J1597" s="1" t="s">
        <v>81</v>
      </c>
    </row>
    <row r="1598" spans="1:10" x14ac:dyDescent="0.25">
      <c r="A1598" s="1" t="s">
        <v>47</v>
      </c>
      <c r="B1598" s="1" t="s">
        <v>6</v>
      </c>
      <c r="C1598" s="1" t="s">
        <v>21</v>
      </c>
      <c r="D1598" s="4">
        <v>3820.2202499999999</v>
      </c>
      <c r="E1598" s="4">
        <v>38344.032400000004</v>
      </c>
      <c r="F1598" s="4">
        <v>5136.719134502925</v>
      </c>
      <c r="G1598" s="4">
        <v>98983.914807017572</v>
      </c>
      <c r="H1598" s="19">
        <v>-0.33823026702647446</v>
      </c>
      <c r="J1598" s="1" t="s">
        <v>81</v>
      </c>
    </row>
    <row r="1599" spans="1:10" x14ac:dyDescent="0.25">
      <c r="A1599" s="1" t="s">
        <v>47</v>
      </c>
      <c r="B1599" s="1" t="s">
        <v>6</v>
      </c>
      <c r="C1599" s="1" t="s">
        <v>28</v>
      </c>
      <c r="D1599" s="4">
        <v>51388</v>
      </c>
      <c r="E1599" s="4">
        <v>357350</v>
      </c>
      <c r="F1599" s="4">
        <v>0</v>
      </c>
      <c r="G1599" s="4">
        <v>102000</v>
      </c>
      <c r="H1599" s="19">
        <v>0</v>
      </c>
      <c r="J1599" s="1" t="s">
        <v>81</v>
      </c>
    </row>
    <row r="1600" spans="1:10" x14ac:dyDescent="0.25">
      <c r="A1600" s="1" t="s">
        <v>47</v>
      </c>
      <c r="B1600" s="1" t="s">
        <v>6</v>
      </c>
      <c r="C1600" s="1" t="s">
        <v>29</v>
      </c>
      <c r="D1600" s="4">
        <v>0</v>
      </c>
      <c r="E1600" s="4">
        <v>9659</v>
      </c>
      <c r="F1600" s="4">
        <v>0</v>
      </c>
      <c r="G1600" s="4">
        <v>7780.5</v>
      </c>
      <c r="H1600" s="19">
        <v>0</v>
      </c>
      <c r="J1600" s="1" t="s">
        <v>81</v>
      </c>
    </row>
    <row r="1601" spans="1:10" x14ac:dyDescent="0.25">
      <c r="A1601" s="1" t="s">
        <v>47</v>
      </c>
      <c r="B1601" s="1" t="s">
        <v>6</v>
      </c>
      <c r="C1601" s="1" t="s">
        <v>30</v>
      </c>
      <c r="D1601" s="4">
        <v>23</v>
      </c>
      <c r="E1601" s="4">
        <v>382</v>
      </c>
      <c r="F1601" s="4">
        <v>73</v>
      </c>
      <c r="G1601" s="4">
        <v>657</v>
      </c>
      <c r="H1601" s="19">
        <v>-0.79452054794520544</v>
      </c>
      <c r="J1601" s="1" t="s">
        <v>81</v>
      </c>
    </row>
    <row r="1602" spans="1:10" x14ac:dyDescent="0.25">
      <c r="A1602" s="1" t="s">
        <v>47</v>
      </c>
      <c r="B1602" s="1" t="s">
        <v>6</v>
      </c>
      <c r="C1602" s="1" t="s">
        <v>31</v>
      </c>
      <c r="D1602" s="4">
        <v>264.87014000000045</v>
      </c>
      <c r="E1602" s="4">
        <v>2474.3144300000004</v>
      </c>
      <c r="F1602" s="4">
        <v>339.6155079819132</v>
      </c>
      <c r="G1602" s="4">
        <v>2974.1823029652637</v>
      </c>
      <c r="H1602" s="19">
        <v>0</v>
      </c>
      <c r="J1602" s="1" t="s">
        <v>81</v>
      </c>
    </row>
    <row r="1603" spans="1:10" x14ac:dyDescent="0.25">
      <c r="A1603" s="1" t="s">
        <v>47</v>
      </c>
      <c r="B1603" s="1" t="s">
        <v>6</v>
      </c>
      <c r="C1603" s="1" t="s">
        <v>32</v>
      </c>
      <c r="D1603" s="4">
        <v>593.44644836058615</v>
      </c>
      <c r="E1603" s="4">
        <v>1819.8338999999985</v>
      </c>
      <c r="F1603" s="4">
        <v>1796.8019350989996</v>
      </c>
      <c r="G1603" s="4">
        <v>14562.619777195003</v>
      </c>
      <c r="H1603" s="19">
        <v>-0.22096303846485477</v>
      </c>
      <c r="J1603" s="1" t="s">
        <v>81</v>
      </c>
    </row>
    <row r="1604" spans="1:10" x14ac:dyDescent="0.25">
      <c r="A1604" s="1" t="s">
        <v>48</v>
      </c>
      <c r="B1604" s="1" t="s">
        <v>17</v>
      </c>
      <c r="C1604" s="1" t="s">
        <v>63</v>
      </c>
      <c r="D1604" s="4">
        <v>4118.7527300000074</v>
      </c>
      <c r="E1604" s="4">
        <v>-54329.41592999993</v>
      </c>
      <c r="F1604" s="4">
        <v>2986.0037593985198</v>
      </c>
      <c r="G1604" s="4">
        <v>100046.90255639108</v>
      </c>
      <c r="H1604" s="19">
        <v>-0.21686366849348185</v>
      </c>
      <c r="J1604" s="1" t="s">
        <v>81</v>
      </c>
    </row>
    <row r="1605" spans="1:10" x14ac:dyDescent="0.25">
      <c r="A1605" s="1" t="s">
        <v>48</v>
      </c>
      <c r="B1605" s="1" t="s">
        <v>17</v>
      </c>
      <c r="C1605" s="1" t="s">
        <v>26</v>
      </c>
      <c r="E1605" s="4">
        <v>168675.83556000004</v>
      </c>
      <c r="G1605" s="4">
        <v>242554.86318578947</v>
      </c>
      <c r="H1605" s="19">
        <v>0</v>
      </c>
      <c r="J1605" s="1" t="s">
        <v>81</v>
      </c>
    </row>
    <row r="1606" spans="1:10" x14ac:dyDescent="0.25">
      <c r="A1606" s="1" t="s">
        <v>48</v>
      </c>
      <c r="B1606" s="1" t="s">
        <v>17</v>
      </c>
      <c r="C1606" s="1" t="s">
        <v>27</v>
      </c>
      <c r="E1606" s="4">
        <v>133750.09337999998</v>
      </c>
      <c r="G1606" s="4">
        <v>110199.77955294662</v>
      </c>
      <c r="H1606" s="19">
        <v>0</v>
      </c>
      <c r="J1606" s="1" t="s">
        <v>81</v>
      </c>
    </row>
    <row r="1607" spans="1:10" x14ac:dyDescent="0.25">
      <c r="A1607" s="1" t="s">
        <v>48</v>
      </c>
      <c r="B1607" s="1" t="s">
        <v>17</v>
      </c>
      <c r="C1607" s="1" t="s">
        <v>21</v>
      </c>
      <c r="D1607" s="4">
        <v>1678.3040000000001</v>
      </c>
      <c r="E1607" s="4">
        <v>33458.590850000001</v>
      </c>
      <c r="F1607" s="4">
        <v>5348.7727218045111</v>
      </c>
      <c r="G1607" s="4">
        <v>119756.23633082703</v>
      </c>
      <c r="H1607" s="19">
        <v>-0.82214069479492657</v>
      </c>
      <c r="J1607" s="1" t="s">
        <v>81</v>
      </c>
    </row>
    <row r="1608" spans="1:10" x14ac:dyDescent="0.25">
      <c r="A1608" s="1" t="s">
        <v>48</v>
      </c>
      <c r="B1608" s="1" t="s">
        <v>17</v>
      </c>
      <c r="C1608" s="1" t="s">
        <v>28</v>
      </c>
      <c r="D1608" s="4">
        <v>782557</v>
      </c>
      <c r="E1608" s="4">
        <v>8044657.1899999995</v>
      </c>
      <c r="F1608" s="4">
        <v>62110.805064189197</v>
      </c>
      <c r="G1608" s="4">
        <v>2856664.8303851355</v>
      </c>
      <c r="H1608" s="19">
        <v>6.849793598652087</v>
      </c>
      <c r="J1608" s="1" t="s">
        <v>81</v>
      </c>
    </row>
    <row r="1609" spans="1:10" x14ac:dyDescent="0.25">
      <c r="A1609" s="1" t="s">
        <v>48</v>
      </c>
      <c r="B1609" s="1" t="s">
        <v>17</v>
      </c>
      <c r="C1609" s="1" t="s">
        <v>29</v>
      </c>
      <c r="D1609" s="4">
        <v>3058</v>
      </c>
      <c r="E1609" s="4">
        <v>24258</v>
      </c>
      <c r="F1609" s="4">
        <v>14000</v>
      </c>
      <c r="G1609" s="4">
        <v>87354.45</v>
      </c>
      <c r="H1609" s="19">
        <v>-0.97250000000000003</v>
      </c>
      <c r="J1609" s="1" t="s">
        <v>81</v>
      </c>
    </row>
    <row r="1610" spans="1:10" x14ac:dyDescent="0.25">
      <c r="A1610" s="1" t="s">
        <v>48</v>
      </c>
      <c r="B1610" s="1" t="s">
        <v>17</v>
      </c>
      <c r="C1610" s="1" t="s">
        <v>30</v>
      </c>
      <c r="D1610" s="4">
        <v>49</v>
      </c>
      <c r="E1610" s="4">
        <v>525</v>
      </c>
      <c r="F1610" s="4">
        <v>91</v>
      </c>
      <c r="G1610" s="4">
        <v>819</v>
      </c>
      <c r="H1610" s="19">
        <v>-0.65934065934065933</v>
      </c>
      <c r="J1610" s="1" t="s">
        <v>81</v>
      </c>
    </row>
    <row r="1611" spans="1:10" x14ac:dyDescent="0.25">
      <c r="A1611" s="1" t="s">
        <v>48</v>
      </c>
      <c r="B1611" s="1" t="s">
        <v>17</v>
      </c>
      <c r="C1611" s="1" t="s">
        <v>31</v>
      </c>
      <c r="D1611" s="4">
        <v>994.79280000000472</v>
      </c>
      <c r="E1611" s="4">
        <v>10712.178970000003</v>
      </c>
      <c r="F1611" s="4">
        <v>519.31611060884825</v>
      </c>
      <c r="G1611" s="4">
        <v>5574.7627205638664</v>
      </c>
      <c r="H1611" s="19">
        <v>0</v>
      </c>
      <c r="J1611" s="1" t="s">
        <v>81</v>
      </c>
    </row>
    <row r="1612" spans="1:10" x14ac:dyDescent="0.25">
      <c r="A1612" s="1" t="s">
        <v>48</v>
      </c>
      <c r="B1612" s="1" t="s">
        <v>17</v>
      </c>
      <c r="C1612" s="1" t="s">
        <v>32</v>
      </c>
      <c r="D1612" s="4">
        <v>-674.7140522570246</v>
      </c>
      <c r="E1612" s="4">
        <v>629.21660000000497</v>
      </c>
      <c r="F1612" s="4">
        <v>74.917559098503489</v>
      </c>
      <c r="G1612" s="4">
        <v>-5000.8323031693226</v>
      </c>
      <c r="H1612" s="19">
        <v>6.6207751142736209</v>
      </c>
      <c r="J1612" s="1" t="s">
        <v>81</v>
      </c>
    </row>
    <row r="1613" spans="1:10" x14ac:dyDescent="0.25">
      <c r="A1613" s="1" t="s">
        <v>49</v>
      </c>
      <c r="B1613" s="1" t="s">
        <v>5</v>
      </c>
      <c r="C1613" s="1" t="s">
        <v>63</v>
      </c>
      <c r="D1613" s="4">
        <v>-1631.8735099999976</v>
      </c>
      <c r="E1613" s="4">
        <v>-8714.2306900000003</v>
      </c>
      <c r="F1613" s="4">
        <v>2986.0037593984903</v>
      </c>
      <c r="G1613" s="4">
        <v>62781.462556390994</v>
      </c>
      <c r="H1613" s="19">
        <v>-2.036521709076307</v>
      </c>
      <c r="J1613" s="1" t="s">
        <v>81</v>
      </c>
    </row>
    <row r="1614" spans="1:10" x14ac:dyDescent="0.25">
      <c r="A1614" s="1" t="s">
        <v>49</v>
      </c>
      <c r="B1614" s="1" t="s">
        <v>5</v>
      </c>
      <c r="C1614" s="1" t="s">
        <v>26</v>
      </c>
      <c r="E1614" s="4">
        <v>29193.435439999997</v>
      </c>
      <c r="G1614" s="4">
        <v>50574.386995789471</v>
      </c>
      <c r="H1614" s="19">
        <v>0</v>
      </c>
      <c r="J1614" s="1" t="s">
        <v>81</v>
      </c>
    </row>
    <row r="1615" spans="1:10" x14ac:dyDescent="0.25">
      <c r="A1615" s="1" t="s">
        <v>49</v>
      </c>
      <c r="B1615" s="1" t="s">
        <v>5</v>
      </c>
      <c r="C1615" s="1" t="s">
        <v>27</v>
      </c>
      <c r="E1615" s="4">
        <v>67478.5383</v>
      </c>
      <c r="G1615" s="4">
        <v>111218.56575355132</v>
      </c>
      <c r="H1615" s="19">
        <v>0</v>
      </c>
      <c r="J1615" s="1" t="s">
        <v>81</v>
      </c>
    </row>
    <row r="1616" spans="1:10" x14ac:dyDescent="0.25">
      <c r="A1616" s="1" t="s">
        <v>49</v>
      </c>
      <c r="B1616" s="1" t="s">
        <v>5</v>
      </c>
      <c r="C1616" s="1" t="s">
        <v>21</v>
      </c>
      <c r="D1616" s="4">
        <v>1094.3168999999998</v>
      </c>
      <c r="E1616" s="4">
        <v>19216.189400000003</v>
      </c>
      <c r="F1616" s="4">
        <v>10544.085610693401</v>
      </c>
      <c r="G1616" s="4">
        <v>104346.31366416044</v>
      </c>
      <c r="H1616" s="19">
        <v>-0.89853867471305116</v>
      </c>
      <c r="J1616" s="1" t="s">
        <v>81</v>
      </c>
    </row>
    <row r="1617" spans="1:10" x14ac:dyDescent="0.25">
      <c r="A1617" s="1" t="s">
        <v>49</v>
      </c>
      <c r="B1617" s="1" t="s">
        <v>5</v>
      </c>
      <c r="C1617" s="1" t="s">
        <v>28</v>
      </c>
      <c r="D1617" s="4">
        <v>5000</v>
      </c>
      <c r="E1617" s="4">
        <v>415979.14</v>
      </c>
      <c r="F1617" s="4">
        <v>62110.805064189197</v>
      </c>
      <c r="G1617" s="4">
        <v>726664.83038513537</v>
      </c>
      <c r="H1617" s="19">
        <v>-1</v>
      </c>
      <c r="J1617" s="1" t="s">
        <v>81</v>
      </c>
    </row>
    <row r="1618" spans="1:10" x14ac:dyDescent="0.25">
      <c r="A1618" s="1" t="s">
        <v>49</v>
      </c>
      <c r="B1618" s="1" t="s">
        <v>5</v>
      </c>
      <c r="C1618" s="1" t="s">
        <v>29</v>
      </c>
      <c r="D1618" s="4">
        <v>3424</v>
      </c>
      <c r="E1618" s="4">
        <v>12202</v>
      </c>
      <c r="F1618" s="4">
        <v>14000</v>
      </c>
      <c r="G1618" s="4">
        <v>84790</v>
      </c>
      <c r="H1618" s="19">
        <v>-0.84792857142857148</v>
      </c>
      <c r="J1618" s="1" t="s">
        <v>81</v>
      </c>
    </row>
    <row r="1619" spans="1:10" x14ac:dyDescent="0.25">
      <c r="A1619" s="1" t="s">
        <v>49</v>
      </c>
      <c r="B1619" s="1" t="s">
        <v>5</v>
      </c>
      <c r="C1619" s="1" t="s">
        <v>30</v>
      </c>
      <c r="D1619" s="4">
        <v>25</v>
      </c>
      <c r="E1619" s="4">
        <v>398</v>
      </c>
      <c r="F1619" s="4">
        <v>58</v>
      </c>
      <c r="G1619" s="4">
        <v>522</v>
      </c>
      <c r="H1619" s="19">
        <v>-0.65517241379310343</v>
      </c>
      <c r="J1619" s="1" t="s">
        <v>81</v>
      </c>
    </row>
    <row r="1620" spans="1:10" x14ac:dyDescent="0.25">
      <c r="A1620" s="1" t="s">
        <v>49</v>
      </c>
      <c r="B1620" s="1" t="s">
        <v>5</v>
      </c>
      <c r="C1620" s="1" t="s">
        <v>31</v>
      </c>
      <c r="D1620" s="4">
        <v>132.37232000000017</v>
      </c>
      <c r="E1620" s="4">
        <v>1770.6755699999999</v>
      </c>
      <c r="F1620" s="4">
        <v>533.94731923539848</v>
      </c>
      <c r="G1620" s="4">
        <v>3811.9214029011641</v>
      </c>
      <c r="H1620" s="19">
        <v>0</v>
      </c>
      <c r="J1620" s="1" t="s">
        <v>81</v>
      </c>
    </row>
    <row r="1621" spans="1:10" x14ac:dyDescent="0.25">
      <c r="A1621" s="1" t="s">
        <v>49</v>
      </c>
      <c r="B1621" s="1" t="s">
        <v>5</v>
      </c>
      <c r="C1621" s="1" t="s">
        <v>32</v>
      </c>
      <c r="D1621" s="4">
        <v>-286.06493798785209</v>
      </c>
      <c r="E1621" s="4">
        <v>-2148.3923299999992</v>
      </c>
      <c r="F1621" s="4">
        <v>1008.0789240550741</v>
      </c>
      <c r="G1621" s="4">
        <v>4653.5950075225182</v>
      </c>
      <c r="H1621" s="19">
        <v>-0.6172657013322087</v>
      </c>
      <c r="J1621" s="1" t="s">
        <v>81</v>
      </c>
    </row>
    <row r="1622" spans="1:10" x14ac:dyDescent="0.25">
      <c r="A1622" s="1" t="s">
        <v>50</v>
      </c>
      <c r="B1622" s="1" t="s">
        <v>4</v>
      </c>
      <c r="C1622" s="1" t="s">
        <v>63</v>
      </c>
      <c r="D1622" s="4">
        <v>-31812.598769999924</v>
      </c>
      <c r="E1622" s="4">
        <v>155464.07384000008</v>
      </c>
      <c r="F1622" s="4">
        <v>6444.9472117793557</v>
      </c>
      <c r="G1622" s="4">
        <v>118800.56327067676</v>
      </c>
      <c r="H1622" s="19">
        <v>-6.9478593944009486</v>
      </c>
      <c r="J1622" s="1" t="s">
        <v>81</v>
      </c>
    </row>
    <row r="1623" spans="1:10" x14ac:dyDescent="0.25">
      <c r="A1623" s="1" t="s">
        <v>50</v>
      </c>
      <c r="B1623" s="1" t="s">
        <v>4</v>
      </c>
      <c r="C1623" s="1" t="s">
        <v>26</v>
      </c>
      <c r="E1623" s="4">
        <v>860624.31786000007</v>
      </c>
      <c r="G1623" s="4">
        <v>729586.64235245599</v>
      </c>
      <c r="H1623" s="19">
        <v>0</v>
      </c>
      <c r="J1623" s="1" t="s">
        <v>81</v>
      </c>
    </row>
    <row r="1624" spans="1:10" x14ac:dyDescent="0.25">
      <c r="A1624" s="1" t="s">
        <v>50</v>
      </c>
      <c r="B1624" s="1" t="s">
        <v>4</v>
      </c>
      <c r="C1624" s="1" t="s">
        <v>27</v>
      </c>
      <c r="E1624" s="4">
        <v>389518.14689999976</v>
      </c>
      <c r="G1624" s="4">
        <v>320336.99823163223</v>
      </c>
      <c r="H1624" s="19">
        <v>0</v>
      </c>
      <c r="J1624" s="1" t="s">
        <v>81</v>
      </c>
    </row>
    <row r="1625" spans="1:10" x14ac:dyDescent="0.25">
      <c r="A1625" s="1" t="s">
        <v>50</v>
      </c>
      <c r="B1625" s="1" t="s">
        <v>4</v>
      </c>
      <c r="C1625" s="1" t="s">
        <v>21</v>
      </c>
      <c r="D1625" s="4">
        <v>19926.91245</v>
      </c>
      <c r="E1625" s="4">
        <v>58521.41154999999</v>
      </c>
      <c r="F1625" s="4">
        <v>11173.619697994987</v>
      </c>
      <c r="G1625" s="4">
        <v>152205.31818796994</v>
      </c>
      <c r="H1625" s="19">
        <v>-0.85887183449755644</v>
      </c>
      <c r="J1625" s="1" t="s">
        <v>81</v>
      </c>
    </row>
    <row r="1626" spans="1:10" x14ac:dyDescent="0.25">
      <c r="A1626" s="1" t="s">
        <v>50</v>
      </c>
      <c r="B1626" s="1" t="s">
        <v>4</v>
      </c>
      <c r="C1626" s="1" t="s">
        <v>28</v>
      </c>
      <c r="D1626" s="4">
        <v>3326517.8</v>
      </c>
      <c r="E1626" s="4">
        <v>34165905.509999998</v>
      </c>
      <c r="F1626" s="4">
        <v>2812732.172192568</v>
      </c>
      <c r="G1626" s="4">
        <v>33532393.033155397</v>
      </c>
      <c r="H1626" s="19">
        <v>-0.36973590392785133</v>
      </c>
      <c r="J1626" s="1" t="s">
        <v>81</v>
      </c>
    </row>
    <row r="1627" spans="1:10" x14ac:dyDescent="0.25">
      <c r="A1627" s="1" t="s">
        <v>50</v>
      </c>
      <c r="B1627" s="1" t="s">
        <v>4</v>
      </c>
      <c r="C1627" s="1" t="s">
        <v>29</v>
      </c>
      <c r="D1627" s="4">
        <v>303646</v>
      </c>
      <c r="E1627" s="4">
        <v>2475273</v>
      </c>
      <c r="F1627" s="4">
        <v>56000</v>
      </c>
      <c r="G1627" s="4">
        <v>1169325.1299999999</v>
      </c>
      <c r="H1627" s="19">
        <v>2.6436964285714284</v>
      </c>
      <c r="J1627" s="1" t="s">
        <v>81</v>
      </c>
    </row>
    <row r="1628" spans="1:10" x14ac:dyDescent="0.25">
      <c r="A1628" s="1" t="s">
        <v>50</v>
      </c>
      <c r="B1628" s="1" t="s">
        <v>4</v>
      </c>
      <c r="C1628" s="1" t="s">
        <v>30</v>
      </c>
      <c r="D1628" s="4">
        <v>31</v>
      </c>
      <c r="E1628" s="4">
        <v>376</v>
      </c>
      <c r="F1628" s="4">
        <v>98</v>
      </c>
      <c r="G1628" s="4">
        <v>882</v>
      </c>
      <c r="H1628" s="19">
        <v>-0.86734693877551017</v>
      </c>
      <c r="J1628" s="1" t="s">
        <v>81</v>
      </c>
    </row>
    <row r="1629" spans="1:10" x14ac:dyDescent="0.25">
      <c r="A1629" s="1" t="s">
        <v>50</v>
      </c>
      <c r="B1629" s="1" t="s">
        <v>4</v>
      </c>
      <c r="C1629" s="1" t="s">
        <v>31</v>
      </c>
      <c r="D1629" s="4">
        <v>4036.3089200000031</v>
      </c>
      <c r="E1629" s="4">
        <v>36954.374860000004</v>
      </c>
      <c r="F1629" s="4">
        <v>3365.0943004140609</v>
      </c>
      <c r="G1629" s="4">
        <v>29950.996918295292</v>
      </c>
      <c r="H1629" s="19">
        <v>0</v>
      </c>
      <c r="J1629" s="1" t="s">
        <v>81</v>
      </c>
    </row>
    <row r="1630" spans="1:10" x14ac:dyDescent="0.25">
      <c r="A1630" s="1" t="s">
        <v>50</v>
      </c>
      <c r="B1630" s="1" t="s">
        <v>4</v>
      </c>
      <c r="C1630" s="1" t="s">
        <v>32</v>
      </c>
      <c r="D1630" s="4">
        <v>7518.2316909299116</v>
      </c>
      <c r="E1630" s="4">
        <v>49680.063820000076</v>
      </c>
      <c r="F1630" s="4">
        <v>2949.826432996073</v>
      </c>
      <c r="G1630" s="4">
        <v>20230.419238848815</v>
      </c>
      <c r="H1630" s="19">
        <v>1.3057352235778188</v>
      </c>
      <c r="J1630" s="1" t="s">
        <v>81</v>
      </c>
    </row>
    <row r="1631" spans="1:10" x14ac:dyDescent="0.25">
      <c r="A1631" s="1" t="s">
        <v>51</v>
      </c>
      <c r="B1631" s="1" t="s">
        <v>3</v>
      </c>
      <c r="C1631" s="1" t="s">
        <v>63</v>
      </c>
      <c r="D1631" s="4">
        <v>-4032.9673199999816</v>
      </c>
      <c r="E1631" s="4">
        <v>4665.3402700000152</v>
      </c>
      <c r="F1631" s="4">
        <v>6004.7180451127733</v>
      </c>
      <c r="G1631" s="4">
        <v>95102.2282706767</v>
      </c>
      <c r="H1631" s="19">
        <v>-1.5949762025725374</v>
      </c>
      <c r="J1631" s="1" t="s">
        <v>81</v>
      </c>
    </row>
    <row r="1632" spans="1:10" x14ac:dyDescent="0.25">
      <c r="A1632" s="1" t="s">
        <v>51</v>
      </c>
      <c r="B1632" s="1" t="s">
        <v>3</v>
      </c>
      <c r="C1632" s="1" t="s">
        <v>26</v>
      </c>
      <c r="E1632" s="4">
        <v>83120.349220000004</v>
      </c>
      <c r="G1632" s="4">
        <v>127149.62453578947</v>
      </c>
      <c r="H1632" s="19">
        <v>0</v>
      </c>
      <c r="J1632" s="1" t="s">
        <v>81</v>
      </c>
    </row>
    <row r="1633" spans="1:10" x14ac:dyDescent="0.25">
      <c r="A1633" s="1" t="s">
        <v>51</v>
      </c>
      <c r="B1633" s="1" t="s">
        <v>3</v>
      </c>
      <c r="C1633" s="1" t="s">
        <v>27</v>
      </c>
      <c r="E1633" s="4">
        <v>152512.62695000001</v>
      </c>
      <c r="G1633" s="4">
        <v>176954.83925680714</v>
      </c>
      <c r="H1633" s="19">
        <v>0</v>
      </c>
      <c r="J1633" s="1" t="s">
        <v>81</v>
      </c>
    </row>
    <row r="1634" spans="1:10" x14ac:dyDescent="0.25">
      <c r="A1634" s="1" t="s">
        <v>51</v>
      </c>
      <c r="B1634" s="1" t="s">
        <v>3</v>
      </c>
      <c r="C1634" s="1" t="s">
        <v>21</v>
      </c>
      <c r="D1634" s="4">
        <v>198.55500000000001</v>
      </c>
      <c r="E1634" s="4">
        <v>29518.402549999999</v>
      </c>
      <c r="F1634" s="4">
        <v>10756.139197994988</v>
      </c>
      <c r="G1634" s="4">
        <v>123379.23518796991</v>
      </c>
      <c r="H1634" s="19">
        <v>-0.99302723787602332</v>
      </c>
      <c r="J1634" s="1" t="s">
        <v>81</v>
      </c>
    </row>
    <row r="1635" spans="1:10" x14ac:dyDescent="0.25">
      <c r="A1635" s="1" t="s">
        <v>51</v>
      </c>
      <c r="B1635" s="1" t="s">
        <v>3</v>
      </c>
      <c r="C1635" s="1" t="s">
        <v>28</v>
      </c>
      <c r="D1635" s="4">
        <v>23900</v>
      </c>
      <c r="E1635" s="4">
        <v>273380</v>
      </c>
      <c r="F1635" s="4">
        <v>124221.61012837839</v>
      </c>
      <c r="G1635" s="4">
        <v>1018329.6607702703</v>
      </c>
      <c r="H1635" s="19">
        <v>-0.82933726283139797</v>
      </c>
      <c r="J1635" s="1" t="s">
        <v>81</v>
      </c>
    </row>
    <row r="1636" spans="1:10" x14ac:dyDescent="0.25">
      <c r="A1636" s="1" t="s">
        <v>51</v>
      </c>
      <c r="B1636" s="1" t="s">
        <v>3</v>
      </c>
      <c r="C1636" s="1" t="s">
        <v>29</v>
      </c>
      <c r="D1636" s="4">
        <v>1494</v>
      </c>
      <c r="E1636" s="4">
        <v>54698</v>
      </c>
      <c r="F1636" s="4">
        <v>28000</v>
      </c>
      <c r="G1636" s="4">
        <v>185213.4</v>
      </c>
      <c r="H1636" s="19">
        <v>-0.99017857142857146</v>
      </c>
      <c r="J1636" s="1" t="s">
        <v>81</v>
      </c>
    </row>
    <row r="1637" spans="1:10" x14ac:dyDescent="0.25">
      <c r="A1637" s="1" t="s">
        <v>51</v>
      </c>
      <c r="B1637" s="1" t="s">
        <v>3</v>
      </c>
      <c r="C1637" s="1" t="s">
        <v>30</v>
      </c>
      <c r="D1637" s="4">
        <v>38</v>
      </c>
      <c r="E1637" s="4">
        <v>467</v>
      </c>
      <c r="F1637" s="4">
        <v>68</v>
      </c>
      <c r="G1637" s="4">
        <v>612</v>
      </c>
      <c r="H1637" s="19">
        <v>-0.6470588235294118</v>
      </c>
      <c r="J1637" s="1" t="s">
        <v>81</v>
      </c>
    </row>
    <row r="1638" spans="1:10" x14ac:dyDescent="0.25">
      <c r="A1638" s="1" t="s">
        <v>51</v>
      </c>
      <c r="B1638" s="1" t="s">
        <v>3</v>
      </c>
      <c r="C1638" s="1" t="s">
        <v>31</v>
      </c>
      <c r="D1638" s="4">
        <v>134.24491999999987</v>
      </c>
      <c r="E1638" s="4">
        <v>1952.0201400000001</v>
      </c>
      <c r="F1638" s="4">
        <v>685.812550581697</v>
      </c>
      <c r="G1638" s="4">
        <v>4802.748804815008</v>
      </c>
      <c r="H1638" s="19">
        <v>0</v>
      </c>
      <c r="J1638" s="1" t="s">
        <v>81</v>
      </c>
    </row>
    <row r="1639" spans="1:10" x14ac:dyDescent="0.25">
      <c r="A1639" s="1" t="s">
        <v>51</v>
      </c>
      <c r="B1639" s="1" t="s">
        <v>3</v>
      </c>
      <c r="C1639" s="1" t="s">
        <v>32</v>
      </c>
      <c r="D1639" s="4">
        <v>245.66368761967215</v>
      </c>
      <c r="E1639" s="4">
        <v>1537.1807500000032</v>
      </c>
      <c r="F1639" s="4">
        <v>1852.0452938848425</v>
      </c>
      <c r="G1639" s="4">
        <v>9959.6387178954028</v>
      </c>
      <c r="H1639" s="19">
        <v>-0.66886195384910085</v>
      </c>
      <c r="J1639" s="1" t="s">
        <v>81</v>
      </c>
    </row>
    <row r="1640" spans="1:10" x14ac:dyDescent="0.25">
      <c r="A1640" s="1" t="s">
        <v>52</v>
      </c>
      <c r="B1640" s="1" t="s">
        <v>13</v>
      </c>
      <c r="C1640" s="1" t="s">
        <v>63</v>
      </c>
      <c r="D1640" s="4">
        <v>-9523.4543399999966</v>
      </c>
      <c r="E1640" s="4">
        <v>-109737.54909000004</v>
      </c>
      <c r="F1640" s="4">
        <v>4358.4829260651468</v>
      </c>
      <c r="G1640" s="4">
        <v>95350.897556391021</v>
      </c>
      <c r="H1640" s="19">
        <v>-3.4672495825762555</v>
      </c>
      <c r="J1640" s="1" t="s">
        <v>81</v>
      </c>
    </row>
    <row r="1641" spans="1:10" x14ac:dyDescent="0.25">
      <c r="A1641" s="1" t="s">
        <v>52</v>
      </c>
      <c r="B1641" s="1" t="s">
        <v>13</v>
      </c>
      <c r="C1641" s="1" t="s">
        <v>26</v>
      </c>
      <c r="E1641" s="4">
        <v>141400.21826999998</v>
      </c>
      <c r="G1641" s="4">
        <v>283737.36418245616</v>
      </c>
      <c r="H1641" s="19">
        <v>0</v>
      </c>
      <c r="J1641" s="1" t="s">
        <v>81</v>
      </c>
    </row>
    <row r="1642" spans="1:10" x14ac:dyDescent="0.25">
      <c r="A1642" s="1" t="s">
        <v>52</v>
      </c>
      <c r="B1642" s="1" t="s">
        <v>13</v>
      </c>
      <c r="C1642" s="1" t="s">
        <v>27</v>
      </c>
      <c r="E1642" s="4">
        <v>208847.40095999997</v>
      </c>
      <c r="G1642" s="4">
        <v>189452.96408461803</v>
      </c>
      <c r="H1642" s="19">
        <v>0</v>
      </c>
      <c r="J1642" s="1" t="s">
        <v>81</v>
      </c>
    </row>
    <row r="1643" spans="1:10" x14ac:dyDescent="0.25">
      <c r="A1643" s="1" t="s">
        <v>52</v>
      </c>
      <c r="B1643" s="1" t="s">
        <v>13</v>
      </c>
      <c r="C1643" s="1" t="s">
        <v>21</v>
      </c>
      <c r="D1643" s="4">
        <v>327.72699999999998</v>
      </c>
      <c r="E1643" s="4">
        <v>29372.987099999998</v>
      </c>
      <c r="F1643" s="4">
        <v>7807.2689995822902</v>
      </c>
      <c r="G1643" s="4">
        <v>118343.61399749373</v>
      </c>
      <c r="H1643" s="19">
        <v>-0.9580228374329699</v>
      </c>
      <c r="J1643" s="1" t="s">
        <v>81</v>
      </c>
    </row>
    <row r="1644" spans="1:10" x14ac:dyDescent="0.25">
      <c r="A1644" s="1" t="s">
        <v>52</v>
      </c>
      <c r="B1644" s="1" t="s">
        <v>13</v>
      </c>
      <c r="C1644" s="1" t="s">
        <v>28</v>
      </c>
      <c r="D1644" s="4">
        <v>671672.78</v>
      </c>
      <c r="E1644" s="4">
        <v>15722846.529999999</v>
      </c>
      <c r="F1644" s="4">
        <v>124221.61012837839</v>
      </c>
      <c r="G1644" s="4">
        <v>4378329.660770271</v>
      </c>
      <c r="H1644" s="19">
        <v>2.122370573036005</v>
      </c>
      <c r="J1644" s="1" t="s">
        <v>81</v>
      </c>
    </row>
    <row r="1645" spans="1:10" x14ac:dyDescent="0.25">
      <c r="A1645" s="1" t="s">
        <v>52</v>
      </c>
      <c r="B1645" s="1" t="s">
        <v>13</v>
      </c>
      <c r="C1645" s="1" t="s">
        <v>29</v>
      </c>
      <c r="D1645" s="4">
        <v>3003</v>
      </c>
      <c r="E1645" s="4">
        <v>43232</v>
      </c>
      <c r="F1645" s="4">
        <v>28000</v>
      </c>
      <c r="G1645" s="4">
        <v>194746</v>
      </c>
      <c r="H1645" s="19">
        <v>-0.97650000000000003</v>
      </c>
      <c r="J1645" s="1" t="s">
        <v>81</v>
      </c>
    </row>
    <row r="1646" spans="1:10" x14ac:dyDescent="0.25">
      <c r="A1646" s="1" t="s">
        <v>52</v>
      </c>
      <c r="B1646" s="1" t="s">
        <v>13</v>
      </c>
      <c r="C1646" s="1" t="s">
        <v>30</v>
      </c>
      <c r="D1646" s="4">
        <v>24</v>
      </c>
      <c r="E1646" s="4">
        <v>254</v>
      </c>
      <c r="F1646" s="4">
        <v>65</v>
      </c>
      <c r="G1646" s="4">
        <v>585</v>
      </c>
      <c r="H1646" s="19">
        <v>-0.7384615384615385</v>
      </c>
      <c r="J1646" s="1" t="s">
        <v>81</v>
      </c>
    </row>
    <row r="1647" spans="1:10" x14ac:dyDescent="0.25">
      <c r="A1647" s="1" t="s">
        <v>52</v>
      </c>
      <c r="B1647" s="1" t="s">
        <v>13</v>
      </c>
      <c r="C1647" s="1" t="s">
        <v>31</v>
      </c>
      <c r="D1647" s="4">
        <v>724.65543000000071</v>
      </c>
      <c r="E1647" s="4">
        <v>17077.763139999999</v>
      </c>
      <c r="F1647" s="4">
        <v>490.40834192176226</v>
      </c>
      <c r="G1647" s="4">
        <v>9508.1564418336711</v>
      </c>
      <c r="H1647" s="19">
        <v>0</v>
      </c>
      <c r="J1647" s="1" t="s">
        <v>81</v>
      </c>
    </row>
    <row r="1648" spans="1:10" x14ac:dyDescent="0.25">
      <c r="A1648" s="1" t="s">
        <v>52</v>
      </c>
      <c r="B1648" s="1" t="s">
        <v>13</v>
      </c>
      <c r="C1648" s="1" t="s">
        <v>32</v>
      </c>
      <c r="D1648" s="4">
        <v>1274.8239946146614</v>
      </c>
      <c r="E1648" s="4">
        <v>3604.1273499999866</v>
      </c>
      <c r="F1648" s="4">
        <v>1090.2060689439393</v>
      </c>
      <c r="G1648" s="4">
        <v>2813.7078452390842</v>
      </c>
      <c r="H1648" s="19">
        <v>-0.17042096373937335</v>
      </c>
      <c r="J1648" s="1" t="s">
        <v>81</v>
      </c>
    </row>
    <row r="1649" spans="1:10" x14ac:dyDescent="0.25">
      <c r="A1649" s="1" t="s">
        <v>53</v>
      </c>
      <c r="B1649" s="1" t="s">
        <v>14</v>
      </c>
      <c r="C1649" s="1" t="s">
        <v>63</v>
      </c>
      <c r="D1649" s="4">
        <v>-292.4953300000052</v>
      </c>
      <c r="E1649" s="4">
        <v>13039.499689999993</v>
      </c>
      <c r="F1649" s="4">
        <v>2986.0037593984903</v>
      </c>
      <c r="G1649" s="4">
        <v>77246.902556390996</v>
      </c>
      <c r="H1649" s="19">
        <v>-1.0458581371738112</v>
      </c>
      <c r="J1649" s="1" t="s">
        <v>81</v>
      </c>
    </row>
    <row r="1650" spans="1:10" x14ac:dyDescent="0.25">
      <c r="A1650" s="1" t="s">
        <v>53</v>
      </c>
      <c r="B1650" s="1" t="s">
        <v>14</v>
      </c>
      <c r="C1650" s="1" t="s">
        <v>26</v>
      </c>
      <c r="E1650" s="4">
        <v>41334.034539999993</v>
      </c>
      <c r="G1650" s="4">
        <v>58207.229905789463</v>
      </c>
      <c r="H1650" s="19">
        <v>0</v>
      </c>
      <c r="J1650" s="1" t="s">
        <v>81</v>
      </c>
    </row>
    <row r="1651" spans="1:10" x14ac:dyDescent="0.25">
      <c r="A1651" s="1" t="s">
        <v>53</v>
      </c>
      <c r="B1651" s="1" t="s">
        <v>14</v>
      </c>
      <c r="C1651" s="1" t="s">
        <v>27</v>
      </c>
      <c r="E1651" s="4">
        <v>135219.94361000002</v>
      </c>
      <c r="G1651" s="4">
        <v>114919.81597085026</v>
      </c>
      <c r="H1651" s="19">
        <v>0</v>
      </c>
      <c r="J1651" s="1" t="s">
        <v>81</v>
      </c>
    </row>
    <row r="1652" spans="1:10" x14ac:dyDescent="0.25">
      <c r="A1652" s="1" t="s">
        <v>53</v>
      </c>
      <c r="B1652" s="1" t="s">
        <v>14</v>
      </c>
      <c r="C1652" s="1" t="s">
        <v>21</v>
      </c>
      <c r="D1652" s="4">
        <v>3187.5360000000001</v>
      </c>
      <c r="E1652" s="4">
        <v>19146.838</v>
      </c>
      <c r="F1652" s="4">
        <v>5348.7727218045111</v>
      </c>
      <c r="G1652" s="4">
        <v>91256.236330827058</v>
      </c>
      <c r="H1652" s="19">
        <v>-0.79434534664077228</v>
      </c>
      <c r="J1652" s="1" t="s">
        <v>81</v>
      </c>
    </row>
    <row r="1653" spans="1:10" x14ac:dyDescent="0.25">
      <c r="A1653" s="1" t="s">
        <v>53</v>
      </c>
      <c r="B1653" s="1" t="s">
        <v>14</v>
      </c>
      <c r="C1653" s="1" t="s">
        <v>28</v>
      </c>
      <c r="D1653" s="4">
        <v>23000</v>
      </c>
      <c r="E1653" s="4">
        <v>256120</v>
      </c>
      <c r="F1653" s="4">
        <v>62110.805064189197</v>
      </c>
      <c r="G1653" s="4">
        <v>546664.83038513514</v>
      </c>
      <c r="H1653" s="19">
        <v>-0.90339845065928182</v>
      </c>
      <c r="J1653" s="1" t="s">
        <v>81</v>
      </c>
    </row>
    <row r="1654" spans="1:10" x14ac:dyDescent="0.25">
      <c r="A1654" s="1" t="s">
        <v>53</v>
      </c>
      <c r="B1654" s="1" t="s">
        <v>14</v>
      </c>
      <c r="C1654" s="1" t="s">
        <v>29</v>
      </c>
      <c r="D1654" s="4">
        <v>2944</v>
      </c>
      <c r="E1654" s="4">
        <v>27079</v>
      </c>
      <c r="F1654" s="4">
        <v>14000</v>
      </c>
      <c r="G1654" s="4">
        <v>90036</v>
      </c>
      <c r="H1654" s="19">
        <v>-0.9415</v>
      </c>
      <c r="J1654" s="1" t="s">
        <v>81</v>
      </c>
    </row>
    <row r="1655" spans="1:10" x14ac:dyDescent="0.25">
      <c r="A1655" s="1" t="s">
        <v>53</v>
      </c>
      <c r="B1655" s="1" t="s">
        <v>14</v>
      </c>
      <c r="C1655" s="1" t="s">
        <v>30</v>
      </c>
      <c r="D1655" s="4">
        <v>28</v>
      </c>
      <c r="E1655" s="4">
        <v>280</v>
      </c>
      <c r="F1655" s="4">
        <v>61</v>
      </c>
      <c r="G1655" s="4">
        <v>549</v>
      </c>
      <c r="H1655" s="19">
        <v>-0.78688524590163933</v>
      </c>
      <c r="J1655" s="1" t="s">
        <v>81</v>
      </c>
    </row>
    <row r="1656" spans="1:10" x14ac:dyDescent="0.25">
      <c r="A1656" s="1" t="s">
        <v>53</v>
      </c>
      <c r="B1656" s="1" t="s">
        <v>14</v>
      </c>
      <c r="C1656" s="1" t="s">
        <v>31</v>
      </c>
      <c r="D1656" s="4">
        <v>151.16138999999998</v>
      </c>
      <c r="E1656" s="4">
        <v>1480.11283</v>
      </c>
      <c r="F1656" s="4">
        <v>366.98137017030649</v>
      </c>
      <c r="G1656" s="4">
        <v>2683.2196300571418</v>
      </c>
      <c r="H1656" s="19">
        <v>0</v>
      </c>
      <c r="J1656" s="1" t="s">
        <v>81</v>
      </c>
    </row>
    <row r="1657" spans="1:10" x14ac:dyDescent="0.25">
      <c r="A1657" s="1" t="s">
        <v>53</v>
      </c>
      <c r="B1657" s="1" t="s">
        <v>14</v>
      </c>
      <c r="C1657" s="1" t="s">
        <v>32</v>
      </c>
      <c r="D1657" s="4">
        <v>270.00973770790188</v>
      </c>
      <c r="E1657" s="4">
        <v>-2841.4684099999981</v>
      </c>
      <c r="F1657" s="4">
        <v>868.6876121309466</v>
      </c>
      <c r="G1657" s="4">
        <v>4852.2583957982461</v>
      </c>
      <c r="H1657" s="19">
        <v>-0.37326708428076633</v>
      </c>
      <c r="J1657" s="1" t="s">
        <v>81</v>
      </c>
    </row>
    <row r="1658" spans="1:10" x14ac:dyDescent="0.25">
      <c r="A1658" s="1" t="s">
        <v>54</v>
      </c>
      <c r="B1658" s="1" t="s">
        <v>16</v>
      </c>
      <c r="C1658" s="1" t="s">
        <v>63</v>
      </c>
      <c r="D1658" s="4">
        <v>4768.4350000000268</v>
      </c>
      <c r="E1658" s="4">
        <v>-6428.2691500000074</v>
      </c>
      <c r="F1658" s="4">
        <v>8812.5662593984907</v>
      </c>
      <c r="G1658" s="4">
        <v>120140.83755639099</v>
      </c>
      <c r="H1658" s="19">
        <v>-0.58960888990275884</v>
      </c>
      <c r="J1658" s="1" t="s">
        <v>81</v>
      </c>
    </row>
    <row r="1659" spans="1:10" x14ac:dyDescent="0.25">
      <c r="A1659" s="1" t="s">
        <v>54</v>
      </c>
      <c r="B1659" s="1" t="s">
        <v>16</v>
      </c>
      <c r="C1659" s="1" t="s">
        <v>26</v>
      </c>
      <c r="E1659" s="4">
        <v>150463.46079000001</v>
      </c>
      <c r="G1659" s="4">
        <v>206488.77644578941</v>
      </c>
      <c r="H1659" s="19">
        <v>0</v>
      </c>
      <c r="J1659" s="1" t="s">
        <v>81</v>
      </c>
    </row>
    <row r="1660" spans="1:10" x14ac:dyDescent="0.25">
      <c r="A1660" s="1" t="s">
        <v>54</v>
      </c>
      <c r="B1660" s="1" t="s">
        <v>16</v>
      </c>
      <c r="C1660" s="1" t="s">
        <v>27</v>
      </c>
      <c r="E1660" s="4">
        <v>159540.38125000001</v>
      </c>
      <c r="G1660" s="4">
        <v>174082.71396983496</v>
      </c>
      <c r="H1660" s="19">
        <v>0</v>
      </c>
      <c r="J1660" s="1" t="s">
        <v>81</v>
      </c>
    </row>
    <row r="1661" spans="1:10" x14ac:dyDescent="0.25">
      <c r="A1661" s="1" t="s">
        <v>54</v>
      </c>
      <c r="B1661" s="1" t="s">
        <v>16</v>
      </c>
      <c r="C1661" s="1" t="s">
        <v>21</v>
      </c>
      <c r="D1661" s="4">
        <v>7229.9560000000001</v>
      </c>
      <c r="E1661" s="4">
        <v>37363.210050000002</v>
      </c>
      <c r="F1661" s="4">
        <v>8116.5138143971044</v>
      </c>
      <c r="G1661" s="4">
        <v>117780.88288638259</v>
      </c>
      <c r="H1661" s="19">
        <v>-0.57851645691382214</v>
      </c>
      <c r="J1661" s="1" t="s">
        <v>81</v>
      </c>
    </row>
    <row r="1662" spans="1:10" x14ac:dyDescent="0.25">
      <c r="A1662" s="1" t="s">
        <v>54</v>
      </c>
      <c r="B1662" s="1" t="s">
        <v>16</v>
      </c>
      <c r="C1662" s="1" t="s">
        <v>28</v>
      </c>
      <c r="D1662" s="4">
        <v>344987</v>
      </c>
      <c r="E1662" s="4">
        <v>2291072</v>
      </c>
      <c r="F1662" s="4">
        <v>1656288.1350450451</v>
      </c>
      <c r="G1662" s="4">
        <v>11431728.810270268</v>
      </c>
      <c r="H1662" s="19">
        <v>-0.94898230675443318</v>
      </c>
      <c r="J1662" s="1" t="s">
        <v>81</v>
      </c>
    </row>
    <row r="1663" spans="1:10" x14ac:dyDescent="0.25">
      <c r="A1663" s="1" t="s">
        <v>54</v>
      </c>
      <c r="B1663" s="1" t="s">
        <v>16</v>
      </c>
      <c r="C1663" s="1" t="s">
        <v>29</v>
      </c>
      <c r="D1663" s="4">
        <v>56295</v>
      </c>
      <c r="E1663" s="4">
        <v>436829</v>
      </c>
      <c r="F1663" s="4">
        <v>83666</v>
      </c>
      <c r="G1663" s="4">
        <v>745826.65</v>
      </c>
      <c r="H1663" s="19">
        <v>-0.83658833934931753</v>
      </c>
      <c r="J1663" s="1" t="s">
        <v>81</v>
      </c>
    </row>
    <row r="1664" spans="1:10" x14ac:dyDescent="0.25">
      <c r="A1664" s="1" t="s">
        <v>54</v>
      </c>
      <c r="B1664" s="1" t="s">
        <v>16</v>
      </c>
      <c r="C1664" s="1" t="s">
        <v>30</v>
      </c>
      <c r="D1664" s="4">
        <v>46</v>
      </c>
      <c r="E1664" s="4">
        <v>431</v>
      </c>
      <c r="F1664" s="4">
        <v>56</v>
      </c>
      <c r="G1664" s="4">
        <v>504</v>
      </c>
      <c r="H1664" s="19">
        <v>-0.5535714285714286</v>
      </c>
      <c r="J1664" s="1" t="s">
        <v>81</v>
      </c>
    </row>
    <row r="1665" spans="1:10" x14ac:dyDescent="0.25">
      <c r="A1665" s="1" t="s">
        <v>54</v>
      </c>
      <c r="B1665" s="1" t="s">
        <v>16</v>
      </c>
      <c r="C1665" s="1" t="s">
        <v>31</v>
      </c>
      <c r="D1665" s="4">
        <v>680.7220699999998</v>
      </c>
      <c r="E1665" s="4">
        <v>4484.5684099999999</v>
      </c>
      <c r="F1665" s="4">
        <v>2141.6750339339724</v>
      </c>
      <c r="G1665" s="4">
        <v>16264.802632056955</v>
      </c>
      <c r="H1665" s="19">
        <v>0</v>
      </c>
      <c r="J1665" s="1" t="s">
        <v>81</v>
      </c>
    </row>
    <row r="1666" spans="1:10" x14ac:dyDescent="0.25">
      <c r="A1666" s="1" t="s">
        <v>54</v>
      </c>
      <c r="B1666" s="1" t="s">
        <v>16</v>
      </c>
      <c r="C1666" s="1" t="s">
        <v>32</v>
      </c>
      <c r="D1666" s="4">
        <v>675.59352178954214</v>
      </c>
      <c r="E1666" s="4">
        <v>18529.849160000005</v>
      </c>
      <c r="F1666" s="4">
        <v>3100.9628288613872</v>
      </c>
      <c r="G1666" s="4">
        <v>23119.022550920916</v>
      </c>
      <c r="H1666" s="19">
        <v>-0.59645019335511373</v>
      </c>
      <c r="J1666" s="1" t="s">
        <v>81</v>
      </c>
    </row>
    <row r="1667" spans="1:10" x14ac:dyDescent="0.25">
      <c r="A1667" s="1" t="s">
        <v>55</v>
      </c>
      <c r="B1667" s="1" t="s">
        <v>10</v>
      </c>
      <c r="C1667" s="1" t="s">
        <v>63</v>
      </c>
      <c r="D1667" s="4">
        <v>17732.650240000032</v>
      </c>
      <c r="E1667" s="4">
        <v>20493.810339999996</v>
      </c>
      <c r="F1667" s="4">
        <v>4462.0662593984898</v>
      </c>
      <c r="G1667" s="4">
        <v>81637.837556390994</v>
      </c>
      <c r="H1667" s="19">
        <v>-1.5463522969577395</v>
      </c>
      <c r="J1667" s="1" t="s">
        <v>81</v>
      </c>
    </row>
    <row r="1668" spans="1:10" x14ac:dyDescent="0.25">
      <c r="A1668" s="1" t="s">
        <v>55</v>
      </c>
      <c r="B1668" s="1" t="s">
        <v>10</v>
      </c>
      <c r="C1668" s="1" t="s">
        <v>26</v>
      </c>
      <c r="E1668" s="4">
        <v>102343.43203000001</v>
      </c>
      <c r="G1668" s="4">
        <v>99561.881775789487</v>
      </c>
      <c r="H1668" s="19">
        <v>0</v>
      </c>
      <c r="J1668" s="1" t="s">
        <v>81</v>
      </c>
    </row>
    <row r="1669" spans="1:10" x14ac:dyDescent="0.25">
      <c r="A1669" s="1" t="s">
        <v>55</v>
      </c>
      <c r="B1669" s="1" t="s">
        <v>10</v>
      </c>
      <c r="C1669" s="1" t="s">
        <v>27</v>
      </c>
      <c r="E1669" s="4">
        <v>163409.85819000003</v>
      </c>
      <c r="G1669" s="4">
        <v>144109.94729350033</v>
      </c>
      <c r="H1669" s="19">
        <v>0</v>
      </c>
      <c r="J1669" s="1" t="s">
        <v>81</v>
      </c>
    </row>
    <row r="1670" spans="1:10" x14ac:dyDescent="0.25">
      <c r="A1670" s="1" t="s">
        <v>55</v>
      </c>
      <c r="B1670" s="1" t="s">
        <v>10</v>
      </c>
      <c r="C1670" s="1" t="s">
        <v>21</v>
      </c>
      <c r="D1670" s="4">
        <v>1459.5</v>
      </c>
      <c r="E1670" s="4">
        <v>25731.72595</v>
      </c>
      <c r="F1670" s="4">
        <v>8116.5138143971044</v>
      </c>
      <c r="G1670" s="4">
        <v>102280.88288638259</v>
      </c>
      <c r="H1670" s="19">
        <v>-0.82018141860226579</v>
      </c>
      <c r="J1670" s="1" t="s">
        <v>81</v>
      </c>
    </row>
    <row r="1671" spans="1:10" x14ac:dyDescent="0.25">
      <c r="A1671" s="1" t="s">
        <v>55</v>
      </c>
      <c r="B1671" s="1" t="s">
        <v>10</v>
      </c>
      <c r="C1671" s="1" t="s">
        <v>28</v>
      </c>
      <c r="D1671" s="4">
        <v>597956.24</v>
      </c>
      <c r="E1671" s="4">
        <v>7612935.9300000006</v>
      </c>
      <c r="F1671" s="4">
        <v>1437421.4886283781</v>
      </c>
      <c r="G1671" s="4">
        <v>9116528.9317702688</v>
      </c>
      <c r="H1671" s="19">
        <v>-0.79757669389119257</v>
      </c>
      <c r="J1671" s="1" t="s">
        <v>81</v>
      </c>
    </row>
    <row r="1672" spans="1:10" x14ac:dyDescent="0.25">
      <c r="A1672" s="1" t="s">
        <v>55</v>
      </c>
      <c r="B1672" s="1" t="s">
        <v>10</v>
      </c>
      <c r="C1672" s="1" t="s">
        <v>29</v>
      </c>
      <c r="D1672" s="4">
        <v>23398</v>
      </c>
      <c r="E1672" s="4">
        <v>703741</v>
      </c>
      <c r="F1672" s="4">
        <v>42000</v>
      </c>
      <c r="G1672" s="4">
        <v>253000</v>
      </c>
      <c r="H1672" s="19">
        <v>-0.48135714285714287</v>
      </c>
      <c r="J1672" s="1" t="s">
        <v>81</v>
      </c>
    </row>
    <row r="1673" spans="1:10" x14ac:dyDescent="0.25">
      <c r="A1673" s="1" t="s">
        <v>55</v>
      </c>
      <c r="B1673" s="1" t="s">
        <v>10</v>
      </c>
      <c r="C1673" s="1" t="s">
        <v>30</v>
      </c>
      <c r="D1673" s="4">
        <v>28</v>
      </c>
      <c r="E1673" s="4">
        <v>229</v>
      </c>
      <c r="F1673" s="4">
        <v>48</v>
      </c>
      <c r="G1673" s="4">
        <v>432</v>
      </c>
      <c r="H1673" s="19">
        <v>-0.625</v>
      </c>
      <c r="J1673" s="1" t="s">
        <v>81</v>
      </c>
    </row>
    <row r="1674" spans="1:10" x14ac:dyDescent="0.25">
      <c r="A1674" s="1" t="s">
        <v>55</v>
      </c>
      <c r="B1674" s="1" t="s">
        <v>10</v>
      </c>
      <c r="C1674" s="1" t="s">
        <v>31</v>
      </c>
      <c r="D1674" s="4">
        <v>715.28704000000107</v>
      </c>
      <c r="E1674" s="4">
        <v>9121.7425200000016</v>
      </c>
      <c r="F1674" s="4">
        <v>1861.3139535748796</v>
      </c>
      <c r="G1674" s="4">
        <v>13937.831931502107</v>
      </c>
      <c r="H1674" s="19">
        <v>0</v>
      </c>
      <c r="J1674" s="1" t="s">
        <v>81</v>
      </c>
    </row>
    <row r="1675" spans="1:10" x14ac:dyDescent="0.25">
      <c r="A1675" s="1" t="s">
        <v>55</v>
      </c>
      <c r="B1675" s="1" t="s">
        <v>10</v>
      </c>
      <c r="C1675" s="1" t="s">
        <v>32</v>
      </c>
      <c r="D1675" s="4">
        <v>134.28942453707077</v>
      </c>
      <c r="E1675" s="4">
        <v>5931.0800299999937</v>
      </c>
      <c r="F1675" s="4">
        <v>1796.9581053186071</v>
      </c>
      <c r="G1675" s="4">
        <v>10027.280844621968</v>
      </c>
      <c r="H1675" s="19">
        <v>-0.46528078358864194</v>
      </c>
      <c r="J1675" s="1" t="s">
        <v>81</v>
      </c>
    </row>
    <row r="1676" spans="1:10" x14ac:dyDescent="0.25">
      <c r="A1676" s="1" t="s">
        <v>56</v>
      </c>
      <c r="B1676" s="1" t="s">
        <v>7</v>
      </c>
      <c r="C1676" s="1" t="s">
        <v>63</v>
      </c>
      <c r="D1676" s="4">
        <v>-47.836220000011963</v>
      </c>
      <c r="E1676" s="4">
        <v>15573.943039999973</v>
      </c>
      <c r="F1676" s="4">
        <v>7998.6972117794458</v>
      </c>
      <c r="G1676" s="4">
        <v>118923.06327067671</v>
      </c>
      <c r="H1676" s="19">
        <v>-0.92576680498349473</v>
      </c>
      <c r="J1676" s="1" t="s">
        <v>81</v>
      </c>
    </row>
    <row r="1677" spans="1:10" x14ac:dyDescent="0.25">
      <c r="A1677" s="1" t="s">
        <v>56</v>
      </c>
      <c r="B1677" s="1" t="s">
        <v>7</v>
      </c>
      <c r="C1677" s="1" t="s">
        <v>26</v>
      </c>
      <c r="E1677" s="4">
        <v>48079.32279999998</v>
      </c>
      <c r="G1677" s="4">
        <v>88200.759502456145</v>
      </c>
      <c r="H1677" s="19">
        <v>0</v>
      </c>
      <c r="J1677" s="1" t="s">
        <v>81</v>
      </c>
    </row>
    <row r="1678" spans="1:10" x14ac:dyDescent="0.25">
      <c r="A1678" s="1" t="s">
        <v>56</v>
      </c>
      <c r="B1678" s="1" t="s">
        <v>7</v>
      </c>
      <c r="C1678" s="1" t="s">
        <v>27</v>
      </c>
      <c r="E1678" s="4">
        <v>176105.30009999996</v>
      </c>
      <c r="G1678" s="4">
        <v>201495.62103668126</v>
      </c>
      <c r="H1678" s="19">
        <v>0</v>
      </c>
      <c r="J1678" s="1" t="s">
        <v>81</v>
      </c>
    </row>
    <row r="1679" spans="1:10" x14ac:dyDescent="0.25">
      <c r="A1679" s="1" t="s">
        <v>56</v>
      </c>
      <c r="B1679" s="1" t="s">
        <v>7</v>
      </c>
      <c r="C1679" s="1" t="s">
        <v>21</v>
      </c>
      <c r="D1679" s="4">
        <v>3925.86445</v>
      </c>
      <c r="E1679" s="4">
        <v>33833.898400000005</v>
      </c>
      <c r="F1679" s="4">
        <v>13214.635475772764</v>
      </c>
      <c r="G1679" s="4">
        <v>152951.41285463658</v>
      </c>
      <c r="H1679" s="19">
        <v>-0.80776114069454164</v>
      </c>
      <c r="J1679" s="1" t="s">
        <v>81</v>
      </c>
    </row>
    <row r="1680" spans="1:10" x14ac:dyDescent="0.25">
      <c r="A1680" s="1" t="s">
        <v>56</v>
      </c>
      <c r="B1680" s="1" t="s">
        <v>7</v>
      </c>
      <c r="C1680" s="1" t="s">
        <v>28</v>
      </c>
      <c r="D1680" s="4">
        <v>141578</v>
      </c>
      <c r="E1680" s="4">
        <v>1264547.55</v>
      </c>
      <c r="F1680" s="4">
        <v>1499532.2936925676</v>
      </c>
      <c r="G1680" s="4">
        <v>9837193.7621554043</v>
      </c>
      <c r="H1680" s="19">
        <v>-0.926925214974753</v>
      </c>
      <c r="J1680" s="1" t="s">
        <v>81</v>
      </c>
    </row>
    <row r="1681" spans="1:10" x14ac:dyDescent="0.25">
      <c r="A1681" s="1" t="s">
        <v>56</v>
      </c>
      <c r="B1681" s="1" t="s">
        <v>7</v>
      </c>
      <c r="C1681" s="1" t="s">
        <v>29</v>
      </c>
      <c r="D1681" s="4">
        <v>0</v>
      </c>
      <c r="E1681" s="4">
        <v>31152</v>
      </c>
      <c r="F1681" s="4">
        <v>56000</v>
      </c>
      <c r="G1681" s="4">
        <v>361862</v>
      </c>
      <c r="H1681" s="19">
        <v>-1</v>
      </c>
      <c r="J1681" s="1" t="s">
        <v>81</v>
      </c>
    </row>
    <row r="1682" spans="1:10" x14ac:dyDescent="0.25">
      <c r="A1682" s="1" t="s">
        <v>56</v>
      </c>
      <c r="B1682" s="1" t="s">
        <v>7</v>
      </c>
      <c r="C1682" s="1" t="s">
        <v>30</v>
      </c>
      <c r="D1682" s="4">
        <v>41</v>
      </c>
      <c r="E1682" s="4">
        <v>715</v>
      </c>
      <c r="F1682" s="4">
        <v>108</v>
      </c>
      <c r="G1682" s="4">
        <v>972</v>
      </c>
      <c r="H1682" s="19">
        <v>-0.70370370370370372</v>
      </c>
      <c r="J1682" s="1" t="s">
        <v>81</v>
      </c>
    </row>
    <row r="1683" spans="1:10" x14ac:dyDescent="0.25">
      <c r="A1683" s="1" t="s">
        <v>56</v>
      </c>
      <c r="B1683" s="1" t="s">
        <v>7</v>
      </c>
      <c r="C1683" s="1" t="s">
        <v>31</v>
      </c>
      <c r="D1683" s="4">
        <v>420.07106999999996</v>
      </c>
      <c r="E1683" s="4">
        <v>3617.21965</v>
      </c>
      <c r="F1683" s="4">
        <v>2094.4344981658796</v>
      </c>
      <c r="G1683" s="4">
        <v>15691.270716749683</v>
      </c>
      <c r="H1683" s="19">
        <v>0</v>
      </c>
      <c r="J1683" s="1" t="s">
        <v>81</v>
      </c>
    </row>
    <row r="1684" spans="1:10" x14ac:dyDescent="0.25">
      <c r="A1684" s="1" t="s">
        <v>56</v>
      </c>
      <c r="B1684" s="1" t="s">
        <v>7</v>
      </c>
      <c r="C1684" s="1" t="s">
        <v>32</v>
      </c>
      <c r="D1684" s="4">
        <v>408.58534282631626</v>
      </c>
      <c r="E1684" s="4">
        <v>-3617.5238899999922</v>
      </c>
      <c r="F1684" s="4">
        <v>3907.6583743343826</v>
      </c>
      <c r="G1684" s="4">
        <v>24604.870904134979</v>
      </c>
      <c r="H1684" s="19">
        <v>-0.68537533934004335</v>
      </c>
      <c r="J1684" s="1" t="s">
        <v>81</v>
      </c>
    </row>
    <row r="1685" spans="1:10" x14ac:dyDescent="0.25">
      <c r="A1685" s="1" t="s">
        <v>57</v>
      </c>
      <c r="B1685" s="1" t="s">
        <v>24</v>
      </c>
      <c r="C1685" s="1" t="s">
        <v>63</v>
      </c>
      <c r="D1685" s="4">
        <v>0</v>
      </c>
      <c r="E1685" s="4">
        <v>-4.305629999999951</v>
      </c>
      <c r="F1685" s="4">
        <v>0</v>
      </c>
      <c r="G1685" s="4">
        <v>0</v>
      </c>
      <c r="H1685" s="19">
        <v>0</v>
      </c>
      <c r="J1685" s="1" t="s">
        <v>81</v>
      </c>
    </row>
    <row r="1686" spans="1:10" x14ac:dyDescent="0.25">
      <c r="A1686" s="1" t="s">
        <v>57</v>
      </c>
      <c r="B1686" s="1" t="s">
        <v>24</v>
      </c>
      <c r="C1686" s="1" t="s">
        <v>26</v>
      </c>
      <c r="E1686" s="4">
        <v>610.87942999999996</v>
      </c>
      <c r="G1686" s="4">
        <v>620.50470999999993</v>
      </c>
      <c r="H1686" s="19">
        <v>0</v>
      </c>
      <c r="J1686" s="1" t="s">
        <v>81</v>
      </c>
    </row>
    <row r="1687" spans="1:10" x14ac:dyDescent="0.25">
      <c r="A1687" s="1" t="s">
        <v>57</v>
      </c>
      <c r="B1687" s="1" t="s">
        <v>24</v>
      </c>
      <c r="C1687" s="1" t="s">
        <v>27</v>
      </c>
      <c r="E1687" s="4">
        <v>0</v>
      </c>
      <c r="G1687" s="4">
        <v>0</v>
      </c>
      <c r="H1687" s="19">
        <v>0</v>
      </c>
      <c r="J1687" s="1" t="s">
        <v>81</v>
      </c>
    </row>
    <row r="1688" spans="1:10" x14ac:dyDescent="0.25">
      <c r="A1688" s="1" t="s">
        <v>57</v>
      </c>
      <c r="B1688" s="1" t="s">
        <v>24</v>
      </c>
      <c r="C1688" s="1" t="s">
        <v>21</v>
      </c>
      <c r="D1688" s="4">
        <v>0</v>
      </c>
      <c r="E1688" s="4">
        <v>0</v>
      </c>
      <c r="F1688" s="4">
        <v>0</v>
      </c>
      <c r="G1688" s="4">
        <v>0</v>
      </c>
      <c r="H1688" s="19">
        <v>0</v>
      </c>
      <c r="J1688" s="1" t="s">
        <v>81</v>
      </c>
    </row>
    <row r="1689" spans="1:10" x14ac:dyDescent="0.25">
      <c r="A1689" s="1" t="s">
        <v>57</v>
      </c>
      <c r="B1689" s="1" t="s">
        <v>24</v>
      </c>
      <c r="C1689" s="1" t="s">
        <v>28</v>
      </c>
      <c r="D1689" s="4">
        <v>0</v>
      </c>
      <c r="E1689" s="4">
        <v>0</v>
      </c>
      <c r="F1689" s="4">
        <v>0</v>
      </c>
      <c r="G1689" s="4">
        <v>0</v>
      </c>
      <c r="H1689" s="19">
        <v>0</v>
      </c>
      <c r="J1689" s="1" t="s">
        <v>81</v>
      </c>
    </row>
    <row r="1690" spans="1:10" x14ac:dyDescent="0.25">
      <c r="A1690" s="1" t="s">
        <v>57</v>
      </c>
      <c r="B1690" s="1" t="s">
        <v>24</v>
      </c>
      <c r="C1690" s="1" t="s">
        <v>29</v>
      </c>
      <c r="D1690" s="4">
        <v>0</v>
      </c>
      <c r="E1690" s="4">
        <v>0</v>
      </c>
      <c r="F1690" s="4">
        <v>0</v>
      </c>
      <c r="G1690" s="4">
        <v>0</v>
      </c>
      <c r="H1690" s="19">
        <v>0</v>
      </c>
      <c r="J1690" s="1" t="s">
        <v>81</v>
      </c>
    </row>
    <row r="1691" spans="1:10" x14ac:dyDescent="0.25">
      <c r="A1691" s="1" t="s">
        <v>57</v>
      </c>
      <c r="B1691" s="1" t="s">
        <v>24</v>
      </c>
      <c r="C1691" s="1" t="s">
        <v>30</v>
      </c>
      <c r="D1691" s="4">
        <v>0</v>
      </c>
      <c r="E1691" s="4">
        <v>0</v>
      </c>
      <c r="F1691" s="4">
        <v>0</v>
      </c>
      <c r="G1691" s="4">
        <v>0</v>
      </c>
      <c r="H1691" s="19">
        <v>0</v>
      </c>
      <c r="J1691" s="1" t="s">
        <v>81</v>
      </c>
    </row>
    <row r="1692" spans="1:10" x14ac:dyDescent="0.25">
      <c r="A1692" s="1" t="s">
        <v>57</v>
      </c>
      <c r="B1692" s="1" t="s">
        <v>24</v>
      </c>
      <c r="C1692" s="1" t="s">
        <v>31</v>
      </c>
      <c r="D1692" s="4">
        <v>0</v>
      </c>
      <c r="E1692" s="4">
        <v>0.13669999999999999</v>
      </c>
      <c r="F1692" s="4">
        <v>0.83944240752935073</v>
      </c>
      <c r="G1692" s="4">
        <v>4.8929731999653363</v>
      </c>
      <c r="H1692" s="19">
        <v>0</v>
      </c>
      <c r="J1692" s="1" t="s">
        <v>81</v>
      </c>
    </row>
    <row r="1693" spans="1:10" x14ac:dyDescent="0.25">
      <c r="A1693" s="1" t="s">
        <v>57</v>
      </c>
      <c r="B1693" s="1" t="s">
        <v>24</v>
      </c>
      <c r="C1693" s="1" t="s">
        <v>32</v>
      </c>
      <c r="D1693" s="4">
        <v>-1.9862157639190094</v>
      </c>
      <c r="E1693" s="4">
        <v>28.726589999999991</v>
      </c>
      <c r="F1693" s="4">
        <v>-0.76573918176428968</v>
      </c>
      <c r="G1693" s="4">
        <v>-6.0247480017661932</v>
      </c>
      <c r="H1693" s="19">
        <v>-0.5092606301498277</v>
      </c>
      <c r="J1693" s="1" t="s">
        <v>81</v>
      </c>
    </row>
    <row r="1694" spans="1:10" x14ac:dyDescent="0.25">
      <c r="A1694" s="1" t="s">
        <v>58</v>
      </c>
      <c r="B1694" s="1" t="s">
        <v>1</v>
      </c>
      <c r="C1694" s="1" t="s">
        <v>63</v>
      </c>
      <c r="D1694" s="4">
        <v>-2080.8415899999673</v>
      </c>
      <c r="E1694" s="4">
        <v>-7927.4346799999475</v>
      </c>
      <c r="F1694" s="4">
        <v>11650.009711779476</v>
      </c>
      <c r="G1694" s="4">
        <v>161104.85827067675</v>
      </c>
      <c r="H1694" s="19">
        <v>-0.99439785273878323</v>
      </c>
      <c r="J1694" s="1" t="s">
        <v>81</v>
      </c>
    </row>
    <row r="1695" spans="1:10" x14ac:dyDescent="0.25">
      <c r="A1695" s="1" t="s">
        <v>58</v>
      </c>
      <c r="B1695" s="1" t="s">
        <v>1</v>
      </c>
      <c r="C1695" s="1" t="s">
        <v>26</v>
      </c>
      <c r="E1695" s="4">
        <v>210530.82475000003</v>
      </c>
      <c r="G1695" s="4">
        <v>310737.04955245618</v>
      </c>
      <c r="H1695" s="19">
        <v>0</v>
      </c>
      <c r="J1695" s="1" t="s">
        <v>81</v>
      </c>
    </row>
    <row r="1696" spans="1:10" x14ac:dyDescent="0.25">
      <c r="A1696" s="1" t="s">
        <v>58</v>
      </c>
      <c r="B1696" s="1" t="s">
        <v>1</v>
      </c>
      <c r="C1696" s="1" t="s">
        <v>27</v>
      </c>
      <c r="E1696" s="4">
        <v>127682.53033000001</v>
      </c>
      <c r="G1696" s="4">
        <v>217970.01402968139</v>
      </c>
      <c r="H1696" s="19">
        <v>0</v>
      </c>
      <c r="J1696" s="1" t="s">
        <v>81</v>
      </c>
    </row>
    <row r="1697" spans="1:10" x14ac:dyDescent="0.25">
      <c r="A1697" s="1" t="s">
        <v>58</v>
      </c>
      <c r="B1697" s="1" t="s">
        <v>1</v>
      </c>
      <c r="C1697" s="1" t="s">
        <v>21</v>
      </c>
      <c r="D1697" s="4">
        <v>880.69299999999998</v>
      </c>
      <c r="E1697" s="4">
        <v>14102.89</v>
      </c>
      <c r="F1697" s="4">
        <v>20868.444642439434</v>
      </c>
      <c r="G1697" s="4">
        <v>224216.66785463656</v>
      </c>
      <c r="H1697" s="19">
        <v>-0.98359278777759573</v>
      </c>
      <c r="J1697" s="1" t="s">
        <v>81</v>
      </c>
    </row>
    <row r="1698" spans="1:10" x14ac:dyDescent="0.25">
      <c r="A1698" s="1" t="s">
        <v>58</v>
      </c>
      <c r="B1698" s="1" t="s">
        <v>1</v>
      </c>
      <c r="C1698" s="1" t="s">
        <v>28</v>
      </c>
      <c r="D1698" s="4">
        <v>21900</v>
      </c>
      <c r="E1698" s="4">
        <v>168200</v>
      </c>
      <c r="F1698" s="4">
        <v>248443.22025675679</v>
      </c>
      <c r="G1698" s="4">
        <v>1679659.3215405405</v>
      </c>
      <c r="H1698" s="19">
        <v>-0.94606413495143238</v>
      </c>
      <c r="J1698" s="1" t="s">
        <v>81</v>
      </c>
    </row>
    <row r="1699" spans="1:10" x14ac:dyDescent="0.25">
      <c r="A1699" s="1" t="s">
        <v>58</v>
      </c>
      <c r="B1699" s="1" t="s">
        <v>1</v>
      </c>
      <c r="C1699" s="1" t="s">
        <v>29</v>
      </c>
      <c r="D1699" s="4">
        <v>32608</v>
      </c>
      <c r="E1699" s="4">
        <v>912911</v>
      </c>
      <c r="F1699" s="4">
        <v>56000</v>
      </c>
      <c r="G1699" s="4">
        <v>616536.37</v>
      </c>
      <c r="H1699" s="19">
        <v>-0.85405357142857141</v>
      </c>
      <c r="J1699" s="1" t="s">
        <v>81</v>
      </c>
    </row>
    <row r="1700" spans="1:10" x14ac:dyDescent="0.25">
      <c r="A1700" s="1" t="s">
        <v>58</v>
      </c>
      <c r="B1700" s="1" t="s">
        <v>1</v>
      </c>
      <c r="C1700" s="1" t="s">
        <v>30</v>
      </c>
      <c r="D1700" s="4">
        <v>45</v>
      </c>
      <c r="E1700" s="4">
        <v>942</v>
      </c>
      <c r="F1700" s="4">
        <v>178</v>
      </c>
      <c r="G1700" s="4">
        <v>1602</v>
      </c>
      <c r="H1700" s="19">
        <v>-0.8146067415730337</v>
      </c>
      <c r="J1700" s="1" t="s">
        <v>81</v>
      </c>
    </row>
    <row r="1701" spans="1:10" x14ac:dyDescent="0.25">
      <c r="A1701" s="1" t="s">
        <v>58</v>
      </c>
      <c r="B1701" s="1" t="s">
        <v>1</v>
      </c>
      <c r="C1701" s="1" t="s">
        <v>31</v>
      </c>
      <c r="D1701" s="4">
        <v>165.13244000000009</v>
      </c>
      <c r="E1701" s="4">
        <v>2140.6470800000002</v>
      </c>
      <c r="F1701" s="4">
        <v>1059.2493929117636</v>
      </c>
      <c r="G1701" s="4">
        <v>7258.7722265050224</v>
      </c>
      <c r="H1701" s="19">
        <v>0</v>
      </c>
      <c r="J1701" s="1" t="s">
        <v>81</v>
      </c>
    </row>
    <row r="1702" spans="1:10" x14ac:dyDescent="0.25">
      <c r="A1702" s="1" t="s">
        <v>58</v>
      </c>
      <c r="B1702" s="1" t="s">
        <v>1</v>
      </c>
      <c r="C1702" s="1" t="s">
        <v>32</v>
      </c>
      <c r="D1702" s="4">
        <v>-2770.8852460899561</v>
      </c>
      <c r="E1702" s="4">
        <v>-11867.748549999997</v>
      </c>
      <c r="F1702" s="4">
        <v>-338.82033085188283</v>
      </c>
      <c r="G1702" s="4">
        <v>-10768.423845162382</v>
      </c>
      <c r="H1702" s="19">
        <v>0.51958806724867523</v>
      </c>
      <c r="J1702" s="1" t="s">
        <v>81</v>
      </c>
    </row>
    <row r="1703" spans="1:10" x14ac:dyDescent="0.25">
      <c r="A1703" s="1" t="s">
        <v>38</v>
      </c>
      <c r="B1703" s="1" t="s">
        <v>18</v>
      </c>
      <c r="C1703" s="1" t="s">
        <v>63</v>
      </c>
      <c r="H1703" s="19">
        <v>0</v>
      </c>
      <c r="J1703" s="1" t="s">
        <v>82</v>
      </c>
    </row>
    <row r="1704" spans="1:10" x14ac:dyDescent="0.25">
      <c r="A1704" s="1" t="s">
        <v>38</v>
      </c>
      <c r="B1704" s="1" t="s">
        <v>18</v>
      </c>
      <c r="C1704" s="1" t="s">
        <v>26</v>
      </c>
      <c r="H1704" s="19">
        <v>0</v>
      </c>
      <c r="J1704" s="1" t="s">
        <v>82</v>
      </c>
    </row>
    <row r="1705" spans="1:10" x14ac:dyDescent="0.25">
      <c r="A1705" s="1" t="s">
        <v>38</v>
      </c>
      <c r="B1705" s="1" t="s">
        <v>18</v>
      </c>
      <c r="C1705" s="1" t="s">
        <v>27</v>
      </c>
      <c r="H1705" s="19">
        <v>0</v>
      </c>
      <c r="J1705" s="1" t="s">
        <v>82</v>
      </c>
    </row>
    <row r="1706" spans="1:10" x14ac:dyDescent="0.25">
      <c r="A1706" s="1" t="s">
        <v>38</v>
      </c>
      <c r="B1706" s="1" t="s">
        <v>18</v>
      </c>
      <c r="C1706" s="1" t="s">
        <v>21</v>
      </c>
      <c r="H1706" s="19">
        <v>0</v>
      </c>
      <c r="J1706" s="1" t="s">
        <v>82</v>
      </c>
    </row>
    <row r="1707" spans="1:10" x14ac:dyDescent="0.25">
      <c r="A1707" s="1" t="s">
        <v>38</v>
      </c>
      <c r="B1707" s="1" t="s">
        <v>18</v>
      </c>
      <c r="C1707" s="1" t="s">
        <v>28</v>
      </c>
      <c r="H1707" s="19">
        <v>0</v>
      </c>
      <c r="J1707" s="1" t="s">
        <v>82</v>
      </c>
    </row>
    <row r="1708" spans="1:10" x14ac:dyDescent="0.25">
      <c r="A1708" s="1" t="s">
        <v>38</v>
      </c>
      <c r="B1708" s="1" t="s">
        <v>18</v>
      </c>
      <c r="C1708" s="1" t="s">
        <v>29</v>
      </c>
      <c r="H1708" s="19">
        <v>0</v>
      </c>
      <c r="J1708" s="1" t="s">
        <v>82</v>
      </c>
    </row>
    <row r="1709" spans="1:10" x14ac:dyDescent="0.25">
      <c r="A1709" s="1" t="s">
        <v>38</v>
      </c>
      <c r="B1709" s="1" t="s">
        <v>18</v>
      </c>
      <c r="C1709" s="1" t="s">
        <v>30</v>
      </c>
      <c r="H1709" s="19">
        <v>0</v>
      </c>
      <c r="J1709" s="1" t="s">
        <v>82</v>
      </c>
    </row>
    <row r="1710" spans="1:10" x14ac:dyDescent="0.25">
      <c r="A1710" s="1" t="s">
        <v>38</v>
      </c>
      <c r="B1710" s="1" t="s">
        <v>18</v>
      </c>
      <c r="C1710" s="1" t="s">
        <v>31</v>
      </c>
      <c r="H1710" s="19">
        <v>0</v>
      </c>
      <c r="J1710" s="1" t="s">
        <v>82</v>
      </c>
    </row>
    <row r="1711" spans="1:10" x14ac:dyDescent="0.25">
      <c r="A1711" s="1" t="s">
        <v>38</v>
      </c>
      <c r="B1711" s="1" t="s">
        <v>18</v>
      </c>
      <c r="C1711" s="1" t="s">
        <v>32</v>
      </c>
      <c r="H1711" s="19">
        <v>0</v>
      </c>
      <c r="J1711" s="1" t="s">
        <v>82</v>
      </c>
    </row>
    <row r="1712" spans="1:10" x14ac:dyDescent="0.25">
      <c r="A1712" s="1" t="s">
        <v>39</v>
      </c>
      <c r="B1712" s="1" t="s">
        <v>8</v>
      </c>
      <c r="C1712" s="1" t="s">
        <v>63</v>
      </c>
      <c r="H1712" s="19">
        <v>0</v>
      </c>
      <c r="J1712" s="1" t="s">
        <v>82</v>
      </c>
    </row>
    <row r="1713" spans="1:10" x14ac:dyDescent="0.25">
      <c r="A1713" s="1" t="s">
        <v>39</v>
      </c>
      <c r="B1713" s="1" t="s">
        <v>8</v>
      </c>
      <c r="C1713" s="1" t="s">
        <v>26</v>
      </c>
      <c r="H1713" s="19">
        <v>0</v>
      </c>
      <c r="J1713" s="1" t="s">
        <v>82</v>
      </c>
    </row>
    <row r="1714" spans="1:10" x14ac:dyDescent="0.25">
      <c r="A1714" s="1" t="s">
        <v>39</v>
      </c>
      <c r="B1714" s="1" t="s">
        <v>8</v>
      </c>
      <c r="C1714" s="1" t="s">
        <v>27</v>
      </c>
      <c r="H1714" s="19">
        <v>0</v>
      </c>
      <c r="J1714" s="1" t="s">
        <v>82</v>
      </c>
    </row>
    <row r="1715" spans="1:10" x14ac:dyDescent="0.25">
      <c r="A1715" s="1" t="s">
        <v>39</v>
      </c>
      <c r="B1715" s="1" t="s">
        <v>8</v>
      </c>
      <c r="C1715" s="1" t="s">
        <v>21</v>
      </c>
      <c r="H1715" s="19">
        <v>0</v>
      </c>
      <c r="J1715" s="1" t="s">
        <v>82</v>
      </c>
    </row>
    <row r="1716" spans="1:10" x14ac:dyDescent="0.25">
      <c r="A1716" s="1" t="s">
        <v>39</v>
      </c>
      <c r="B1716" s="1" t="s">
        <v>8</v>
      </c>
      <c r="C1716" s="1" t="s">
        <v>28</v>
      </c>
      <c r="H1716" s="19">
        <v>0</v>
      </c>
      <c r="J1716" s="1" t="s">
        <v>82</v>
      </c>
    </row>
    <row r="1717" spans="1:10" x14ac:dyDescent="0.25">
      <c r="A1717" s="1" t="s">
        <v>39</v>
      </c>
      <c r="B1717" s="1" t="s">
        <v>8</v>
      </c>
      <c r="C1717" s="1" t="s">
        <v>29</v>
      </c>
      <c r="H1717" s="19">
        <v>0</v>
      </c>
      <c r="J1717" s="1" t="s">
        <v>82</v>
      </c>
    </row>
    <row r="1718" spans="1:10" x14ac:dyDescent="0.25">
      <c r="A1718" s="1" t="s">
        <v>39</v>
      </c>
      <c r="B1718" s="1" t="s">
        <v>8</v>
      </c>
      <c r="C1718" s="1" t="s">
        <v>30</v>
      </c>
      <c r="H1718" s="19">
        <v>0</v>
      </c>
      <c r="J1718" s="1" t="s">
        <v>82</v>
      </c>
    </row>
    <row r="1719" spans="1:10" x14ac:dyDescent="0.25">
      <c r="A1719" s="1" t="s">
        <v>39</v>
      </c>
      <c r="B1719" s="1" t="s">
        <v>8</v>
      </c>
      <c r="C1719" s="1" t="s">
        <v>31</v>
      </c>
      <c r="H1719" s="19">
        <v>0</v>
      </c>
      <c r="J1719" s="1" t="s">
        <v>82</v>
      </c>
    </row>
    <row r="1720" spans="1:10" x14ac:dyDescent="0.25">
      <c r="A1720" s="1" t="s">
        <v>39</v>
      </c>
      <c r="B1720" s="1" t="s">
        <v>8</v>
      </c>
      <c r="C1720" s="1" t="s">
        <v>32</v>
      </c>
      <c r="H1720" s="19">
        <v>0</v>
      </c>
      <c r="J1720" s="1" t="s">
        <v>82</v>
      </c>
    </row>
    <row r="1721" spans="1:10" x14ac:dyDescent="0.25">
      <c r="A1721" s="1" t="s">
        <v>40</v>
      </c>
      <c r="B1721" s="1" t="s">
        <v>11</v>
      </c>
      <c r="C1721" s="1" t="s">
        <v>63</v>
      </c>
      <c r="H1721" s="19">
        <v>0</v>
      </c>
      <c r="J1721" s="1" t="s">
        <v>82</v>
      </c>
    </row>
    <row r="1722" spans="1:10" x14ac:dyDescent="0.25">
      <c r="A1722" s="1" t="s">
        <v>40</v>
      </c>
      <c r="B1722" s="1" t="s">
        <v>11</v>
      </c>
      <c r="C1722" s="1" t="s">
        <v>26</v>
      </c>
      <c r="H1722" s="19">
        <v>0</v>
      </c>
      <c r="J1722" s="1" t="s">
        <v>82</v>
      </c>
    </row>
    <row r="1723" spans="1:10" x14ac:dyDescent="0.25">
      <c r="A1723" s="1" t="s">
        <v>40</v>
      </c>
      <c r="B1723" s="1" t="s">
        <v>11</v>
      </c>
      <c r="C1723" s="1" t="s">
        <v>27</v>
      </c>
      <c r="H1723" s="19">
        <v>0</v>
      </c>
      <c r="J1723" s="1" t="s">
        <v>82</v>
      </c>
    </row>
    <row r="1724" spans="1:10" x14ac:dyDescent="0.25">
      <c r="A1724" s="1" t="s">
        <v>40</v>
      </c>
      <c r="B1724" s="1" t="s">
        <v>11</v>
      </c>
      <c r="C1724" s="1" t="s">
        <v>21</v>
      </c>
      <c r="H1724" s="19">
        <v>0</v>
      </c>
      <c r="J1724" s="1" t="s">
        <v>82</v>
      </c>
    </row>
    <row r="1725" spans="1:10" x14ac:dyDescent="0.25">
      <c r="A1725" s="1" t="s">
        <v>40</v>
      </c>
      <c r="B1725" s="1" t="s">
        <v>11</v>
      </c>
      <c r="C1725" s="1" t="s">
        <v>28</v>
      </c>
      <c r="H1725" s="19">
        <v>0</v>
      </c>
      <c r="J1725" s="1" t="s">
        <v>82</v>
      </c>
    </row>
    <row r="1726" spans="1:10" x14ac:dyDescent="0.25">
      <c r="A1726" s="1" t="s">
        <v>40</v>
      </c>
      <c r="B1726" s="1" t="s">
        <v>11</v>
      </c>
      <c r="C1726" s="1" t="s">
        <v>29</v>
      </c>
      <c r="H1726" s="19">
        <v>0</v>
      </c>
      <c r="J1726" s="1" t="s">
        <v>82</v>
      </c>
    </row>
    <row r="1727" spans="1:10" x14ac:dyDescent="0.25">
      <c r="A1727" s="1" t="s">
        <v>40</v>
      </c>
      <c r="B1727" s="1" t="s">
        <v>11</v>
      </c>
      <c r="C1727" s="1" t="s">
        <v>30</v>
      </c>
      <c r="H1727" s="19">
        <v>0</v>
      </c>
      <c r="J1727" s="1" t="s">
        <v>82</v>
      </c>
    </row>
    <row r="1728" spans="1:10" x14ac:dyDescent="0.25">
      <c r="A1728" s="1" t="s">
        <v>40</v>
      </c>
      <c r="B1728" s="1" t="s">
        <v>11</v>
      </c>
      <c r="C1728" s="1" t="s">
        <v>31</v>
      </c>
      <c r="H1728" s="19">
        <v>0</v>
      </c>
      <c r="J1728" s="1" t="s">
        <v>82</v>
      </c>
    </row>
    <row r="1729" spans="1:10" x14ac:dyDescent="0.25">
      <c r="A1729" s="1" t="s">
        <v>40</v>
      </c>
      <c r="B1729" s="1" t="s">
        <v>11</v>
      </c>
      <c r="C1729" s="1" t="s">
        <v>32</v>
      </c>
      <c r="H1729" s="19">
        <v>0</v>
      </c>
      <c r="J1729" s="1" t="s">
        <v>82</v>
      </c>
    </row>
    <row r="1730" spans="1:10" x14ac:dyDescent="0.25">
      <c r="A1730" s="1" t="s">
        <v>41</v>
      </c>
      <c r="B1730" s="1" t="s">
        <v>15</v>
      </c>
      <c r="C1730" s="1" t="s">
        <v>63</v>
      </c>
      <c r="H1730" s="19">
        <v>0</v>
      </c>
      <c r="J1730" s="1" t="s">
        <v>82</v>
      </c>
    </row>
    <row r="1731" spans="1:10" x14ac:dyDescent="0.25">
      <c r="A1731" s="1" t="s">
        <v>41</v>
      </c>
      <c r="B1731" s="1" t="s">
        <v>15</v>
      </c>
      <c r="C1731" s="1" t="s">
        <v>26</v>
      </c>
      <c r="H1731" s="19">
        <v>0</v>
      </c>
      <c r="J1731" s="1" t="s">
        <v>82</v>
      </c>
    </row>
    <row r="1732" spans="1:10" x14ac:dyDescent="0.25">
      <c r="A1732" s="1" t="s">
        <v>41</v>
      </c>
      <c r="B1732" s="1" t="s">
        <v>15</v>
      </c>
      <c r="C1732" s="1" t="s">
        <v>27</v>
      </c>
      <c r="H1732" s="19">
        <v>0</v>
      </c>
      <c r="J1732" s="1" t="s">
        <v>82</v>
      </c>
    </row>
    <row r="1733" spans="1:10" x14ac:dyDescent="0.25">
      <c r="A1733" s="1" t="s">
        <v>41</v>
      </c>
      <c r="B1733" s="1" t="s">
        <v>15</v>
      </c>
      <c r="C1733" s="1" t="s">
        <v>21</v>
      </c>
      <c r="H1733" s="19">
        <v>0</v>
      </c>
      <c r="J1733" s="1" t="s">
        <v>82</v>
      </c>
    </row>
    <row r="1734" spans="1:10" x14ac:dyDescent="0.25">
      <c r="A1734" s="1" t="s">
        <v>41</v>
      </c>
      <c r="B1734" s="1" t="s">
        <v>15</v>
      </c>
      <c r="C1734" s="1" t="s">
        <v>28</v>
      </c>
      <c r="H1734" s="19">
        <v>0</v>
      </c>
      <c r="J1734" s="1" t="s">
        <v>82</v>
      </c>
    </row>
    <row r="1735" spans="1:10" x14ac:dyDescent="0.25">
      <c r="A1735" s="1" t="s">
        <v>41</v>
      </c>
      <c r="B1735" s="1" t="s">
        <v>15</v>
      </c>
      <c r="C1735" s="1" t="s">
        <v>29</v>
      </c>
      <c r="H1735" s="19">
        <v>0</v>
      </c>
      <c r="J1735" s="1" t="s">
        <v>82</v>
      </c>
    </row>
    <row r="1736" spans="1:10" x14ac:dyDescent="0.25">
      <c r="A1736" s="1" t="s">
        <v>41</v>
      </c>
      <c r="B1736" s="1" t="s">
        <v>15</v>
      </c>
      <c r="C1736" s="1" t="s">
        <v>30</v>
      </c>
      <c r="H1736" s="19">
        <v>0</v>
      </c>
      <c r="J1736" s="1" t="s">
        <v>82</v>
      </c>
    </row>
    <row r="1737" spans="1:10" x14ac:dyDescent="0.25">
      <c r="A1737" s="1" t="s">
        <v>41</v>
      </c>
      <c r="B1737" s="1" t="s">
        <v>15</v>
      </c>
      <c r="C1737" s="1" t="s">
        <v>31</v>
      </c>
      <c r="H1737" s="19">
        <v>0</v>
      </c>
      <c r="J1737" s="1" t="s">
        <v>82</v>
      </c>
    </row>
    <row r="1738" spans="1:10" x14ac:dyDescent="0.25">
      <c r="A1738" s="1" t="s">
        <v>41</v>
      </c>
      <c r="B1738" s="1" t="s">
        <v>15</v>
      </c>
      <c r="C1738" s="1" t="s">
        <v>32</v>
      </c>
      <c r="H1738" s="19">
        <v>0</v>
      </c>
      <c r="J1738" s="1" t="s">
        <v>82</v>
      </c>
    </row>
    <row r="1739" spans="1:10" x14ac:dyDescent="0.25">
      <c r="A1739" s="1" t="s">
        <v>42</v>
      </c>
      <c r="B1739" s="1" t="s">
        <v>12</v>
      </c>
      <c r="C1739" s="1" t="s">
        <v>63</v>
      </c>
      <c r="H1739" s="19">
        <v>0</v>
      </c>
      <c r="J1739" s="1" t="s">
        <v>82</v>
      </c>
    </row>
    <row r="1740" spans="1:10" x14ac:dyDescent="0.25">
      <c r="A1740" s="1" t="s">
        <v>42</v>
      </c>
      <c r="B1740" s="1" t="s">
        <v>12</v>
      </c>
      <c r="C1740" s="1" t="s">
        <v>26</v>
      </c>
      <c r="H1740" s="19">
        <v>0</v>
      </c>
      <c r="J1740" s="1" t="s">
        <v>82</v>
      </c>
    </row>
    <row r="1741" spans="1:10" x14ac:dyDescent="0.25">
      <c r="A1741" s="1" t="s">
        <v>42</v>
      </c>
      <c r="B1741" s="1" t="s">
        <v>12</v>
      </c>
      <c r="C1741" s="1" t="s">
        <v>27</v>
      </c>
      <c r="H1741" s="19">
        <v>0</v>
      </c>
      <c r="J1741" s="1" t="s">
        <v>82</v>
      </c>
    </row>
    <row r="1742" spans="1:10" x14ac:dyDescent="0.25">
      <c r="A1742" s="1" t="s">
        <v>42</v>
      </c>
      <c r="B1742" s="1" t="s">
        <v>12</v>
      </c>
      <c r="C1742" s="1" t="s">
        <v>21</v>
      </c>
      <c r="H1742" s="19">
        <v>0</v>
      </c>
      <c r="J1742" s="1" t="s">
        <v>82</v>
      </c>
    </row>
    <row r="1743" spans="1:10" x14ac:dyDescent="0.25">
      <c r="A1743" s="1" t="s">
        <v>42</v>
      </c>
      <c r="B1743" s="1" t="s">
        <v>12</v>
      </c>
      <c r="C1743" s="1" t="s">
        <v>28</v>
      </c>
      <c r="H1743" s="19">
        <v>0</v>
      </c>
      <c r="J1743" s="1" t="s">
        <v>82</v>
      </c>
    </row>
    <row r="1744" spans="1:10" x14ac:dyDescent="0.25">
      <c r="A1744" s="1" t="s">
        <v>42</v>
      </c>
      <c r="B1744" s="1" t="s">
        <v>12</v>
      </c>
      <c r="C1744" s="1" t="s">
        <v>29</v>
      </c>
      <c r="H1744" s="19">
        <v>0</v>
      </c>
      <c r="J1744" s="1" t="s">
        <v>82</v>
      </c>
    </row>
    <row r="1745" spans="1:10" x14ac:dyDescent="0.25">
      <c r="A1745" s="1" t="s">
        <v>42</v>
      </c>
      <c r="B1745" s="1" t="s">
        <v>12</v>
      </c>
      <c r="C1745" s="1" t="s">
        <v>30</v>
      </c>
      <c r="H1745" s="19">
        <v>0</v>
      </c>
      <c r="J1745" s="1" t="s">
        <v>82</v>
      </c>
    </row>
    <row r="1746" spans="1:10" x14ac:dyDescent="0.25">
      <c r="A1746" s="1" t="s">
        <v>42</v>
      </c>
      <c r="B1746" s="1" t="s">
        <v>12</v>
      </c>
      <c r="C1746" s="1" t="s">
        <v>31</v>
      </c>
      <c r="H1746" s="19">
        <v>0</v>
      </c>
      <c r="J1746" s="1" t="s">
        <v>82</v>
      </c>
    </row>
    <row r="1747" spans="1:10" x14ac:dyDescent="0.25">
      <c r="A1747" s="1" t="s">
        <v>42</v>
      </c>
      <c r="B1747" s="1" t="s">
        <v>12</v>
      </c>
      <c r="C1747" s="1" t="s">
        <v>32</v>
      </c>
      <c r="H1747" s="19">
        <v>0</v>
      </c>
      <c r="J1747" s="1" t="s">
        <v>82</v>
      </c>
    </row>
    <row r="1748" spans="1:10" x14ac:dyDescent="0.25">
      <c r="A1748" s="1" t="s">
        <v>43</v>
      </c>
      <c r="B1748" s="1" t="s">
        <v>22</v>
      </c>
      <c r="C1748" s="1" t="s">
        <v>63</v>
      </c>
      <c r="H1748" s="19">
        <v>0</v>
      </c>
      <c r="J1748" s="1" t="s">
        <v>82</v>
      </c>
    </row>
    <row r="1749" spans="1:10" x14ac:dyDescent="0.25">
      <c r="A1749" s="1" t="s">
        <v>43</v>
      </c>
      <c r="B1749" s="1" t="s">
        <v>22</v>
      </c>
      <c r="C1749" s="1" t="s">
        <v>26</v>
      </c>
      <c r="H1749" s="19">
        <v>0</v>
      </c>
      <c r="J1749" s="1" t="s">
        <v>82</v>
      </c>
    </row>
    <row r="1750" spans="1:10" x14ac:dyDescent="0.25">
      <c r="A1750" s="1" t="s">
        <v>43</v>
      </c>
      <c r="B1750" s="1" t="s">
        <v>22</v>
      </c>
      <c r="C1750" s="1" t="s">
        <v>27</v>
      </c>
      <c r="H1750" s="19">
        <v>0</v>
      </c>
      <c r="J1750" s="1" t="s">
        <v>82</v>
      </c>
    </row>
    <row r="1751" spans="1:10" x14ac:dyDescent="0.25">
      <c r="A1751" s="1" t="s">
        <v>43</v>
      </c>
      <c r="B1751" s="1" t="s">
        <v>22</v>
      </c>
      <c r="C1751" s="1" t="s">
        <v>21</v>
      </c>
      <c r="H1751" s="19">
        <v>0</v>
      </c>
      <c r="J1751" s="1" t="s">
        <v>82</v>
      </c>
    </row>
    <row r="1752" spans="1:10" x14ac:dyDescent="0.25">
      <c r="A1752" s="1" t="s">
        <v>43</v>
      </c>
      <c r="B1752" s="1" t="s">
        <v>22</v>
      </c>
      <c r="C1752" s="1" t="s">
        <v>28</v>
      </c>
      <c r="H1752" s="19">
        <v>0</v>
      </c>
      <c r="J1752" s="1" t="s">
        <v>82</v>
      </c>
    </row>
    <row r="1753" spans="1:10" x14ac:dyDescent="0.25">
      <c r="A1753" s="1" t="s">
        <v>43</v>
      </c>
      <c r="B1753" s="1" t="s">
        <v>22</v>
      </c>
      <c r="C1753" s="1" t="s">
        <v>29</v>
      </c>
      <c r="H1753" s="19">
        <v>0</v>
      </c>
      <c r="J1753" s="1" t="s">
        <v>82</v>
      </c>
    </row>
    <row r="1754" spans="1:10" x14ac:dyDescent="0.25">
      <c r="A1754" s="1" t="s">
        <v>43</v>
      </c>
      <c r="B1754" s="1" t="s">
        <v>22</v>
      </c>
      <c r="C1754" s="1" t="s">
        <v>30</v>
      </c>
      <c r="H1754" s="19">
        <v>0</v>
      </c>
      <c r="J1754" s="1" t="s">
        <v>82</v>
      </c>
    </row>
    <row r="1755" spans="1:10" x14ac:dyDescent="0.25">
      <c r="A1755" s="1" t="s">
        <v>43</v>
      </c>
      <c r="B1755" s="1" t="s">
        <v>22</v>
      </c>
      <c r="C1755" s="1" t="s">
        <v>31</v>
      </c>
      <c r="H1755" s="19">
        <v>0</v>
      </c>
      <c r="J1755" s="1" t="s">
        <v>82</v>
      </c>
    </row>
    <row r="1756" spans="1:10" x14ac:dyDescent="0.25">
      <c r="A1756" s="1" t="s">
        <v>43</v>
      </c>
      <c r="B1756" s="1" t="s">
        <v>22</v>
      </c>
      <c r="C1756" s="1" t="s">
        <v>32</v>
      </c>
      <c r="H1756" s="19">
        <v>0</v>
      </c>
      <c r="J1756" s="1" t="s">
        <v>82</v>
      </c>
    </row>
    <row r="1757" spans="1:10" x14ac:dyDescent="0.25">
      <c r="A1757" s="1" t="s">
        <v>44</v>
      </c>
      <c r="B1757" s="1" t="s">
        <v>0</v>
      </c>
      <c r="C1757" s="1" t="s">
        <v>63</v>
      </c>
      <c r="H1757" s="19">
        <v>0</v>
      </c>
      <c r="J1757" s="1" t="s">
        <v>82</v>
      </c>
    </row>
    <row r="1758" spans="1:10" x14ac:dyDescent="0.25">
      <c r="A1758" s="1" t="s">
        <v>44</v>
      </c>
      <c r="B1758" s="1" t="s">
        <v>0</v>
      </c>
      <c r="C1758" s="1" t="s">
        <v>26</v>
      </c>
      <c r="H1758" s="19">
        <v>0</v>
      </c>
      <c r="J1758" s="1" t="s">
        <v>82</v>
      </c>
    </row>
    <row r="1759" spans="1:10" x14ac:dyDescent="0.25">
      <c r="A1759" s="1" t="s">
        <v>44</v>
      </c>
      <c r="B1759" s="1" t="s">
        <v>0</v>
      </c>
      <c r="C1759" s="1" t="s">
        <v>27</v>
      </c>
      <c r="H1759" s="19">
        <v>0</v>
      </c>
      <c r="J1759" s="1" t="s">
        <v>82</v>
      </c>
    </row>
    <row r="1760" spans="1:10" x14ac:dyDescent="0.25">
      <c r="A1760" s="1" t="s">
        <v>44</v>
      </c>
      <c r="B1760" s="1" t="s">
        <v>0</v>
      </c>
      <c r="C1760" s="1" t="s">
        <v>21</v>
      </c>
      <c r="H1760" s="19">
        <v>0</v>
      </c>
      <c r="J1760" s="1" t="s">
        <v>82</v>
      </c>
    </row>
    <row r="1761" spans="1:10" x14ac:dyDescent="0.25">
      <c r="A1761" s="1" t="s">
        <v>44</v>
      </c>
      <c r="B1761" s="1" t="s">
        <v>0</v>
      </c>
      <c r="C1761" s="1" t="s">
        <v>28</v>
      </c>
      <c r="H1761" s="19">
        <v>0</v>
      </c>
      <c r="J1761" s="1" t="s">
        <v>82</v>
      </c>
    </row>
    <row r="1762" spans="1:10" x14ac:dyDescent="0.25">
      <c r="A1762" s="1" t="s">
        <v>44</v>
      </c>
      <c r="B1762" s="1" t="s">
        <v>0</v>
      </c>
      <c r="C1762" s="1" t="s">
        <v>29</v>
      </c>
      <c r="H1762" s="19">
        <v>0</v>
      </c>
      <c r="J1762" s="1" t="s">
        <v>82</v>
      </c>
    </row>
    <row r="1763" spans="1:10" x14ac:dyDescent="0.25">
      <c r="A1763" s="1" t="s">
        <v>44</v>
      </c>
      <c r="B1763" s="1" t="s">
        <v>0</v>
      </c>
      <c r="C1763" s="1" t="s">
        <v>30</v>
      </c>
      <c r="H1763" s="19">
        <v>0</v>
      </c>
      <c r="J1763" s="1" t="s">
        <v>82</v>
      </c>
    </row>
    <row r="1764" spans="1:10" x14ac:dyDescent="0.25">
      <c r="A1764" s="1" t="s">
        <v>44</v>
      </c>
      <c r="B1764" s="1" t="s">
        <v>0</v>
      </c>
      <c r="C1764" s="1" t="s">
        <v>31</v>
      </c>
      <c r="H1764" s="19">
        <v>0</v>
      </c>
      <c r="J1764" s="1" t="s">
        <v>82</v>
      </c>
    </row>
    <row r="1765" spans="1:10" x14ac:dyDescent="0.25">
      <c r="A1765" s="1" t="s">
        <v>44</v>
      </c>
      <c r="B1765" s="1" t="s">
        <v>0</v>
      </c>
      <c r="C1765" s="1" t="s">
        <v>32</v>
      </c>
      <c r="H1765" s="19">
        <v>0</v>
      </c>
      <c r="J1765" s="1" t="s">
        <v>82</v>
      </c>
    </row>
    <row r="1766" spans="1:10" x14ac:dyDescent="0.25">
      <c r="A1766" s="1" t="s">
        <v>45</v>
      </c>
      <c r="B1766" s="1" t="s">
        <v>9</v>
      </c>
      <c r="C1766" s="1" t="s">
        <v>63</v>
      </c>
      <c r="H1766" s="19">
        <v>0</v>
      </c>
      <c r="J1766" s="1" t="s">
        <v>82</v>
      </c>
    </row>
    <row r="1767" spans="1:10" x14ac:dyDescent="0.25">
      <c r="A1767" s="1" t="s">
        <v>45</v>
      </c>
      <c r="B1767" s="1" t="s">
        <v>9</v>
      </c>
      <c r="C1767" s="1" t="s">
        <v>26</v>
      </c>
      <c r="H1767" s="19">
        <v>0</v>
      </c>
      <c r="J1767" s="1" t="s">
        <v>82</v>
      </c>
    </row>
    <row r="1768" spans="1:10" x14ac:dyDescent="0.25">
      <c r="A1768" s="1" t="s">
        <v>45</v>
      </c>
      <c r="B1768" s="1" t="s">
        <v>9</v>
      </c>
      <c r="C1768" s="1" t="s">
        <v>27</v>
      </c>
      <c r="H1768" s="19">
        <v>0</v>
      </c>
      <c r="J1768" s="1" t="s">
        <v>82</v>
      </c>
    </row>
    <row r="1769" spans="1:10" x14ac:dyDescent="0.25">
      <c r="A1769" s="1" t="s">
        <v>45</v>
      </c>
      <c r="B1769" s="1" t="s">
        <v>9</v>
      </c>
      <c r="C1769" s="1" t="s">
        <v>21</v>
      </c>
      <c r="H1769" s="19">
        <v>0</v>
      </c>
      <c r="J1769" s="1" t="s">
        <v>82</v>
      </c>
    </row>
    <row r="1770" spans="1:10" x14ac:dyDescent="0.25">
      <c r="A1770" s="1" t="s">
        <v>45</v>
      </c>
      <c r="B1770" s="1" t="s">
        <v>9</v>
      </c>
      <c r="C1770" s="1" t="s">
        <v>28</v>
      </c>
      <c r="H1770" s="19">
        <v>0</v>
      </c>
      <c r="J1770" s="1" t="s">
        <v>82</v>
      </c>
    </row>
    <row r="1771" spans="1:10" x14ac:dyDescent="0.25">
      <c r="A1771" s="1" t="s">
        <v>45</v>
      </c>
      <c r="B1771" s="1" t="s">
        <v>9</v>
      </c>
      <c r="C1771" s="1" t="s">
        <v>29</v>
      </c>
      <c r="H1771" s="19">
        <v>0</v>
      </c>
      <c r="J1771" s="1" t="s">
        <v>82</v>
      </c>
    </row>
    <row r="1772" spans="1:10" x14ac:dyDescent="0.25">
      <c r="A1772" s="1" t="s">
        <v>45</v>
      </c>
      <c r="B1772" s="1" t="s">
        <v>9</v>
      </c>
      <c r="C1772" s="1" t="s">
        <v>30</v>
      </c>
      <c r="H1772" s="19">
        <v>0</v>
      </c>
      <c r="J1772" s="1" t="s">
        <v>82</v>
      </c>
    </row>
    <row r="1773" spans="1:10" x14ac:dyDescent="0.25">
      <c r="A1773" s="1" t="s">
        <v>45</v>
      </c>
      <c r="B1773" s="1" t="s">
        <v>9</v>
      </c>
      <c r="C1773" s="1" t="s">
        <v>31</v>
      </c>
      <c r="H1773" s="19">
        <v>0</v>
      </c>
      <c r="J1773" s="1" t="s">
        <v>82</v>
      </c>
    </row>
    <row r="1774" spans="1:10" x14ac:dyDescent="0.25">
      <c r="A1774" s="1" t="s">
        <v>45</v>
      </c>
      <c r="B1774" s="1" t="s">
        <v>9</v>
      </c>
      <c r="C1774" s="1" t="s">
        <v>32</v>
      </c>
      <c r="H1774" s="19">
        <v>0</v>
      </c>
      <c r="J1774" s="1" t="s">
        <v>82</v>
      </c>
    </row>
    <row r="1775" spans="1:10" x14ac:dyDescent="0.25">
      <c r="A1775" s="1" t="s">
        <v>46</v>
      </c>
      <c r="B1775" s="1" t="s">
        <v>2</v>
      </c>
      <c r="C1775" s="1" t="s">
        <v>63</v>
      </c>
      <c r="H1775" s="19">
        <v>0</v>
      </c>
      <c r="J1775" s="1" t="s">
        <v>82</v>
      </c>
    </row>
    <row r="1776" spans="1:10" x14ac:dyDescent="0.25">
      <c r="A1776" s="1" t="s">
        <v>46</v>
      </c>
      <c r="B1776" s="1" t="s">
        <v>2</v>
      </c>
      <c r="C1776" s="1" t="s">
        <v>26</v>
      </c>
      <c r="H1776" s="19">
        <v>0</v>
      </c>
      <c r="J1776" s="1" t="s">
        <v>82</v>
      </c>
    </row>
    <row r="1777" spans="1:10" x14ac:dyDescent="0.25">
      <c r="A1777" s="1" t="s">
        <v>46</v>
      </c>
      <c r="B1777" s="1" t="s">
        <v>2</v>
      </c>
      <c r="C1777" s="1" t="s">
        <v>27</v>
      </c>
      <c r="H1777" s="19">
        <v>0</v>
      </c>
      <c r="J1777" s="1" t="s">
        <v>82</v>
      </c>
    </row>
    <row r="1778" spans="1:10" x14ac:dyDescent="0.25">
      <c r="A1778" s="1" t="s">
        <v>46</v>
      </c>
      <c r="B1778" s="1" t="s">
        <v>2</v>
      </c>
      <c r="C1778" s="1" t="s">
        <v>21</v>
      </c>
      <c r="H1778" s="19">
        <v>0</v>
      </c>
      <c r="J1778" s="1" t="s">
        <v>82</v>
      </c>
    </row>
    <row r="1779" spans="1:10" x14ac:dyDescent="0.25">
      <c r="A1779" s="1" t="s">
        <v>46</v>
      </c>
      <c r="B1779" s="1" t="s">
        <v>2</v>
      </c>
      <c r="C1779" s="1" t="s">
        <v>28</v>
      </c>
      <c r="H1779" s="19">
        <v>0</v>
      </c>
      <c r="J1779" s="1" t="s">
        <v>82</v>
      </c>
    </row>
    <row r="1780" spans="1:10" x14ac:dyDescent="0.25">
      <c r="A1780" s="1" t="s">
        <v>46</v>
      </c>
      <c r="B1780" s="1" t="s">
        <v>2</v>
      </c>
      <c r="C1780" s="1" t="s">
        <v>29</v>
      </c>
      <c r="H1780" s="19">
        <v>0</v>
      </c>
      <c r="J1780" s="1" t="s">
        <v>82</v>
      </c>
    </row>
    <row r="1781" spans="1:10" x14ac:dyDescent="0.25">
      <c r="A1781" s="1" t="s">
        <v>46</v>
      </c>
      <c r="B1781" s="1" t="s">
        <v>2</v>
      </c>
      <c r="C1781" s="1" t="s">
        <v>30</v>
      </c>
      <c r="H1781" s="19">
        <v>0</v>
      </c>
      <c r="J1781" s="1" t="s">
        <v>82</v>
      </c>
    </row>
    <row r="1782" spans="1:10" x14ac:dyDescent="0.25">
      <c r="A1782" s="1" t="s">
        <v>46</v>
      </c>
      <c r="B1782" s="1" t="s">
        <v>2</v>
      </c>
      <c r="C1782" s="1" t="s">
        <v>31</v>
      </c>
      <c r="H1782" s="19">
        <v>0</v>
      </c>
      <c r="J1782" s="1" t="s">
        <v>82</v>
      </c>
    </row>
    <row r="1783" spans="1:10" x14ac:dyDescent="0.25">
      <c r="A1783" s="1" t="s">
        <v>46</v>
      </c>
      <c r="B1783" s="1" t="s">
        <v>2</v>
      </c>
      <c r="C1783" s="1" t="s">
        <v>32</v>
      </c>
      <c r="H1783" s="19">
        <v>0</v>
      </c>
      <c r="J1783" s="1" t="s">
        <v>82</v>
      </c>
    </row>
    <row r="1784" spans="1:10" x14ac:dyDescent="0.25">
      <c r="A1784" s="1" t="s">
        <v>47</v>
      </c>
      <c r="B1784" s="1" t="s">
        <v>6</v>
      </c>
      <c r="C1784" s="1" t="s">
        <v>63</v>
      </c>
      <c r="H1784" s="19">
        <v>0</v>
      </c>
      <c r="J1784" s="1" t="s">
        <v>82</v>
      </c>
    </row>
    <row r="1785" spans="1:10" x14ac:dyDescent="0.25">
      <c r="A1785" s="1" t="s">
        <v>47</v>
      </c>
      <c r="B1785" s="1" t="s">
        <v>6</v>
      </c>
      <c r="C1785" s="1" t="s">
        <v>26</v>
      </c>
      <c r="H1785" s="19">
        <v>0</v>
      </c>
      <c r="J1785" s="1" t="s">
        <v>82</v>
      </c>
    </row>
    <row r="1786" spans="1:10" x14ac:dyDescent="0.25">
      <c r="A1786" s="1" t="s">
        <v>47</v>
      </c>
      <c r="B1786" s="1" t="s">
        <v>6</v>
      </c>
      <c r="C1786" s="1" t="s">
        <v>27</v>
      </c>
      <c r="H1786" s="19">
        <v>0</v>
      </c>
      <c r="J1786" s="1" t="s">
        <v>82</v>
      </c>
    </row>
    <row r="1787" spans="1:10" x14ac:dyDescent="0.25">
      <c r="A1787" s="1" t="s">
        <v>47</v>
      </c>
      <c r="B1787" s="1" t="s">
        <v>6</v>
      </c>
      <c r="C1787" s="1" t="s">
        <v>21</v>
      </c>
      <c r="H1787" s="19">
        <v>0</v>
      </c>
      <c r="J1787" s="1" t="s">
        <v>82</v>
      </c>
    </row>
    <row r="1788" spans="1:10" x14ac:dyDescent="0.25">
      <c r="A1788" s="1" t="s">
        <v>47</v>
      </c>
      <c r="B1788" s="1" t="s">
        <v>6</v>
      </c>
      <c r="C1788" s="1" t="s">
        <v>28</v>
      </c>
      <c r="H1788" s="19">
        <v>0</v>
      </c>
      <c r="J1788" s="1" t="s">
        <v>82</v>
      </c>
    </row>
    <row r="1789" spans="1:10" x14ac:dyDescent="0.25">
      <c r="A1789" s="1" t="s">
        <v>47</v>
      </c>
      <c r="B1789" s="1" t="s">
        <v>6</v>
      </c>
      <c r="C1789" s="1" t="s">
        <v>29</v>
      </c>
      <c r="H1789" s="19">
        <v>0</v>
      </c>
      <c r="J1789" s="1" t="s">
        <v>82</v>
      </c>
    </row>
    <row r="1790" spans="1:10" x14ac:dyDescent="0.25">
      <c r="A1790" s="1" t="s">
        <v>47</v>
      </c>
      <c r="B1790" s="1" t="s">
        <v>6</v>
      </c>
      <c r="C1790" s="1" t="s">
        <v>30</v>
      </c>
      <c r="H1790" s="19">
        <v>0</v>
      </c>
      <c r="J1790" s="1" t="s">
        <v>82</v>
      </c>
    </row>
    <row r="1791" spans="1:10" x14ac:dyDescent="0.25">
      <c r="A1791" s="1" t="s">
        <v>47</v>
      </c>
      <c r="B1791" s="1" t="s">
        <v>6</v>
      </c>
      <c r="C1791" s="1" t="s">
        <v>31</v>
      </c>
      <c r="H1791" s="19">
        <v>0</v>
      </c>
      <c r="J1791" s="1" t="s">
        <v>82</v>
      </c>
    </row>
    <row r="1792" spans="1:10" x14ac:dyDescent="0.25">
      <c r="A1792" s="1" t="s">
        <v>47</v>
      </c>
      <c r="B1792" s="1" t="s">
        <v>6</v>
      </c>
      <c r="C1792" s="1" t="s">
        <v>32</v>
      </c>
      <c r="H1792" s="19">
        <v>0</v>
      </c>
      <c r="J1792" s="1" t="s">
        <v>82</v>
      </c>
    </row>
    <row r="1793" spans="1:10" x14ac:dyDescent="0.25">
      <c r="A1793" s="1" t="s">
        <v>48</v>
      </c>
      <c r="B1793" s="1" t="s">
        <v>17</v>
      </c>
      <c r="C1793" s="1" t="s">
        <v>63</v>
      </c>
      <c r="H1793" s="19">
        <v>0</v>
      </c>
      <c r="J1793" s="1" t="s">
        <v>82</v>
      </c>
    </row>
    <row r="1794" spans="1:10" x14ac:dyDescent="0.25">
      <c r="A1794" s="1" t="s">
        <v>48</v>
      </c>
      <c r="B1794" s="1" t="s">
        <v>17</v>
      </c>
      <c r="C1794" s="1" t="s">
        <v>26</v>
      </c>
      <c r="H1794" s="19">
        <v>0</v>
      </c>
      <c r="J1794" s="1" t="s">
        <v>82</v>
      </c>
    </row>
    <row r="1795" spans="1:10" x14ac:dyDescent="0.25">
      <c r="A1795" s="1" t="s">
        <v>48</v>
      </c>
      <c r="B1795" s="1" t="s">
        <v>17</v>
      </c>
      <c r="C1795" s="1" t="s">
        <v>27</v>
      </c>
      <c r="H1795" s="19">
        <v>0</v>
      </c>
      <c r="J1795" s="1" t="s">
        <v>82</v>
      </c>
    </row>
    <row r="1796" spans="1:10" x14ac:dyDescent="0.25">
      <c r="A1796" s="1" t="s">
        <v>48</v>
      </c>
      <c r="B1796" s="1" t="s">
        <v>17</v>
      </c>
      <c r="C1796" s="1" t="s">
        <v>21</v>
      </c>
      <c r="H1796" s="19">
        <v>0</v>
      </c>
      <c r="J1796" s="1" t="s">
        <v>82</v>
      </c>
    </row>
    <row r="1797" spans="1:10" x14ac:dyDescent="0.25">
      <c r="A1797" s="1" t="s">
        <v>48</v>
      </c>
      <c r="B1797" s="1" t="s">
        <v>17</v>
      </c>
      <c r="C1797" s="1" t="s">
        <v>28</v>
      </c>
      <c r="H1797" s="19">
        <v>0</v>
      </c>
      <c r="J1797" s="1" t="s">
        <v>82</v>
      </c>
    </row>
    <row r="1798" spans="1:10" x14ac:dyDescent="0.25">
      <c r="A1798" s="1" t="s">
        <v>48</v>
      </c>
      <c r="B1798" s="1" t="s">
        <v>17</v>
      </c>
      <c r="C1798" s="1" t="s">
        <v>29</v>
      </c>
      <c r="H1798" s="19">
        <v>0</v>
      </c>
      <c r="J1798" s="1" t="s">
        <v>82</v>
      </c>
    </row>
    <row r="1799" spans="1:10" x14ac:dyDescent="0.25">
      <c r="A1799" s="1" t="s">
        <v>48</v>
      </c>
      <c r="B1799" s="1" t="s">
        <v>17</v>
      </c>
      <c r="C1799" s="1" t="s">
        <v>30</v>
      </c>
      <c r="H1799" s="19">
        <v>0</v>
      </c>
      <c r="J1799" s="1" t="s">
        <v>82</v>
      </c>
    </row>
    <row r="1800" spans="1:10" x14ac:dyDescent="0.25">
      <c r="A1800" s="1" t="s">
        <v>48</v>
      </c>
      <c r="B1800" s="1" t="s">
        <v>17</v>
      </c>
      <c r="C1800" s="1" t="s">
        <v>31</v>
      </c>
      <c r="H1800" s="19">
        <v>0</v>
      </c>
      <c r="J1800" s="1" t="s">
        <v>82</v>
      </c>
    </row>
    <row r="1801" spans="1:10" x14ac:dyDescent="0.25">
      <c r="A1801" s="1" t="s">
        <v>48</v>
      </c>
      <c r="B1801" s="1" t="s">
        <v>17</v>
      </c>
      <c r="C1801" s="1" t="s">
        <v>32</v>
      </c>
      <c r="H1801" s="19">
        <v>0</v>
      </c>
      <c r="J1801" s="1" t="s">
        <v>82</v>
      </c>
    </row>
    <row r="1802" spans="1:10" x14ac:dyDescent="0.25">
      <c r="A1802" s="1" t="s">
        <v>49</v>
      </c>
      <c r="B1802" s="1" t="s">
        <v>5</v>
      </c>
      <c r="C1802" s="1" t="s">
        <v>63</v>
      </c>
      <c r="H1802" s="19">
        <v>0</v>
      </c>
      <c r="J1802" s="1" t="s">
        <v>82</v>
      </c>
    </row>
    <row r="1803" spans="1:10" x14ac:dyDescent="0.25">
      <c r="A1803" s="1" t="s">
        <v>49</v>
      </c>
      <c r="B1803" s="1" t="s">
        <v>5</v>
      </c>
      <c r="C1803" s="1" t="s">
        <v>26</v>
      </c>
      <c r="H1803" s="19">
        <v>0</v>
      </c>
      <c r="J1803" s="1" t="s">
        <v>82</v>
      </c>
    </row>
    <row r="1804" spans="1:10" x14ac:dyDescent="0.25">
      <c r="A1804" s="1" t="s">
        <v>49</v>
      </c>
      <c r="B1804" s="1" t="s">
        <v>5</v>
      </c>
      <c r="C1804" s="1" t="s">
        <v>27</v>
      </c>
      <c r="H1804" s="19">
        <v>0</v>
      </c>
      <c r="J1804" s="1" t="s">
        <v>82</v>
      </c>
    </row>
    <row r="1805" spans="1:10" x14ac:dyDescent="0.25">
      <c r="A1805" s="1" t="s">
        <v>49</v>
      </c>
      <c r="B1805" s="1" t="s">
        <v>5</v>
      </c>
      <c r="C1805" s="1" t="s">
        <v>21</v>
      </c>
      <c r="H1805" s="19">
        <v>0</v>
      </c>
      <c r="J1805" s="1" t="s">
        <v>82</v>
      </c>
    </row>
    <row r="1806" spans="1:10" x14ac:dyDescent="0.25">
      <c r="A1806" s="1" t="s">
        <v>49</v>
      </c>
      <c r="B1806" s="1" t="s">
        <v>5</v>
      </c>
      <c r="C1806" s="1" t="s">
        <v>28</v>
      </c>
      <c r="H1806" s="19">
        <v>0</v>
      </c>
      <c r="J1806" s="1" t="s">
        <v>82</v>
      </c>
    </row>
    <row r="1807" spans="1:10" x14ac:dyDescent="0.25">
      <c r="A1807" s="1" t="s">
        <v>49</v>
      </c>
      <c r="B1807" s="1" t="s">
        <v>5</v>
      </c>
      <c r="C1807" s="1" t="s">
        <v>29</v>
      </c>
      <c r="H1807" s="19">
        <v>0</v>
      </c>
      <c r="J1807" s="1" t="s">
        <v>82</v>
      </c>
    </row>
    <row r="1808" spans="1:10" x14ac:dyDescent="0.25">
      <c r="A1808" s="1" t="s">
        <v>49</v>
      </c>
      <c r="B1808" s="1" t="s">
        <v>5</v>
      </c>
      <c r="C1808" s="1" t="s">
        <v>30</v>
      </c>
      <c r="H1808" s="19">
        <v>0</v>
      </c>
      <c r="J1808" s="1" t="s">
        <v>82</v>
      </c>
    </row>
    <row r="1809" spans="1:10" x14ac:dyDescent="0.25">
      <c r="A1809" s="1" t="s">
        <v>49</v>
      </c>
      <c r="B1809" s="1" t="s">
        <v>5</v>
      </c>
      <c r="C1809" s="1" t="s">
        <v>31</v>
      </c>
      <c r="H1809" s="19">
        <v>0</v>
      </c>
      <c r="J1809" s="1" t="s">
        <v>82</v>
      </c>
    </row>
    <row r="1810" spans="1:10" x14ac:dyDescent="0.25">
      <c r="A1810" s="1" t="s">
        <v>49</v>
      </c>
      <c r="B1810" s="1" t="s">
        <v>5</v>
      </c>
      <c r="C1810" s="1" t="s">
        <v>32</v>
      </c>
      <c r="H1810" s="19">
        <v>0</v>
      </c>
      <c r="J1810" s="1" t="s">
        <v>82</v>
      </c>
    </row>
    <row r="1811" spans="1:10" x14ac:dyDescent="0.25">
      <c r="A1811" s="1" t="s">
        <v>50</v>
      </c>
      <c r="B1811" s="1" t="s">
        <v>4</v>
      </c>
      <c r="C1811" s="1" t="s">
        <v>63</v>
      </c>
      <c r="H1811" s="19">
        <v>0</v>
      </c>
      <c r="J1811" s="1" t="s">
        <v>82</v>
      </c>
    </row>
    <row r="1812" spans="1:10" x14ac:dyDescent="0.25">
      <c r="A1812" s="1" t="s">
        <v>50</v>
      </c>
      <c r="B1812" s="1" t="s">
        <v>4</v>
      </c>
      <c r="C1812" s="1" t="s">
        <v>26</v>
      </c>
      <c r="H1812" s="19">
        <v>0</v>
      </c>
      <c r="J1812" s="1" t="s">
        <v>82</v>
      </c>
    </row>
    <row r="1813" spans="1:10" x14ac:dyDescent="0.25">
      <c r="A1813" s="1" t="s">
        <v>50</v>
      </c>
      <c r="B1813" s="1" t="s">
        <v>4</v>
      </c>
      <c r="C1813" s="1" t="s">
        <v>27</v>
      </c>
      <c r="H1813" s="19">
        <v>0</v>
      </c>
      <c r="J1813" s="1" t="s">
        <v>82</v>
      </c>
    </row>
    <row r="1814" spans="1:10" x14ac:dyDescent="0.25">
      <c r="A1814" s="1" t="s">
        <v>50</v>
      </c>
      <c r="B1814" s="1" t="s">
        <v>4</v>
      </c>
      <c r="C1814" s="1" t="s">
        <v>21</v>
      </c>
      <c r="H1814" s="19">
        <v>0</v>
      </c>
      <c r="J1814" s="1" t="s">
        <v>82</v>
      </c>
    </row>
    <row r="1815" spans="1:10" x14ac:dyDescent="0.25">
      <c r="A1815" s="1" t="s">
        <v>50</v>
      </c>
      <c r="B1815" s="1" t="s">
        <v>4</v>
      </c>
      <c r="C1815" s="1" t="s">
        <v>28</v>
      </c>
      <c r="H1815" s="19">
        <v>0</v>
      </c>
      <c r="J1815" s="1" t="s">
        <v>82</v>
      </c>
    </row>
    <row r="1816" spans="1:10" x14ac:dyDescent="0.25">
      <c r="A1816" s="1" t="s">
        <v>50</v>
      </c>
      <c r="B1816" s="1" t="s">
        <v>4</v>
      </c>
      <c r="C1816" s="1" t="s">
        <v>29</v>
      </c>
      <c r="H1816" s="19">
        <v>0</v>
      </c>
      <c r="J1816" s="1" t="s">
        <v>82</v>
      </c>
    </row>
    <row r="1817" spans="1:10" x14ac:dyDescent="0.25">
      <c r="A1817" s="1" t="s">
        <v>50</v>
      </c>
      <c r="B1817" s="1" t="s">
        <v>4</v>
      </c>
      <c r="C1817" s="1" t="s">
        <v>30</v>
      </c>
      <c r="H1817" s="19">
        <v>0</v>
      </c>
      <c r="J1817" s="1" t="s">
        <v>82</v>
      </c>
    </row>
    <row r="1818" spans="1:10" x14ac:dyDescent="0.25">
      <c r="A1818" s="1" t="s">
        <v>50</v>
      </c>
      <c r="B1818" s="1" t="s">
        <v>4</v>
      </c>
      <c r="C1818" s="1" t="s">
        <v>31</v>
      </c>
      <c r="H1818" s="19">
        <v>0</v>
      </c>
      <c r="J1818" s="1" t="s">
        <v>82</v>
      </c>
    </row>
    <row r="1819" spans="1:10" x14ac:dyDescent="0.25">
      <c r="A1819" s="1" t="s">
        <v>50</v>
      </c>
      <c r="B1819" s="1" t="s">
        <v>4</v>
      </c>
      <c r="C1819" s="1" t="s">
        <v>32</v>
      </c>
      <c r="H1819" s="19">
        <v>0</v>
      </c>
      <c r="J1819" s="1" t="s">
        <v>82</v>
      </c>
    </row>
    <row r="1820" spans="1:10" x14ac:dyDescent="0.25">
      <c r="A1820" s="1" t="s">
        <v>51</v>
      </c>
      <c r="B1820" s="1" t="s">
        <v>3</v>
      </c>
      <c r="C1820" s="1" t="s">
        <v>63</v>
      </c>
      <c r="H1820" s="19">
        <v>0</v>
      </c>
      <c r="J1820" s="1" t="s">
        <v>82</v>
      </c>
    </row>
    <row r="1821" spans="1:10" x14ac:dyDescent="0.25">
      <c r="A1821" s="1" t="s">
        <v>51</v>
      </c>
      <c r="B1821" s="1" t="s">
        <v>3</v>
      </c>
      <c r="C1821" s="1" t="s">
        <v>26</v>
      </c>
      <c r="H1821" s="19">
        <v>0</v>
      </c>
      <c r="J1821" s="1" t="s">
        <v>82</v>
      </c>
    </row>
    <row r="1822" spans="1:10" x14ac:dyDescent="0.25">
      <c r="A1822" s="1" t="s">
        <v>51</v>
      </c>
      <c r="B1822" s="1" t="s">
        <v>3</v>
      </c>
      <c r="C1822" s="1" t="s">
        <v>27</v>
      </c>
      <c r="H1822" s="19">
        <v>0</v>
      </c>
      <c r="J1822" s="1" t="s">
        <v>82</v>
      </c>
    </row>
    <row r="1823" spans="1:10" x14ac:dyDescent="0.25">
      <c r="A1823" s="1" t="s">
        <v>51</v>
      </c>
      <c r="B1823" s="1" t="s">
        <v>3</v>
      </c>
      <c r="C1823" s="1" t="s">
        <v>21</v>
      </c>
      <c r="H1823" s="19">
        <v>0</v>
      </c>
      <c r="J1823" s="1" t="s">
        <v>82</v>
      </c>
    </row>
    <row r="1824" spans="1:10" x14ac:dyDescent="0.25">
      <c r="A1824" s="1" t="s">
        <v>51</v>
      </c>
      <c r="B1824" s="1" t="s">
        <v>3</v>
      </c>
      <c r="C1824" s="1" t="s">
        <v>28</v>
      </c>
      <c r="H1824" s="19">
        <v>0</v>
      </c>
      <c r="J1824" s="1" t="s">
        <v>82</v>
      </c>
    </row>
    <row r="1825" spans="1:10" x14ac:dyDescent="0.25">
      <c r="A1825" s="1" t="s">
        <v>51</v>
      </c>
      <c r="B1825" s="1" t="s">
        <v>3</v>
      </c>
      <c r="C1825" s="1" t="s">
        <v>29</v>
      </c>
      <c r="H1825" s="19">
        <v>0</v>
      </c>
      <c r="J1825" s="1" t="s">
        <v>82</v>
      </c>
    </row>
    <row r="1826" spans="1:10" x14ac:dyDescent="0.25">
      <c r="A1826" s="1" t="s">
        <v>51</v>
      </c>
      <c r="B1826" s="1" t="s">
        <v>3</v>
      </c>
      <c r="C1826" s="1" t="s">
        <v>30</v>
      </c>
      <c r="H1826" s="19">
        <v>0</v>
      </c>
      <c r="J1826" s="1" t="s">
        <v>82</v>
      </c>
    </row>
    <row r="1827" spans="1:10" x14ac:dyDescent="0.25">
      <c r="A1827" s="1" t="s">
        <v>51</v>
      </c>
      <c r="B1827" s="1" t="s">
        <v>3</v>
      </c>
      <c r="C1827" s="1" t="s">
        <v>31</v>
      </c>
      <c r="H1827" s="19">
        <v>0</v>
      </c>
      <c r="J1827" s="1" t="s">
        <v>82</v>
      </c>
    </row>
    <row r="1828" spans="1:10" x14ac:dyDescent="0.25">
      <c r="A1828" s="1" t="s">
        <v>51</v>
      </c>
      <c r="B1828" s="1" t="s">
        <v>3</v>
      </c>
      <c r="C1828" s="1" t="s">
        <v>32</v>
      </c>
      <c r="H1828" s="19">
        <v>0</v>
      </c>
      <c r="J1828" s="1" t="s">
        <v>82</v>
      </c>
    </row>
    <row r="1829" spans="1:10" x14ac:dyDescent="0.25">
      <c r="A1829" s="1" t="s">
        <v>52</v>
      </c>
      <c r="B1829" s="1" t="s">
        <v>13</v>
      </c>
      <c r="C1829" s="1" t="s">
        <v>63</v>
      </c>
      <c r="H1829" s="19">
        <v>0</v>
      </c>
      <c r="J1829" s="1" t="s">
        <v>82</v>
      </c>
    </row>
    <row r="1830" spans="1:10" x14ac:dyDescent="0.25">
      <c r="A1830" s="1" t="s">
        <v>52</v>
      </c>
      <c r="B1830" s="1" t="s">
        <v>13</v>
      </c>
      <c r="C1830" s="1" t="s">
        <v>26</v>
      </c>
      <c r="H1830" s="19">
        <v>0</v>
      </c>
      <c r="J1830" s="1" t="s">
        <v>82</v>
      </c>
    </row>
    <row r="1831" spans="1:10" x14ac:dyDescent="0.25">
      <c r="A1831" s="1" t="s">
        <v>52</v>
      </c>
      <c r="B1831" s="1" t="s">
        <v>13</v>
      </c>
      <c r="C1831" s="1" t="s">
        <v>27</v>
      </c>
      <c r="H1831" s="19">
        <v>0</v>
      </c>
      <c r="J1831" s="1" t="s">
        <v>82</v>
      </c>
    </row>
    <row r="1832" spans="1:10" x14ac:dyDescent="0.25">
      <c r="A1832" s="1" t="s">
        <v>52</v>
      </c>
      <c r="B1832" s="1" t="s">
        <v>13</v>
      </c>
      <c r="C1832" s="1" t="s">
        <v>21</v>
      </c>
      <c r="H1832" s="19">
        <v>0</v>
      </c>
      <c r="J1832" s="1" t="s">
        <v>82</v>
      </c>
    </row>
    <row r="1833" spans="1:10" x14ac:dyDescent="0.25">
      <c r="A1833" s="1" t="s">
        <v>52</v>
      </c>
      <c r="B1833" s="1" t="s">
        <v>13</v>
      </c>
      <c r="C1833" s="1" t="s">
        <v>28</v>
      </c>
      <c r="H1833" s="19">
        <v>0</v>
      </c>
      <c r="J1833" s="1" t="s">
        <v>82</v>
      </c>
    </row>
    <row r="1834" spans="1:10" x14ac:dyDescent="0.25">
      <c r="A1834" s="1" t="s">
        <v>52</v>
      </c>
      <c r="B1834" s="1" t="s">
        <v>13</v>
      </c>
      <c r="C1834" s="1" t="s">
        <v>29</v>
      </c>
      <c r="H1834" s="19">
        <v>0</v>
      </c>
      <c r="J1834" s="1" t="s">
        <v>82</v>
      </c>
    </row>
    <row r="1835" spans="1:10" x14ac:dyDescent="0.25">
      <c r="A1835" s="1" t="s">
        <v>52</v>
      </c>
      <c r="B1835" s="1" t="s">
        <v>13</v>
      </c>
      <c r="C1835" s="1" t="s">
        <v>30</v>
      </c>
      <c r="H1835" s="19">
        <v>0</v>
      </c>
      <c r="J1835" s="1" t="s">
        <v>82</v>
      </c>
    </row>
    <row r="1836" spans="1:10" x14ac:dyDescent="0.25">
      <c r="A1836" s="1" t="s">
        <v>52</v>
      </c>
      <c r="B1836" s="1" t="s">
        <v>13</v>
      </c>
      <c r="C1836" s="1" t="s">
        <v>31</v>
      </c>
      <c r="H1836" s="19">
        <v>0</v>
      </c>
      <c r="J1836" s="1" t="s">
        <v>82</v>
      </c>
    </row>
    <row r="1837" spans="1:10" x14ac:dyDescent="0.25">
      <c r="A1837" s="1" t="s">
        <v>52</v>
      </c>
      <c r="B1837" s="1" t="s">
        <v>13</v>
      </c>
      <c r="C1837" s="1" t="s">
        <v>32</v>
      </c>
      <c r="H1837" s="19">
        <v>0</v>
      </c>
      <c r="J1837" s="1" t="s">
        <v>82</v>
      </c>
    </row>
    <row r="1838" spans="1:10" x14ac:dyDescent="0.25">
      <c r="A1838" s="1" t="s">
        <v>53</v>
      </c>
      <c r="B1838" s="1" t="s">
        <v>14</v>
      </c>
      <c r="C1838" s="1" t="s">
        <v>63</v>
      </c>
      <c r="H1838" s="19">
        <v>0</v>
      </c>
      <c r="J1838" s="1" t="s">
        <v>82</v>
      </c>
    </row>
    <row r="1839" spans="1:10" x14ac:dyDescent="0.25">
      <c r="A1839" s="1" t="s">
        <v>53</v>
      </c>
      <c r="B1839" s="1" t="s">
        <v>14</v>
      </c>
      <c r="C1839" s="1" t="s">
        <v>26</v>
      </c>
      <c r="H1839" s="19">
        <v>0</v>
      </c>
      <c r="J1839" s="1" t="s">
        <v>82</v>
      </c>
    </row>
    <row r="1840" spans="1:10" x14ac:dyDescent="0.25">
      <c r="A1840" s="1" t="s">
        <v>53</v>
      </c>
      <c r="B1840" s="1" t="s">
        <v>14</v>
      </c>
      <c r="C1840" s="1" t="s">
        <v>27</v>
      </c>
      <c r="H1840" s="19">
        <v>0</v>
      </c>
      <c r="J1840" s="1" t="s">
        <v>82</v>
      </c>
    </row>
    <row r="1841" spans="1:10" x14ac:dyDescent="0.25">
      <c r="A1841" s="1" t="s">
        <v>53</v>
      </c>
      <c r="B1841" s="1" t="s">
        <v>14</v>
      </c>
      <c r="C1841" s="1" t="s">
        <v>21</v>
      </c>
      <c r="H1841" s="19">
        <v>0</v>
      </c>
      <c r="J1841" s="1" t="s">
        <v>82</v>
      </c>
    </row>
    <row r="1842" spans="1:10" x14ac:dyDescent="0.25">
      <c r="A1842" s="1" t="s">
        <v>53</v>
      </c>
      <c r="B1842" s="1" t="s">
        <v>14</v>
      </c>
      <c r="C1842" s="1" t="s">
        <v>28</v>
      </c>
      <c r="H1842" s="19">
        <v>0</v>
      </c>
      <c r="J1842" s="1" t="s">
        <v>82</v>
      </c>
    </row>
    <row r="1843" spans="1:10" x14ac:dyDescent="0.25">
      <c r="A1843" s="1" t="s">
        <v>53</v>
      </c>
      <c r="B1843" s="1" t="s">
        <v>14</v>
      </c>
      <c r="C1843" s="1" t="s">
        <v>29</v>
      </c>
      <c r="H1843" s="19">
        <v>0</v>
      </c>
      <c r="J1843" s="1" t="s">
        <v>82</v>
      </c>
    </row>
    <row r="1844" spans="1:10" x14ac:dyDescent="0.25">
      <c r="A1844" s="1" t="s">
        <v>53</v>
      </c>
      <c r="B1844" s="1" t="s">
        <v>14</v>
      </c>
      <c r="C1844" s="1" t="s">
        <v>30</v>
      </c>
      <c r="H1844" s="19">
        <v>0</v>
      </c>
      <c r="J1844" s="1" t="s">
        <v>82</v>
      </c>
    </row>
    <row r="1845" spans="1:10" x14ac:dyDescent="0.25">
      <c r="A1845" s="1" t="s">
        <v>53</v>
      </c>
      <c r="B1845" s="1" t="s">
        <v>14</v>
      </c>
      <c r="C1845" s="1" t="s">
        <v>31</v>
      </c>
      <c r="H1845" s="19">
        <v>0</v>
      </c>
      <c r="J1845" s="1" t="s">
        <v>82</v>
      </c>
    </row>
    <row r="1846" spans="1:10" x14ac:dyDescent="0.25">
      <c r="A1846" s="1" t="s">
        <v>53</v>
      </c>
      <c r="B1846" s="1" t="s">
        <v>14</v>
      </c>
      <c r="C1846" s="1" t="s">
        <v>32</v>
      </c>
      <c r="H1846" s="19">
        <v>0</v>
      </c>
      <c r="J1846" s="1" t="s">
        <v>82</v>
      </c>
    </row>
    <row r="1847" spans="1:10" x14ac:dyDescent="0.25">
      <c r="A1847" s="1" t="s">
        <v>54</v>
      </c>
      <c r="B1847" s="1" t="s">
        <v>16</v>
      </c>
      <c r="C1847" s="1" t="s">
        <v>63</v>
      </c>
      <c r="H1847" s="19">
        <v>0</v>
      </c>
      <c r="J1847" s="1" t="s">
        <v>82</v>
      </c>
    </row>
    <row r="1848" spans="1:10" x14ac:dyDescent="0.25">
      <c r="A1848" s="1" t="s">
        <v>54</v>
      </c>
      <c r="B1848" s="1" t="s">
        <v>16</v>
      </c>
      <c r="C1848" s="1" t="s">
        <v>26</v>
      </c>
      <c r="H1848" s="19">
        <v>0</v>
      </c>
      <c r="J1848" s="1" t="s">
        <v>82</v>
      </c>
    </row>
    <row r="1849" spans="1:10" x14ac:dyDescent="0.25">
      <c r="A1849" s="1" t="s">
        <v>54</v>
      </c>
      <c r="B1849" s="1" t="s">
        <v>16</v>
      </c>
      <c r="C1849" s="1" t="s">
        <v>27</v>
      </c>
      <c r="H1849" s="19">
        <v>0</v>
      </c>
      <c r="J1849" s="1" t="s">
        <v>82</v>
      </c>
    </row>
    <row r="1850" spans="1:10" x14ac:dyDescent="0.25">
      <c r="A1850" s="1" t="s">
        <v>54</v>
      </c>
      <c r="B1850" s="1" t="s">
        <v>16</v>
      </c>
      <c r="C1850" s="1" t="s">
        <v>21</v>
      </c>
      <c r="H1850" s="19">
        <v>0</v>
      </c>
      <c r="J1850" s="1" t="s">
        <v>82</v>
      </c>
    </row>
    <row r="1851" spans="1:10" x14ac:dyDescent="0.25">
      <c r="A1851" s="1" t="s">
        <v>54</v>
      </c>
      <c r="B1851" s="1" t="s">
        <v>16</v>
      </c>
      <c r="C1851" s="1" t="s">
        <v>28</v>
      </c>
      <c r="H1851" s="19">
        <v>0</v>
      </c>
      <c r="J1851" s="1" t="s">
        <v>82</v>
      </c>
    </row>
    <row r="1852" spans="1:10" x14ac:dyDescent="0.25">
      <c r="A1852" s="1" t="s">
        <v>54</v>
      </c>
      <c r="B1852" s="1" t="s">
        <v>16</v>
      </c>
      <c r="C1852" s="1" t="s">
        <v>29</v>
      </c>
      <c r="H1852" s="19">
        <v>0</v>
      </c>
      <c r="J1852" s="1" t="s">
        <v>82</v>
      </c>
    </row>
    <row r="1853" spans="1:10" x14ac:dyDescent="0.25">
      <c r="A1853" s="1" t="s">
        <v>54</v>
      </c>
      <c r="B1853" s="1" t="s">
        <v>16</v>
      </c>
      <c r="C1853" s="1" t="s">
        <v>30</v>
      </c>
      <c r="H1853" s="19">
        <v>0</v>
      </c>
      <c r="J1853" s="1" t="s">
        <v>82</v>
      </c>
    </row>
    <row r="1854" spans="1:10" x14ac:dyDescent="0.25">
      <c r="A1854" s="1" t="s">
        <v>54</v>
      </c>
      <c r="B1854" s="1" t="s">
        <v>16</v>
      </c>
      <c r="C1854" s="1" t="s">
        <v>31</v>
      </c>
      <c r="H1854" s="19">
        <v>0</v>
      </c>
      <c r="J1854" s="1" t="s">
        <v>82</v>
      </c>
    </row>
    <row r="1855" spans="1:10" x14ac:dyDescent="0.25">
      <c r="A1855" s="1" t="s">
        <v>54</v>
      </c>
      <c r="B1855" s="1" t="s">
        <v>16</v>
      </c>
      <c r="C1855" s="1" t="s">
        <v>32</v>
      </c>
      <c r="H1855" s="19">
        <v>0</v>
      </c>
      <c r="J1855" s="1" t="s">
        <v>82</v>
      </c>
    </row>
    <row r="1856" spans="1:10" x14ac:dyDescent="0.25">
      <c r="A1856" s="1" t="s">
        <v>55</v>
      </c>
      <c r="B1856" s="1" t="s">
        <v>10</v>
      </c>
      <c r="C1856" s="1" t="s">
        <v>63</v>
      </c>
      <c r="H1856" s="19">
        <v>0</v>
      </c>
      <c r="J1856" s="1" t="s">
        <v>82</v>
      </c>
    </row>
    <row r="1857" spans="1:10" x14ac:dyDescent="0.25">
      <c r="A1857" s="1" t="s">
        <v>55</v>
      </c>
      <c r="B1857" s="1" t="s">
        <v>10</v>
      </c>
      <c r="C1857" s="1" t="s">
        <v>26</v>
      </c>
      <c r="H1857" s="19">
        <v>0</v>
      </c>
      <c r="J1857" s="1" t="s">
        <v>82</v>
      </c>
    </row>
    <row r="1858" spans="1:10" x14ac:dyDescent="0.25">
      <c r="A1858" s="1" t="s">
        <v>55</v>
      </c>
      <c r="B1858" s="1" t="s">
        <v>10</v>
      </c>
      <c r="C1858" s="1" t="s">
        <v>27</v>
      </c>
      <c r="H1858" s="19">
        <v>0</v>
      </c>
      <c r="J1858" s="1" t="s">
        <v>82</v>
      </c>
    </row>
    <row r="1859" spans="1:10" x14ac:dyDescent="0.25">
      <c r="A1859" s="1" t="s">
        <v>55</v>
      </c>
      <c r="B1859" s="1" t="s">
        <v>10</v>
      </c>
      <c r="C1859" s="1" t="s">
        <v>21</v>
      </c>
      <c r="H1859" s="19">
        <v>0</v>
      </c>
      <c r="J1859" s="1" t="s">
        <v>82</v>
      </c>
    </row>
    <row r="1860" spans="1:10" x14ac:dyDescent="0.25">
      <c r="A1860" s="1" t="s">
        <v>55</v>
      </c>
      <c r="B1860" s="1" t="s">
        <v>10</v>
      </c>
      <c r="C1860" s="1" t="s">
        <v>28</v>
      </c>
      <c r="H1860" s="19">
        <v>0</v>
      </c>
      <c r="J1860" s="1" t="s">
        <v>82</v>
      </c>
    </row>
    <row r="1861" spans="1:10" x14ac:dyDescent="0.25">
      <c r="A1861" s="1" t="s">
        <v>55</v>
      </c>
      <c r="B1861" s="1" t="s">
        <v>10</v>
      </c>
      <c r="C1861" s="1" t="s">
        <v>29</v>
      </c>
      <c r="H1861" s="19">
        <v>0</v>
      </c>
      <c r="J1861" s="1" t="s">
        <v>82</v>
      </c>
    </row>
    <row r="1862" spans="1:10" x14ac:dyDescent="0.25">
      <c r="A1862" s="1" t="s">
        <v>55</v>
      </c>
      <c r="B1862" s="1" t="s">
        <v>10</v>
      </c>
      <c r="C1862" s="1" t="s">
        <v>30</v>
      </c>
      <c r="H1862" s="19">
        <v>0</v>
      </c>
      <c r="J1862" s="1" t="s">
        <v>82</v>
      </c>
    </row>
    <row r="1863" spans="1:10" x14ac:dyDescent="0.25">
      <c r="A1863" s="1" t="s">
        <v>55</v>
      </c>
      <c r="B1863" s="1" t="s">
        <v>10</v>
      </c>
      <c r="C1863" s="1" t="s">
        <v>31</v>
      </c>
      <c r="H1863" s="19">
        <v>0</v>
      </c>
      <c r="J1863" s="1" t="s">
        <v>82</v>
      </c>
    </row>
    <row r="1864" spans="1:10" x14ac:dyDescent="0.25">
      <c r="A1864" s="1" t="s">
        <v>55</v>
      </c>
      <c r="B1864" s="1" t="s">
        <v>10</v>
      </c>
      <c r="C1864" s="1" t="s">
        <v>32</v>
      </c>
      <c r="H1864" s="19">
        <v>0</v>
      </c>
      <c r="J1864" s="1" t="s">
        <v>82</v>
      </c>
    </row>
    <row r="1865" spans="1:10" x14ac:dyDescent="0.25">
      <c r="A1865" s="1" t="s">
        <v>56</v>
      </c>
      <c r="B1865" s="1" t="s">
        <v>7</v>
      </c>
      <c r="C1865" s="1" t="s">
        <v>63</v>
      </c>
      <c r="H1865" s="19">
        <v>0</v>
      </c>
      <c r="J1865" s="1" t="s">
        <v>82</v>
      </c>
    </row>
    <row r="1866" spans="1:10" x14ac:dyDescent="0.25">
      <c r="A1866" s="1" t="s">
        <v>56</v>
      </c>
      <c r="B1866" s="1" t="s">
        <v>7</v>
      </c>
      <c r="C1866" s="1" t="s">
        <v>26</v>
      </c>
      <c r="H1866" s="19">
        <v>0</v>
      </c>
      <c r="J1866" s="1" t="s">
        <v>82</v>
      </c>
    </row>
    <row r="1867" spans="1:10" x14ac:dyDescent="0.25">
      <c r="A1867" s="1" t="s">
        <v>56</v>
      </c>
      <c r="B1867" s="1" t="s">
        <v>7</v>
      </c>
      <c r="C1867" s="1" t="s">
        <v>27</v>
      </c>
      <c r="H1867" s="19">
        <v>0</v>
      </c>
      <c r="J1867" s="1" t="s">
        <v>82</v>
      </c>
    </row>
    <row r="1868" spans="1:10" x14ac:dyDescent="0.25">
      <c r="A1868" s="1" t="s">
        <v>56</v>
      </c>
      <c r="B1868" s="1" t="s">
        <v>7</v>
      </c>
      <c r="C1868" s="1" t="s">
        <v>21</v>
      </c>
      <c r="H1868" s="19">
        <v>0</v>
      </c>
      <c r="J1868" s="1" t="s">
        <v>82</v>
      </c>
    </row>
    <row r="1869" spans="1:10" x14ac:dyDescent="0.25">
      <c r="A1869" s="1" t="s">
        <v>56</v>
      </c>
      <c r="B1869" s="1" t="s">
        <v>7</v>
      </c>
      <c r="C1869" s="1" t="s">
        <v>28</v>
      </c>
      <c r="H1869" s="19">
        <v>0</v>
      </c>
      <c r="J1869" s="1" t="s">
        <v>82</v>
      </c>
    </row>
    <row r="1870" spans="1:10" x14ac:dyDescent="0.25">
      <c r="A1870" s="1" t="s">
        <v>56</v>
      </c>
      <c r="B1870" s="1" t="s">
        <v>7</v>
      </c>
      <c r="C1870" s="1" t="s">
        <v>29</v>
      </c>
      <c r="H1870" s="19">
        <v>0</v>
      </c>
      <c r="J1870" s="1" t="s">
        <v>82</v>
      </c>
    </row>
    <row r="1871" spans="1:10" x14ac:dyDescent="0.25">
      <c r="A1871" s="1" t="s">
        <v>56</v>
      </c>
      <c r="B1871" s="1" t="s">
        <v>7</v>
      </c>
      <c r="C1871" s="1" t="s">
        <v>30</v>
      </c>
      <c r="H1871" s="19">
        <v>0</v>
      </c>
      <c r="J1871" s="1" t="s">
        <v>82</v>
      </c>
    </row>
    <row r="1872" spans="1:10" x14ac:dyDescent="0.25">
      <c r="A1872" s="1" t="s">
        <v>56</v>
      </c>
      <c r="B1872" s="1" t="s">
        <v>7</v>
      </c>
      <c r="C1872" s="1" t="s">
        <v>31</v>
      </c>
      <c r="H1872" s="19">
        <v>0</v>
      </c>
      <c r="J1872" s="1" t="s">
        <v>82</v>
      </c>
    </row>
    <row r="1873" spans="1:10" x14ac:dyDescent="0.25">
      <c r="A1873" s="1" t="s">
        <v>56</v>
      </c>
      <c r="B1873" s="1" t="s">
        <v>7</v>
      </c>
      <c r="C1873" s="1" t="s">
        <v>32</v>
      </c>
      <c r="H1873" s="19">
        <v>0</v>
      </c>
      <c r="J1873" s="1" t="s">
        <v>82</v>
      </c>
    </row>
    <row r="1874" spans="1:10" x14ac:dyDescent="0.25">
      <c r="A1874" s="1" t="s">
        <v>57</v>
      </c>
      <c r="B1874" s="1" t="s">
        <v>24</v>
      </c>
      <c r="C1874" s="1" t="s">
        <v>63</v>
      </c>
      <c r="H1874" s="19">
        <v>0</v>
      </c>
      <c r="J1874" s="1" t="s">
        <v>82</v>
      </c>
    </row>
    <row r="1875" spans="1:10" x14ac:dyDescent="0.25">
      <c r="A1875" s="1" t="s">
        <v>57</v>
      </c>
      <c r="B1875" s="1" t="s">
        <v>24</v>
      </c>
      <c r="C1875" s="1" t="s">
        <v>26</v>
      </c>
      <c r="H1875" s="19">
        <v>0</v>
      </c>
      <c r="J1875" s="1" t="s">
        <v>82</v>
      </c>
    </row>
    <row r="1876" spans="1:10" x14ac:dyDescent="0.25">
      <c r="A1876" s="1" t="s">
        <v>57</v>
      </c>
      <c r="B1876" s="1" t="s">
        <v>24</v>
      </c>
      <c r="C1876" s="1" t="s">
        <v>27</v>
      </c>
      <c r="H1876" s="19">
        <v>0</v>
      </c>
      <c r="J1876" s="1" t="s">
        <v>82</v>
      </c>
    </row>
    <row r="1877" spans="1:10" x14ac:dyDescent="0.25">
      <c r="A1877" s="1" t="s">
        <v>57</v>
      </c>
      <c r="B1877" s="1" t="s">
        <v>24</v>
      </c>
      <c r="C1877" s="1" t="s">
        <v>21</v>
      </c>
      <c r="H1877" s="19">
        <v>0</v>
      </c>
      <c r="J1877" s="1" t="s">
        <v>82</v>
      </c>
    </row>
    <row r="1878" spans="1:10" x14ac:dyDescent="0.25">
      <c r="A1878" s="1" t="s">
        <v>57</v>
      </c>
      <c r="B1878" s="1" t="s">
        <v>24</v>
      </c>
      <c r="C1878" s="1" t="s">
        <v>28</v>
      </c>
      <c r="H1878" s="19">
        <v>0</v>
      </c>
      <c r="J1878" s="1" t="s">
        <v>82</v>
      </c>
    </row>
    <row r="1879" spans="1:10" x14ac:dyDescent="0.25">
      <c r="A1879" s="1" t="s">
        <v>57</v>
      </c>
      <c r="B1879" s="1" t="s">
        <v>24</v>
      </c>
      <c r="C1879" s="1" t="s">
        <v>29</v>
      </c>
      <c r="H1879" s="19">
        <v>0</v>
      </c>
      <c r="J1879" s="1" t="s">
        <v>82</v>
      </c>
    </row>
    <row r="1880" spans="1:10" x14ac:dyDescent="0.25">
      <c r="A1880" s="1" t="s">
        <v>57</v>
      </c>
      <c r="B1880" s="1" t="s">
        <v>24</v>
      </c>
      <c r="C1880" s="1" t="s">
        <v>30</v>
      </c>
      <c r="H1880" s="19">
        <v>0</v>
      </c>
      <c r="J1880" s="1" t="s">
        <v>82</v>
      </c>
    </row>
    <row r="1881" spans="1:10" x14ac:dyDescent="0.25">
      <c r="A1881" s="1" t="s">
        <v>57</v>
      </c>
      <c r="B1881" s="1" t="s">
        <v>24</v>
      </c>
      <c r="C1881" s="1" t="s">
        <v>31</v>
      </c>
      <c r="H1881" s="19">
        <v>0</v>
      </c>
      <c r="J1881" s="1" t="s">
        <v>82</v>
      </c>
    </row>
    <row r="1882" spans="1:10" x14ac:dyDescent="0.25">
      <c r="A1882" s="1" t="s">
        <v>57</v>
      </c>
      <c r="B1882" s="1" t="s">
        <v>24</v>
      </c>
      <c r="C1882" s="1" t="s">
        <v>32</v>
      </c>
      <c r="H1882" s="19">
        <v>0</v>
      </c>
      <c r="J1882" s="1" t="s">
        <v>82</v>
      </c>
    </row>
    <row r="1883" spans="1:10" x14ac:dyDescent="0.25">
      <c r="A1883" s="1" t="s">
        <v>58</v>
      </c>
      <c r="B1883" s="1" t="s">
        <v>1</v>
      </c>
      <c r="C1883" s="1" t="s">
        <v>63</v>
      </c>
      <c r="H1883" s="19">
        <v>0</v>
      </c>
      <c r="J1883" s="1" t="s">
        <v>82</v>
      </c>
    </row>
    <row r="1884" spans="1:10" x14ac:dyDescent="0.25">
      <c r="A1884" s="1" t="s">
        <v>58</v>
      </c>
      <c r="B1884" s="1" t="s">
        <v>1</v>
      </c>
      <c r="C1884" s="1" t="s">
        <v>26</v>
      </c>
      <c r="H1884" s="19">
        <v>0</v>
      </c>
      <c r="J1884" s="1" t="s">
        <v>82</v>
      </c>
    </row>
    <row r="1885" spans="1:10" x14ac:dyDescent="0.25">
      <c r="A1885" s="1" t="s">
        <v>58</v>
      </c>
      <c r="B1885" s="1" t="s">
        <v>1</v>
      </c>
      <c r="C1885" s="1" t="s">
        <v>27</v>
      </c>
      <c r="H1885" s="19">
        <v>0</v>
      </c>
      <c r="J1885" s="1" t="s">
        <v>82</v>
      </c>
    </row>
    <row r="1886" spans="1:10" x14ac:dyDescent="0.25">
      <c r="A1886" s="1" t="s">
        <v>58</v>
      </c>
      <c r="B1886" s="1" t="s">
        <v>1</v>
      </c>
      <c r="C1886" s="1" t="s">
        <v>21</v>
      </c>
      <c r="H1886" s="19">
        <v>0</v>
      </c>
      <c r="J1886" s="1" t="s">
        <v>82</v>
      </c>
    </row>
    <row r="1887" spans="1:10" x14ac:dyDescent="0.25">
      <c r="A1887" s="1" t="s">
        <v>58</v>
      </c>
      <c r="B1887" s="1" t="s">
        <v>1</v>
      </c>
      <c r="C1887" s="1" t="s">
        <v>28</v>
      </c>
      <c r="H1887" s="19">
        <v>0</v>
      </c>
      <c r="J1887" s="1" t="s">
        <v>82</v>
      </c>
    </row>
    <row r="1888" spans="1:10" x14ac:dyDescent="0.25">
      <c r="A1888" s="1" t="s">
        <v>58</v>
      </c>
      <c r="B1888" s="1" t="s">
        <v>1</v>
      </c>
      <c r="C1888" s="1" t="s">
        <v>29</v>
      </c>
      <c r="H1888" s="19">
        <v>0</v>
      </c>
      <c r="J1888" s="1" t="s">
        <v>82</v>
      </c>
    </row>
    <row r="1889" spans="1:10" x14ac:dyDescent="0.25">
      <c r="A1889" s="1" t="s">
        <v>58</v>
      </c>
      <c r="B1889" s="1" t="s">
        <v>1</v>
      </c>
      <c r="C1889" s="1" t="s">
        <v>30</v>
      </c>
      <c r="H1889" s="19">
        <v>0</v>
      </c>
      <c r="J1889" s="1" t="s">
        <v>82</v>
      </c>
    </row>
    <row r="1890" spans="1:10" x14ac:dyDescent="0.25">
      <c r="A1890" s="1" t="s">
        <v>58</v>
      </c>
      <c r="B1890" s="1" t="s">
        <v>1</v>
      </c>
      <c r="C1890" s="1" t="s">
        <v>31</v>
      </c>
      <c r="H1890" s="19">
        <v>0</v>
      </c>
      <c r="J1890" s="1" t="s">
        <v>82</v>
      </c>
    </row>
    <row r="1891" spans="1:10" x14ac:dyDescent="0.25">
      <c r="A1891" s="1" t="s">
        <v>58</v>
      </c>
      <c r="B1891" s="1" t="s">
        <v>1</v>
      </c>
      <c r="C1891" s="1" t="s">
        <v>32</v>
      </c>
      <c r="H1891" s="19">
        <v>0</v>
      </c>
      <c r="J1891" s="1" t="s">
        <v>82</v>
      </c>
    </row>
    <row r="1892" spans="1:10" x14ac:dyDescent="0.25">
      <c r="A1892" s="1" t="s">
        <v>38</v>
      </c>
      <c r="B1892" s="1" t="s">
        <v>18</v>
      </c>
      <c r="C1892" s="1" t="s">
        <v>63</v>
      </c>
      <c r="H1892" s="19">
        <v>0</v>
      </c>
      <c r="J1892" s="1" t="s">
        <v>83</v>
      </c>
    </row>
    <row r="1893" spans="1:10" x14ac:dyDescent="0.25">
      <c r="A1893" s="1" t="s">
        <v>38</v>
      </c>
      <c r="B1893" s="1" t="s">
        <v>18</v>
      </c>
      <c r="C1893" s="1" t="s">
        <v>26</v>
      </c>
      <c r="H1893" s="19">
        <v>0</v>
      </c>
      <c r="J1893" s="1" t="s">
        <v>83</v>
      </c>
    </row>
    <row r="1894" spans="1:10" x14ac:dyDescent="0.25">
      <c r="A1894" s="1" t="s">
        <v>38</v>
      </c>
      <c r="B1894" s="1" t="s">
        <v>18</v>
      </c>
      <c r="C1894" s="1" t="s">
        <v>27</v>
      </c>
      <c r="H1894" s="19">
        <v>0</v>
      </c>
      <c r="J1894" s="1" t="s">
        <v>83</v>
      </c>
    </row>
    <row r="1895" spans="1:10" x14ac:dyDescent="0.25">
      <c r="A1895" s="1" t="s">
        <v>38</v>
      </c>
      <c r="B1895" s="1" t="s">
        <v>18</v>
      </c>
      <c r="C1895" s="1" t="s">
        <v>21</v>
      </c>
      <c r="H1895" s="19">
        <v>0</v>
      </c>
      <c r="J1895" s="1" t="s">
        <v>83</v>
      </c>
    </row>
    <row r="1896" spans="1:10" x14ac:dyDescent="0.25">
      <c r="A1896" s="1" t="s">
        <v>38</v>
      </c>
      <c r="B1896" s="1" t="s">
        <v>18</v>
      </c>
      <c r="C1896" s="1" t="s">
        <v>28</v>
      </c>
      <c r="H1896" s="19">
        <v>0</v>
      </c>
      <c r="J1896" s="1" t="s">
        <v>83</v>
      </c>
    </row>
    <row r="1897" spans="1:10" x14ac:dyDescent="0.25">
      <c r="A1897" s="1" t="s">
        <v>38</v>
      </c>
      <c r="B1897" s="1" t="s">
        <v>18</v>
      </c>
      <c r="C1897" s="1" t="s">
        <v>29</v>
      </c>
      <c r="H1897" s="19">
        <v>0</v>
      </c>
      <c r="J1897" s="1" t="s">
        <v>83</v>
      </c>
    </row>
    <row r="1898" spans="1:10" x14ac:dyDescent="0.25">
      <c r="A1898" s="1" t="s">
        <v>38</v>
      </c>
      <c r="B1898" s="1" t="s">
        <v>18</v>
      </c>
      <c r="C1898" s="1" t="s">
        <v>30</v>
      </c>
      <c r="H1898" s="19">
        <v>0</v>
      </c>
      <c r="J1898" s="1" t="s">
        <v>83</v>
      </c>
    </row>
    <row r="1899" spans="1:10" x14ac:dyDescent="0.25">
      <c r="A1899" s="1" t="s">
        <v>38</v>
      </c>
      <c r="B1899" s="1" t="s">
        <v>18</v>
      </c>
      <c r="C1899" s="1" t="s">
        <v>31</v>
      </c>
      <c r="H1899" s="19">
        <v>0</v>
      </c>
      <c r="J1899" s="1" t="s">
        <v>83</v>
      </c>
    </row>
    <row r="1900" spans="1:10" x14ac:dyDescent="0.25">
      <c r="A1900" s="1" t="s">
        <v>38</v>
      </c>
      <c r="B1900" s="1" t="s">
        <v>18</v>
      </c>
      <c r="C1900" s="1" t="s">
        <v>32</v>
      </c>
      <c r="H1900" s="19">
        <v>0</v>
      </c>
      <c r="J1900" s="1" t="s">
        <v>83</v>
      </c>
    </row>
    <row r="1901" spans="1:10" x14ac:dyDescent="0.25">
      <c r="A1901" s="1" t="s">
        <v>39</v>
      </c>
      <c r="B1901" s="1" t="s">
        <v>8</v>
      </c>
      <c r="C1901" s="1" t="s">
        <v>63</v>
      </c>
      <c r="H1901" s="19">
        <v>0</v>
      </c>
      <c r="J1901" s="1" t="s">
        <v>83</v>
      </c>
    </row>
    <row r="1902" spans="1:10" x14ac:dyDescent="0.25">
      <c r="A1902" s="1" t="s">
        <v>39</v>
      </c>
      <c r="B1902" s="1" t="s">
        <v>8</v>
      </c>
      <c r="C1902" s="1" t="s">
        <v>26</v>
      </c>
      <c r="H1902" s="19">
        <v>0</v>
      </c>
      <c r="J1902" s="1" t="s">
        <v>83</v>
      </c>
    </row>
    <row r="1903" spans="1:10" x14ac:dyDescent="0.25">
      <c r="A1903" s="1" t="s">
        <v>39</v>
      </c>
      <c r="B1903" s="1" t="s">
        <v>8</v>
      </c>
      <c r="C1903" s="1" t="s">
        <v>27</v>
      </c>
      <c r="H1903" s="19">
        <v>0</v>
      </c>
      <c r="J1903" s="1" t="s">
        <v>83</v>
      </c>
    </row>
    <row r="1904" spans="1:10" x14ac:dyDescent="0.25">
      <c r="A1904" s="1" t="s">
        <v>39</v>
      </c>
      <c r="B1904" s="1" t="s">
        <v>8</v>
      </c>
      <c r="C1904" s="1" t="s">
        <v>21</v>
      </c>
      <c r="H1904" s="19">
        <v>0</v>
      </c>
      <c r="J1904" s="1" t="s">
        <v>83</v>
      </c>
    </row>
    <row r="1905" spans="1:10" x14ac:dyDescent="0.25">
      <c r="A1905" s="1" t="s">
        <v>39</v>
      </c>
      <c r="B1905" s="1" t="s">
        <v>8</v>
      </c>
      <c r="C1905" s="1" t="s">
        <v>28</v>
      </c>
      <c r="H1905" s="19">
        <v>0</v>
      </c>
      <c r="J1905" s="1" t="s">
        <v>83</v>
      </c>
    </row>
    <row r="1906" spans="1:10" x14ac:dyDescent="0.25">
      <c r="A1906" s="1" t="s">
        <v>39</v>
      </c>
      <c r="B1906" s="1" t="s">
        <v>8</v>
      </c>
      <c r="C1906" s="1" t="s">
        <v>29</v>
      </c>
      <c r="H1906" s="19">
        <v>0</v>
      </c>
      <c r="J1906" s="1" t="s">
        <v>83</v>
      </c>
    </row>
    <row r="1907" spans="1:10" x14ac:dyDescent="0.25">
      <c r="A1907" s="1" t="s">
        <v>39</v>
      </c>
      <c r="B1907" s="1" t="s">
        <v>8</v>
      </c>
      <c r="C1907" s="1" t="s">
        <v>30</v>
      </c>
      <c r="H1907" s="19">
        <v>0</v>
      </c>
      <c r="J1907" s="1" t="s">
        <v>83</v>
      </c>
    </row>
    <row r="1908" spans="1:10" x14ac:dyDescent="0.25">
      <c r="A1908" s="1" t="s">
        <v>39</v>
      </c>
      <c r="B1908" s="1" t="s">
        <v>8</v>
      </c>
      <c r="C1908" s="1" t="s">
        <v>31</v>
      </c>
      <c r="H1908" s="19">
        <v>0</v>
      </c>
      <c r="J1908" s="1" t="s">
        <v>83</v>
      </c>
    </row>
    <row r="1909" spans="1:10" x14ac:dyDescent="0.25">
      <c r="A1909" s="1" t="s">
        <v>39</v>
      </c>
      <c r="B1909" s="1" t="s">
        <v>8</v>
      </c>
      <c r="C1909" s="1" t="s">
        <v>32</v>
      </c>
      <c r="H1909" s="19">
        <v>0</v>
      </c>
      <c r="J1909" s="1" t="s">
        <v>83</v>
      </c>
    </row>
    <row r="1910" spans="1:10" x14ac:dyDescent="0.25">
      <c r="A1910" s="1" t="s">
        <v>40</v>
      </c>
      <c r="B1910" s="1" t="s">
        <v>11</v>
      </c>
      <c r="C1910" s="1" t="s">
        <v>63</v>
      </c>
      <c r="H1910" s="19">
        <v>0</v>
      </c>
      <c r="J1910" s="1" t="s">
        <v>83</v>
      </c>
    </row>
    <row r="1911" spans="1:10" x14ac:dyDescent="0.25">
      <c r="A1911" s="1" t="s">
        <v>40</v>
      </c>
      <c r="B1911" s="1" t="s">
        <v>11</v>
      </c>
      <c r="C1911" s="1" t="s">
        <v>26</v>
      </c>
      <c r="H1911" s="19">
        <v>0</v>
      </c>
      <c r="J1911" s="1" t="s">
        <v>83</v>
      </c>
    </row>
    <row r="1912" spans="1:10" x14ac:dyDescent="0.25">
      <c r="A1912" s="1" t="s">
        <v>40</v>
      </c>
      <c r="B1912" s="1" t="s">
        <v>11</v>
      </c>
      <c r="C1912" s="1" t="s">
        <v>27</v>
      </c>
      <c r="H1912" s="19">
        <v>0</v>
      </c>
      <c r="J1912" s="1" t="s">
        <v>83</v>
      </c>
    </row>
    <row r="1913" spans="1:10" x14ac:dyDescent="0.25">
      <c r="A1913" s="1" t="s">
        <v>40</v>
      </c>
      <c r="B1913" s="1" t="s">
        <v>11</v>
      </c>
      <c r="C1913" s="1" t="s">
        <v>21</v>
      </c>
      <c r="H1913" s="19">
        <v>0</v>
      </c>
      <c r="J1913" s="1" t="s">
        <v>83</v>
      </c>
    </row>
    <row r="1914" spans="1:10" x14ac:dyDescent="0.25">
      <c r="A1914" s="1" t="s">
        <v>40</v>
      </c>
      <c r="B1914" s="1" t="s">
        <v>11</v>
      </c>
      <c r="C1914" s="1" t="s">
        <v>28</v>
      </c>
      <c r="H1914" s="19">
        <v>0</v>
      </c>
      <c r="J1914" s="1" t="s">
        <v>83</v>
      </c>
    </row>
    <row r="1915" spans="1:10" x14ac:dyDescent="0.25">
      <c r="A1915" s="1" t="s">
        <v>40</v>
      </c>
      <c r="B1915" s="1" t="s">
        <v>11</v>
      </c>
      <c r="C1915" s="1" t="s">
        <v>29</v>
      </c>
      <c r="H1915" s="19">
        <v>0</v>
      </c>
      <c r="J1915" s="1" t="s">
        <v>83</v>
      </c>
    </row>
    <row r="1916" spans="1:10" x14ac:dyDescent="0.25">
      <c r="A1916" s="1" t="s">
        <v>40</v>
      </c>
      <c r="B1916" s="1" t="s">
        <v>11</v>
      </c>
      <c r="C1916" s="1" t="s">
        <v>30</v>
      </c>
      <c r="H1916" s="19">
        <v>0</v>
      </c>
      <c r="J1916" s="1" t="s">
        <v>83</v>
      </c>
    </row>
    <row r="1917" spans="1:10" x14ac:dyDescent="0.25">
      <c r="A1917" s="1" t="s">
        <v>40</v>
      </c>
      <c r="B1917" s="1" t="s">
        <v>11</v>
      </c>
      <c r="C1917" s="1" t="s">
        <v>31</v>
      </c>
      <c r="H1917" s="19">
        <v>0</v>
      </c>
      <c r="J1917" s="1" t="s">
        <v>83</v>
      </c>
    </row>
    <row r="1918" spans="1:10" x14ac:dyDescent="0.25">
      <c r="A1918" s="1" t="s">
        <v>40</v>
      </c>
      <c r="B1918" s="1" t="s">
        <v>11</v>
      </c>
      <c r="C1918" s="1" t="s">
        <v>32</v>
      </c>
      <c r="H1918" s="19">
        <v>0</v>
      </c>
      <c r="J1918" s="1" t="s">
        <v>83</v>
      </c>
    </row>
    <row r="1919" spans="1:10" x14ac:dyDescent="0.25">
      <c r="A1919" s="1" t="s">
        <v>41</v>
      </c>
      <c r="B1919" s="1" t="s">
        <v>15</v>
      </c>
      <c r="C1919" s="1" t="s">
        <v>63</v>
      </c>
      <c r="H1919" s="19">
        <v>0</v>
      </c>
      <c r="J1919" s="1" t="s">
        <v>83</v>
      </c>
    </row>
    <row r="1920" spans="1:10" x14ac:dyDescent="0.25">
      <c r="A1920" s="1" t="s">
        <v>41</v>
      </c>
      <c r="B1920" s="1" t="s">
        <v>15</v>
      </c>
      <c r="C1920" s="1" t="s">
        <v>26</v>
      </c>
      <c r="H1920" s="19">
        <v>0</v>
      </c>
      <c r="J1920" s="1" t="s">
        <v>83</v>
      </c>
    </row>
    <row r="1921" spans="1:10" x14ac:dyDescent="0.25">
      <c r="A1921" s="1" t="s">
        <v>41</v>
      </c>
      <c r="B1921" s="1" t="s">
        <v>15</v>
      </c>
      <c r="C1921" s="1" t="s">
        <v>27</v>
      </c>
      <c r="H1921" s="19">
        <v>0</v>
      </c>
      <c r="J1921" s="1" t="s">
        <v>83</v>
      </c>
    </row>
    <row r="1922" spans="1:10" x14ac:dyDescent="0.25">
      <c r="A1922" s="1" t="s">
        <v>41</v>
      </c>
      <c r="B1922" s="1" t="s">
        <v>15</v>
      </c>
      <c r="C1922" s="1" t="s">
        <v>21</v>
      </c>
      <c r="H1922" s="19">
        <v>0</v>
      </c>
      <c r="J1922" s="1" t="s">
        <v>83</v>
      </c>
    </row>
    <row r="1923" spans="1:10" x14ac:dyDescent="0.25">
      <c r="A1923" s="1" t="s">
        <v>41</v>
      </c>
      <c r="B1923" s="1" t="s">
        <v>15</v>
      </c>
      <c r="C1923" s="1" t="s">
        <v>28</v>
      </c>
      <c r="H1923" s="19">
        <v>0</v>
      </c>
      <c r="J1923" s="1" t="s">
        <v>83</v>
      </c>
    </row>
    <row r="1924" spans="1:10" x14ac:dyDescent="0.25">
      <c r="A1924" s="1" t="s">
        <v>41</v>
      </c>
      <c r="B1924" s="1" t="s">
        <v>15</v>
      </c>
      <c r="C1924" s="1" t="s">
        <v>29</v>
      </c>
      <c r="H1924" s="19">
        <v>0</v>
      </c>
      <c r="J1924" s="1" t="s">
        <v>83</v>
      </c>
    </row>
    <row r="1925" spans="1:10" x14ac:dyDescent="0.25">
      <c r="A1925" s="1" t="s">
        <v>41</v>
      </c>
      <c r="B1925" s="1" t="s">
        <v>15</v>
      </c>
      <c r="C1925" s="1" t="s">
        <v>30</v>
      </c>
      <c r="H1925" s="19">
        <v>0</v>
      </c>
      <c r="J1925" s="1" t="s">
        <v>83</v>
      </c>
    </row>
    <row r="1926" spans="1:10" x14ac:dyDescent="0.25">
      <c r="A1926" s="1" t="s">
        <v>41</v>
      </c>
      <c r="B1926" s="1" t="s">
        <v>15</v>
      </c>
      <c r="C1926" s="1" t="s">
        <v>31</v>
      </c>
      <c r="H1926" s="19">
        <v>0</v>
      </c>
      <c r="J1926" s="1" t="s">
        <v>83</v>
      </c>
    </row>
    <row r="1927" spans="1:10" x14ac:dyDescent="0.25">
      <c r="A1927" s="1" t="s">
        <v>41</v>
      </c>
      <c r="B1927" s="1" t="s">
        <v>15</v>
      </c>
      <c r="C1927" s="1" t="s">
        <v>32</v>
      </c>
      <c r="H1927" s="19">
        <v>0</v>
      </c>
      <c r="J1927" s="1" t="s">
        <v>83</v>
      </c>
    </row>
    <row r="1928" spans="1:10" x14ac:dyDescent="0.25">
      <c r="A1928" s="1" t="s">
        <v>42</v>
      </c>
      <c r="B1928" s="1" t="s">
        <v>12</v>
      </c>
      <c r="C1928" s="1" t="s">
        <v>63</v>
      </c>
      <c r="H1928" s="19">
        <v>0</v>
      </c>
      <c r="J1928" s="1" t="s">
        <v>83</v>
      </c>
    </row>
    <row r="1929" spans="1:10" x14ac:dyDescent="0.25">
      <c r="A1929" s="1" t="s">
        <v>42</v>
      </c>
      <c r="B1929" s="1" t="s">
        <v>12</v>
      </c>
      <c r="C1929" s="1" t="s">
        <v>26</v>
      </c>
      <c r="H1929" s="19">
        <v>0</v>
      </c>
      <c r="J1929" s="1" t="s">
        <v>83</v>
      </c>
    </row>
    <row r="1930" spans="1:10" x14ac:dyDescent="0.25">
      <c r="A1930" s="1" t="s">
        <v>42</v>
      </c>
      <c r="B1930" s="1" t="s">
        <v>12</v>
      </c>
      <c r="C1930" s="1" t="s">
        <v>27</v>
      </c>
      <c r="H1930" s="19">
        <v>0</v>
      </c>
      <c r="J1930" s="1" t="s">
        <v>83</v>
      </c>
    </row>
    <row r="1931" spans="1:10" x14ac:dyDescent="0.25">
      <c r="A1931" s="1" t="s">
        <v>42</v>
      </c>
      <c r="B1931" s="1" t="s">
        <v>12</v>
      </c>
      <c r="C1931" s="1" t="s">
        <v>21</v>
      </c>
      <c r="H1931" s="19">
        <v>0</v>
      </c>
      <c r="J1931" s="1" t="s">
        <v>83</v>
      </c>
    </row>
    <row r="1932" spans="1:10" x14ac:dyDescent="0.25">
      <c r="A1932" s="1" t="s">
        <v>42</v>
      </c>
      <c r="B1932" s="1" t="s">
        <v>12</v>
      </c>
      <c r="C1932" s="1" t="s">
        <v>28</v>
      </c>
      <c r="H1932" s="19">
        <v>0</v>
      </c>
      <c r="J1932" s="1" t="s">
        <v>83</v>
      </c>
    </row>
    <row r="1933" spans="1:10" x14ac:dyDescent="0.25">
      <c r="A1933" s="1" t="s">
        <v>42</v>
      </c>
      <c r="B1933" s="1" t="s">
        <v>12</v>
      </c>
      <c r="C1933" s="1" t="s">
        <v>29</v>
      </c>
      <c r="H1933" s="19">
        <v>0</v>
      </c>
      <c r="J1933" s="1" t="s">
        <v>83</v>
      </c>
    </row>
    <row r="1934" spans="1:10" x14ac:dyDescent="0.25">
      <c r="A1934" s="1" t="s">
        <v>42</v>
      </c>
      <c r="B1934" s="1" t="s">
        <v>12</v>
      </c>
      <c r="C1934" s="1" t="s">
        <v>30</v>
      </c>
      <c r="H1934" s="19">
        <v>0</v>
      </c>
      <c r="J1934" s="1" t="s">
        <v>83</v>
      </c>
    </row>
    <row r="1935" spans="1:10" x14ac:dyDescent="0.25">
      <c r="A1935" s="1" t="s">
        <v>42</v>
      </c>
      <c r="B1935" s="1" t="s">
        <v>12</v>
      </c>
      <c r="C1935" s="1" t="s">
        <v>31</v>
      </c>
      <c r="H1935" s="19">
        <v>0</v>
      </c>
      <c r="J1935" s="1" t="s">
        <v>83</v>
      </c>
    </row>
    <row r="1936" spans="1:10" x14ac:dyDescent="0.25">
      <c r="A1936" s="1" t="s">
        <v>42</v>
      </c>
      <c r="B1936" s="1" t="s">
        <v>12</v>
      </c>
      <c r="C1936" s="1" t="s">
        <v>32</v>
      </c>
      <c r="H1936" s="19">
        <v>0</v>
      </c>
      <c r="J1936" s="1" t="s">
        <v>83</v>
      </c>
    </row>
    <row r="1937" spans="1:10" x14ac:dyDescent="0.25">
      <c r="A1937" s="1" t="s">
        <v>43</v>
      </c>
      <c r="B1937" s="1" t="s">
        <v>22</v>
      </c>
      <c r="C1937" s="1" t="s">
        <v>63</v>
      </c>
      <c r="H1937" s="19">
        <v>0</v>
      </c>
      <c r="J1937" s="1" t="s">
        <v>83</v>
      </c>
    </row>
    <row r="1938" spans="1:10" x14ac:dyDescent="0.25">
      <c r="A1938" s="1" t="s">
        <v>43</v>
      </c>
      <c r="B1938" s="1" t="s">
        <v>22</v>
      </c>
      <c r="C1938" s="1" t="s">
        <v>26</v>
      </c>
      <c r="H1938" s="19">
        <v>0</v>
      </c>
      <c r="J1938" s="1" t="s">
        <v>83</v>
      </c>
    </row>
    <row r="1939" spans="1:10" x14ac:dyDescent="0.25">
      <c r="A1939" s="1" t="s">
        <v>43</v>
      </c>
      <c r="B1939" s="1" t="s">
        <v>22</v>
      </c>
      <c r="C1939" s="1" t="s">
        <v>27</v>
      </c>
      <c r="H1939" s="19">
        <v>0</v>
      </c>
      <c r="J1939" s="1" t="s">
        <v>83</v>
      </c>
    </row>
    <row r="1940" spans="1:10" x14ac:dyDescent="0.25">
      <c r="A1940" s="1" t="s">
        <v>43</v>
      </c>
      <c r="B1940" s="1" t="s">
        <v>22</v>
      </c>
      <c r="C1940" s="1" t="s">
        <v>21</v>
      </c>
      <c r="H1940" s="19">
        <v>0</v>
      </c>
      <c r="J1940" s="1" t="s">
        <v>83</v>
      </c>
    </row>
    <row r="1941" spans="1:10" x14ac:dyDescent="0.25">
      <c r="A1941" s="1" t="s">
        <v>43</v>
      </c>
      <c r="B1941" s="1" t="s">
        <v>22</v>
      </c>
      <c r="C1941" s="1" t="s">
        <v>28</v>
      </c>
      <c r="H1941" s="19">
        <v>0</v>
      </c>
      <c r="J1941" s="1" t="s">
        <v>83</v>
      </c>
    </row>
    <row r="1942" spans="1:10" x14ac:dyDescent="0.25">
      <c r="A1942" s="1" t="s">
        <v>43</v>
      </c>
      <c r="B1942" s="1" t="s">
        <v>22</v>
      </c>
      <c r="C1942" s="1" t="s">
        <v>29</v>
      </c>
      <c r="H1942" s="19">
        <v>0</v>
      </c>
      <c r="J1942" s="1" t="s">
        <v>83</v>
      </c>
    </row>
    <row r="1943" spans="1:10" x14ac:dyDescent="0.25">
      <c r="A1943" s="1" t="s">
        <v>43</v>
      </c>
      <c r="B1943" s="1" t="s">
        <v>22</v>
      </c>
      <c r="C1943" s="1" t="s">
        <v>30</v>
      </c>
      <c r="H1943" s="19">
        <v>0</v>
      </c>
      <c r="J1943" s="1" t="s">
        <v>83</v>
      </c>
    </row>
    <row r="1944" spans="1:10" x14ac:dyDescent="0.25">
      <c r="A1944" s="1" t="s">
        <v>43</v>
      </c>
      <c r="B1944" s="1" t="s">
        <v>22</v>
      </c>
      <c r="C1944" s="1" t="s">
        <v>31</v>
      </c>
      <c r="H1944" s="19">
        <v>0</v>
      </c>
      <c r="J1944" s="1" t="s">
        <v>83</v>
      </c>
    </row>
    <row r="1945" spans="1:10" x14ac:dyDescent="0.25">
      <c r="A1945" s="1" t="s">
        <v>43</v>
      </c>
      <c r="B1945" s="1" t="s">
        <v>22</v>
      </c>
      <c r="C1945" s="1" t="s">
        <v>32</v>
      </c>
      <c r="H1945" s="19">
        <v>0</v>
      </c>
      <c r="J1945" s="1" t="s">
        <v>83</v>
      </c>
    </row>
    <row r="1946" spans="1:10" x14ac:dyDescent="0.25">
      <c r="A1946" s="1" t="s">
        <v>44</v>
      </c>
      <c r="B1946" s="1" t="s">
        <v>0</v>
      </c>
      <c r="C1946" s="1" t="s">
        <v>63</v>
      </c>
      <c r="H1946" s="19">
        <v>0</v>
      </c>
      <c r="J1946" s="1" t="s">
        <v>83</v>
      </c>
    </row>
    <row r="1947" spans="1:10" x14ac:dyDescent="0.25">
      <c r="A1947" s="1" t="s">
        <v>44</v>
      </c>
      <c r="B1947" s="1" t="s">
        <v>0</v>
      </c>
      <c r="C1947" s="1" t="s">
        <v>26</v>
      </c>
      <c r="H1947" s="19">
        <v>0</v>
      </c>
      <c r="J1947" s="1" t="s">
        <v>83</v>
      </c>
    </row>
    <row r="1948" spans="1:10" x14ac:dyDescent="0.25">
      <c r="A1948" s="1" t="s">
        <v>44</v>
      </c>
      <c r="B1948" s="1" t="s">
        <v>0</v>
      </c>
      <c r="C1948" s="1" t="s">
        <v>27</v>
      </c>
      <c r="H1948" s="19">
        <v>0</v>
      </c>
      <c r="J1948" s="1" t="s">
        <v>83</v>
      </c>
    </row>
    <row r="1949" spans="1:10" x14ac:dyDescent="0.25">
      <c r="A1949" s="1" t="s">
        <v>44</v>
      </c>
      <c r="B1949" s="1" t="s">
        <v>0</v>
      </c>
      <c r="C1949" s="1" t="s">
        <v>21</v>
      </c>
      <c r="H1949" s="19">
        <v>0</v>
      </c>
      <c r="J1949" s="1" t="s">
        <v>83</v>
      </c>
    </row>
    <row r="1950" spans="1:10" x14ac:dyDescent="0.25">
      <c r="A1950" s="1" t="s">
        <v>44</v>
      </c>
      <c r="B1950" s="1" t="s">
        <v>0</v>
      </c>
      <c r="C1950" s="1" t="s">
        <v>28</v>
      </c>
      <c r="H1950" s="19">
        <v>0</v>
      </c>
      <c r="J1950" s="1" t="s">
        <v>83</v>
      </c>
    </row>
    <row r="1951" spans="1:10" x14ac:dyDescent="0.25">
      <c r="A1951" s="1" t="s">
        <v>44</v>
      </c>
      <c r="B1951" s="1" t="s">
        <v>0</v>
      </c>
      <c r="C1951" s="1" t="s">
        <v>29</v>
      </c>
      <c r="H1951" s="19">
        <v>0</v>
      </c>
      <c r="J1951" s="1" t="s">
        <v>83</v>
      </c>
    </row>
    <row r="1952" spans="1:10" x14ac:dyDescent="0.25">
      <c r="A1952" s="1" t="s">
        <v>44</v>
      </c>
      <c r="B1952" s="1" t="s">
        <v>0</v>
      </c>
      <c r="C1952" s="1" t="s">
        <v>30</v>
      </c>
      <c r="H1952" s="19">
        <v>0</v>
      </c>
      <c r="J1952" s="1" t="s">
        <v>83</v>
      </c>
    </row>
    <row r="1953" spans="1:10" x14ac:dyDescent="0.25">
      <c r="A1953" s="1" t="s">
        <v>44</v>
      </c>
      <c r="B1953" s="1" t="s">
        <v>0</v>
      </c>
      <c r="C1953" s="1" t="s">
        <v>31</v>
      </c>
      <c r="H1953" s="19">
        <v>0</v>
      </c>
      <c r="J1953" s="1" t="s">
        <v>83</v>
      </c>
    </row>
    <row r="1954" spans="1:10" x14ac:dyDescent="0.25">
      <c r="A1954" s="1" t="s">
        <v>44</v>
      </c>
      <c r="B1954" s="1" t="s">
        <v>0</v>
      </c>
      <c r="C1954" s="1" t="s">
        <v>32</v>
      </c>
      <c r="H1954" s="19">
        <v>0</v>
      </c>
      <c r="J1954" s="1" t="s">
        <v>83</v>
      </c>
    </row>
    <row r="1955" spans="1:10" x14ac:dyDescent="0.25">
      <c r="A1955" s="1" t="s">
        <v>45</v>
      </c>
      <c r="B1955" s="1" t="s">
        <v>9</v>
      </c>
      <c r="C1955" s="1" t="s">
        <v>63</v>
      </c>
      <c r="H1955" s="19">
        <v>0</v>
      </c>
      <c r="J1955" s="1" t="s">
        <v>83</v>
      </c>
    </row>
    <row r="1956" spans="1:10" x14ac:dyDescent="0.25">
      <c r="A1956" s="1" t="s">
        <v>45</v>
      </c>
      <c r="B1956" s="1" t="s">
        <v>9</v>
      </c>
      <c r="C1956" s="1" t="s">
        <v>26</v>
      </c>
      <c r="H1956" s="19">
        <v>0</v>
      </c>
      <c r="J1956" s="1" t="s">
        <v>83</v>
      </c>
    </row>
    <row r="1957" spans="1:10" x14ac:dyDescent="0.25">
      <c r="A1957" s="1" t="s">
        <v>45</v>
      </c>
      <c r="B1957" s="1" t="s">
        <v>9</v>
      </c>
      <c r="C1957" s="1" t="s">
        <v>27</v>
      </c>
      <c r="H1957" s="19">
        <v>0</v>
      </c>
      <c r="J1957" s="1" t="s">
        <v>83</v>
      </c>
    </row>
    <row r="1958" spans="1:10" x14ac:dyDescent="0.25">
      <c r="A1958" s="1" t="s">
        <v>45</v>
      </c>
      <c r="B1958" s="1" t="s">
        <v>9</v>
      </c>
      <c r="C1958" s="1" t="s">
        <v>21</v>
      </c>
      <c r="H1958" s="19">
        <v>0</v>
      </c>
      <c r="J1958" s="1" t="s">
        <v>83</v>
      </c>
    </row>
    <row r="1959" spans="1:10" x14ac:dyDescent="0.25">
      <c r="A1959" s="1" t="s">
        <v>45</v>
      </c>
      <c r="B1959" s="1" t="s">
        <v>9</v>
      </c>
      <c r="C1959" s="1" t="s">
        <v>28</v>
      </c>
      <c r="H1959" s="19">
        <v>0</v>
      </c>
      <c r="J1959" s="1" t="s">
        <v>83</v>
      </c>
    </row>
    <row r="1960" spans="1:10" x14ac:dyDescent="0.25">
      <c r="A1960" s="1" t="s">
        <v>45</v>
      </c>
      <c r="B1960" s="1" t="s">
        <v>9</v>
      </c>
      <c r="C1960" s="1" t="s">
        <v>29</v>
      </c>
      <c r="H1960" s="19">
        <v>0</v>
      </c>
      <c r="J1960" s="1" t="s">
        <v>83</v>
      </c>
    </row>
    <row r="1961" spans="1:10" x14ac:dyDescent="0.25">
      <c r="A1961" s="1" t="s">
        <v>45</v>
      </c>
      <c r="B1961" s="1" t="s">
        <v>9</v>
      </c>
      <c r="C1961" s="1" t="s">
        <v>30</v>
      </c>
      <c r="H1961" s="19">
        <v>0</v>
      </c>
      <c r="J1961" s="1" t="s">
        <v>83</v>
      </c>
    </row>
    <row r="1962" spans="1:10" x14ac:dyDescent="0.25">
      <c r="A1962" s="1" t="s">
        <v>45</v>
      </c>
      <c r="B1962" s="1" t="s">
        <v>9</v>
      </c>
      <c r="C1962" s="1" t="s">
        <v>31</v>
      </c>
      <c r="H1962" s="19">
        <v>0</v>
      </c>
      <c r="J1962" s="1" t="s">
        <v>83</v>
      </c>
    </row>
    <row r="1963" spans="1:10" x14ac:dyDescent="0.25">
      <c r="A1963" s="1" t="s">
        <v>45</v>
      </c>
      <c r="B1963" s="1" t="s">
        <v>9</v>
      </c>
      <c r="C1963" s="1" t="s">
        <v>32</v>
      </c>
      <c r="H1963" s="19">
        <v>0</v>
      </c>
      <c r="J1963" s="1" t="s">
        <v>83</v>
      </c>
    </row>
    <row r="1964" spans="1:10" x14ac:dyDescent="0.25">
      <c r="A1964" s="1" t="s">
        <v>46</v>
      </c>
      <c r="B1964" s="1" t="s">
        <v>2</v>
      </c>
      <c r="C1964" s="1" t="s">
        <v>63</v>
      </c>
      <c r="H1964" s="19">
        <v>0</v>
      </c>
      <c r="J1964" s="1" t="s">
        <v>83</v>
      </c>
    </row>
    <row r="1965" spans="1:10" x14ac:dyDescent="0.25">
      <c r="A1965" s="1" t="s">
        <v>46</v>
      </c>
      <c r="B1965" s="1" t="s">
        <v>2</v>
      </c>
      <c r="C1965" s="1" t="s">
        <v>26</v>
      </c>
      <c r="H1965" s="19">
        <v>0</v>
      </c>
      <c r="J1965" s="1" t="s">
        <v>83</v>
      </c>
    </row>
    <row r="1966" spans="1:10" x14ac:dyDescent="0.25">
      <c r="A1966" s="1" t="s">
        <v>46</v>
      </c>
      <c r="B1966" s="1" t="s">
        <v>2</v>
      </c>
      <c r="C1966" s="1" t="s">
        <v>27</v>
      </c>
      <c r="H1966" s="19">
        <v>0</v>
      </c>
      <c r="J1966" s="1" t="s">
        <v>83</v>
      </c>
    </row>
    <row r="1967" spans="1:10" x14ac:dyDescent="0.25">
      <c r="A1967" s="1" t="s">
        <v>46</v>
      </c>
      <c r="B1967" s="1" t="s">
        <v>2</v>
      </c>
      <c r="C1967" s="1" t="s">
        <v>21</v>
      </c>
      <c r="H1967" s="19">
        <v>0</v>
      </c>
      <c r="J1967" s="1" t="s">
        <v>83</v>
      </c>
    </row>
    <row r="1968" spans="1:10" x14ac:dyDescent="0.25">
      <c r="A1968" s="1" t="s">
        <v>46</v>
      </c>
      <c r="B1968" s="1" t="s">
        <v>2</v>
      </c>
      <c r="C1968" s="1" t="s">
        <v>28</v>
      </c>
      <c r="H1968" s="19">
        <v>0</v>
      </c>
      <c r="J1968" s="1" t="s">
        <v>83</v>
      </c>
    </row>
    <row r="1969" spans="1:10" x14ac:dyDescent="0.25">
      <c r="A1969" s="1" t="s">
        <v>46</v>
      </c>
      <c r="B1969" s="1" t="s">
        <v>2</v>
      </c>
      <c r="C1969" s="1" t="s">
        <v>29</v>
      </c>
      <c r="H1969" s="19">
        <v>0</v>
      </c>
      <c r="J1969" s="1" t="s">
        <v>83</v>
      </c>
    </row>
    <row r="1970" spans="1:10" x14ac:dyDescent="0.25">
      <c r="A1970" s="1" t="s">
        <v>46</v>
      </c>
      <c r="B1970" s="1" t="s">
        <v>2</v>
      </c>
      <c r="C1970" s="1" t="s">
        <v>30</v>
      </c>
      <c r="H1970" s="19">
        <v>0</v>
      </c>
      <c r="J1970" s="1" t="s">
        <v>83</v>
      </c>
    </row>
    <row r="1971" spans="1:10" x14ac:dyDescent="0.25">
      <c r="A1971" s="1" t="s">
        <v>46</v>
      </c>
      <c r="B1971" s="1" t="s">
        <v>2</v>
      </c>
      <c r="C1971" s="1" t="s">
        <v>31</v>
      </c>
      <c r="H1971" s="19">
        <v>0</v>
      </c>
      <c r="J1971" s="1" t="s">
        <v>83</v>
      </c>
    </row>
    <row r="1972" spans="1:10" x14ac:dyDescent="0.25">
      <c r="A1972" s="1" t="s">
        <v>46</v>
      </c>
      <c r="B1972" s="1" t="s">
        <v>2</v>
      </c>
      <c r="C1972" s="1" t="s">
        <v>32</v>
      </c>
      <c r="H1972" s="19">
        <v>0</v>
      </c>
      <c r="J1972" s="1" t="s">
        <v>83</v>
      </c>
    </row>
    <row r="1973" spans="1:10" x14ac:dyDescent="0.25">
      <c r="A1973" s="1" t="s">
        <v>47</v>
      </c>
      <c r="B1973" s="1" t="s">
        <v>6</v>
      </c>
      <c r="C1973" s="1" t="s">
        <v>63</v>
      </c>
      <c r="H1973" s="19">
        <v>0</v>
      </c>
      <c r="J1973" s="1" t="s">
        <v>83</v>
      </c>
    </row>
    <row r="1974" spans="1:10" x14ac:dyDescent="0.25">
      <c r="A1974" s="1" t="s">
        <v>47</v>
      </c>
      <c r="B1974" s="1" t="s">
        <v>6</v>
      </c>
      <c r="C1974" s="1" t="s">
        <v>26</v>
      </c>
      <c r="H1974" s="19">
        <v>0</v>
      </c>
      <c r="J1974" s="1" t="s">
        <v>83</v>
      </c>
    </row>
    <row r="1975" spans="1:10" x14ac:dyDescent="0.25">
      <c r="A1975" s="1" t="s">
        <v>47</v>
      </c>
      <c r="B1975" s="1" t="s">
        <v>6</v>
      </c>
      <c r="C1975" s="1" t="s">
        <v>27</v>
      </c>
      <c r="H1975" s="19">
        <v>0</v>
      </c>
      <c r="J1975" s="1" t="s">
        <v>83</v>
      </c>
    </row>
    <row r="1976" spans="1:10" x14ac:dyDescent="0.25">
      <c r="A1976" s="1" t="s">
        <v>47</v>
      </c>
      <c r="B1976" s="1" t="s">
        <v>6</v>
      </c>
      <c r="C1976" s="1" t="s">
        <v>21</v>
      </c>
      <c r="H1976" s="19">
        <v>0</v>
      </c>
      <c r="J1976" s="1" t="s">
        <v>83</v>
      </c>
    </row>
    <row r="1977" spans="1:10" x14ac:dyDescent="0.25">
      <c r="A1977" s="1" t="s">
        <v>47</v>
      </c>
      <c r="B1977" s="1" t="s">
        <v>6</v>
      </c>
      <c r="C1977" s="1" t="s">
        <v>28</v>
      </c>
      <c r="H1977" s="19">
        <v>0</v>
      </c>
      <c r="J1977" s="1" t="s">
        <v>83</v>
      </c>
    </row>
    <row r="1978" spans="1:10" x14ac:dyDescent="0.25">
      <c r="A1978" s="1" t="s">
        <v>47</v>
      </c>
      <c r="B1978" s="1" t="s">
        <v>6</v>
      </c>
      <c r="C1978" s="1" t="s">
        <v>29</v>
      </c>
      <c r="H1978" s="19">
        <v>0</v>
      </c>
      <c r="J1978" s="1" t="s">
        <v>83</v>
      </c>
    </row>
    <row r="1979" spans="1:10" x14ac:dyDescent="0.25">
      <c r="A1979" s="1" t="s">
        <v>47</v>
      </c>
      <c r="B1979" s="1" t="s">
        <v>6</v>
      </c>
      <c r="C1979" s="1" t="s">
        <v>30</v>
      </c>
      <c r="H1979" s="19">
        <v>0</v>
      </c>
      <c r="J1979" s="1" t="s">
        <v>83</v>
      </c>
    </row>
    <row r="1980" spans="1:10" x14ac:dyDescent="0.25">
      <c r="A1980" s="1" t="s">
        <v>47</v>
      </c>
      <c r="B1980" s="1" t="s">
        <v>6</v>
      </c>
      <c r="C1980" s="1" t="s">
        <v>31</v>
      </c>
      <c r="H1980" s="19">
        <v>0</v>
      </c>
      <c r="J1980" s="1" t="s">
        <v>83</v>
      </c>
    </row>
    <row r="1981" spans="1:10" x14ac:dyDescent="0.25">
      <c r="A1981" s="1" t="s">
        <v>47</v>
      </c>
      <c r="B1981" s="1" t="s">
        <v>6</v>
      </c>
      <c r="C1981" s="1" t="s">
        <v>32</v>
      </c>
      <c r="H1981" s="19">
        <v>0</v>
      </c>
      <c r="J1981" s="1" t="s">
        <v>83</v>
      </c>
    </row>
    <row r="1982" spans="1:10" x14ac:dyDescent="0.25">
      <c r="A1982" s="1" t="s">
        <v>48</v>
      </c>
      <c r="B1982" s="1" t="s">
        <v>17</v>
      </c>
      <c r="C1982" s="1" t="s">
        <v>63</v>
      </c>
      <c r="H1982" s="19">
        <v>0</v>
      </c>
      <c r="J1982" s="1" t="s">
        <v>83</v>
      </c>
    </row>
    <row r="1983" spans="1:10" x14ac:dyDescent="0.25">
      <c r="A1983" s="1" t="s">
        <v>48</v>
      </c>
      <c r="B1983" s="1" t="s">
        <v>17</v>
      </c>
      <c r="C1983" s="1" t="s">
        <v>26</v>
      </c>
      <c r="H1983" s="19">
        <v>0</v>
      </c>
      <c r="J1983" s="1" t="s">
        <v>83</v>
      </c>
    </row>
    <row r="1984" spans="1:10" x14ac:dyDescent="0.25">
      <c r="A1984" s="1" t="s">
        <v>48</v>
      </c>
      <c r="B1984" s="1" t="s">
        <v>17</v>
      </c>
      <c r="C1984" s="1" t="s">
        <v>27</v>
      </c>
      <c r="H1984" s="19">
        <v>0</v>
      </c>
      <c r="J1984" s="1" t="s">
        <v>83</v>
      </c>
    </row>
    <row r="1985" spans="1:10" x14ac:dyDescent="0.25">
      <c r="A1985" s="1" t="s">
        <v>48</v>
      </c>
      <c r="B1985" s="1" t="s">
        <v>17</v>
      </c>
      <c r="C1985" s="1" t="s">
        <v>21</v>
      </c>
      <c r="H1985" s="19">
        <v>0</v>
      </c>
      <c r="J1985" s="1" t="s">
        <v>83</v>
      </c>
    </row>
    <row r="1986" spans="1:10" x14ac:dyDescent="0.25">
      <c r="A1986" s="1" t="s">
        <v>48</v>
      </c>
      <c r="B1986" s="1" t="s">
        <v>17</v>
      </c>
      <c r="C1986" s="1" t="s">
        <v>28</v>
      </c>
      <c r="H1986" s="19">
        <v>0</v>
      </c>
      <c r="J1986" s="1" t="s">
        <v>83</v>
      </c>
    </row>
    <row r="1987" spans="1:10" x14ac:dyDescent="0.25">
      <c r="A1987" s="1" t="s">
        <v>48</v>
      </c>
      <c r="B1987" s="1" t="s">
        <v>17</v>
      </c>
      <c r="C1987" s="1" t="s">
        <v>29</v>
      </c>
      <c r="H1987" s="19">
        <v>0</v>
      </c>
      <c r="J1987" s="1" t="s">
        <v>83</v>
      </c>
    </row>
    <row r="1988" spans="1:10" x14ac:dyDescent="0.25">
      <c r="A1988" s="1" t="s">
        <v>48</v>
      </c>
      <c r="B1988" s="1" t="s">
        <v>17</v>
      </c>
      <c r="C1988" s="1" t="s">
        <v>30</v>
      </c>
      <c r="H1988" s="19">
        <v>0</v>
      </c>
      <c r="J1988" s="1" t="s">
        <v>83</v>
      </c>
    </row>
    <row r="1989" spans="1:10" x14ac:dyDescent="0.25">
      <c r="A1989" s="1" t="s">
        <v>48</v>
      </c>
      <c r="B1989" s="1" t="s">
        <v>17</v>
      </c>
      <c r="C1989" s="1" t="s">
        <v>31</v>
      </c>
      <c r="H1989" s="19">
        <v>0</v>
      </c>
      <c r="J1989" s="1" t="s">
        <v>83</v>
      </c>
    </row>
    <row r="1990" spans="1:10" x14ac:dyDescent="0.25">
      <c r="A1990" s="1" t="s">
        <v>48</v>
      </c>
      <c r="B1990" s="1" t="s">
        <v>17</v>
      </c>
      <c r="C1990" s="1" t="s">
        <v>32</v>
      </c>
      <c r="H1990" s="19">
        <v>0</v>
      </c>
      <c r="J1990" s="1" t="s">
        <v>83</v>
      </c>
    </row>
    <row r="1991" spans="1:10" x14ac:dyDescent="0.25">
      <c r="A1991" s="1" t="s">
        <v>49</v>
      </c>
      <c r="B1991" s="1" t="s">
        <v>5</v>
      </c>
      <c r="C1991" s="1" t="s">
        <v>63</v>
      </c>
      <c r="H1991" s="19">
        <v>0</v>
      </c>
      <c r="J1991" s="1" t="s">
        <v>83</v>
      </c>
    </row>
    <row r="1992" spans="1:10" x14ac:dyDescent="0.25">
      <c r="A1992" s="1" t="s">
        <v>49</v>
      </c>
      <c r="B1992" s="1" t="s">
        <v>5</v>
      </c>
      <c r="C1992" s="1" t="s">
        <v>26</v>
      </c>
      <c r="H1992" s="19">
        <v>0</v>
      </c>
      <c r="J1992" s="1" t="s">
        <v>83</v>
      </c>
    </row>
    <row r="1993" spans="1:10" x14ac:dyDescent="0.25">
      <c r="A1993" s="1" t="s">
        <v>49</v>
      </c>
      <c r="B1993" s="1" t="s">
        <v>5</v>
      </c>
      <c r="C1993" s="1" t="s">
        <v>27</v>
      </c>
      <c r="H1993" s="19">
        <v>0</v>
      </c>
      <c r="J1993" s="1" t="s">
        <v>83</v>
      </c>
    </row>
    <row r="1994" spans="1:10" x14ac:dyDescent="0.25">
      <c r="A1994" s="1" t="s">
        <v>49</v>
      </c>
      <c r="B1994" s="1" t="s">
        <v>5</v>
      </c>
      <c r="C1994" s="1" t="s">
        <v>21</v>
      </c>
      <c r="H1994" s="19">
        <v>0</v>
      </c>
      <c r="J1994" s="1" t="s">
        <v>83</v>
      </c>
    </row>
    <row r="1995" spans="1:10" x14ac:dyDescent="0.25">
      <c r="A1995" s="1" t="s">
        <v>49</v>
      </c>
      <c r="B1995" s="1" t="s">
        <v>5</v>
      </c>
      <c r="C1995" s="1" t="s">
        <v>28</v>
      </c>
      <c r="H1995" s="19">
        <v>0</v>
      </c>
      <c r="J1995" s="1" t="s">
        <v>83</v>
      </c>
    </row>
    <row r="1996" spans="1:10" x14ac:dyDescent="0.25">
      <c r="A1996" s="1" t="s">
        <v>49</v>
      </c>
      <c r="B1996" s="1" t="s">
        <v>5</v>
      </c>
      <c r="C1996" s="1" t="s">
        <v>29</v>
      </c>
      <c r="H1996" s="19">
        <v>0</v>
      </c>
      <c r="J1996" s="1" t="s">
        <v>83</v>
      </c>
    </row>
    <row r="1997" spans="1:10" x14ac:dyDescent="0.25">
      <c r="A1997" s="1" t="s">
        <v>49</v>
      </c>
      <c r="B1997" s="1" t="s">
        <v>5</v>
      </c>
      <c r="C1997" s="1" t="s">
        <v>30</v>
      </c>
      <c r="H1997" s="19">
        <v>0</v>
      </c>
      <c r="J1997" s="1" t="s">
        <v>83</v>
      </c>
    </row>
    <row r="1998" spans="1:10" x14ac:dyDescent="0.25">
      <c r="A1998" s="1" t="s">
        <v>49</v>
      </c>
      <c r="B1998" s="1" t="s">
        <v>5</v>
      </c>
      <c r="C1998" s="1" t="s">
        <v>31</v>
      </c>
      <c r="H1998" s="19">
        <v>0</v>
      </c>
      <c r="J1998" s="1" t="s">
        <v>83</v>
      </c>
    </row>
    <row r="1999" spans="1:10" x14ac:dyDescent="0.25">
      <c r="A1999" s="1" t="s">
        <v>49</v>
      </c>
      <c r="B1999" s="1" t="s">
        <v>5</v>
      </c>
      <c r="C1999" s="1" t="s">
        <v>32</v>
      </c>
      <c r="H1999" s="19">
        <v>0</v>
      </c>
      <c r="J1999" s="1" t="s">
        <v>83</v>
      </c>
    </row>
    <row r="2000" spans="1:10" x14ac:dyDescent="0.25">
      <c r="A2000" s="1" t="s">
        <v>50</v>
      </c>
      <c r="B2000" s="1" t="s">
        <v>4</v>
      </c>
      <c r="C2000" s="1" t="s">
        <v>63</v>
      </c>
      <c r="H2000" s="19">
        <v>0</v>
      </c>
      <c r="J2000" s="1" t="s">
        <v>83</v>
      </c>
    </row>
    <row r="2001" spans="1:10" x14ac:dyDescent="0.25">
      <c r="A2001" s="1" t="s">
        <v>50</v>
      </c>
      <c r="B2001" s="1" t="s">
        <v>4</v>
      </c>
      <c r="C2001" s="1" t="s">
        <v>26</v>
      </c>
      <c r="H2001" s="19">
        <v>0</v>
      </c>
      <c r="J2001" s="1" t="s">
        <v>83</v>
      </c>
    </row>
    <row r="2002" spans="1:10" x14ac:dyDescent="0.25">
      <c r="A2002" s="1" t="s">
        <v>50</v>
      </c>
      <c r="B2002" s="1" t="s">
        <v>4</v>
      </c>
      <c r="C2002" s="1" t="s">
        <v>27</v>
      </c>
      <c r="H2002" s="19">
        <v>0</v>
      </c>
      <c r="J2002" s="1" t="s">
        <v>83</v>
      </c>
    </row>
    <row r="2003" spans="1:10" x14ac:dyDescent="0.25">
      <c r="A2003" s="1" t="s">
        <v>50</v>
      </c>
      <c r="B2003" s="1" t="s">
        <v>4</v>
      </c>
      <c r="C2003" s="1" t="s">
        <v>21</v>
      </c>
      <c r="H2003" s="19">
        <v>0</v>
      </c>
      <c r="J2003" s="1" t="s">
        <v>83</v>
      </c>
    </row>
    <row r="2004" spans="1:10" x14ac:dyDescent="0.25">
      <c r="A2004" s="1" t="s">
        <v>50</v>
      </c>
      <c r="B2004" s="1" t="s">
        <v>4</v>
      </c>
      <c r="C2004" s="1" t="s">
        <v>28</v>
      </c>
      <c r="H2004" s="19">
        <v>0</v>
      </c>
      <c r="J2004" s="1" t="s">
        <v>83</v>
      </c>
    </row>
    <row r="2005" spans="1:10" x14ac:dyDescent="0.25">
      <c r="A2005" s="1" t="s">
        <v>50</v>
      </c>
      <c r="B2005" s="1" t="s">
        <v>4</v>
      </c>
      <c r="C2005" s="1" t="s">
        <v>29</v>
      </c>
      <c r="H2005" s="19">
        <v>0</v>
      </c>
      <c r="J2005" s="1" t="s">
        <v>83</v>
      </c>
    </row>
    <row r="2006" spans="1:10" x14ac:dyDescent="0.25">
      <c r="A2006" s="1" t="s">
        <v>50</v>
      </c>
      <c r="B2006" s="1" t="s">
        <v>4</v>
      </c>
      <c r="C2006" s="1" t="s">
        <v>30</v>
      </c>
      <c r="H2006" s="19">
        <v>0</v>
      </c>
      <c r="J2006" s="1" t="s">
        <v>83</v>
      </c>
    </row>
    <row r="2007" spans="1:10" x14ac:dyDescent="0.25">
      <c r="A2007" s="1" t="s">
        <v>50</v>
      </c>
      <c r="B2007" s="1" t="s">
        <v>4</v>
      </c>
      <c r="C2007" s="1" t="s">
        <v>31</v>
      </c>
      <c r="H2007" s="19">
        <v>0</v>
      </c>
      <c r="J2007" s="1" t="s">
        <v>83</v>
      </c>
    </row>
    <row r="2008" spans="1:10" x14ac:dyDescent="0.25">
      <c r="A2008" s="1" t="s">
        <v>50</v>
      </c>
      <c r="B2008" s="1" t="s">
        <v>4</v>
      </c>
      <c r="C2008" s="1" t="s">
        <v>32</v>
      </c>
      <c r="H2008" s="19">
        <v>0</v>
      </c>
      <c r="J2008" s="1" t="s">
        <v>83</v>
      </c>
    </row>
    <row r="2009" spans="1:10" x14ac:dyDescent="0.25">
      <c r="A2009" s="1" t="s">
        <v>51</v>
      </c>
      <c r="B2009" s="1" t="s">
        <v>3</v>
      </c>
      <c r="C2009" s="1" t="s">
        <v>63</v>
      </c>
      <c r="H2009" s="19">
        <v>0</v>
      </c>
      <c r="J2009" s="1" t="s">
        <v>83</v>
      </c>
    </row>
    <row r="2010" spans="1:10" x14ac:dyDescent="0.25">
      <c r="A2010" s="1" t="s">
        <v>51</v>
      </c>
      <c r="B2010" s="1" t="s">
        <v>3</v>
      </c>
      <c r="C2010" s="1" t="s">
        <v>26</v>
      </c>
      <c r="H2010" s="19">
        <v>0</v>
      </c>
      <c r="J2010" s="1" t="s">
        <v>83</v>
      </c>
    </row>
    <row r="2011" spans="1:10" x14ac:dyDescent="0.25">
      <c r="A2011" s="1" t="s">
        <v>51</v>
      </c>
      <c r="B2011" s="1" t="s">
        <v>3</v>
      </c>
      <c r="C2011" s="1" t="s">
        <v>27</v>
      </c>
      <c r="H2011" s="19">
        <v>0</v>
      </c>
      <c r="J2011" s="1" t="s">
        <v>83</v>
      </c>
    </row>
    <row r="2012" spans="1:10" x14ac:dyDescent="0.25">
      <c r="A2012" s="1" t="s">
        <v>51</v>
      </c>
      <c r="B2012" s="1" t="s">
        <v>3</v>
      </c>
      <c r="C2012" s="1" t="s">
        <v>21</v>
      </c>
      <c r="H2012" s="19">
        <v>0</v>
      </c>
      <c r="J2012" s="1" t="s">
        <v>83</v>
      </c>
    </row>
    <row r="2013" spans="1:10" x14ac:dyDescent="0.25">
      <c r="A2013" s="1" t="s">
        <v>51</v>
      </c>
      <c r="B2013" s="1" t="s">
        <v>3</v>
      </c>
      <c r="C2013" s="1" t="s">
        <v>28</v>
      </c>
      <c r="H2013" s="19">
        <v>0</v>
      </c>
      <c r="J2013" s="1" t="s">
        <v>83</v>
      </c>
    </row>
    <row r="2014" spans="1:10" x14ac:dyDescent="0.25">
      <c r="A2014" s="1" t="s">
        <v>51</v>
      </c>
      <c r="B2014" s="1" t="s">
        <v>3</v>
      </c>
      <c r="C2014" s="1" t="s">
        <v>29</v>
      </c>
      <c r="H2014" s="19">
        <v>0</v>
      </c>
      <c r="J2014" s="1" t="s">
        <v>83</v>
      </c>
    </row>
    <row r="2015" spans="1:10" x14ac:dyDescent="0.25">
      <c r="A2015" s="1" t="s">
        <v>51</v>
      </c>
      <c r="B2015" s="1" t="s">
        <v>3</v>
      </c>
      <c r="C2015" s="1" t="s">
        <v>30</v>
      </c>
      <c r="H2015" s="19">
        <v>0</v>
      </c>
      <c r="J2015" s="1" t="s">
        <v>83</v>
      </c>
    </row>
    <row r="2016" spans="1:10" x14ac:dyDescent="0.25">
      <c r="A2016" s="1" t="s">
        <v>51</v>
      </c>
      <c r="B2016" s="1" t="s">
        <v>3</v>
      </c>
      <c r="C2016" s="1" t="s">
        <v>31</v>
      </c>
      <c r="H2016" s="19">
        <v>0</v>
      </c>
      <c r="J2016" s="1" t="s">
        <v>83</v>
      </c>
    </row>
    <row r="2017" spans="1:10" x14ac:dyDescent="0.25">
      <c r="A2017" s="1" t="s">
        <v>51</v>
      </c>
      <c r="B2017" s="1" t="s">
        <v>3</v>
      </c>
      <c r="C2017" s="1" t="s">
        <v>32</v>
      </c>
      <c r="H2017" s="19">
        <v>0</v>
      </c>
      <c r="J2017" s="1" t="s">
        <v>83</v>
      </c>
    </row>
    <row r="2018" spans="1:10" x14ac:dyDescent="0.25">
      <c r="A2018" s="1" t="s">
        <v>52</v>
      </c>
      <c r="B2018" s="1" t="s">
        <v>13</v>
      </c>
      <c r="C2018" s="1" t="s">
        <v>63</v>
      </c>
      <c r="H2018" s="19">
        <v>0</v>
      </c>
      <c r="J2018" s="1" t="s">
        <v>83</v>
      </c>
    </row>
    <row r="2019" spans="1:10" x14ac:dyDescent="0.25">
      <c r="A2019" s="1" t="s">
        <v>52</v>
      </c>
      <c r="B2019" s="1" t="s">
        <v>13</v>
      </c>
      <c r="C2019" s="1" t="s">
        <v>26</v>
      </c>
      <c r="H2019" s="19">
        <v>0</v>
      </c>
      <c r="J2019" s="1" t="s">
        <v>83</v>
      </c>
    </row>
    <row r="2020" spans="1:10" x14ac:dyDescent="0.25">
      <c r="A2020" s="1" t="s">
        <v>52</v>
      </c>
      <c r="B2020" s="1" t="s">
        <v>13</v>
      </c>
      <c r="C2020" s="1" t="s">
        <v>27</v>
      </c>
      <c r="H2020" s="19">
        <v>0</v>
      </c>
      <c r="J2020" s="1" t="s">
        <v>83</v>
      </c>
    </row>
    <row r="2021" spans="1:10" x14ac:dyDescent="0.25">
      <c r="A2021" s="1" t="s">
        <v>52</v>
      </c>
      <c r="B2021" s="1" t="s">
        <v>13</v>
      </c>
      <c r="C2021" s="1" t="s">
        <v>21</v>
      </c>
      <c r="H2021" s="19">
        <v>0</v>
      </c>
      <c r="J2021" s="1" t="s">
        <v>83</v>
      </c>
    </row>
    <row r="2022" spans="1:10" x14ac:dyDescent="0.25">
      <c r="A2022" s="1" t="s">
        <v>52</v>
      </c>
      <c r="B2022" s="1" t="s">
        <v>13</v>
      </c>
      <c r="C2022" s="1" t="s">
        <v>28</v>
      </c>
      <c r="H2022" s="19">
        <v>0</v>
      </c>
      <c r="J2022" s="1" t="s">
        <v>83</v>
      </c>
    </row>
    <row r="2023" spans="1:10" x14ac:dyDescent="0.25">
      <c r="A2023" s="1" t="s">
        <v>52</v>
      </c>
      <c r="B2023" s="1" t="s">
        <v>13</v>
      </c>
      <c r="C2023" s="1" t="s">
        <v>29</v>
      </c>
      <c r="H2023" s="19">
        <v>0</v>
      </c>
      <c r="J2023" s="1" t="s">
        <v>83</v>
      </c>
    </row>
    <row r="2024" spans="1:10" x14ac:dyDescent="0.25">
      <c r="A2024" s="1" t="s">
        <v>52</v>
      </c>
      <c r="B2024" s="1" t="s">
        <v>13</v>
      </c>
      <c r="C2024" s="1" t="s">
        <v>30</v>
      </c>
      <c r="H2024" s="19">
        <v>0</v>
      </c>
      <c r="J2024" s="1" t="s">
        <v>83</v>
      </c>
    </row>
    <row r="2025" spans="1:10" x14ac:dyDescent="0.25">
      <c r="A2025" s="1" t="s">
        <v>52</v>
      </c>
      <c r="B2025" s="1" t="s">
        <v>13</v>
      </c>
      <c r="C2025" s="1" t="s">
        <v>31</v>
      </c>
      <c r="H2025" s="19">
        <v>0</v>
      </c>
      <c r="J2025" s="1" t="s">
        <v>83</v>
      </c>
    </row>
    <row r="2026" spans="1:10" x14ac:dyDescent="0.25">
      <c r="A2026" s="1" t="s">
        <v>52</v>
      </c>
      <c r="B2026" s="1" t="s">
        <v>13</v>
      </c>
      <c r="C2026" s="1" t="s">
        <v>32</v>
      </c>
      <c r="H2026" s="19">
        <v>0</v>
      </c>
      <c r="J2026" s="1" t="s">
        <v>83</v>
      </c>
    </row>
    <row r="2027" spans="1:10" x14ac:dyDescent="0.25">
      <c r="A2027" s="1" t="s">
        <v>53</v>
      </c>
      <c r="B2027" s="1" t="s">
        <v>14</v>
      </c>
      <c r="C2027" s="1" t="s">
        <v>63</v>
      </c>
      <c r="H2027" s="19">
        <v>0</v>
      </c>
      <c r="J2027" s="1" t="s">
        <v>83</v>
      </c>
    </row>
    <row r="2028" spans="1:10" x14ac:dyDescent="0.25">
      <c r="A2028" s="1" t="s">
        <v>53</v>
      </c>
      <c r="B2028" s="1" t="s">
        <v>14</v>
      </c>
      <c r="C2028" s="1" t="s">
        <v>26</v>
      </c>
      <c r="H2028" s="19">
        <v>0</v>
      </c>
      <c r="J2028" s="1" t="s">
        <v>83</v>
      </c>
    </row>
    <row r="2029" spans="1:10" x14ac:dyDescent="0.25">
      <c r="A2029" s="1" t="s">
        <v>53</v>
      </c>
      <c r="B2029" s="1" t="s">
        <v>14</v>
      </c>
      <c r="C2029" s="1" t="s">
        <v>27</v>
      </c>
      <c r="H2029" s="19">
        <v>0</v>
      </c>
      <c r="J2029" s="1" t="s">
        <v>83</v>
      </c>
    </row>
    <row r="2030" spans="1:10" x14ac:dyDescent="0.25">
      <c r="A2030" s="1" t="s">
        <v>53</v>
      </c>
      <c r="B2030" s="1" t="s">
        <v>14</v>
      </c>
      <c r="C2030" s="1" t="s">
        <v>21</v>
      </c>
      <c r="H2030" s="19">
        <v>0</v>
      </c>
      <c r="J2030" s="1" t="s">
        <v>83</v>
      </c>
    </row>
    <row r="2031" spans="1:10" x14ac:dyDescent="0.25">
      <c r="A2031" s="1" t="s">
        <v>53</v>
      </c>
      <c r="B2031" s="1" t="s">
        <v>14</v>
      </c>
      <c r="C2031" s="1" t="s">
        <v>28</v>
      </c>
      <c r="H2031" s="19">
        <v>0</v>
      </c>
      <c r="J2031" s="1" t="s">
        <v>83</v>
      </c>
    </row>
    <row r="2032" spans="1:10" x14ac:dyDescent="0.25">
      <c r="A2032" s="1" t="s">
        <v>53</v>
      </c>
      <c r="B2032" s="1" t="s">
        <v>14</v>
      </c>
      <c r="C2032" s="1" t="s">
        <v>29</v>
      </c>
      <c r="H2032" s="19">
        <v>0</v>
      </c>
      <c r="J2032" s="1" t="s">
        <v>83</v>
      </c>
    </row>
    <row r="2033" spans="1:10" x14ac:dyDescent="0.25">
      <c r="A2033" s="1" t="s">
        <v>53</v>
      </c>
      <c r="B2033" s="1" t="s">
        <v>14</v>
      </c>
      <c r="C2033" s="1" t="s">
        <v>30</v>
      </c>
      <c r="H2033" s="19">
        <v>0</v>
      </c>
      <c r="J2033" s="1" t="s">
        <v>83</v>
      </c>
    </row>
    <row r="2034" spans="1:10" x14ac:dyDescent="0.25">
      <c r="A2034" s="1" t="s">
        <v>53</v>
      </c>
      <c r="B2034" s="1" t="s">
        <v>14</v>
      </c>
      <c r="C2034" s="1" t="s">
        <v>31</v>
      </c>
      <c r="H2034" s="19">
        <v>0</v>
      </c>
      <c r="J2034" s="1" t="s">
        <v>83</v>
      </c>
    </row>
    <row r="2035" spans="1:10" x14ac:dyDescent="0.25">
      <c r="A2035" s="1" t="s">
        <v>53</v>
      </c>
      <c r="B2035" s="1" t="s">
        <v>14</v>
      </c>
      <c r="C2035" s="1" t="s">
        <v>32</v>
      </c>
      <c r="H2035" s="19">
        <v>0</v>
      </c>
      <c r="J2035" s="1" t="s">
        <v>83</v>
      </c>
    </row>
    <row r="2036" spans="1:10" x14ac:dyDescent="0.25">
      <c r="A2036" s="1" t="s">
        <v>54</v>
      </c>
      <c r="B2036" s="1" t="s">
        <v>16</v>
      </c>
      <c r="C2036" s="1" t="s">
        <v>63</v>
      </c>
      <c r="H2036" s="19">
        <v>0</v>
      </c>
      <c r="J2036" s="1" t="s">
        <v>83</v>
      </c>
    </row>
    <row r="2037" spans="1:10" x14ac:dyDescent="0.25">
      <c r="A2037" s="1" t="s">
        <v>54</v>
      </c>
      <c r="B2037" s="1" t="s">
        <v>16</v>
      </c>
      <c r="C2037" s="1" t="s">
        <v>26</v>
      </c>
      <c r="H2037" s="19">
        <v>0</v>
      </c>
      <c r="J2037" s="1" t="s">
        <v>83</v>
      </c>
    </row>
    <row r="2038" spans="1:10" x14ac:dyDescent="0.25">
      <c r="A2038" s="1" t="s">
        <v>54</v>
      </c>
      <c r="B2038" s="1" t="s">
        <v>16</v>
      </c>
      <c r="C2038" s="1" t="s">
        <v>27</v>
      </c>
      <c r="H2038" s="19">
        <v>0</v>
      </c>
      <c r="J2038" s="1" t="s">
        <v>83</v>
      </c>
    </row>
    <row r="2039" spans="1:10" x14ac:dyDescent="0.25">
      <c r="A2039" s="1" t="s">
        <v>54</v>
      </c>
      <c r="B2039" s="1" t="s">
        <v>16</v>
      </c>
      <c r="C2039" s="1" t="s">
        <v>21</v>
      </c>
      <c r="H2039" s="19">
        <v>0</v>
      </c>
      <c r="J2039" s="1" t="s">
        <v>83</v>
      </c>
    </row>
    <row r="2040" spans="1:10" x14ac:dyDescent="0.25">
      <c r="A2040" s="1" t="s">
        <v>54</v>
      </c>
      <c r="B2040" s="1" t="s">
        <v>16</v>
      </c>
      <c r="C2040" s="1" t="s">
        <v>28</v>
      </c>
      <c r="H2040" s="19">
        <v>0</v>
      </c>
      <c r="J2040" s="1" t="s">
        <v>83</v>
      </c>
    </row>
    <row r="2041" spans="1:10" x14ac:dyDescent="0.25">
      <c r="A2041" s="1" t="s">
        <v>54</v>
      </c>
      <c r="B2041" s="1" t="s">
        <v>16</v>
      </c>
      <c r="C2041" s="1" t="s">
        <v>29</v>
      </c>
      <c r="H2041" s="19">
        <v>0</v>
      </c>
      <c r="J2041" s="1" t="s">
        <v>83</v>
      </c>
    </row>
    <row r="2042" spans="1:10" x14ac:dyDescent="0.25">
      <c r="A2042" s="1" t="s">
        <v>54</v>
      </c>
      <c r="B2042" s="1" t="s">
        <v>16</v>
      </c>
      <c r="C2042" s="1" t="s">
        <v>30</v>
      </c>
      <c r="H2042" s="19">
        <v>0</v>
      </c>
      <c r="J2042" s="1" t="s">
        <v>83</v>
      </c>
    </row>
    <row r="2043" spans="1:10" x14ac:dyDescent="0.25">
      <c r="A2043" s="1" t="s">
        <v>54</v>
      </c>
      <c r="B2043" s="1" t="s">
        <v>16</v>
      </c>
      <c r="C2043" s="1" t="s">
        <v>31</v>
      </c>
      <c r="H2043" s="19">
        <v>0</v>
      </c>
      <c r="J2043" s="1" t="s">
        <v>83</v>
      </c>
    </row>
    <row r="2044" spans="1:10" x14ac:dyDescent="0.25">
      <c r="A2044" s="1" t="s">
        <v>54</v>
      </c>
      <c r="B2044" s="1" t="s">
        <v>16</v>
      </c>
      <c r="C2044" s="1" t="s">
        <v>32</v>
      </c>
      <c r="H2044" s="19">
        <v>0</v>
      </c>
      <c r="J2044" s="1" t="s">
        <v>83</v>
      </c>
    </row>
    <row r="2045" spans="1:10" x14ac:dyDescent="0.25">
      <c r="A2045" s="1" t="s">
        <v>55</v>
      </c>
      <c r="B2045" s="1" t="s">
        <v>10</v>
      </c>
      <c r="C2045" s="1" t="s">
        <v>63</v>
      </c>
      <c r="H2045" s="19">
        <v>0</v>
      </c>
      <c r="J2045" s="1" t="s">
        <v>83</v>
      </c>
    </row>
    <row r="2046" spans="1:10" x14ac:dyDescent="0.25">
      <c r="A2046" s="1" t="s">
        <v>55</v>
      </c>
      <c r="B2046" s="1" t="s">
        <v>10</v>
      </c>
      <c r="C2046" s="1" t="s">
        <v>26</v>
      </c>
      <c r="H2046" s="19">
        <v>0</v>
      </c>
      <c r="J2046" s="1" t="s">
        <v>83</v>
      </c>
    </row>
    <row r="2047" spans="1:10" x14ac:dyDescent="0.25">
      <c r="A2047" s="1" t="s">
        <v>55</v>
      </c>
      <c r="B2047" s="1" t="s">
        <v>10</v>
      </c>
      <c r="C2047" s="1" t="s">
        <v>27</v>
      </c>
      <c r="H2047" s="19">
        <v>0</v>
      </c>
      <c r="J2047" s="1" t="s">
        <v>83</v>
      </c>
    </row>
    <row r="2048" spans="1:10" x14ac:dyDescent="0.25">
      <c r="A2048" s="1" t="s">
        <v>55</v>
      </c>
      <c r="B2048" s="1" t="s">
        <v>10</v>
      </c>
      <c r="C2048" s="1" t="s">
        <v>21</v>
      </c>
      <c r="H2048" s="19">
        <v>0</v>
      </c>
      <c r="J2048" s="1" t="s">
        <v>83</v>
      </c>
    </row>
    <row r="2049" spans="1:10" x14ac:dyDescent="0.25">
      <c r="A2049" s="1" t="s">
        <v>55</v>
      </c>
      <c r="B2049" s="1" t="s">
        <v>10</v>
      </c>
      <c r="C2049" s="1" t="s">
        <v>28</v>
      </c>
      <c r="H2049" s="19">
        <v>0</v>
      </c>
      <c r="J2049" s="1" t="s">
        <v>83</v>
      </c>
    </row>
    <row r="2050" spans="1:10" x14ac:dyDescent="0.25">
      <c r="A2050" s="1" t="s">
        <v>55</v>
      </c>
      <c r="B2050" s="1" t="s">
        <v>10</v>
      </c>
      <c r="C2050" s="1" t="s">
        <v>29</v>
      </c>
      <c r="H2050" s="19">
        <v>0</v>
      </c>
      <c r="J2050" s="1" t="s">
        <v>83</v>
      </c>
    </row>
    <row r="2051" spans="1:10" x14ac:dyDescent="0.25">
      <c r="A2051" s="1" t="s">
        <v>55</v>
      </c>
      <c r="B2051" s="1" t="s">
        <v>10</v>
      </c>
      <c r="C2051" s="1" t="s">
        <v>30</v>
      </c>
      <c r="H2051" s="19">
        <v>0</v>
      </c>
      <c r="J2051" s="1" t="s">
        <v>83</v>
      </c>
    </row>
    <row r="2052" spans="1:10" x14ac:dyDescent="0.25">
      <c r="A2052" s="1" t="s">
        <v>55</v>
      </c>
      <c r="B2052" s="1" t="s">
        <v>10</v>
      </c>
      <c r="C2052" s="1" t="s">
        <v>31</v>
      </c>
      <c r="H2052" s="19">
        <v>0</v>
      </c>
      <c r="J2052" s="1" t="s">
        <v>83</v>
      </c>
    </row>
    <row r="2053" spans="1:10" x14ac:dyDescent="0.25">
      <c r="A2053" s="1" t="s">
        <v>55</v>
      </c>
      <c r="B2053" s="1" t="s">
        <v>10</v>
      </c>
      <c r="C2053" s="1" t="s">
        <v>32</v>
      </c>
      <c r="H2053" s="19">
        <v>0</v>
      </c>
      <c r="J2053" s="1" t="s">
        <v>83</v>
      </c>
    </row>
    <row r="2054" spans="1:10" x14ac:dyDescent="0.25">
      <c r="A2054" s="1" t="s">
        <v>56</v>
      </c>
      <c r="B2054" s="1" t="s">
        <v>7</v>
      </c>
      <c r="C2054" s="1" t="s">
        <v>63</v>
      </c>
      <c r="H2054" s="19">
        <v>0</v>
      </c>
      <c r="J2054" s="1" t="s">
        <v>83</v>
      </c>
    </row>
    <row r="2055" spans="1:10" x14ac:dyDescent="0.25">
      <c r="A2055" s="1" t="s">
        <v>56</v>
      </c>
      <c r="B2055" s="1" t="s">
        <v>7</v>
      </c>
      <c r="C2055" s="1" t="s">
        <v>26</v>
      </c>
      <c r="H2055" s="19">
        <v>0</v>
      </c>
      <c r="J2055" s="1" t="s">
        <v>83</v>
      </c>
    </row>
    <row r="2056" spans="1:10" x14ac:dyDescent="0.25">
      <c r="A2056" s="1" t="s">
        <v>56</v>
      </c>
      <c r="B2056" s="1" t="s">
        <v>7</v>
      </c>
      <c r="C2056" s="1" t="s">
        <v>27</v>
      </c>
      <c r="H2056" s="19">
        <v>0</v>
      </c>
      <c r="J2056" s="1" t="s">
        <v>83</v>
      </c>
    </row>
    <row r="2057" spans="1:10" x14ac:dyDescent="0.25">
      <c r="A2057" s="1" t="s">
        <v>56</v>
      </c>
      <c r="B2057" s="1" t="s">
        <v>7</v>
      </c>
      <c r="C2057" s="1" t="s">
        <v>21</v>
      </c>
      <c r="H2057" s="19">
        <v>0</v>
      </c>
      <c r="J2057" s="1" t="s">
        <v>83</v>
      </c>
    </row>
    <row r="2058" spans="1:10" x14ac:dyDescent="0.25">
      <c r="A2058" s="1" t="s">
        <v>56</v>
      </c>
      <c r="B2058" s="1" t="s">
        <v>7</v>
      </c>
      <c r="C2058" s="1" t="s">
        <v>28</v>
      </c>
      <c r="H2058" s="19">
        <v>0</v>
      </c>
      <c r="J2058" s="1" t="s">
        <v>83</v>
      </c>
    </row>
    <row r="2059" spans="1:10" x14ac:dyDescent="0.25">
      <c r="A2059" s="1" t="s">
        <v>56</v>
      </c>
      <c r="B2059" s="1" t="s">
        <v>7</v>
      </c>
      <c r="C2059" s="1" t="s">
        <v>29</v>
      </c>
      <c r="H2059" s="19">
        <v>0</v>
      </c>
      <c r="J2059" s="1" t="s">
        <v>83</v>
      </c>
    </row>
    <row r="2060" spans="1:10" x14ac:dyDescent="0.25">
      <c r="A2060" s="1" t="s">
        <v>56</v>
      </c>
      <c r="B2060" s="1" t="s">
        <v>7</v>
      </c>
      <c r="C2060" s="1" t="s">
        <v>30</v>
      </c>
      <c r="H2060" s="19">
        <v>0</v>
      </c>
      <c r="J2060" s="1" t="s">
        <v>83</v>
      </c>
    </row>
    <row r="2061" spans="1:10" x14ac:dyDescent="0.25">
      <c r="A2061" s="1" t="s">
        <v>56</v>
      </c>
      <c r="B2061" s="1" t="s">
        <v>7</v>
      </c>
      <c r="C2061" s="1" t="s">
        <v>31</v>
      </c>
      <c r="H2061" s="19">
        <v>0</v>
      </c>
      <c r="J2061" s="1" t="s">
        <v>83</v>
      </c>
    </row>
    <row r="2062" spans="1:10" x14ac:dyDescent="0.25">
      <c r="A2062" s="1" t="s">
        <v>56</v>
      </c>
      <c r="B2062" s="1" t="s">
        <v>7</v>
      </c>
      <c r="C2062" s="1" t="s">
        <v>32</v>
      </c>
      <c r="H2062" s="19">
        <v>0</v>
      </c>
      <c r="J2062" s="1" t="s">
        <v>83</v>
      </c>
    </row>
    <row r="2063" spans="1:10" x14ac:dyDescent="0.25">
      <c r="A2063" s="1" t="s">
        <v>57</v>
      </c>
      <c r="B2063" s="1" t="s">
        <v>24</v>
      </c>
      <c r="C2063" s="1" t="s">
        <v>63</v>
      </c>
      <c r="H2063" s="19">
        <v>0</v>
      </c>
      <c r="J2063" s="1" t="s">
        <v>83</v>
      </c>
    </row>
    <row r="2064" spans="1:10" x14ac:dyDescent="0.25">
      <c r="A2064" s="1" t="s">
        <v>57</v>
      </c>
      <c r="B2064" s="1" t="s">
        <v>24</v>
      </c>
      <c r="C2064" s="1" t="s">
        <v>26</v>
      </c>
      <c r="H2064" s="19">
        <v>0</v>
      </c>
      <c r="J2064" s="1" t="s">
        <v>83</v>
      </c>
    </row>
    <row r="2065" spans="1:10" x14ac:dyDescent="0.25">
      <c r="A2065" s="1" t="s">
        <v>57</v>
      </c>
      <c r="B2065" s="1" t="s">
        <v>24</v>
      </c>
      <c r="C2065" s="1" t="s">
        <v>27</v>
      </c>
      <c r="H2065" s="19">
        <v>0</v>
      </c>
      <c r="J2065" s="1" t="s">
        <v>83</v>
      </c>
    </row>
    <row r="2066" spans="1:10" x14ac:dyDescent="0.25">
      <c r="A2066" s="1" t="s">
        <v>57</v>
      </c>
      <c r="B2066" s="1" t="s">
        <v>24</v>
      </c>
      <c r="C2066" s="1" t="s">
        <v>21</v>
      </c>
      <c r="H2066" s="19">
        <v>0</v>
      </c>
      <c r="J2066" s="1" t="s">
        <v>83</v>
      </c>
    </row>
    <row r="2067" spans="1:10" x14ac:dyDescent="0.25">
      <c r="A2067" s="1" t="s">
        <v>57</v>
      </c>
      <c r="B2067" s="1" t="s">
        <v>24</v>
      </c>
      <c r="C2067" s="1" t="s">
        <v>28</v>
      </c>
      <c r="H2067" s="19">
        <v>0</v>
      </c>
      <c r="J2067" s="1" t="s">
        <v>83</v>
      </c>
    </row>
    <row r="2068" spans="1:10" x14ac:dyDescent="0.25">
      <c r="A2068" s="1" t="s">
        <v>57</v>
      </c>
      <c r="B2068" s="1" t="s">
        <v>24</v>
      </c>
      <c r="C2068" s="1" t="s">
        <v>29</v>
      </c>
      <c r="H2068" s="19">
        <v>0</v>
      </c>
      <c r="J2068" s="1" t="s">
        <v>83</v>
      </c>
    </row>
    <row r="2069" spans="1:10" x14ac:dyDescent="0.25">
      <c r="A2069" s="1" t="s">
        <v>57</v>
      </c>
      <c r="B2069" s="1" t="s">
        <v>24</v>
      </c>
      <c r="C2069" s="1" t="s">
        <v>30</v>
      </c>
      <c r="H2069" s="19">
        <v>0</v>
      </c>
      <c r="J2069" s="1" t="s">
        <v>83</v>
      </c>
    </row>
    <row r="2070" spans="1:10" x14ac:dyDescent="0.25">
      <c r="A2070" s="1" t="s">
        <v>57</v>
      </c>
      <c r="B2070" s="1" t="s">
        <v>24</v>
      </c>
      <c r="C2070" s="1" t="s">
        <v>31</v>
      </c>
      <c r="H2070" s="19">
        <v>0</v>
      </c>
      <c r="J2070" s="1" t="s">
        <v>83</v>
      </c>
    </row>
    <row r="2071" spans="1:10" x14ac:dyDescent="0.25">
      <c r="A2071" s="1" t="s">
        <v>57</v>
      </c>
      <c r="B2071" s="1" t="s">
        <v>24</v>
      </c>
      <c r="C2071" s="1" t="s">
        <v>32</v>
      </c>
      <c r="H2071" s="19">
        <v>0</v>
      </c>
      <c r="J2071" s="1" t="s">
        <v>83</v>
      </c>
    </row>
    <row r="2072" spans="1:10" x14ac:dyDescent="0.25">
      <c r="A2072" s="1" t="s">
        <v>58</v>
      </c>
      <c r="B2072" s="1" t="s">
        <v>1</v>
      </c>
      <c r="C2072" s="1" t="s">
        <v>63</v>
      </c>
      <c r="H2072" s="19">
        <v>0</v>
      </c>
      <c r="J2072" s="1" t="s">
        <v>83</v>
      </c>
    </row>
    <row r="2073" spans="1:10" x14ac:dyDescent="0.25">
      <c r="A2073" s="1" t="s">
        <v>58</v>
      </c>
      <c r="B2073" s="1" t="s">
        <v>1</v>
      </c>
      <c r="C2073" s="1" t="s">
        <v>26</v>
      </c>
      <c r="H2073" s="19">
        <v>0</v>
      </c>
      <c r="J2073" s="1" t="s">
        <v>83</v>
      </c>
    </row>
    <row r="2074" spans="1:10" x14ac:dyDescent="0.25">
      <c r="A2074" s="1" t="s">
        <v>58</v>
      </c>
      <c r="B2074" s="1" t="s">
        <v>1</v>
      </c>
      <c r="C2074" s="1" t="s">
        <v>27</v>
      </c>
      <c r="H2074" s="19">
        <v>0</v>
      </c>
      <c r="J2074" s="1" t="s">
        <v>83</v>
      </c>
    </row>
    <row r="2075" spans="1:10" x14ac:dyDescent="0.25">
      <c r="A2075" s="1" t="s">
        <v>58</v>
      </c>
      <c r="B2075" s="1" t="s">
        <v>1</v>
      </c>
      <c r="C2075" s="1" t="s">
        <v>21</v>
      </c>
      <c r="H2075" s="19">
        <v>0</v>
      </c>
      <c r="J2075" s="1" t="s">
        <v>83</v>
      </c>
    </row>
    <row r="2076" spans="1:10" x14ac:dyDescent="0.25">
      <c r="A2076" s="1" t="s">
        <v>58</v>
      </c>
      <c r="B2076" s="1" t="s">
        <v>1</v>
      </c>
      <c r="C2076" s="1" t="s">
        <v>28</v>
      </c>
      <c r="H2076" s="19">
        <v>0</v>
      </c>
      <c r="J2076" s="1" t="s">
        <v>83</v>
      </c>
    </row>
    <row r="2077" spans="1:10" x14ac:dyDescent="0.25">
      <c r="A2077" s="1" t="s">
        <v>58</v>
      </c>
      <c r="B2077" s="1" t="s">
        <v>1</v>
      </c>
      <c r="C2077" s="1" t="s">
        <v>29</v>
      </c>
      <c r="H2077" s="19">
        <v>0</v>
      </c>
      <c r="J2077" s="1" t="s">
        <v>83</v>
      </c>
    </row>
    <row r="2078" spans="1:10" x14ac:dyDescent="0.25">
      <c r="A2078" s="1" t="s">
        <v>58</v>
      </c>
      <c r="B2078" s="1" t="s">
        <v>1</v>
      </c>
      <c r="C2078" s="1" t="s">
        <v>30</v>
      </c>
      <c r="H2078" s="19">
        <v>0</v>
      </c>
      <c r="J2078" s="1" t="s">
        <v>83</v>
      </c>
    </row>
    <row r="2079" spans="1:10" x14ac:dyDescent="0.25">
      <c r="A2079" s="1" t="s">
        <v>58</v>
      </c>
      <c r="B2079" s="1" t="s">
        <v>1</v>
      </c>
      <c r="C2079" s="1" t="s">
        <v>31</v>
      </c>
      <c r="H2079" s="19">
        <v>0</v>
      </c>
      <c r="J2079" s="1" t="s">
        <v>83</v>
      </c>
    </row>
    <row r="2080" spans="1:10" x14ac:dyDescent="0.25">
      <c r="A2080" s="1" t="s">
        <v>58</v>
      </c>
      <c r="B2080" s="1" t="s">
        <v>1</v>
      </c>
      <c r="C2080" s="1" t="s">
        <v>32</v>
      </c>
      <c r="H2080" s="19">
        <v>0</v>
      </c>
      <c r="J2080" s="1" t="s">
        <v>83</v>
      </c>
    </row>
    <row r="2081" spans="1:10" x14ac:dyDescent="0.25">
      <c r="A2081" s="1" t="s">
        <v>38</v>
      </c>
      <c r="B2081" s="1" t="s">
        <v>18</v>
      </c>
      <c r="C2081" s="1" t="s">
        <v>63</v>
      </c>
      <c r="H2081" s="19">
        <v>0</v>
      </c>
      <c r="J2081" s="1" t="s">
        <v>84</v>
      </c>
    </row>
    <row r="2082" spans="1:10" x14ac:dyDescent="0.25">
      <c r="A2082" s="1" t="s">
        <v>38</v>
      </c>
      <c r="B2082" s="1" t="s">
        <v>18</v>
      </c>
      <c r="C2082" s="1" t="s">
        <v>26</v>
      </c>
      <c r="H2082" s="19">
        <v>0</v>
      </c>
      <c r="J2082" s="1" t="s">
        <v>84</v>
      </c>
    </row>
    <row r="2083" spans="1:10" x14ac:dyDescent="0.25">
      <c r="A2083" s="1" t="s">
        <v>38</v>
      </c>
      <c r="B2083" s="1" t="s">
        <v>18</v>
      </c>
      <c r="C2083" s="1" t="s">
        <v>27</v>
      </c>
      <c r="H2083" s="19">
        <v>0</v>
      </c>
      <c r="J2083" s="1" t="s">
        <v>84</v>
      </c>
    </row>
    <row r="2084" spans="1:10" x14ac:dyDescent="0.25">
      <c r="A2084" s="1" t="s">
        <v>38</v>
      </c>
      <c r="B2084" s="1" t="s">
        <v>18</v>
      </c>
      <c r="C2084" s="1" t="s">
        <v>21</v>
      </c>
      <c r="H2084" s="19">
        <v>0</v>
      </c>
      <c r="J2084" s="1" t="s">
        <v>84</v>
      </c>
    </row>
    <row r="2085" spans="1:10" x14ac:dyDescent="0.25">
      <c r="A2085" s="1" t="s">
        <v>38</v>
      </c>
      <c r="B2085" s="1" t="s">
        <v>18</v>
      </c>
      <c r="C2085" s="1" t="s">
        <v>28</v>
      </c>
      <c r="H2085" s="19">
        <v>0</v>
      </c>
      <c r="J2085" s="1" t="s">
        <v>84</v>
      </c>
    </row>
    <row r="2086" spans="1:10" x14ac:dyDescent="0.25">
      <c r="A2086" s="1" t="s">
        <v>38</v>
      </c>
      <c r="B2086" s="1" t="s">
        <v>18</v>
      </c>
      <c r="C2086" s="1" t="s">
        <v>29</v>
      </c>
      <c r="H2086" s="19">
        <v>0</v>
      </c>
      <c r="J2086" s="1" t="s">
        <v>84</v>
      </c>
    </row>
    <row r="2087" spans="1:10" x14ac:dyDescent="0.25">
      <c r="A2087" s="1" t="s">
        <v>38</v>
      </c>
      <c r="B2087" s="1" t="s">
        <v>18</v>
      </c>
      <c r="C2087" s="1" t="s">
        <v>30</v>
      </c>
      <c r="H2087" s="19">
        <v>0</v>
      </c>
      <c r="J2087" s="1" t="s">
        <v>84</v>
      </c>
    </row>
    <row r="2088" spans="1:10" x14ac:dyDescent="0.25">
      <c r="A2088" s="1" t="s">
        <v>38</v>
      </c>
      <c r="B2088" s="1" t="s">
        <v>18</v>
      </c>
      <c r="C2088" s="1" t="s">
        <v>31</v>
      </c>
      <c r="H2088" s="19">
        <v>0</v>
      </c>
      <c r="J2088" s="1" t="s">
        <v>84</v>
      </c>
    </row>
    <row r="2089" spans="1:10" x14ac:dyDescent="0.25">
      <c r="A2089" s="1" t="s">
        <v>38</v>
      </c>
      <c r="B2089" s="1" t="s">
        <v>18</v>
      </c>
      <c r="C2089" s="1" t="s">
        <v>32</v>
      </c>
      <c r="H2089" s="19">
        <v>0</v>
      </c>
      <c r="J2089" s="1" t="s">
        <v>84</v>
      </c>
    </row>
    <row r="2090" spans="1:10" x14ac:dyDescent="0.25">
      <c r="A2090" s="1" t="s">
        <v>39</v>
      </c>
      <c r="B2090" s="1" t="s">
        <v>8</v>
      </c>
      <c r="C2090" s="1" t="s">
        <v>63</v>
      </c>
      <c r="H2090" s="19">
        <v>0</v>
      </c>
      <c r="J2090" s="1" t="s">
        <v>84</v>
      </c>
    </row>
    <row r="2091" spans="1:10" x14ac:dyDescent="0.25">
      <c r="A2091" s="1" t="s">
        <v>39</v>
      </c>
      <c r="B2091" s="1" t="s">
        <v>8</v>
      </c>
      <c r="C2091" s="1" t="s">
        <v>26</v>
      </c>
      <c r="H2091" s="19">
        <v>0</v>
      </c>
      <c r="J2091" s="1" t="s">
        <v>84</v>
      </c>
    </row>
    <row r="2092" spans="1:10" x14ac:dyDescent="0.25">
      <c r="A2092" s="1" t="s">
        <v>39</v>
      </c>
      <c r="B2092" s="1" t="s">
        <v>8</v>
      </c>
      <c r="C2092" s="1" t="s">
        <v>27</v>
      </c>
      <c r="H2092" s="19">
        <v>0</v>
      </c>
      <c r="J2092" s="1" t="s">
        <v>84</v>
      </c>
    </row>
    <row r="2093" spans="1:10" x14ac:dyDescent="0.25">
      <c r="A2093" s="1" t="s">
        <v>39</v>
      </c>
      <c r="B2093" s="1" t="s">
        <v>8</v>
      </c>
      <c r="C2093" s="1" t="s">
        <v>21</v>
      </c>
      <c r="H2093" s="19">
        <v>0</v>
      </c>
      <c r="J2093" s="1" t="s">
        <v>84</v>
      </c>
    </row>
    <row r="2094" spans="1:10" x14ac:dyDescent="0.25">
      <c r="A2094" s="1" t="s">
        <v>39</v>
      </c>
      <c r="B2094" s="1" t="s">
        <v>8</v>
      </c>
      <c r="C2094" s="1" t="s">
        <v>28</v>
      </c>
      <c r="H2094" s="19">
        <v>0</v>
      </c>
      <c r="J2094" s="1" t="s">
        <v>84</v>
      </c>
    </row>
    <row r="2095" spans="1:10" x14ac:dyDescent="0.25">
      <c r="A2095" s="1" t="s">
        <v>39</v>
      </c>
      <c r="B2095" s="1" t="s">
        <v>8</v>
      </c>
      <c r="C2095" s="1" t="s">
        <v>29</v>
      </c>
      <c r="H2095" s="19">
        <v>0</v>
      </c>
      <c r="J2095" s="1" t="s">
        <v>84</v>
      </c>
    </row>
    <row r="2096" spans="1:10" x14ac:dyDescent="0.25">
      <c r="A2096" s="1" t="s">
        <v>39</v>
      </c>
      <c r="B2096" s="1" t="s">
        <v>8</v>
      </c>
      <c r="C2096" s="1" t="s">
        <v>30</v>
      </c>
      <c r="H2096" s="19">
        <v>0</v>
      </c>
      <c r="J2096" s="1" t="s">
        <v>84</v>
      </c>
    </row>
    <row r="2097" spans="1:10" x14ac:dyDescent="0.25">
      <c r="A2097" s="1" t="s">
        <v>39</v>
      </c>
      <c r="B2097" s="1" t="s">
        <v>8</v>
      </c>
      <c r="C2097" s="1" t="s">
        <v>31</v>
      </c>
      <c r="H2097" s="19">
        <v>0</v>
      </c>
      <c r="J2097" s="1" t="s">
        <v>84</v>
      </c>
    </row>
    <row r="2098" spans="1:10" x14ac:dyDescent="0.25">
      <c r="A2098" s="1" t="s">
        <v>39</v>
      </c>
      <c r="B2098" s="1" t="s">
        <v>8</v>
      </c>
      <c r="C2098" s="1" t="s">
        <v>32</v>
      </c>
      <c r="H2098" s="19">
        <v>0</v>
      </c>
      <c r="J2098" s="1" t="s">
        <v>84</v>
      </c>
    </row>
    <row r="2099" spans="1:10" x14ac:dyDescent="0.25">
      <c r="A2099" s="1" t="s">
        <v>40</v>
      </c>
      <c r="B2099" s="1" t="s">
        <v>11</v>
      </c>
      <c r="C2099" s="1" t="s">
        <v>63</v>
      </c>
      <c r="H2099" s="19">
        <v>0</v>
      </c>
      <c r="J2099" s="1" t="s">
        <v>84</v>
      </c>
    </row>
    <row r="2100" spans="1:10" x14ac:dyDescent="0.25">
      <c r="A2100" s="1" t="s">
        <v>40</v>
      </c>
      <c r="B2100" s="1" t="s">
        <v>11</v>
      </c>
      <c r="C2100" s="1" t="s">
        <v>26</v>
      </c>
      <c r="H2100" s="19">
        <v>0</v>
      </c>
      <c r="J2100" s="1" t="s">
        <v>84</v>
      </c>
    </row>
    <row r="2101" spans="1:10" x14ac:dyDescent="0.25">
      <c r="A2101" s="1" t="s">
        <v>40</v>
      </c>
      <c r="B2101" s="1" t="s">
        <v>11</v>
      </c>
      <c r="C2101" s="1" t="s">
        <v>27</v>
      </c>
      <c r="H2101" s="19">
        <v>0</v>
      </c>
      <c r="J2101" s="1" t="s">
        <v>84</v>
      </c>
    </row>
    <row r="2102" spans="1:10" x14ac:dyDescent="0.25">
      <c r="A2102" s="1" t="s">
        <v>40</v>
      </c>
      <c r="B2102" s="1" t="s">
        <v>11</v>
      </c>
      <c r="C2102" s="1" t="s">
        <v>21</v>
      </c>
      <c r="H2102" s="19">
        <v>0</v>
      </c>
      <c r="J2102" s="1" t="s">
        <v>84</v>
      </c>
    </row>
    <row r="2103" spans="1:10" x14ac:dyDescent="0.25">
      <c r="A2103" s="1" t="s">
        <v>40</v>
      </c>
      <c r="B2103" s="1" t="s">
        <v>11</v>
      </c>
      <c r="C2103" s="1" t="s">
        <v>28</v>
      </c>
      <c r="H2103" s="19">
        <v>0</v>
      </c>
      <c r="J2103" s="1" t="s">
        <v>84</v>
      </c>
    </row>
    <row r="2104" spans="1:10" x14ac:dyDescent="0.25">
      <c r="A2104" s="1" t="s">
        <v>40</v>
      </c>
      <c r="B2104" s="1" t="s">
        <v>11</v>
      </c>
      <c r="C2104" s="1" t="s">
        <v>29</v>
      </c>
      <c r="H2104" s="19">
        <v>0</v>
      </c>
      <c r="J2104" s="1" t="s">
        <v>84</v>
      </c>
    </row>
    <row r="2105" spans="1:10" x14ac:dyDescent="0.25">
      <c r="A2105" s="1" t="s">
        <v>40</v>
      </c>
      <c r="B2105" s="1" t="s">
        <v>11</v>
      </c>
      <c r="C2105" s="1" t="s">
        <v>30</v>
      </c>
      <c r="H2105" s="19">
        <v>0</v>
      </c>
      <c r="J2105" s="1" t="s">
        <v>84</v>
      </c>
    </row>
    <row r="2106" spans="1:10" x14ac:dyDescent="0.25">
      <c r="A2106" s="1" t="s">
        <v>40</v>
      </c>
      <c r="B2106" s="1" t="s">
        <v>11</v>
      </c>
      <c r="C2106" s="1" t="s">
        <v>31</v>
      </c>
      <c r="H2106" s="19">
        <v>0</v>
      </c>
      <c r="J2106" s="1" t="s">
        <v>84</v>
      </c>
    </row>
    <row r="2107" spans="1:10" x14ac:dyDescent="0.25">
      <c r="A2107" s="1" t="s">
        <v>40</v>
      </c>
      <c r="B2107" s="1" t="s">
        <v>11</v>
      </c>
      <c r="C2107" s="1" t="s">
        <v>32</v>
      </c>
      <c r="H2107" s="19">
        <v>0</v>
      </c>
      <c r="J2107" s="1" t="s">
        <v>84</v>
      </c>
    </row>
    <row r="2108" spans="1:10" x14ac:dyDescent="0.25">
      <c r="A2108" s="1" t="s">
        <v>41</v>
      </c>
      <c r="B2108" s="1" t="s">
        <v>15</v>
      </c>
      <c r="C2108" s="1" t="s">
        <v>63</v>
      </c>
      <c r="H2108" s="19">
        <v>0</v>
      </c>
      <c r="J2108" s="1" t="s">
        <v>84</v>
      </c>
    </row>
    <row r="2109" spans="1:10" x14ac:dyDescent="0.25">
      <c r="A2109" s="1" t="s">
        <v>41</v>
      </c>
      <c r="B2109" s="1" t="s">
        <v>15</v>
      </c>
      <c r="C2109" s="1" t="s">
        <v>26</v>
      </c>
      <c r="H2109" s="19">
        <v>0</v>
      </c>
      <c r="J2109" s="1" t="s">
        <v>84</v>
      </c>
    </row>
    <row r="2110" spans="1:10" x14ac:dyDescent="0.25">
      <c r="A2110" s="1" t="s">
        <v>41</v>
      </c>
      <c r="B2110" s="1" t="s">
        <v>15</v>
      </c>
      <c r="C2110" s="1" t="s">
        <v>27</v>
      </c>
      <c r="H2110" s="19">
        <v>0</v>
      </c>
      <c r="J2110" s="1" t="s">
        <v>84</v>
      </c>
    </row>
    <row r="2111" spans="1:10" x14ac:dyDescent="0.25">
      <c r="A2111" s="1" t="s">
        <v>41</v>
      </c>
      <c r="B2111" s="1" t="s">
        <v>15</v>
      </c>
      <c r="C2111" s="1" t="s">
        <v>21</v>
      </c>
      <c r="H2111" s="19">
        <v>0</v>
      </c>
      <c r="J2111" s="1" t="s">
        <v>84</v>
      </c>
    </row>
    <row r="2112" spans="1:10" x14ac:dyDescent="0.25">
      <c r="A2112" s="1" t="s">
        <v>41</v>
      </c>
      <c r="B2112" s="1" t="s">
        <v>15</v>
      </c>
      <c r="C2112" s="1" t="s">
        <v>28</v>
      </c>
      <c r="H2112" s="19">
        <v>0</v>
      </c>
      <c r="J2112" s="1" t="s">
        <v>84</v>
      </c>
    </row>
    <row r="2113" spans="1:10" x14ac:dyDescent="0.25">
      <c r="A2113" s="1" t="s">
        <v>41</v>
      </c>
      <c r="B2113" s="1" t="s">
        <v>15</v>
      </c>
      <c r="C2113" s="1" t="s">
        <v>29</v>
      </c>
      <c r="H2113" s="19">
        <v>0</v>
      </c>
      <c r="J2113" s="1" t="s">
        <v>84</v>
      </c>
    </row>
    <row r="2114" spans="1:10" x14ac:dyDescent="0.25">
      <c r="A2114" s="1" t="s">
        <v>41</v>
      </c>
      <c r="B2114" s="1" t="s">
        <v>15</v>
      </c>
      <c r="C2114" s="1" t="s">
        <v>30</v>
      </c>
      <c r="H2114" s="19">
        <v>0</v>
      </c>
      <c r="J2114" s="1" t="s">
        <v>84</v>
      </c>
    </row>
    <row r="2115" spans="1:10" x14ac:dyDescent="0.25">
      <c r="A2115" s="1" t="s">
        <v>41</v>
      </c>
      <c r="B2115" s="1" t="s">
        <v>15</v>
      </c>
      <c r="C2115" s="1" t="s">
        <v>31</v>
      </c>
      <c r="H2115" s="19">
        <v>0</v>
      </c>
      <c r="J2115" s="1" t="s">
        <v>84</v>
      </c>
    </row>
    <row r="2116" spans="1:10" x14ac:dyDescent="0.25">
      <c r="A2116" s="1" t="s">
        <v>41</v>
      </c>
      <c r="B2116" s="1" t="s">
        <v>15</v>
      </c>
      <c r="C2116" s="1" t="s">
        <v>32</v>
      </c>
      <c r="H2116" s="19">
        <v>0</v>
      </c>
      <c r="J2116" s="1" t="s">
        <v>84</v>
      </c>
    </row>
    <row r="2117" spans="1:10" x14ac:dyDescent="0.25">
      <c r="A2117" s="1" t="s">
        <v>42</v>
      </c>
      <c r="B2117" s="1" t="s">
        <v>12</v>
      </c>
      <c r="C2117" s="1" t="s">
        <v>63</v>
      </c>
      <c r="H2117" s="19">
        <v>0</v>
      </c>
      <c r="J2117" s="1" t="s">
        <v>84</v>
      </c>
    </row>
    <row r="2118" spans="1:10" x14ac:dyDescent="0.25">
      <c r="A2118" s="1" t="s">
        <v>42</v>
      </c>
      <c r="B2118" s="1" t="s">
        <v>12</v>
      </c>
      <c r="C2118" s="1" t="s">
        <v>26</v>
      </c>
      <c r="H2118" s="19">
        <v>0</v>
      </c>
      <c r="J2118" s="1" t="s">
        <v>84</v>
      </c>
    </row>
    <row r="2119" spans="1:10" x14ac:dyDescent="0.25">
      <c r="A2119" s="1" t="s">
        <v>42</v>
      </c>
      <c r="B2119" s="1" t="s">
        <v>12</v>
      </c>
      <c r="C2119" s="1" t="s">
        <v>27</v>
      </c>
      <c r="H2119" s="19">
        <v>0</v>
      </c>
      <c r="J2119" s="1" t="s">
        <v>84</v>
      </c>
    </row>
    <row r="2120" spans="1:10" x14ac:dyDescent="0.25">
      <c r="A2120" s="1" t="s">
        <v>42</v>
      </c>
      <c r="B2120" s="1" t="s">
        <v>12</v>
      </c>
      <c r="C2120" s="1" t="s">
        <v>21</v>
      </c>
      <c r="H2120" s="19">
        <v>0</v>
      </c>
      <c r="J2120" s="1" t="s">
        <v>84</v>
      </c>
    </row>
    <row r="2121" spans="1:10" x14ac:dyDescent="0.25">
      <c r="A2121" s="1" t="s">
        <v>42</v>
      </c>
      <c r="B2121" s="1" t="s">
        <v>12</v>
      </c>
      <c r="C2121" s="1" t="s">
        <v>28</v>
      </c>
      <c r="H2121" s="19">
        <v>0</v>
      </c>
      <c r="J2121" s="1" t="s">
        <v>84</v>
      </c>
    </row>
    <row r="2122" spans="1:10" x14ac:dyDescent="0.25">
      <c r="A2122" s="1" t="s">
        <v>42</v>
      </c>
      <c r="B2122" s="1" t="s">
        <v>12</v>
      </c>
      <c r="C2122" s="1" t="s">
        <v>29</v>
      </c>
      <c r="H2122" s="19">
        <v>0</v>
      </c>
      <c r="J2122" s="1" t="s">
        <v>84</v>
      </c>
    </row>
    <row r="2123" spans="1:10" x14ac:dyDescent="0.25">
      <c r="A2123" s="1" t="s">
        <v>42</v>
      </c>
      <c r="B2123" s="1" t="s">
        <v>12</v>
      </c>
      <c r="C2123" s="1" t="s">
        <v>30</v>
      </c>
      <c r="H2123" s="19">
        <v>0</v>
      </c>
      <c r="J2123" s="1" t="s">
        <v>84</v>
      </c>
    </row>
    <row r="2124" spans="1:10" x14ac:dyDescent="0.25">
      <c r="A2124" s="1" t="s">
        <v>42</v>
      </c>
      <c r="B2124" s="1" t="s">
        <v>12</v>
      </c>
      <c r="C2124" s="1" t="s">
        <v>31</v>
      </c>
      <c r="H2124" s="19">
        <v>0</v>
      </c>
      <c r="J2124" s="1" t="s">
        <v>84</v>
      </c>
    </row>
    <row r="2125" spans="1:10" x14ac:dyDescent="0.25">
      <c r="A2125" s="1" t="s">
        <v>42</v>
      </c>
      <c r="B2125" s="1" t="s">
        <v>12</v>
      </c>
      <c r="C2125" s="1" t="s">
        <v>32</v>
      </c>
      <c r="H2125" s="19">
        <v>0</v>
      </c>
      <c r="J2125" s="1" t="s">
        <v>84</v>
      </c>
    </row>
    <row r="2126" spans="1:10" x14ac:dyDescent="0.25">
      <c r="A2126" s="1" t="s">
        <v>43</v>
      </c>
      <c r="B2126" s="1" t="s">
        <v>22</v>
      </c>
      <c r="C2126" s="1" t="s">
        <v>63</v>
      </c>
      <c r="H2126" s="19">
        <v>0</v>
      </c>
      <c r="J2126" s="1" t="s">
        <v>84</v>
      </c>
    </row>
    <row r="2127" spans="1:10" x14ac:dyDescent="0.25">
      <c r="A2127" s="1" t="s">
        <v>43</v>
      </c>
      <c r="B2127" s="1" t="s">
        <v>22</v>
      </c>
      <c r="C2127" s="1" t="s">
        <v>26</v>
      </c>
      <c r="H2127" s="19">
        <v>0</v>
      </c>
      <c r="J2127" s="1" t="s">
        <v>84</v>
      </c>
    </row>
    <row r="2128" spans="1:10" x14ac:dyDescent="0.25">
      <c r="A2128" s="1" t="s">
        <v>43</v>
      </c>
      <c r="B2128" s="1" t="s">
        <v>22</v>
      </c>
      <c r="C2128" s="1" t="s">
        <v>27</v>
      </c>
      <c r="H2128" s="19">
        <v>0</v>
      </c>
      <c r="J2128" s="1" t="s">
        <v>84</v>
      </c>
    </row>
    <row r="2129" spans="1:10" x14ac:dyDescent="0.25">
      <c r="A2129" s="1" t="s">
        <v>43</v>
      </c>
      <c r="B2129" s="1" t="s">
        <v>22</v>
      </c>
      <c r="C2129" s="1" t="s">
        <v>21</v>
      </c>
      <c r="H2129" s="19">
        <v>0</v>
      </c>
      <c r="J2129" s="1" t="s">
        <v>84</v>
      </c>
    </row>
    <row r="2130" spans="1:10" x14ac:dyDescent="0.25">
      <c r="A2130" s="1" t="s">
        <v>43</v>
      </c>
      <c r="B2130" s="1" t="s">
        <v>22</v>
      </c>
      <c r="C2130" s="1" t="s">
        <v>28</v>
      </c>
      <c r="H2130" s="19">
        <v>0</v>
      </c>
      <c r="J2130" s="1" t="s">
        <v>84</v>
      </c>
    </row>
    <row r="2131" spans="1:10" x14ac:dyDescent="0.25">
      <c r="A2131" s="1" t="s">
        <v>43</v>
      </c>
      <c r="B2131" s="1" t="s">
        <v>22</v>
      </c>
      <c r="C2131" s="1" t="s">
        <v>29</v>
      </c>
      <c r="H2131" s="19">
        <v>0</v>
      </c>
      <c r="J2131" s="1" t="s">
        <v>84</v>
      </c>
    </row>
    <row r="2132" spans="1:10" x14ac:dyDescent="0.25">
      <c r="A2132" s="1" t="s">
        <v>43</v>
      </c>
      <c r="B2132" s="1" t="s">
        <v>22</v>
      </c>
      <c r="C2132" s="1" t="s">
        <v>30</v>
      </c>
      <c r="H2132" s="19">
        <v>0</v>
      </c>
      <c r="J2132" s="1" t="s">
        <v>84</v>
      </c>
    </row>
    <row r="2133" spans="1:10" x14ac:dyDescent="0.25">
      <c r="A2133" s="1" t="s">
        <v>43</v>
      </c>
      <c r="B2133" s="1" t="s">
        <v>22</v>
      </c>
      <c r="C2133" s="1" t="s">
        <v>31</v>
      </c>
      <c r="H2133" s="19">
        <v>0</v>
      </c>
      <c r="J2133" s="1" t="s">
        <v>84</v>
      </c>
    </row>
    <row r="2134" spans="1:10" x14ac:dyDescent="0.25">
      <c r="A2134" s="1" t="s">
        <v>43</v>
      </c>
      <c r="B2134" s="1" t="s">
        <v>22</v>
      </c>
      <c r="C2134" s="1" t="s">
        <v>32</v>
      </c>
      <c r="H2134" s="19">
        <v>0</v>
      </c>
      <c r="J2134" s="1" t="s">
        <v>84</v>
      </c>
    </row>
    <row r="2135" spans="1:10" x14ac:dyDescent="0.25">
      <c r="A2135" s="1" t="s">
        <v>44</v>
      </c>
      <c r="B2135" s="1" t="s">
        <v>0</v>
      </c>
      <c r="C2135" s="1" t="s">
        <v>63</v>
      </c>
      <c r="H2135" s="19">
        <v>0</v>
      </c>
      <c r="J2135" s="1" t="s">
        <v>84</v>
      </c>
    </row>
    <row r="2136" spans="1:10" x14ac:dyDescent="0.25">
      <c r="A2136" s="1" t="s">
        <v>44</v>
      </c>
      <c r="B2136" s="1" t="s">
        <v>0</v>
      </c>
      <c r="C2136" s="1" t="s">
        <v>26</v>
      </c>
      <c r="H2136" s="19">
        <v>0</v>
      </c>
      <c r="J2136" s="1" t="s">
        <v>84</v>
      </c>
    </row>
    <row r="2137" spans="1:10" x14ac:dyDescent="0.25">
      <c r="A2137" s="1" t="s">
        <v>44</v>
      </c>
      <c r="B2137" s="1" t="s">
        <v>0</v>
      </c>
      <c r="C2137" s="1" t="s">
        <v>27</v>
      </c>
      <c r="H2137" s="19">
        <v>0</v>
      </c>
      <c r="J2137" s="1" t="s">
        <v>84</v>
      </c>
    </row>
    <row r="2138" spans="1:10" x14ac:dyDescent="0.25">
      <c r="A2138" s="1" t="s">
        <v>44</v>
      </c>
      <c r="B2138" s="1" t="s">
        <v>0</v>
      </c>
      <c r="C2138" s="1" t="s">
        <v>21</v>
      </c>
      <c r="H2138" s="19">
        <v>0</v>
      </c>
      <c r="J2138" s="1" t="s">
        <v>84</v>
      </c>
    </row>
    <row r="2139" spans="1:10" x14ac:dyDescent="0.25">
      <c r="A2139" s="1" t="s">
        <v>44</v>
      </c>
      <c r="B2139" s="1" t="s">
        <v>0</v>
      </c>
      <c r="C2139" s="1" t="s">
        <v>28</v>
      </c>
      <c r="H2139" s="19">
        <v>0</v>
      </c>
      <c r="J2139" s="1" t="s">
        <v>84</v>
      </c>
    </row>
    <row r="2140" spans="1:10" x14ac:dyDescent="0.25">
      <c r="A2140" s="1" t="s">
        <v>44</v>
      </c>
      <c r="B2140" s="1" t="s">
        <v>0</v>
      </c>
      <c r="C2140" s="1" t="s">
        <v>29</v>
      </c>
      <c r="H2140" s="19">
        <v>0</v>
      </c>
      <c r="J2140" s="1" t="s">
        <v>84</v>
      </c>
    </row>
    <row r="2141" spans="1:10" x14ac:dyDescent="0.25">
      <c r="A2141" s="1" t="s">
        <v>44</v>
      </c>
      <c r="B2141" s="1" t="s">
        <v>0</v>
      </c>
      <c r="C2141" s="1" t="s">
        <v>30</v>
      </c>
      <c r="H2141" s="19">
        <v>0</v>
      </c>
      <c r="J2141" s="1" t="s">
        <v>84</v>
      </c>
    </row>
    <row r="2142" spans="1:10" x14ac:dyDescent="0.25">
      <c r="A2142" s="1" t="s">
        <v>44</v>
      </c>
      <c r="B2142" s="1" t="s">
        <v>0</v>
      </c>
      <c r="C2142" s="1" t="s">
        <v>31</v>
      </c>
      <c r="H2142" s="19">
        <v>0</v>
      </c>
      <c r="J2142" s="1" t="s">
        <v>84</v>
      </c>
    </row>
    <row r="2143" spans="1:10" x14ac:dyDescent="0.25">
      <c r="A2143" s="1" t="s">
        <v>44</v>
      </c>
      <c r="B2143" s="1" t="s">
        <v>0</v>
      </c>
      <c r="C2143" s="1" t="s">
        <v>32</v>
      </c>
      <c r="H2143" s="19">
        <v>0</v>
      </c>
      <c r="J2143" s="1" t="s">
        <v>84</v>
      </c>
    </row>
    <row r="2144" spans="1:10" x14ac:dyDescent="0.25">
      <c r="A2144" s="1" t="s">
        <v>45</v>
      </c>
      <c r="B2144" s="1" t="s">
        <v>9</v>
      </c>
      <c r="C2144" s="1" t="s">
        <v>63</v>
      </c>
      <c r="H2144" s="19">
        <v>0</v>
      </c>
      <c r="J2144" s="1" t="s">
        <v>84</v>
      </c>
    </row>
    <row r="2145" spans="1:10" x14ac:dyDescent="0.25">
      <c r="A2145" s="1" t="s">
        <v>45</v>
      </c>
      <c r="B2145" s="1" t="s">
        <v>9</v>
      </c>
      <c r="C2145" s="1" t="s">
        <v>26</v>
      </c>
      <c r="H2145" s="19">
        <v>0</v>
      </c>
      <c r="J2145" s="1" t="s">
        <v>84</v>
      </c>
    </row>
    <row r="2146" spans="1:10" x14ac:dyDescent="0.25">
      <c r="A2146" s="1" t="s">
        <v>45</v>
      </c>
      <c r="B2146" s="1" t="s">
        <v>9</v>
      </c>
      <c r="C2146" s="1" t="s">
        <v>27</v>
      </c>
      <c r="H2146" s="19">
        <v>0</v>
      </c>
      <c r="J2146" s="1" t="s">
        <v>84</v>
      </c>
    </row>
    <row r="2147" spans="1:10" x14ac:dyDescent="0.25">
      <c r="A2147" s="1" t="s">
        <v>45</v>
      </c>
      <c r="B2147" s="1" t="s">
        <v>9</v>
      </c>
      <c r="C2147" s="1" t="s">
        <v>21</v>
      </c>
      <c r="H2147" s="19">
        <v>0</v>
      </c>
      <c r="J2147" s="1" t="s">
        <v>84</v>
      </c>
    </row>
    <row r="2148" spans="1:10" x14ac:dyDescent="0.25">
      <c r="A2148" s="1" t="s">
        <v>45</v>
      </c>
      <c r="B2148" s="1" t="s">
        <v>9</v>
      </c>
      <c r="C2148" s="1" t="s">
        <v>28</v>
      </c>
      <c r="H2148" s="19">
        <v>0</v>
      </c>
      <c r="J2148" s="1" t="s">
        <v>84</v>
      </c>
    </row>
    <row r="2149" spans="1:10" x14ac:dyDescent="0.25">
      <c r="A2149" s="1" t="s">
        <v>45</v>
      </c>
      <c r="B2149" s="1" t="s">
        <v>9</v>
      </c>
      <c r="C2149" s="1" t="s">
        <v>29</v>
      </c>
      <c r="H2149" s="19">
        <v>0</v>
      </c>
      <c r="J2149" s="1" t="s">
        <v>84</v>
      </c>
    </row>
    <row r="2150" spans="1:10" x14ac:dyDescent="0.25">
      <c r="A2150" s="1" t="s">
        <v>45</v>
      </c>
      <c r="B2150" s="1" t="s">
        <v>9</v>
      </c>
      <c r="C2150" s="1" t="s">
        <v>30</v>
      </c>
      <c r="H2150" s="19">
        <v>0</v>
      </c>
      <c r="J2150" s="1" t="s">
        <v>84</v>
      </c>
    </row>
    <row r="2151" spans="1:10" x14ac:dyDescent="0.25">
      <c r="A2151" s="1" t="s">
        <v>45</v>
      </c>
      <c r="B2151" s="1" t="s">
        <v>9</v>
      </c>
      <c r="C2151" s="1" t="s">
        <v>31</v>
      </c>
      <c r="H2151" s="19">
        <v>0</v>
      </c>
      <c r="J2151" s="1" t="s">
        <v>84</v>
      </c>
    </row>
    <row r="2152" spans="1:10" x14ac:dyDescent="0.25">
      <c r="A2152" s="1" t="s">
        <v>45</v>
      </c>
      <c r="B2152" s="1" t="s">
        <v>9</v>
      </c>
      <c r="C2152" s="1" t="s">
        <v>32</v>
      </c>
      <c r="H2152" s="19">
        <v>0</v>
      </c>
      <c r="J2152" s="1" t="s">
        <v>84</v>
      </c>
    </row>
    <row r="2153" spans="1:10" x14ac:dyDescent="0.25">
      <c r="A2153" s="1" t="s">
        <v>46</v>
      </c>
      <c r="B2153" s="1" t="s">
        <v>2</v>
      </c>
      <c r="C2153" s="1" t="s">
        <v>63</v>
      </c>
      <c r="H2153" s="19">
        <v>0</v>
      </c>
      <c r="J2153" s="1" t="s">
        <v>84</v>
      </c>
    </row>
    <row r="2154" spans="1:10" x14ac:dyDescent="0.25">
      <c r="A2154" s="1" t="s">
        <v>46</v>
      </c>
      <c r="B2154" s="1" t="s">
        <v>2</v>
      </c>
      <c r="C2154" s="1" t="s">
        <v>26</v>
      </c>
      <c r="H2154" s="19">
        <v>0</v>
      </c>
      <c r="J2154" s="1" t="s">
        <v>84</v>
      </c>
    </row>
    <row r="2155" spans="1:10" x14ac:dyDescent="0.25">
      <c r="A2155" s="1" t="s">
        <v>46</v>
      </c>
      <c r="B2155" s="1" t="s">
        <v>2</v>
      </c>
      <c r="C2155" s="1" t="s">
        <v>27</v>
      </c>
      <c r="H2155" s="19">
        <v>0</v>
      </c>
      <c r="J2155" s="1" t="s">
        <v>84</v>
      </c>
    </row>
    <row r="2156" spans="1:10" x14ac:dyDescent="0.25">
      <c r="A2156" s="1" t="s">
        <v>46</v>
      </c>
      <c r="B2156" s="1" t="s">
        <v>2</v>
      </c>
      <c r="C2156" s="1" t="s">
        <v>21</v>
      </c>
      <c r="H2156" s="19">
        <v>0</v>
      </c>
      <c r="J2156" s="1" t="s">
        <v>84</v>
      </c>
    </row>
    <row r="2157" spans="1:10" x14ac:dyDescent="0.25">
      <c r="A2157" s="1" t="s">
        <v>46</v>
      </c>
      <c r="B2157" s="1" t="s">
        <v>2</v>
      </c>
      <c r="C2157" s="1" t="s">
        <v>28</v>
      </c>
      <c r="H2157" s="19">
        <v>0</v>
      </c>
      <c r="J2157" s="1" t="s">
        <v>84</v>
      </c>
    </row>
    <row r="2158" spans="1:10" x14ac:dyDescent="0.25">
      <c r="A2158" s="1" t="s">
        <v>46</v>
      </c>
      <c r="B2158" s="1" t="s">
        <v>2</v>
      </c>
      <c r="C2158" s="1" t="s">
        <v>29</v>
      </c>
      <c r="H2158" s="19">
        <v>0</v>
      </c>
      <c r="J2158" s="1" t="s">
        <v>84</v>
      </c>
    </row>
    <row r="2159" spans="1:10" x14ac:dyDescent="0.25">
      <c r="A2159" s="1" t="s">
        <v>46</v>
      </c>
      <c r="B2159" s="1" t="s">
        <v>2</v>
      </c>
      <c r="C2159" s="1" t="s">
        <v>30</v>
      </c>
      <c r="H2159" s="19">
        <v>0</v>
      </c>
      <c r="J2159" s="1" t="s">
        <v>84</v>
      </c>
    </row>
    <row r="2160" spans="1:10" x14ac:dyDescent="0.25">
      <c r="A2160" s="1" t="s">
        <v>46</v>
      </c>
      <c r="B2160" s="1" t="s">
        <v>2</v>
      </c>
      <c r="C2160" s="1" t="s">
        <v>31</v>
      </c>
      <c r="H2160" s="19">
        <v>0</v>
      </c>
      <c r="J2160" s="1" t="s">
        <v>84</v>
      </c>
    </row>
    <row r="2161" spans="1:10" x14ac:dyDescent="0.25">
      <c r="A2161" s="1" t="s">
        <v>46</v>
      </c>
      <c r="B2161" s="1" t="s">
        <v>2</v>
      </c>
      <c r="C2161" s="1" t="s">
        <v>32</v>
      </c>
      <c r="H2161" s="19">
        <v>0</v>
      </c>
      <c r="J2161" s="1" t="s">
        <v>84</v>
      </c>
    </row>
    <row r="2162" spans="1:10" x14ac:dyDescent="0.25">
      <c r="A2162" s="1" t="s">
        <v>47</v>
      </c>
      <c r="B2162" s="1" t="s">
        <v>6</v>
      </c>
      <c r="C2162" s="1" t="s">
        <v>63</v>
      </c>
      <c r="H2162" s="19">
        <v>0</v>
      </c>
      <c r="J2162" s="1" t="s">
        <v>84</v>
      </c>
    </row>
    <row r="2163" spans="1:10" x14ac:dyDescent="0.25">
      <c r="A2163" s="1" t="s">
        <v>47</v>
      </c>
      <c r="B2163" s="1" t="s">
        <v>6</v>
      </c>
      <c r="C2163" s="1" t="s">
        <v>26</v>
      </c>
      <c r="H2163" s="19">
        <v>0</v>
      </c>
      <c r="J2163" s="1" t="s">
        <v>84</v>
      </c>
    </row>
    <row r="2164" spans="1:10" x14ac:dyDescent="0.25">
      <c r="A2164" s="1" t="s">
        <v>47</v>
      </c>
      <c r="B2164" s="1" t="s">
        <v>6</v>
      </c>
      <c r="C2164" s="1" t="s">
        <v>27</v>
      </c>
      <c r="H2164" s="19">
        <v>0</v>
      </c>
      <c r="J2164" s="1" t="s">
        <v>84</v>
      </c>
    </row>
    <row r="2165" spans="1:10" x14ac:dyDescent="0.25">
      <c r="A2165" s="1" t="s">
        <v>47</v>
      </c>
      <c r="B2165" s="1" t="s">
        <v>6</v>
      </c>
      <c r="C2165" s="1" t="s">
        <v>21</v>
      </c>
      <c r="H2165" s="19">
        <v>0</v>
      </c>
      <c r="J2165" s="1" t="s">
        <v>84</v>
      </c>
    </row>
    <row r="2166" spans="1:10" x14ac:dyDescent="0.25">
      <c r="A2166" s="1" t="s">
        <v>47</v>
      </c>
      <c r="B2166" s="1" t="s">
        <v>6</v>
      </c>
      <c r="C2166" s="1" t="s">
        <v>28</v>
      </c>
      <c r="H2166" s="19">
        <v>0</v>
      </c>
      <c r="J2166" s="1" t="s">
        <v>84</v>
      </c>
    </row>
    <row r="2167" spans="1:10" x14ac:dyDescent="0.25">
      <c r="A2167" s="1" t="s">
        <v>47</v>
      </c>
      <c r="B2167" s="1" t="s">
        <v>6</v>
      </c>
      <c r="C2167" s="1" t="s">
        <v>29</v>
      </c>
      <c r="H2167" s="19">
        <v>0</v>
      </c>
      <c r="J2167" s="1" t="s">
        <v>84</v>
      </c>
    </row>
    <row r="2168" spans="1:10" x14ac:dyDescent="0.25">
      <c r="A2168" s="1" t="s">
        <v>47</v>
      </c>
      <c r="B2168" s="1" t="s">
        <v>6</v>
      </c>
      <c r="C2168" s="1" t="s">
        <v>30</v>
      </c>
      <c r="H2168" s="19">
        <v>0</v>
      </c>
      <c r="J2168" s="1" t="s">
        <v>84</v>
      </c>
    </row>
    <row r="2169" spans="1:10" x14ac:dyDescent="0.25">
      <c r="A2169" s="1" t="s">
        <v>47</v>
      </c>
      <c r="B2169" s="1" t="s">
        <v>6</v>
      </c>
      <c r="C2169" s="1" t="s">
        <v>31</v>
      </c>
      <c r="H2169" s="19">
        <v>0</v>
      </c>
      <c r="J2169" s="1" t="s">
        <v>84</v>
      </c>
    </row>
    <row r="2170" spans="1:10" x14ac:dyDescent="0.25">
      <c r="A2170" s="1" t="s">
        <v>47</v>
      </c>
      <c r="B2170" s="1" t="s">
        <v>6</v>
      </c>
      <c r="C2170" s="1" t="s">
        <v>32</v>
      </c>
      <c r="H2170" s="19">
        <v>0</v>
      </c>
      <c r="J2170" s="1" t="s">
        <v>84</v>
      </c>
    </row>
    <row r="2171" spans="1:10" x14ac:dyDescent="0.25">
      <c r="A2171" s="1" t="s">
        <v>48</v>
      </c>
      <c r="B2171" s="1" t="s">
        <v>17</v>
      </c>
      <c r="C2171" s="1" t="s">
        <v>63</v>
      </c>
      <c r="H2171" s="19">
        <v>0</v>
      </c>
      <c r="J2171" s="1" t="s">
        <v>84</v>
      </c>
    </row>
    <row r="2172" spans="1:10" x14ac:dyDescent="0.25">
      <c r="A2172" s="1" t="s">
        <v>48</v>
      </c>
      <c r="B2172" s="1" t="s">
        <v>17</v>
      </c>
      <c r="C2172" s="1" t="s">
        <v>26</v>
      </c>
      <c r="H2172" s="19">
        <v>0</v>
      </c>
      <c r="J2172" s="1" t="s">
        <v>84</v>
      </c>
    </row>
    <row r="2173" spans="1:10" x14ac:dyDescent="0.25">
      <c r="A2173" s="1" t="s">
        <v>48</v>
      </c>
      <c r="B2173" s="1" t="s">
        <v>17</v>
      </c>
      <c r="C2173" s="1" t="s">
        <v>27</v>
      </c>
      <c r="H2173" s="19">
        <v>0</v>
      </c>
      <c r="J2173" s="1" t="s">
        <v>84</v>
      </c>
    </row>
    <row r="2174" spans="1:10" x14ac:dyDescent="0.25">
      <c r="A2174" s="1" t="s">
        <v>48</v>
      </c>
      <c r="B2174" s="1" t="s">
        <v>17</v>
      </c>
      <c r="C2174" s="1" t="s">
        <v>21</v>
      </c>
      <c r="H2174" s="19">
        <v>0</v>
      </c>
      <c r="J2174" s="1" t="s">
        <v>84</v>
      </c>
    </row>
    <row r="2175" spans="1:10" x14ac:dyDescent="0.25">
      <c r="A2175" s="1" t="s">
        <v>48</v>
      </c>
      <c r="B2175" s="1" t="s">
        <v>17</v>
      </c>
      <c r="C2175" s="1" t="s">
        <v>28</v>
      </c>
      <c r="H2175" s="19">
        <v>0</v>
      </c>
      <c r="J2175" s="1" t="s">
        <v>84</v>
      </c>
    </row>
    <row r="2176" spans="1:10" x14ac:dyDescent="0.25">
      <c r="A2176" s="1" t="s">
        <v>48</v>
      </c>
      <c r="B2176" s="1" t="s">
        <v>17</v>
      </c>
      <c r="C2176" s="1" t="s">
        <v>29</v>
      </c>
      <c r="H2176" s="19">
        <v>0</v>
      </c>
      <c r="J2176" s="1" t="s">
        <v>84</v>
      </c>
    </row>
    <row r="2177" spans="1:10" x14ac:dyDescent="0.25">
      <c r="A2177" s="1" t="s">
        <v>48</v>
      </c>
      <c r="B2177" s="1" t="s">
        <v>17</v>
      </c>
      <c r="C2177" s="1" t="s">
        <v>30</v>
      </c>
      <c r="H2177" s="19">
        <v>0</v>
      </c>
      <c r="J2177" s="1" t="s">
        <v>84</v>
      </c>
    </row>
    <row r="2178" spans="1:10" x14ac:dyDescent="0.25">
      <c r="A2178" s="1" t="s">
        <v>48</v>
      </c>
      <c r="B2178" s="1" t="s">
        <v>17</v>
      </c>
      <c r="C2178" s="1" t="s">
        <v>31</v>
      </c>
      <c r="H2178" s="19">
        <v>0</v>
      </c>
      <c r="J2178" s="1" t="s">
        <v>84</v>
      </c>
    </row>
    <row r="2179" spans="1:10" x14ac:dyDescent="0.25">
      <c r="A2179" s="1" t="s">
        <v>48</v>
      </c>
      <c r="B2179" s="1" t="s">
        <v>17</v>
      </c>
      <c r="C2179" s="1" t="s">
        <v>32</v>
      </c>
      <c r="H2179" s="19">
        <v>0</v>
      </c>
      <c r="J2179" s="1" t="s">
        <v>84</v>
      </c>
    </row>
    <row r="2180" spans="1:10" x14ac:dyDescent="0.25">
      <c r="A2180" s="1" t="s">
        <v>49</v>
      </c>
      <c r="B2180" s="1" t="s">
        <v>5</v>
      </c>
      <c r="C2180" s="1" t="s">
        <v>63</v>
      </c>
      <c r="H2180" s="19">
        <v>0</v>
      </c>
      <c r="J2180" s="1" t="s">
        <v>84</v>
      </c>
    </row>
    <row r="2181" spans="1:10" x14ac:dyDescent="0.25">
      <c r="A2181" s="1" t="s">
        <v>49</v>
      </c>
      <c r="B2181" s="1" t="s">
        <v>5</v>
      </c>
      <c r="C2181" s="1" t="s">
        <v>26</v>
      </c>
      <c r="H2181" s="19">
        <v>0</v>
      </c>
      <c r="J2181" s="1" t="s">
        <v>84</v>
      </c>
    </row>
    <row r="2182" spans="1:10" x14ac:dyDescent="0.25">
      <c r="A2182" s="1" t="s">
        <v>49</v>
      </c>
      <c r="B2182" s="1" t="s">
        <v>5</v>
      </c>
      <c r="C2182" s="1" t="s">
        <v>27</v>
      </c>
      <c r="H2182" s="19">
        <v>0</v>
      </c>
      <c r="J2182" s="1" t="s">
        <v>84</v>
      </c>
    </row>
    <row r="2183" spans="1:10" x14ac:dyDescent="0.25">
      <c r="A2183" s="1" t="s">
        <v>49</v>
      </c>
      <c r="B2183" s="1" t="s">
        <v>5</v>
      </c>
      <c r="C2183" s="1" t="s">
        <v>21</v>
      </c>
      <c r="H2183" s="19">
        <v>0</v>
      </c>
      <c r="J2183" s="1" t="s">
        <v>84</v>
      </c>
    </row>
    <row r="2184" spans="1:10" x14ac:dyDescent="0.25">
      <c r="A2184" s="1" t="s">
        <v>49</v>
      </c>
      <c r="B2184" s="1" t="s">
        <v>5</v>
      </c>
      <c r="C2184" s="1" t="s">
        <v>28</v>
      </c>
      <c r="H2184" s="19">
        <v>0</v>
      </c>
      <c r="J2184" s="1" t="s">
        <v>84</v>
      </c>
    </row>
    <row r="2185" spans="1:10" x14ac:dyDescent="0.25">
      <c r="A2185" s="1" t="s">
        <v>49</v>
      </c>
      <c r="B2185" s="1" t="s">
        <v>5</v>
      </c>
      <c r="C2185" s="1" t="s">
        <v>29</v>
      </c>
      <c r="H2185" s="19">
        <v>0</v>
      </c>
      <c r="J2185" s="1" t="s">
        <v>84</v>
      </c>
    </row>
    <row r="2186" spans="1:10" x14ac:dyDescent="0.25">
      <c r="A2186" s="1" t="s">
        <v>49</v>
      </c>
      <c r="B2186" s="1" t="s">
        <v>5</v>
      </c>
      <c r="C2186" s="1" t="s">
        <v>30</v>
      </c>
      <c r="H2186" s="19">
        <v>0</v>
      </c>
      <c r="J2186" s="1" t="s">
        <v>84</v>
      </c>
    </row>
    <row r="2187" spans="1:10" x14ac:dyDescent="0.25">
      <c r="A2187" s="1" t="s">
        <v>49</v>
      </c>
      <c r="B2187" s="1" t="s">
        <v>5</v>
      </c>
      <c r="C2187" s="1" t="s">
        <v>31</v>
      </c>
      <c r="H2187" s="19">
        <v>0</v>
      </c>
      <c r="J2187" s="1" t="s">
        <v>84</v>
      </c>
    </row>
    <row r="2188" spans="1:10" x14ac:dyDescent="0.25">
      <c r="A2188" s="1" t="s">
        <v>49</v>
      </c>
      <c r="B2188" s="1" t="s">
        <v>5</v>
      </c>
      <c r="C2188" s="1" t="s">
        <v>32</v>
      </c>
      <c r="H2188" s="19">
        <v>0</v>
      </c>
      <c r="J2188" s="1" t="s">
        <v>84</v>
      </c>
    </row>
    <row r="2189" spans="1:10" x14ac:dyDescent="0.25">
      <c r="A2189" s="1" t="s">
        <v>50</v>
      </c>
      <c r="B2189" s="1" t="s">
        <v>4</v>
      </c>
      <c r="C2189" s="1" t="s">
        <v>63</v>
      </c>
      <c r="H2189" s="19">
        <v>0</v>
      </c>
      <c r="J2189" s="1" t="s">
        <v>84</v>
      </c>
    </row>
    <row r="2190" spans="1:10" x14ac:dyDescent="0.25">
      <c r="A2190" s="1" t="s">
        <v>50</v>
      </c>
      <c r="B2190" s="1" t="s">
        <v>4</v>
      </c>
      <c r="C2190" s="1" t="s">
        <v>26</v>
      </c>
      <c r="H2190" s="19">
        <v>0</v>
      </c>
      <c r="J2190" s="1" t="s">
        <v>84</v>
      </c>
    </row>
    <row r="2191" spans="1:10" x14ac:dyDescent="0.25">
      <c r="A2191" s="1" t="s">
        <v>50</v>
      </c>
      <c r="B2191" s="1" t="s">
        <v>4</v>
      </c>
      <c r="C2191" s="1" t="s">
        <v>27</v>
      </c>
      <c r="H2191" s="19">
        <v>0</v>
      </c>
      <c r="J2191" s="1" t="s">
        <v>84</v>
      </c>
    </row>
    <row r="2192" spans="1:10" x14ac:dyDescent="0.25">
      <c r="A2192" s="1" t="s">
        <v>50</v>
      </c>
      <c r="B2192" s="1" t="s">
        <v>4</v>
      </c>
      <c r="C2192" s="1" t="s">
        <v>21</v>
      </c>
      <c r="H2192" s="19">
        <v>0</v>
      </c>
      <c r="J2192" s="1" t="s">
        <v>84</v>
      </c>
    </row>
    <row r="2193" spans="1:10" x14ac:dyDescent="0.25">
      <c r="A2193" s="1" t="s">
        <v>50</v>
      </c>
      <c r="B2193" s="1" t="s">
        <v>4</v>
      </c>
      <c r="C2193" s="1" t="s">
        <v>28</v>
      </c>
      <c r="H2193" s="19">
        <v>0</v>
      </c>
      <c r="J2193" s="1" t="s">
        <v>84</v>
      </c>
    </row>
    <row r="2194" spans="1:10" x14ac:dyDescent="0.25">
      <c r="A2194" s="1" t="s">
        <v>50</v>
      </c>
      <c r="B2194" s="1" t="s">
        <v>4</v>
      </c>
      <c r="C2194" s="1" t="s">
        <v>29</v>
      </c>
      <c r="H2194" s="19">
        <v>0</v>
      </c>
      <c r="J2194" s="1" t="s">
        <v>84</v>
      </c>
    </row>
    <row r="2195" spans="1:10" x14ac:dyDescent="0.25">
      <c r="A2195" s="1" t="s">
        <v>50</v>
      </c>
      <c r="B2195" s="1" t="s">
        <v>4</v>
      </c>
      <c r="C2195" s="1" t="s">
        <v>30</v>
      </c>
      <c r="H2195" s="19">
        <v>0</v>
      </c>
      <c r="J2195" s="1" t="s">
        <v>84</v>
      </c>
    </row>
    <row r="2196" spans="1:10" x14ac:dyDescent="0.25">
      <c r="A2196" s="1" t="s">
        <v>50</v>
      </c>
      <c r="B2196" s="1" t="s">
        <v>4</v>
      </c>
      <c r="C2196" s="1" t="s">
        <v>31</v>
      </c>
      <c r="H2196" s="19">
        <v>0</v>
      </c>
      <c r="J2196" s="1" t="s">
        <v>84</v>
      </c>
    </row>
    <row r="2197" spans="1:10" x14ac:dyDescent="0.25">
      <c r="A2197" s="1" t="s">
        <v>50</v>
      </c>
      <c r="B2197" s="1" t="s">
        <v>4</v>
      </c>
      <c r="C2197" s="1" t="s">
        <v>32</v>
      </c>
      <c r="H2197" s="19">
        <v>0</v>
      </c>
      <c r="J2197" s="1" t="s">
        <v>84</v>
      </c>
    </row>
    <row r="2198" spans="1:10" x14ac:dyDescent="0.25">
      <c r="A2198" s="1" t="s">
        <v>51</v>
      </c>
      <c r="B2198" s="1" t="s">
        <v>3</v>
      </c>
      <c r="C2198" s="1" t="s">
        <v>63</v>
      </c>
      <c r="H2198" s="19">
        <v>0</v>
      </c>
      <c r="J2198" s="1" t="s">
        <v>84</v>
      </c>
    </row>
    <row r="2199" spans="1:10" x14ac:dyDescent="0.25">
      <c r="A2199" s="1" t="s">
        <v>51</v>
      </c>
      <c r="B2199" s="1" t="s">
        <v>3</v>
      </c>
      <c r="C2199" s="1" t="s">
        <v>26</v>
      </c>
      <c r="H2199" s="19">
        <v>0</v>
      </c>
      <c r="J2199" s="1" t="s">
        <v>84</v>
      </c>
    </row>
    <row r="2200" spans="1:10" x14ac:dyDescent="0.25">
      <c r="A2200" s="1" t="s">
        <v>51</v>
      </c>
      <c r="B2200" s="1" t="s">
        <v>3</v>
      </c>
      <c r="C2200" s="1" t="s">
        <v>27</v>
      </c>
      <c r="H2200" s="19">
        <v>0</v>
      </c>
      <c r="J2200" s="1" t="s">
        <v>84</v>
      </c>
    </row>
    <row r="2201" spans="1:10" x14ac:dyDescent="0.25">
      <c r="A2201" s="1" t="s">
        <v>51</v>
      </c>
      <c r="B2201" s="1" t="s">
        <v>3</v>
      </c>
      <c r="C2201" s="1" t="s">
        <v>21</v>
      </c>
      <c r="H2201" s="19">
        <v>0</v>
      </c>
      <c r="J2201" s="1" t="s">
        <v>84</v>
      </c>
    </row>
    <row r="2202" spans="1:10" x14ac:dyDescent="0.25">
      <c r="A2202" s="1" t="s">
        <v>51</v>
      </c>
      <c r="B2202" s="1" t="s">
        <v>3</v>
      </c>
      <c r="C2202" s="1" t="s">
        <v>28</v>
      </c>
      <c r="H2202" s="19">
        <v>0</v>
      </c>
      <c r="J2202" s="1" t="s">
        <v>84</v>
      </c>
    </row>
    <row r="2203" spans="1:10" x14ac:dyDescent="0.25">
      <c r="A2203" s="1" t="s">
        <v>51</v>
      </c>
      <c r="B2203" s="1" t="s">
        <v>3</v>
      </c>
      <c r="C2203" s="1" t="s">
        <v>29</v>
      </c>
      <c r="H2203" s="19">
        <v>0</v>
      </c>
      <c r="J2203" s="1" t="s">
        <v>84</v>
      </c>
    </row>
    <row r="2204" spans="1:10" x14ac:dyDescent="0.25">
      <c r="A2204" s="1" t="s">
        <v>51</v>
      </c>
      <c r="B2204" s="1" t="s">
        <v>3</v>
      </c>
      <c r="C2204" s="1" t="s">
        <v>30</v>
      </c>
      <c r="H2204" s="19">
        <v>0</v>
      </c>
      <c r="J2204" s="1" t="s">
        <v>84</v>
      </c>
    </row>
    <row r="2205" spans="1:10" x14ac:dyDescent="0.25">
      <c r="A2205" s="1" t="s">
        <v>51</v>
      </c>
      <c r="B2205" s="1" t="s">
        <v>3</v>
      </c>
      <c r="C2205" s="1" t="s">
        <v>31</v>
      </c>
      <c r="H2205" s="19">
        <v>0</v>
      </c>
      <c r="J2205" s="1" t="s">
        <v>84</v>
      </c>
    </row>
    <row r="2206" spans="1:10" x14ac:dyDescent="0.25">
      <c r="A2206" s="1" t="s">
        <v>51</v>
      </c>
      <c r="B2206" s="1" t="s">
        <v>3</v>
      </c>
      <c r="C2206" s="1" t="s">
        <v>32</v>
      </c>
      <c r="H2206" s="19">
        <v>0</v>
      </c>
      <c r="J2206" s="1" t="s">
        <v>84</v>
      </c>
    </row>
    <row r="2207" spans="1:10" x14ac:dyDescent="0.25">
      <c r="A2207" s="1" t="s">
        <v>52</v>
      </c>
      <c r="B2207" s="1" t="s">
        <v>13</v>
      </c>
      <c r="C2207" s="1" t="s">
        <v>63</v>
      </c>
      <c r="H2207" s="19">
        <v>0</v>
      </c>
      <c r="J2207" s="1" t="s">
        <v>84</v>
      </c>
    </row>
    <row r="2208" spans="1:10" x14ac:dyDescent="0.25">
      <c r="A2208" s="1" t="s">
        <v>52</v>
      </c>
      <c r="B2208" s="1" t="s">
        <v>13</v>
      </c>
      <c r="C2208" s="1" t="s">
        <v>26</v>
      </c>
      <c r="H2208" s="19">
        <v>0</v>
      </c>
      <c r="J2208" s="1" t="s">
        <v>84</v>
      </c>
    </row>
    <row r="2209" spans="1:10" x14ac:dyDescent="0.25">
      <c r="A2209" s="1" t="s">
        <v>52</v>
      </c>
      <c r="B2209" s="1" t="s">
        <v>13</v>
      </c>
      <c r="C2209" s="1" t="s">
        <v>27</v>
      </c>
      <c r="H2209" s="19">
        <v>0</v>
      </c>
      <c r="J2209" s="1" t="s">
        <v>84</v>
      </c>
    </row>
    <row r="2210" spans="1:10" x14ac:dyDescent="0.25">
      <c r="A2210" s="1" t="s">
        <v>52</v>
      </c>
      <c r="B2210" s="1" t="s">
        <v>13</v>
      </c>
      <c r="C2210" s="1" t="s">
        <v>21</v>
      </c>
      <c r="H2210" s="19">
        <v>0</v>
      </c>
      <c r="J2210" s="1" t="s">
        <v>84</v>
      </c>
    </row>
    <row r="2211" spans="1:10" x14ac:dyDescent="0.25">
      <c r="A2211" s="1" t="s">
        <v>52</v>
      </c>
      <c r="B2211" s="1" t="s">
        <v>13</v>
      </c>
      <c r="C2211" s="1" t="s">
        <v>28</v>
      </c>
      <c r="H2211" s="19">
        <v>0</v>
      </c>
      <c r="J2211" s="1" t="s">
        <v>84</v>
      </c>
    </row>
    <row r="2212" spans="1:10" x14ac:dyDescent="0.25">
      <c r="A2212" s="1" t="s">
        <v>52</v>
      </c>
      <c r="B2212" s="1" t="s">
        <v>13</v>
      </c>
      <c r="C2212" s="1" t="s">
        <v>29</v>
      </c>
      <c r="H2212" s="19">
        <v>0</v>
      </c>
      <c r="J2212" s="1" t="s">
        <v>84</v>
      </c>
    </row>
    <row r="2213" spans="1:10" x14ac:dyDescent="0.25">
      <c r="A2213" s="1" t="s">
        <v>52</v>
      </c>
      <c r="B2213" s="1" t="s">
        <v>13</v>
      </c>
      <c r="C2213" s="1" t="s">
        <v>30</v>
      </c>
      <c r="H2213" s="19">
        <v>0</v>
      </c>
      <c r="J2213" s="1" t="s">
        <v>84</v>
      </c>
    </row>
    <row r="2214" spans="1:10" x14ac:dyDescent="0.25">
      <c r="A2214" s="1" t="s">
        <v>52</v>
      </c>
      <c r="B2214" s="1" t="s">
        <v>13</v>
      </c>
      <c r="C2214" s="1" t="s">
        <v>31</v>
      </c>
      <c r="H2214" s="19">
        <v>0</v>
      </c>
      <c r="J2214" s="1" t="s">
        <v>84</v>
      </c>
    </row>
    <row r="2215" spans="1:10" x14ac:dyDescent="0.25">
      <c r="A2215" s="1" t="s">
        <v>52</v>
      </c>
      <c r="B2215" s="1" t="s">
        <v>13</v>
      </c>
      <c r="C2215" s="1" t="s">
        <v>32</v>
      </c>
      <c r="H2215" s="19">
        <v>0</v>
      </c>
      <c r="J2215" s="1" t="s">
        <v>84</v>
      </c>
    </row>
    <row r="2216" spans="1:10" x14ac:dyDescent="0.25">
      <c r="A2216" s="1" t="s">
        <v>53</v>
      </c>
      <c r="B2216" s="1" t="s">
        <v>14</v>
      </c>
      <c r="C2216" s="1" t="s">
        <v>63</v>
      </c>
      <c r="H2216" s="19">
        <v>0</v>
      </c>
      <c r="J2216" s="1" t="s">
        <v>84</v>
      </c>
    </row>
    <row r="2217" spans="1:10" x14ac:dyDescent="0.25">
      <c r="A2217" s="1" t="s">
        <v>53</v>
      </c>
      <c r="B2217" s="1" t="s">
        <v>14</v>
      </c>
      <c r="C2217" s="1" t="s">
        <v>26</v>
      </c>
      <c r="H2217" s="19">
        <v>0</v>
      </c>
      <c r="J2217" s="1" t="s">
        <v>84</v>
      </c>
    </row>
    <row r="2218" spans="1:10" x14ac:dyDescent="0.25">
      <c r="A2218" s="1" t="s">
        <v>53</v>
      </c>
      <c r="B2218" s="1" t="s">
        <v>14</v>
      </c>
      <c r="C2218" s="1" t="s">
        <v>27</v>
      </c>
      <c r="H2218" s="19">
        <v>0</v>
      </c>
      <c r="J2218" s="1" t="s">
        <v>84</v>
      </c>
    </row>
    <row r="2219" spans="1:10" x14ac:dyDescent="0.25">
      <c r="A2219" s="1" t="s">
        <v>53</v>
      </c>
      <c r="B2219" s="1" t="s">
        <v>14</v>
      </c>
      <c r="C2219" s="1" t="s">
        <v>21</v>
      </c>
      <c r="H2219" s="19">
        <v>0</v>
      </c>
      <c r="J2219" s="1" t="s">
        <v>84</v>
      </c>
    </row>
    <row r="2220" spans="1:10" x14ac:dyDescent="0.25">
      <c r="A2220" s="1" t="s">
        <v>53</v>
      </c>
      <c r="B2220" s="1" t="s">
        <v>14</v>
      </c>
      <c r="C2220" s="1" t="s">
        <v>28</v>
      </c>
      <c r="H2220" s="19">
        <v>0</v>
      </c>
      <c r="J2220" s="1" t="s">
        <v>84</v>
      </c>
    </row>
    <row r="2221" spans="1:10" x14ac:dyDescent="0.25">
      <c r="A2221" s="1" t="s">
        <v>53</v>
      </c>
      <c r="B2221" s="1" t="s">
        <v>14</v>
      </c>
      <c r="C2221" s="1" t="s">
        <v>29</v>
      </c>
      <c r="H2221" s="19">
        <v>0</v>
      </c>
      <c r="J2221" s="1" t="s">
        <v>84</v>
      </c>
    </row>
    <row r="2222" spans="1:10" x14ac:dyDescent="0.25">
      <c r="A2222" s="1" t="s">
        <v>53</v>
      </c>
      <c r="B2222" s="1" t="s">
        <v>14</v>
      </c>
      <c r="C2222" s="1" t="s">
        <v>30</v>
      </c>
      <c r="H2222" s="19">
        <v>0</v>
      </c>
      <c r="J2222" s="1" t="s">
        <v>84</v>
      </c>
    </row>
    <row r="2223" spans="1:10" x14ac:dyDescent="0.25">
      <c r="A2223" s="1" t="s">
        <v>53</v>
      </c>
      <c r="B2223" s="1" t="s">
        <v>14</v>
      </c>
      <c r="C2223" s="1" t="s">
        <v>31</v>
      </c>
      <c r="H2223" s="19">
        <v>0</v>
      </c>
      <c r="J2223" s="1" t="s">
        <v>84</v>
      </c>
    </row>
    <row r="2224" spans="1:10" x14ac:dyDescent="0.25">
      <c r="A2224" s="1" t="s">
        <v>53</v>
      </c>
      <c r="B2224" s="1" t="s">
        <v>14</v>
      </c>
      <c r="C2224" s="1" t="s">
        <v>32</v>
      </c>
      <c r="H2224" s="19">
        <v>0</v>
      </c>
      <c r="J2224" s="1" t="s">
        <v>84</v>
      </c>
    </row>
    <row r="2225" spans="1:10" x14ac:dyDescent="0.25">
      <c r="A2225" s="1" t="s">
        <v>54</v>
      </c>
      <c r="B2225" s="1" t="s">
        <v>16</v>
      </c>
      <c r="C2225" s="1" t="s">
        <v>63</v>
      </c>
      <c r="H2225" s="19">
        <v>0</v>
      </c>
      <c r="J2225" s="1" t="s">
        <v>84</v>
      </c>
    </row>
    <row r="2226" spans="1:10" x14ac:dyDescent="0.25">
      <c r="A2226" s="1" t="s">
        <v>54</v>
      </c>
      <c r="B2226" s="1" t="s">
        <v>16</v>
      </c>
      <c r="C2226" s="1" t="s">
        <v>26</v>
      </c>
      <c r="H2226" s="19">
        <v>0</v>
      </c>
      <c r="J2226" s="1" t="s">
        <v>84</v>
      </c>
    </row>
    <row r="2227" spans="1:10" x14ac:dyDescent="0.25">
      <c r="A2227" s="1" t="s">
        <v>54</v>
      </c>
      <c r="B2227" s="1" t="s">
        <v>16</v>
      </c>
      <c r="C2227" s="1" t="s">
        <v>27</v>
      </c>
      <c r="H2227" s="19">
        <v>0</v>
      </c>
      <c r="J2227" s="1" t="s">
        <v>84</v>
      </c>
    </row>
    <row r="2228" spans="1:10" x14ac:dyDescent="0.25">
      <c r="A2228" s="1" t="s">
        <v>54</v>
      </c>
      <c r="B2228" s="1" t="s">
        <v>16</v>
      </c>
      <c r="C2228" s="1" t="s">
        <v>21</v>
      </c>
      <c r="H2228" s="19">
        <v>0</v>
      </c>
      <c r="J2228" s="1" t="s">
        <v>84</v>
      </c>
    </row>
    <row r="2229" spans="1:10" x14ac:dyDescent="0.25">
      <c r="A2229" s="1" t="s">
        <v>54</v>
      </c>
      <c r="B2229" s="1" t="s">
        <v>16</v>
      </c>
      <c r="C2229" s="1" t="s">
        <v>28</v>
      </c>
      <c r="H2229" s="19">
        <v>0</v>
      </c>
      <c r="J2229" s="1" t="s">
        <v>84</v>
      </c>
    </row>
    <row r="2230" spans="1:10" x14ac:dyDescent="0.25">
      <c r="A2230" s="1" t="s">
        <v>54</v>
      </c>
      <c r="B2230" s="1" t="s">
        <v>16</v>
      </c>
      <c r="C2230" s="1" t="s">
        <v>29</v>
      </c>
      <c r="H2230" s="19">
        <v>0</v>
      </c>
      <c r="J2230" s="1" t="s">
        <v>84</v>
      </c>
    </row>
    <row r="2231" spans="1:10" x14ac:dyDescent="0.25">
      <c r="A2231" s="1" t="s">
        <v>54</v>
      </c>
      <c r="B2231" s="1" t="s">
        <v>16</v>
      </c>
      <c r="C2231" s="1" t="s">
        <v>30</v>
      </c>
      <c r="H2231" s="19">
        <v>0</v>
      </c>
      <c r="J2231" s="1" t="s">
        <v>84</v>
      </c>
    </row>
    <row r="2232" spans="1:10" x14ac:dyDescent="0.25">
      <c r="A2232" s="1" t="s">
        <v>54</v>
      </c>
      <c r="B2232" s="1" t="s">
        <v>16</v>
      </c>
      <c r="C2232" s="1" t="s">
        <v>31</v>
      </c>
      <c r="H2232" s="19">
        <v>0</v>
      </c>
      <c r="J2232" s="1" t="s">
        <v>84</v>
      </c>
    </row>
    <row r="2233" spans="1:10" x14ac:dyDescent="0.25">
      <c r="A2233" s="1" t="s">
        <v>54</v>
      </c>
      <c r="B2233" s="1" t="s">
        <v>16</v>
      </c>
      <c r="C2233" s="1" t="s">
        <v>32</v>
      </c>
      <c r="H2233" s="19">
        <v>0</v>
      </c>
      <c r="J2233" s="1" t="s">
        <v>84</v>
      </c>
    </row>
    <row r="2234" spans="1:10" x14ac:dyDescent="0.25">
      <c r="A2234" s="1" t="s">
        <v>55</v>
      </c>
      <c r="B2234" s="1" t="s">
        <v>10</v>
      </c>
      <c r="C2234" s="1" t="s">
        <v>63</v>
      </c>
      <c r="H2234" s="19">
        <v>0</v>
      </c>
      <c r="J2234" s="1" t="s">
        <v>84</v>
      </c>
    </row>
    <row r="2235" spans="1:10" x14ac:dyDescent="0.25">
      <c r="A2235" s="1" t="s">
        <v>55</v>
      </c>
      <c r="B2235" s="1" t="s">
        <v>10</v>
      </c>
      <c r="C2235" s="1" t="s">
        <v>26</v>
      </c>
      <c r="H2235" s="19">
        <v>0</v>
      </c>
      <c r="J2235" s="1" t="s">
        <v>84</v>
      </c>
    </row>
    <row r="2236" spans="1:10" x14ac:dyDescent="0.25">
      <c r="A2236" s="1" t="s">
        <v>55</v>
      </c>
      <c r="B2236" s="1" t="s">
        <v>10</v>
      </c>
      <c r="C2236" s="1" t="s">
        <v>27</v>
      </c>
      <c r="H2236" s="19">
        <v>0</v>
      </c>
      <c r="J2236" s="1" t="s">
        <v>84</v>
      </c>
    </row>
    <row r="2237" spans="1:10" x14ac:dyDescent="0.25">
      <c r="A2237" s="1" t="s">
        <v>55</v>
      </c>
      <c r="B2237" s="1" t="s">
        <v>10</v>
      </c>
      <c r="C2237" s="1" t="s">
        <v>21</v>
      </c>
      <c r="H2237" s="19">
        <v>0</v>
      </c>
      <c r="J2237" s="1" t="s">
        <v>84</v>
      </c>
    </row>
    <row r="2238" spans="1:10" x14ac:dyDescent="0.25">
      <c r="A2238" s="1" t="s">
        <v>55</v>
      </c>
      <c r="B2238" s="1" t="s">
        <v>10</v>
      </c>
      <c r="C2238" s="1" t="s">
        <v>28</v>
      </c>
      <c r="H2238" s="19">
        <v>0</v>
      </c>
      <c r="J2238" s="1" t="s">
        <v>84</v>
      </c>
    </row>
    <row r="2239" spans="1:10" x14ac:dyDescent="0.25">
      <c r="A2239" s="1" t="s">
        <v>55</v>
      </c>
      <c r="B2239" s="1" t="s">
        <v>10</v>
      </c>
      <c r="C2239" s="1" t="s">
        <v>29</v>
      </c>
      <c r="H2239" s="19">
        <v>0</v>
      </c>
      <c r="J2239" s="1" t="s">
        <v>84</v>
      </c>
    </row>
    <row r="2240" spans="1:10" x14ac:dyDescent="0.25">
      <c r="A2240" s="1" t="s">
        <v>55</v>
      </c>
      <c r="B2240" s="1" t="s">
        <v>10</v>
      </c>
      <c r="C2240" s="1" t="s">
        <v>30</v>
      </c>
      <c r="H2240" s="19">
        <v>0</v>
      </c>
      <c r="J2240" s="1" t="s">
        <v>84</v>
      </c>
    </row>
    <row r="2241" spans="1:10" x14ac:dyDescent="0.25">
      <c r="A2241" s="1" t="s">
        <v>55</v>
      </c>
      <c r="B2241" s="1" t="s">
        <v>10</v>
      </c>
      <c r="C2241" s="1" t="s">
        <v>31</v>
      </c>
      <c r="H2241" s="19">
        <v>0</v>
      </c>
      <c r="J2241" s="1" t="s">
        <v>84</v>
      </c>
    </row>
    <row r="2242" spans="1:10" x14ac:dyDescent="0.25">
      <c r="A2242" s="1" t="s">
        <v>55</v>
      </c>
      <c r="B2242" s="1" t="s">
        <v>10</v>
      </c>
      <c r="C2242" s="1" t="s">
        <v>32</v>
      </c>
      <c r="H2242" s="19">
        <v>0</v>
      </c>
      <c r="J2242" s="1" t="s">
        <v>84</v>
      </c>
    </row>
    <row r="2243" spans="1:10" x14ac:dyDescent="0.25">
      <c r="A2243" s="1" t="s">
        <v>56</v>
      </c>
      <c r="B2243" s="1" t="s">
        <v>7</v>
      </c>
      <c r="C2243" s="1" t="s">
        <v>63</v>
      </c>
      <c r="H2243" s="19">
        <v>0</v>
      </c>
      <c r="J2243" s="1" t="s">
        <v>84</v>
      </c>
    </row>
    <row r="2244" spans="1:10" x14ac:dyDescent="0.25">
      <c r="A2244" s="1" t="s">
        <v>56</v>
      </c>
      <c r="B2244" s="1" t="s">
        <v>7</v>
      </c>
      <c r="C2244" s="1" t="s">
        <v>26</v>
      </c>
      <c r="H2244" s="19">
        <v>0</v>
      </c>
      <c r="J2244" s="1" t="s">
        <v>84</v>
      </c>
    </row>
    <row r="2245" spans="1:10" x14ac:dyDescent="0.25">
      <c r="A2245" s="1" t="s">
        <v>56</v>
      </c>
      <c r="B2245" s="1" t="s">
        <v>7</v>
      </c>
      <c r="C2245" s="1" t="s">
        <v>27</v>
      </c>
      <c r="H2245" s="19">
        <v>0</v>
      </c>
      <c r="J2245" s="1" t="s">
        <v>84</v>
      </c>
    </row>
    <row r="2246" spans="1:10" x14ac:dyDescent="0.25">
      <c r="A2246" s="1" t="s">
        <v>56</v>
      </c>
      <c r="B2246" s="1" t="s">
        <v>7</v>
      </c>
      <c r="C2246" s="1" t="s">
        <v>21</v>
      </c>
      <c r="H2246" s="19">
        <v>0</v>
      </c>
      <c r="J2246" s="1" t="s">
        <v>84</v>
      </c>
    </row>
    <row r="2247" spans="1:10" x14ac:dyDescent="0.25">
      <c r="A2247" s="1" t="s">
        <v>56</v>
      </c>
      <c r="B2247" s="1" t="s">
        <v>7</v>
      </c>
      <c r="C2247" s="1" t="s">
        <v>28</v>
      </c>
      <c r="H2247" s="19">
        <v>0</v>
      </c>
      <c r="J2247" s="1" t="s">
        <v>84</v>
      </c>
    </row>
    <row r="2248" spans="1:10" x14ac:dyDescent="0.25">
      <c r="A2248" s="1" t="s">
        <v>56</v>
      </c>
      <c r="B2248" s="1" t="s">
        <v>7</v>
      </c>
      <c r="C2248" s="1" t="s">
        <v>29</v>
      </c>
      <c r="H2248" s="19">
        <v>0</v>
      </c>
      <c r="J2248" s="1" t="s">
        <v>84</v>
      </c>
    </row>
    <row r="2249" spans="1:10" x14ac:dyDescent="0.25">
      <c r="A2249" s="1" t="s">
        <v>56</v>
      </c>
      <c r="B2249" s="1" t="s">
        <v>7</v>
      </c>
      <c r="C2249" s="1" t="s">
        <v>30</v>
      </c>
      <c r="H2249" s="19">
        <v>0</v>
      </c>
      <c r="J2249" s="1" t="s">
        <v>84</v>
      </c>
    </row>
    <row r="2250" spans="1:10" x14ac:dyDescent="0.25">
      <c r="A2250" s="1" t="s">
        <v>56</v>
      </c>
      <c r="B2250" s="1" t="s">
        <v>7</v>
      </c>
      <c r="C2250" s="1" t="s">
        <v>31</v>
      </c>
      <c r="H2250" s="19">
        <v>0</v>
      </c>
      <c r="J2250" s="1" t="s">
        <v>84</v>
      </c>
    </row>
    <row r="2251" spans="1:10" x14ac:dyDescent="0.25">
      <c r="A2251" s="1" t="s">
        <v>56</v>
      </c>
      <c r="B2251" s="1" t="s">
        <v>7</v>
      </c>
      <c r="C2251" s="1" t="s">
        <v>32</v>
      </c>
      <c r="H2251" s="19">
        <v>0</v>
      </c>
      <c r="J2251" s="1" t="s">
        <v>84</v>
      </c>
    </row>
    <row r="2252" spans="1:10" x14ac:dyDescent="0.25">
      <c r="A2252" s="1" t="s">
        <v>57</v>
      </c>
      <c r="B2252" s="1" t="s">
        <v>24</v>
      </c>
      <c r="C2252" s="1" t="s">
        <v>63</v>
      </c>
      <c r="H2252" s="19">
        <v>0</v>
      </c>
      <c r="J2252" s="1" t="s">
        <v>84</v>
      </c>
    </row>
    <row r="2253" spans="1:10" x14ac:dyDescent="0.25">
      <c r="A2253" s="1" t="s">
        <v>57</v>
      </c>
      <c r="B2253" s="1" t="s">
        <v>24</v>
      </c>
      <c r="C2253" s="1" t="s">
        <v>26</v>
      </c>
      <c r="H2253" s="19">
        <v>0</v>
      </c>
      <c r="J2253" s="1" t="s">
        <v>84</v>
      </c>
    </row>
    <row r="2254" spans="1:10" x14ac:dyDescent="0.25">
      <c r="A2254" s="1" t="s">
        <v>57</v>
      </c>
      <c r="B2254" s="1" t="s">
        <v>24</v>
      </c>
      <c r="C2254" s="1" t="s">
        <v>27</v>
      </c>
      <c r="H2254" s="19">
        <v>0</v>
      </c>
      <c r="J2254" s="1" t="s">
        <v>84</v>
      </c>
    </row>
    <row r="2255" spans="1:10" x14ac:dyDescent="0.25">
      <c r="A2255" s="1" t="s">
        <v>57</v>
      </c>
      <c r="B2255" s="1" t="s">
        <v>24</v>
      </c>
      <c r="C2255" s="1" t="s">
        <v>21</v>
      </c>
      <c r="H2255" s="19">
        <v>0</v>
      </c>
      <c r="J2255" s="1" t="s">
        <v>84</v>
      </c>
    </row>
    <row r="2256" spans="1:10" x14ac:dyDescent="0.25">
      <c r="A2256" s="1" t="s">
        <v>57</v>
      </c>
      <c r="B2256" s="1" t="s">
        <v>24</v>
      </c>
      <c r="C2256" s="1" t="s">
        <v>28</v>
      </c>
      <c r="H2256" s="19">
        <v>0</v>
      </c>
      <c r="J2256" s="1" t="s">
        <v>84</v>
      </c>
    </row>
    <row r="2257" spans="1:10" x14ac:dyDescent="0.25">
      <c r="A2257" s="1" t="s">
        <v>57</v>
      </c>
      <c r="B2257" s="1" t="s">
        <v>24</v>
      </c>
      <c r="C2257" s="1" t="s">
        <v>29</v>
      </c>
      <c r="H2257" s="19">
        <v>0</v>
      </c>
      <c r="J2257" s="1" t="s">
        <v>84</v>
      </c>
    </row>
    <row r="2258" spans="1:10" x14ac:dyDescent="0.25">
      <c r="A2258" s="1" t="s">
        <v>57</v>
      </c>
      <c r="B2258" s="1" t="s">
        <v>24</v>
      </c>
      <c r="C2258" s="1" t="s">
        <v>30</v>
      </c>
      <c r="H2258" s="19">
        <v>0</v>
      </c>
      <c r="J2258" s="1" t="s">
        <v>84</v>
      </c>
    </row>
    <row r="2259" spans="1:10" x14ac:dyDescent="0.25">
      <c r="A2259" s="1" t="s">
        <v>57</v>
      </c>
      <c r="B2259" s="1" t="s">
        <v>24</v>
      </c>
      <c r="C2259" s="1" t="s">
        <v>31</v>
      </c>
      <c r="H2259" s="19">
        <v>0</v>
      </c>
      <c r="J2259" s="1" t="s">
        <v>84</v>
      </c>
    </row>
    <row r="2260" spans="1:10" x14ac:dyDescent="0.25">
      <c r="A2260" s="1" t="s">
        <v>57</v>
      </c>
      <c r="B2260" s="1" t="s">
        <v>24</v>
      </c>
      <c r="C2260" s="1" t="s">
        <v>32</v>
      </c>
      <c r="H2260" s="19">
        <v>0</v>
      </c>
      <c r="J2260" s="1" t="s">
        <v>84</v>
      </c>
    </row>
    <row r="2261" spans="1:10" x14ac:dyDescent="0.25">
      <c r="A2261" s="1" t="s">
        <v>58</v>
      </c>
      <c r="B2261" s="1" t="s">
        <v>1</v>
      </c>
      <c r="C2261" s="1" t="s">
        <v>63</v>
      </c>
      <c r="H2261" s="19">
        <v>0</v>
      </c>
      <c r="J2261" s="1" t="s">
        <v>84</v>
      </c>
    </row>
    <row r="2262" spans="1:10" x14ac:dyDescent="0.25">
      <c r="A2262" s="1" t="s">
        <v>58</v>
      </c>
      <c r="B2262" s="1" t="s">
        <v>1</v>
      </c>
      <c r="C2262" s="1" t="s">
        <v>26</v>
      </c>
      <c r="H2262" s="19">
        <v>0</v>
      </c>
      <c r="J2262" s="1" t="s">
        <v>84</v>
      </c>
    </row>
    <row r="2263" spans="1:10" x14ac:dyDescent="0.25">
      <c r="A2263" s="1" t="s">
        <v>58</v>
      </c>
      <c r="B2263" s="1" t="s">
        <v>1</v>
      </c>
      <c r="C2263" s="1" t="s">
        <v>27</v>
      </c>
      <c r="H2263" s="19">
        <v>0</v>
      </c>
      <c r="J2263" s="1" t="s">
        <v>84</v>
      </c>
    </row>
    <row r="2264" spans="1:10" x14ac:dyDescent="0.25">
      <c r="A2264" s="1" t="s">
        <v>58</v>
      </c>
      <c r="B2264" s="1" t="s">
        <v>1</v>
      </c>
      <c r="C2264" s="1" t="s">
        <v>21</v>
      </c>
      <c r="H2264" s="19">
        <v>0</v>
      </c>
      <c r="J2264" s="1" t="s">
        <v>84</v>
      </c>
    </row>
    <row r="2265" spans="1:10" x14ac:dyDescent="0.25">
      <c r="A2265" s="1" t="s">
        <v>58</v>
      </c>
      <c r="B2265" s="1" t="s">
        <v>1</v>
      </c>
      <c r="C2265" s="1" t="s">
        <v>28</v>
      </c>
      <c r="H2265" s="19">
        <v>0</v>
      </c>
      <c r="J2265" s="1" t="s">
        <v>84</v>
      </c>
    </row>
    <row r="2266" spans="1:10" x14ac:dyDescent="0.25">
      <c r="A2266" s="1" t="s">
        <v>58</v>
      </c>
      <c r="B2266" s="1" t="s">
        <v>1</v>
      </c>
      <c r="C2266" s="1" t="s">
        <v>29</v>
      </c>
      <c r="H2266" s="19">
        <v>0</v>
      </c>
      <c r="J2266" s="1" t="s">
        <v>84</v>
      </c>
    </row>
    <row r="2267" spans="1:10" x14ac:dyDescent="0.25">
      <c r="A2267" s="1" t="s">
        <v>58</v>
      </c>
      <c r="B2267" s="1" t="s">
        <v>1</v>
      </c>
      <c r="C2267" s="1" t="s">
        <v>30</v>
      </c>
      <c r="H2267" s="19">
        <v>0</v>
      </c>
      <c r="J2267" s="1" t="s">
        <v>84</v>
      </c>
    </row>
    <row r="2268" spans="1:10" x14ac:dyDescent="0.25">
      <c r="A2268" s="1" t="s">
        <v>58</v>
      </c>
      <c r="B2268" s="1" t="s">
        <v>1</v>
      </c>
      <c r="C2268" s="1" t="s">
        <v>31</v>
      </c>
      <c r="J2268" s="1" t="s">
        <v>84</v>
      </c>
    </row>
    <row r="2269" spans="1:10" x14ac:dyDescent="0.25">
      <c r="A2269" s="1" t="s">
        <v>58</v>
      </c>
      <c r="B2269" s="1" t="s">
        <v>1</v>
      </c>
      <c r="C2269" s="1" t="s">
        <v>32</v>
      </c>
      <c r="J2269" s="1" t="s">
        <v>84</v>
      </c>
    </row>
  </sheetData>
  <autoFilter ref="A1:J226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BANK PERFORMANCE </vt:lpstr>
      <vt:lpstr>BRANCH PERFORMANCE</vt:lpstr>
      <vt:lpstr>ANALYSIS</vt:lpstr>
      <vt:lpstr>EXECUTIVE DASHBOARD</vt:lpstr>
      <vt:lpstr>ANALYSIS TWO</vt:lpstr>
      <vt:lpstr>HELPER CELL</vt:lpstr>
      <vt:lpstr>PBT GRAPH</vt:lpstr>
      <vt:lpstr>executive pivot</vt:lpstr>
      <vt:lpstr>DATA</vt:lpstr>
      <vt:lpstr>Sheet1</vt:lpstr>
      <vt:lpstr>BRANCH LIST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June Wanjiku Mwai</dc:creator>
  <cp:keywords/>
  <dc:description/>
  <cp:lastModifiedBy>June Wanjiku Mwai</cp:lastModifiedBy>
  <cp:revision/>
  <dcterms:created xsi:type="dcterms:W3CDTF">2022-09-05T06:42:41Z</dcterms:created>
  <dcterms:modified xsi:type="dcterms:W3CDTF">2024-10-02T09:23:54Z</dcterms:modified>
  <cp:category/>
  <cp:contentStatus/>
</cp:coreProperties>
</file>