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bitz/Desktop/Finland Projects/FireGrow/param-values/"/>
    </mc:Choice>
  </mc:AlternateContent>
  <xr:revisionPtr revIDLastSave="0" documentId="13_ncr:1_{C309427E-3361-A04E-9B58-06E3D338B6A8}" xr6:coauthVersionLast="47" xr6:coauthVersionMax="47" xr10:uidLastSave="{00000000-0000-0000-0000-000000000000}"/>
  <bookViews>
    <workbookView xWindow="1180" yWindow="740" windowWidth="18160" windowHeight="15440" xr2:uid="{B7EC0165-F407-A842-BDE0-63FF754B71A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1" i="1" l="1"/>
  <c r="C71" i="1"/>
  <c r="B76" i="1"/>
  <c r="R201" i="1" l="1"/>
  <c r="S201" i="1" s="1"/>
  <c r="R202" i="1"/>
  <c r="S202" i="1" s="1"/>
  <c r="R203" i="1"/>
  <c r="U203" i="1" s="1"/>
  <c r="R200" i="1"/>
  <c r="U200" i="1" s="1"/>
  <c r="K190" i="1"/>
  <c r="J190" i="1"/>
  <c r="H190" i="1"/>
  <c r="G191" i="1"/>
  <c r="H191" i="1"/>
  <c r="I191" i="1"/>
  <c r="J191" i="1"/>
  <c r="G192" i="1"/>
  <c r="H192" i="1"/>
  <c r="I192" i="1"/>
  <c r="J192" i="1"/>
  <c r="I190" i="1"/>
  <c r="G190" i="1"/>
  <c r="N190" i="1"/>
  <c r="M190" i="1"/>
  <c r="L190" i="1"/>
  <c r="F192" i="1"/>
  <c r="F201" i="1" s="1"/>
  <c r="F191" i="1"/>
  <c r="F200" i="1" s="1"/>
  <c r="F190" i="1"/>
  <c r="Q169" i="1"/>
  <c r="T203" i="1" l="1"/>
  <c r="S203" i="1"/>
  <c r="U202" i="1"/>
  <c r="T202" i="1"/>
  <c r="N191" i="1"/>
  <c r="M191" i="1"/>
  <c r="S200" i="1"/>
  <c r="T200" i="1"/>
  <c r="U201" i="1"/>
  <c r="T201" i="1"/>
  <c r="G193" i="1"/>
  <c r="H193" i="1"/>
  <c r="I193" i="1"/>
  <c r="J193" i="1"/>
  <c r="N192" i="1"/>
  <c r="K191" i="1"/>
  <c r="L191" i="1"/>
  <c r="K192" i="1"/>
  <c r="F199" i="1"/>
  <c r="L192" i="1"/>
  <c r="M192" i="1"/>
  <c r="F181" i="1" l="1"/>
  <c r="F182" i="1"/>
  <c r="F171" i="1"/>
  <c r="F173" i="1"/>
  <c r="F172" i="1"/>
  <c r="C56" i="1"/>
  <c r="C51" i="1"/>
  <c r="F54" i="1"/>
  <c r="D22" i="1"/>
  <c r="C22" i="1"/>
  <c r="N171" i="1" l="1"/>
  <c r="H171" i="1"/>
  <c r="K171" i="1"/>
  <c r="J171" i="1"/>
  <c r="I171" i="1"/>
  <c r="M171" i="1"/>
  <c r="L171" i="1"/>
  <c r="F180" i="1"/>
  <c r="K172" i="1"/>
  <c r="H172" i="1"/>
  <c r="M172" i="1"/>
  <c r="J172" i="1"/>
  <c r="G172" i="1"/>
  <c r="L172" i="1"/>
  <c r="I172" i="1"/>
  <c r="N172" i="1"/>
  <c r="G171" i="1"/>
  <c r="M173" i="1"/>
  <c r="H173" i="1"/>
  <c r="G173" i="1"/>
  <c r="J173" i="1"/>
  <c r="I173" i="1"/>
  <c r="N173" i="1"/>
  <c r="L173" i="1"/>
  <c r="K173" i="1"/>
  <c r="E24" i="1"/>
  <c r="D24" i="1"/>
  <c r="C24" i="1"/>
  <c r="C36" i="1"/>
  <c r="C23" i="1"/>
  <c r="E27" i="1"/>
  <c r="E26" i="1"/>
  <c r="E25" i="1"/>
  <c r="D27" i="1"/>
  <c r="D26" i="1"/>
  <c r="D25" i="1"/>
  <c r="C27" i="1"/>
  <c r="C26" i="1"/>
  <c r="C25" i="1"/>
  <c r="E22" i="1"/>
  <c r="E162" i="1"/>
  <c r="C143" i="1"/>
  <c r="C144" i="1"/>
  <c r="C97" i="1"/>
  <c r="C120" i="1"/>
  <c r="E94" i="1"/>
  <c r="E114" i="1" s="1"/>
  <c r="D94" i="1"/>
  <c r="D114" i="1" s="1"/>
  <c r="C94" i="1"/>
  <c r="H77" i="1"/>
  <c r="F77" i="1"/>
  <c r="I174" i="1" l="1"/>
  <c r="J174" i="1"/>
  <c r="H174" i="1"/>
  <c r="G174" i="1"/>
  <c r="F26" i="1"/>
  <c r="C95" i="1"/>
  <c r="C114" i="1"/>
  <c r="F25" i="1"/>
  <c r="F27" i="1"/>
  <c r="M61" i="1"/>
  <c r="M60" i="1"/>
  <c r="M59" i="1"/>
  <c r="M76" i="1" l="1"/>
  <c r="M77" i="1"/>
  <c r="M75" i="1"/>
  <c r="J57" i="1"/>
  <c r="M78" i="1"/>
  <c r="L78" i="1"/>
  <c r="E74" i="1"/>
  <c r="E73" i="1"/>
  <c r="F55" i="1"/>
  <c r="D44" i="1"/>
  <c r="E44" i="1"/>
  <c r="C41" i="1"/>
  <c r="C42" i="1"/>
  <c r="E32" i="1"/>
  <c r="E31" i="1"/>
  <c r="E30" i="1"/>
  <c r="D32" i="1"/>
  <c r="D31" i="1"/>
  <c r="D30" i="1"/>
  <c r="C32" i="1"/>
  <c r="C31" i="1"/>
  <c r="C30" i="1"/>
  <c r="C33" i="1" l="1"/>
  <c r="C34" i="1" s="1"/>
  <c r="D33" i="1"/>
  <c r="D34" i="1" s="1"/>
  <c r="E33" i="1"/>
  <c r="E34" i="1" s="1"/>
  <c r="F34" i="1" l="1"/>
</calcChain>
</file>

<file path=xl/sharedStrings.xml><?xml version="1.0" encoding="utf-8"?>
<sst xmlns="http://schemas.openxmlformats.org/spreadsheetml/2006/main" count="268" uniqueCount="172">
  <si>
    <t>N2012</t>
  </si>
  <si>
    <t>Soil C</t>
  </si>
  <si>
    <t>N1990</t>
  </si>
  <si>
    <t>N1969</t>
  </si>
  <si>
    <t>CA</t>
  </si>
  <si>
    <t>* Maybe should think of having soilC be less when we have CA?</t>
  </si>
  <si>
    <t>CM</t>
  </si>
  <si>
    <t>C1</t>
  </si>
  <si>
    <t>C2</t>
  </si>
  <si>
    <t>C3</t>
  </si>
  <si>
    <t>Q10M</t>
  </si>
  <si>
    <t>kM</t>
  </si>
  <si>
    <t>kM: ug CO2 g^-1 C h^-1</t>
  </si>
  <si>
    <t>kM*Q10</t>
  </si>
  <si>
    <t>.2 - .3 Mg /Hectacre / yr (Moroni &amp; Zhu)</t>
  </si>
  <si>
    <t>.1 - .3 kg / m^2 / yr</t>
  </si>
  <si>
    <t>1Mg = 1000000 g</t>
  </si>
  <si>
    <t>1 Hectacre = 10000 m^2</t>
  </si>
  <si>
    <t>Go with 100 g / m^2 / yr</t>
  </si>
  <si>
    <t>Wood litter</t>
  </si>
  <si>
    <t>moss litter</t>
  </si>
  <si>
    <t>Black spruce litter fall</t>
  </si>
  <si>
    <t>Fine root turnover</t>
  </si>
  <si>
    <t>Nakane et al 1990!</t>
  </si>
  <si>
    <t>Adjusted to g and by the tree biomass</t>
  </si>
  <si>
    <t>Wickland et al</t>
  </si>
  <si>
    <t>26 g m^-2 (over 6 months) --&gt; would be 52 for the year.</t>
  </si>
  <si>
    <t>Bhatti and Jassal</t>
  </si>
  <si>
    <t>Calculating mass loss from percentage:</t>
  </si>
  <si>
    <t>% loss: Delta M / M.  So if the value is k, then k / deltaT should be equal to the first order rate?</t>
  </si>
  <si>
    <t>Benggtsom</t>
  </si>
  <si>
    <t>Johnston 1991</t>
  </si>
  <si>
    <t>16% over 14 months%</t>
  </si>
  <si>
    <t>10-20% over 12 months</t>
  </si>
  <si>
    <t>moss_litter</t>
  </si>
  <si>
    <t>k1, k2, k3 estimated</t>
  </si>
  <si>
    <t>root turnover:</t>
  </si>
  <si>
    <t xml:space="preserve">108 days - so </t>
  </si>
  <si>
    <t>Ruess 2003</t>
  </si>
  <si>
    <t>Sloan 2003:</t>
  </si>
  <si>
    <t>Puts a functional relationshp between LAI and turnover … hmm</t>
  </si>
  <si>
    <t>Fine root start</t>
  </si>
  <si>
    <t>Neumann et al 2020: scales this with foliage biomass = foliage biomass * FR_leaf_H - which is 0.3</t>
  </si>
  <si>
    <t>Or it can also be scaled with the LAI</t>
  </si>
  <si>
    <t>Estimate LAI ~ 2</t>
  </si>
  <si>
    <t>We adjusted these by .05 on all - they seem to be too small!</t>
  </si>
  <si>
    <t>mu</t>
  </si>
  <si>
    <t>=</t>
  </si>
  <si>
    <t>.04*24,</t>
  </si>
  <si>
    <t>#</t>
  </si>
  <si>
    <t>Z08</t>
  </si>
  <si>
    <t>Estimate of LAI: 1.6, so this means:</t>
  </si>
  <si>
    <t>ROOTS</t>
  </si>
  <si>
    <t>LEAVES</t>
  </si>
  <si>
    <t>Avg of 3:</t>
  </si>
  <si>
    <t>Three estimates</t>
  </si>
  <si>
    <t>CR_start</t>
  </si>
  <si>
    <t>Turnover</t>
  </si>
  <si>
    <t>BBL says  a is about 6.89</t>
  </si>
  <si>
    <t>O'donnell 2011</t>
  </si>
  <si>
    <t>CR start</t>
  </si>
  <si>
    <t>Major 2012</t>
  </si>
  <si>
    <t>2.6 Mg C / hectacre</t>
  </si>
  <si>
    <t>1 hectacre = 10000 sq m</t>
  </si>
  <si>
    <t>1 megagram = 1000000 g</t>
  </si>
  <si>
    <t>Weighted by SOM%</t>
  </si>
  <si>
    <t>ug CO2 * 1/1E6*12/44*24</t>
  </si>
  <si>
    <t>Rref</t>
  </si>
  <si>
    <t>Aaltonen 2019</t>
  </si>
  <si>
    <t>1/day</t>
  </si>
  <si>
    <t>CS</t>
  </si>
  <si>
    <t>From the table at the right</t>
  </si>
  <si>
    <t>kR - using the 3 estimates</t>
  </si>
  <si>
    <t>So 0 to .01 range?</t>
  </si>
  <si>
    <t>o_donnell_effect_2011</t>
  </si>
  <si>
    <t>Lagingere</t>
  </si>
  <si>
    <t>30% of spruce loss after 17 weeks.</t>
  </si>
  <si>
    <t>dM/dt = kM, so dM/dt*M = k (approx)</t>
  </si>
  <si>
    <t>LITTERFALL RATE CALCULATIONS</t>
  </si>
  <si>
    <t>Wood</t>
  </si>
  <si>
    <t>Moss</t>
  </si>
  <si>
    <t>k (day^-1)</t>
  </si>
  <si>
    <t>dM/dt = kM, so dM/M/dt = % loss/dt = k (approx)</t>
  </si>
  <si>
    <t>Yearly totals</t>
  </si>
  <si>
    <t>Control</t>
  </si>
  <si>
    <t>Hmmm … perhaps weight this on a per year basis?  Something seems a little off.  (there is a carbon fraction conversion, no?</t>
  </si>
  <si>
    <t>20% over 22 months%</t>
  </si>
  <si>
    <t>k (yr^-1)</t>
  </si>
  <si>
    <t>RATE (per year)</t>
  </si>
  <si>
    <t>ANNUAL AMOUNT</t>
  </si>
  <si>
    <t>Davidson 2000</t>
  </si>
  <si>
    <t>We should expect annuall litterfall to be between 200 - 300 gC m-2 yr-1</t>
  </si>
  <si>
    <t>VP</t>
  </si>
  <si>
    <t>ML</t>
  </si>
  <si>
    <t>LT</t>
  </si>
  <si>
    <t>Tot</t>
  </si>
  <si>
    <t>Proportion</t>
  </si>
  <si>
    <t>Shrubs</t>
  </si>
  <si>
    <t>Moss + Lichens</t>
  </si>
  <si>
    <t>name</t>
  </si>
  <si>
    <t>description</t>
  </si>
  <si>
    <t>units</t>
  </si>
  <si>
    <t>notes</t>
  </si>
  <si>
    <t>Starting value for root carbon</t>
  </si>
  <si>
    <t>g C m^-2</t>
  </si>
  <si>
    <t>Zobitz 2021, Table 1, Field Data, 5 cm</t>
  </si>
  <si>
    <t>CM_start</t>
  </si>
  <si>
    <t>Starting value for microbial carbon</t>
  </si>
  <si>
    <t>CA_start</t>
  </si>
  <si>
    <t>Starting value for available carbon</t>
  </si>
  <si>
    <t>C1_start</t>
  </si>
  <si>
    <t>Starting pool for C1</t>
  </si>
  <si>
    <t>Equals .1 of CS</t>
  </si>
  <si>
    <t>C2_start</t>
  </si>
  <si>
    <t>Starting pool for C2</t>
  </si>
  <si>
    <t>Equals .3 of CS</t>
  </si>
  <si>
    <t>C3_start</t>
  </si>
  <si>
    <t>Starting pool for C3</t>
  </si>
  <si>
    <t>Equals .6 of CS, less CA</t>
  </si>
  <si>
    <t>CS_start</t>
  </si>
  <si>
    <t>Overall soil carbon (usually sum of C1 - C3)</t>
  </si>
  <si>
    <t>wood_litter</t>
  </si>
  <si>
    <t>daily wood litter rate</t>
  </si>
  <si>
    <t>day^-1</t>
  </si>
  <si>
    <t>Notes + literature - see param-notes</t>
  </si>
  <si>
    <t>daily moss litter rate</t>
  </si>
  <si>
    <t>shrub_litter</t>
  </si>
  <si>
    <t>daily shrub (undergrowth rate)</t>
  </si>
  <si>
    <t>alphaR</t>
  </si>
  <si>
    <t>Allocation parameter (proportion of GPP)</t>
  </si>
  <si>
    <t>unitless</t>
  </si>
  <si>
    <t>betaR</t>
  </si>
  <si>
    <t>Exudation parameter (proportion of GPP)</t>
  </si>
  <si>
    <t>k1</t>
  </si>
  <si>
    <t>transfer rate from C1 to CA</t>
  </si>
  <si>
    <t>yr^-1</t>
  </si>
  <si>
    <t>Estimated from Elzein 1995, Table 2 (average of soils listed)</t>
  </si>
  <si>
    <t>k2</t>
  </si>
  <si>
    <t>transfer rate from C2 to CA</t>
  </si>
  <si>
    <t>k3</t>
  </si>
  <si>
    <t>transfer rate from C3 to CA</t>
  </si>
  <si>
    <t>root_turnover</t>
  </si>
  <si>
    <t>root turnover rate</t>
  </si>
  <si>
    <t>SS</t>
  </si>
  <si>
    <t>kSM</t>
  </si>
  <si>
    <t>transfer rate from CS or CA to CM</t>
  </si>
  <si>
    <t>r1</t>
  </si>
  <si>
    <t>transfer rate from C1 to C2</t>
  </si>
  <si>
    <t>r2</t>
  </si>
  <si>
    <t>transfer rate from C2 to C3</t>
  </si>
  <si>
    <t>kR</t>
  </si>
  <si>
    <t>basal root respiration rate</t>
  </si>
  <si>
    <t>Basal microbe respiration rate</t>
  </si>
  <si>
    <t>kA</t>
  </si>
  <si>
    <t>Microbe half saturation rate</t>
  </si>
  <si>
    <t>Microbial maximum uptake rate</t>
  </si>
  <si>
    <t>hr^-1</t>
  </si>
  <si>
    <t>epsilon</t>
  </si>
  <si>
    <t>microbial efficiency</t>
  </si>
  <si>
    <t>kS</t>
  </si>
  <si>
    <t>Heterotrophic respiration rate</t>
  </si>
  <si>
    <t>Microbe Q10</t>
  </si>
  <si>
    <t>Q10R</t>
  </si>
  <si>
    <t>Root Q10 value</t>
  </si>
  <si>
    <t>gR</t>
  </si>
  <si>
    <t>linear model parameter for root</t>
  </si>
  <si>
    <t>estimated from Zobitz 2021</t>
  </si>
  <si>
    <t>f</t>
  </si>
  <si>
    <t>Scaling parameter for heterotrophic respiration</t>
  </si>
  <si>
    <t>Estimated?</t>
  </si>
  <si>
    <t>OLD</t>
  </si>
  <si>
    <t>Annual SoilR = 161 + 3.61 * Annual LitterFall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</si>
</sst>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698500</xdr:colOff>
      <xdr:row>3</xdr:row>
      <xdr:rowOff>88900</xdr:rowOff>
    </xdr:from>
    <xdr:to>
      <xdr:col>13</xdr:col>
      <xdr:colOff>800100</xdr:colOff>
      <xdr:row>16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F049CF-F378-7E4B-80F9-FA6E88FE9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0" y="698500"/>
          <a:ext cx="12090400" cy="2590800"/>
        </a:xfrm>
        <a:prstGeom prst="rect">
          <a:avLst/>
        </a:prstGeom>
      </xdr:spPr>
    </xdr:pic>
    <xdr:clientData/>
  </xdr:twoCellAnchor>
  <xdr:twoCellAnchor editAs="oneCell">
    <xdr:from>
      <xdr:col>13</xdr:col>
      <xdr:colOff>637024</xdr:colOff>
      <xdr:row>20</xdr:row>
      <xdr:rowOff>50800</xdr:rowOff>
    </xdr:from>
    <xdr:to>
      <xdr:col>18</xdr:col>
      <xdr:colOff>812800</xdr:colOff>
      <xdr:row>38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9CEE4E-B423-9A45-961D-78970EB73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68524" y="4114800"/>
          <a:ext cx="4303276" cy="37719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355600</xdr:colOff>
      <xdr:row>17</xdr:row>
      <xdr:rowOff>164584</xdr:rowOff>
    </xdr:from>
    <xdr:to>
      <xdr:col>18</xdr:col>
      <xdr:colOff>736600</xdr:colOff>
      <xdr:row>39</xdr:row>
      <xdr:rowOff>12699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C3EF48-6475-344B-816E-D759F6CE8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10600" y="3618984"/>
          <a:ext cx="7086600" cy="4318515"/>
        </a:xfrm>
        <a:prstGeom prst="rect">
          <a:avLst/>
        </a:prstGeom>
      </xdr:spPr>
    </xdr:pic>
    <xdr:clientData/>
  </xdr:twoCellAnchor>
  <xdr:twoCellAnchor editAs="oneCell">
    <xdr:from>
      <xdr:col>8</xdr:col>
      <xdr:colOff>622300</xdr:colOff>
      <xdr:row>42</xdr:row>
      <xdr:rowOff>131576</xdr:rowOff>
    </xdr:from>
    <xdr:to>
      <xdr:col>20</xdr:col>
      <xdr:colOff>406400</xdr:colOff>
      <xdr:row>52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467B01-8312-4C44-8AC6-5F989E242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27900" y="8462776"/>
          <a:ext cx="10134600" cy="2002024"/>
        </a:xfrm>
        <a:prstGeom prst="rect">
          <a:avLst/>
        </a:prstGeom>
      </xdr:spPr>
    </xdr:pic>
    <xdr:clientData/>
  </xdr:twoCellAnchor>
  <xdr:twoCellAnchor editAs="oneCell">
    <xdr:from>
      <xdr:col>1</xdr:col>
      <xdr:colOff>444500</xdr:colOff>
      <xdr:row>60</xdr:row>
      <xdr:rowOff>50800</xdr:rowOff>
    </xdr:from>
    <xdr:to>
      <xdr:col>10</xdr:col>
      <xdr:colOff>368300</xdr:colOff>
      <xdr:row>69</xdr:row>
      <xdr:rowOff>177800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A61187-4356-944F-A191-96935B8FD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00" y="12039600"/>
          <a:ext cx="8509000" cy="19558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9</xdr:col>
      <xdr:colOff>228600</xdr:colOff>
      <xdr:row>90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93074DF-B386-0743-96F3-2E631932D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1000" y="16052800"/>
          <a:ext cx="6108700" cy="22098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81</xdr:row>
      <xdr:rowOff>0</xdr:rowOff>
    </xdr:from>
    <xdr:to>
      <xdr:col>21</xdr:col>
      <xdr:colOff>190500</xdr:colOff>
      <xdr:row>100</xdr:row>
      <xdr:rowOff>127000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6CFBD65-A2C5-D64E-83DC-78B22A202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82100" y="16256000"/>
          <a:ext cx="8788400" cy="39878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12</xdr:col>
      <xdr:colOff>76200</xdr:colOff>
      <xdr:row>112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E96C39B-2B2D-5F49-85B1-A1E1F8821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51000" y="19913600"/>
          <a:ext cx="8534400" cy="2641600"/>
        </a:xfrm>
        <a:prstGeom prst="rect">
          <a:avLst/>
        </a:prstGeom>
      </xdr:spPr>
    </xdr:pic>
    <xdr:clientData/>
  </xdr:twoCellAnchor>
  <xdr:twoCellAnchor editAs="oneCell">
    <xdr:from>
      <xdr:col>13</xdr:col>
      <xdr:colOff>736600</xdr:colOff>
      <xdr:row>52</xdr:row>
      <xdr:rowOff>191276</xdr:rowOff>
    </xdr:from>
    <xdr:to>
      <xdr:col>24</xdr:col>
      <xdr:colOff>50800</xdr:colOff>
      <xdr:row>78</xdr:row>
      <xdr:rowOff>177800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D1BA5A-4F22-2A45-994E-5FB124FE4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69700" y="10554476"/>
          <a:ext cx="8737600" cy="526972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19</xdr:col>
      <xdr:colOff>38100</xdr:colOff>
      <xdr:row>133</xdr:row>
      <xdr:rowOff>177800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509FD17-4E50-8547-85AC-915F426CB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29100" y="22961600"/>
          <a:ext cx="11696700" cy="4038600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127000</xdr:colOff>
      <xdr:row>135</xdr:row>
      <xdr:rowOff>63500</xdr:rowOff>
    </xdr:from>
    <xdr:to>
      <xdr:col>19</xdr:col>
      <xdr:colOff>152400</xdr:colOff>
      <xdr:row>155</xdr:row>
      <xdr:rowOff>63500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03B2F8B-F7AE-B742-816F-6B8BA1014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56100" y="27292300"/>
          <a:ext cx="11684000" cy="4064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533400</xdr:colOff>
      <xdr:row>158</xdr:row>
      <xdr:rowOff>25400</xdr:rowOff>
    </xdr:from>
    <xdr:to>
      <xdr:col>15</xdr:col>
      <xdr:colOff>558800</xdr:colOff>
      <xdr:row>167</xdr:row>
      <xdr:rowOff>25400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E332FED-EAF7-5E48-B5C2-A46026C1D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595100" y="32131000"/>
          <a:ext cx="2501900" cy="1828800"/>
        </a:xfrm>
        <a:prstGeom prst="rect">
          <a:avLst/>
        </a:prstGeom>
      </xdr:spPr>
    </xdr:pic>
    <xdr:clientData/>
  </xdr:twoCellAnchor>
  <xdr:twoCellAnchor editAs="oneCell">
    <xdr:from>
      <xdr:col>18</xdr:col>
      <xdr:colOff>63500</xdr:colOff>
      <xdr:row>184</xdr:row>
      <xdr:rowOff>88900</xdr:rowOff>
    </xdr:from>
    <xdr:to>
      <xdr:col>20</xdr:col>
      <xdr:colOff>571500</xdr:colOff>
      <xdr:row>193</xdr:row>
      <xdr:rowOff>88900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EA63C0-3215-A44C-94BE-1FAB1775C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179800" y="37477700"/>
          <a:ext cx="2501900" cy="1828800"/>
        </a:xfrm>
        <a:prstGeom prst="rect">
          <a:avLst/>
        </a:prstGeom>
      </xdr:spPr>
    </xdr:pic>
    <xdr:clientData/>
  </xdr:twoCellAnchor>
  <xdr:twoCellAnchor editAs="oneCell">
    <xdr:from>
      <xdr:col>16</xdr:col>
      <xdr:colOff>215900</xdr:colOff>
      <xdr:row>186</xdr:row>
      <xdr:rowOff>190500</xdr:rowOff>
    </xdr:from>
    <xdr:to>
      <xdr:col>18</xdr:col>
      <xdr:colOff>25400</xdr:colOff>
      <xdr:row>192</xdr:row>
      <xdr:rowOff>88900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21E69B-4008-4848-B36F-7447AAF73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681200" y="37985700"/>
          <a:ext cx="1460500" cy="111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7A40-2F74-C24C-8B5F-F17984BB0B4A}">
  <dimension ref="A20:U221"/>
  <sheetViews>
    <sheetView tabSelected="1" topLeftCell="A47" workbookViewId="0">
      <selection activeCell="E72" sqref="E72"/>
    </sheetView>
  </sheetViews>
  <sheetFormatPr baseColWidth="10" defaultRowHeight="16" x14ac:dyDescent="0.2"/>
  <cols>
    <col min="2" max="2" width="24.6640625" customWidth="1"/>
    <col min="3" max="3" width="12.1640625" bestFit="1" customWidth="1"/>
    <col min="11" max="11" width="12.1640625" bestFit="1" customWidth="1"/>
    <col min="20" max="20" width="15.33203125" customWidth="1"/>
  </cols>
  <sheetData>
    <row r="20" spans="1:7" x14ac:dyDescent="0.2">
      <c r="C20" t="s">
        <v>65</v>
      </c>
      <c r="F20" t="s">
        <v>5</v>
      </c>
    </row>
    <row r="21" spans="1:7" x14ac:dyDescent="0.2">
      <c r="B21" t="s">
        <v>0</v>
      </c>
      <c r="C21" t="s">
        <v>0</v>
      </c>
      <c r="D21" t="s">
        <v>2</v>
      </c>
      <c r="E21" t="s">
        <v>3</v>
      </c>
    </row>
    <row r="22" spans="1:7" x14ac:dyDescent="0.2">
      <c r="B22" t="s">
        <v>1</v>
      </c>
      <c r="C22">
        <f>(2.61*43.7/100+2.22*3.11/100+7.74*5.1/100)*1000</f>
        <v>1604.3520000000001</v>
      </c>
      <c r="D22">
        <f>(7.46*39.7/100+2.18*29.1/100+8.64*14.2/100)*1000</f>
        <v>4822.88</v>
      </c>
      <c r="E22">
        <f>1000*(8.3*64.2/100+2.16*29.4/100+6.4*28.1/100)</f>
        <v>7762.04</v>
      </c>
    </row>
    <row r="23" spans="1:7" x14ac:dyDescent="0.2">
      <c r="B23" t="s">
        <v>4</v>
      </c>
      <c r="C23">
        <f>150</f>
        <v>150</v>
      </c>
      <c r="D23">
        <v>150</v>
      </c>
      <c r="E23">
        <v>150</v>
      </c>
    </row>
    <row r="24" spans="1:7" x14ac:dyDescent="0.2">
      <c r="B24" t="s">
        <v>6</v>
      </c>
      <c r="C24">
        <f>(3.5+0.13+1)*(2.61+2.22+7.74)*1000*0.001</f>
        <v>58.199100000000001</v>
      </c>
      <c r="D24">
        <f>(3.2+3.5+0.2)*(7.46+2.18+8.64)*1000*0.001</f>
        <v>126.13200000000002</v>
      </c>
      <c r="E24">
        <f>(8.5+3.3+2)*(8.3+2.16+6.4)*1000*0.001</f>
        <v>232.66800000000001</v>
      </c>
    </row>
    <row r="25" spans="1:7" x14ac:dyDescent="0.2">
      <c r="B25" t="s">
        <v>7</v>
      </c>
      <c r="C25">
        <f>2.61*1000*43.7/100</f>
        <v>1140.5700000000002</v>
      </c>
      <c r="D25">
        <f>7.46*1000*39.7/100</f>
        <v>2961.62</v>
      </c>
      <c r="E25">
        <f>8.3*1000*64.2/100</f>
        <v>5328.6</v>
      </c>
      <c r="F25">
        <f>SUM(C25:E25)</f>
        <v>9430.7900000000009</v>
      </c>
    </row>
    <row r="26" spans="1:7" x14ac:dyDescent="0.2">
      <c r="B26" t="s">
        <v>8</v>
      </c>
      <c r="C26">
        <f>2.22*1000*3.11/100</f>
        <v>69.042000000000002</v>
      </c>
      <c r="D26">
        <f>2.18*1000*29.1/100</f>
        <v>634.38</v>
      </c>
      <c r="E26">
        <f>2.16*1000*29.4/100</f>
        <v>635.04</v>
      </c>
      <c r="F26">
        <f t="shared" ref="F26:F27" si="0">SUM(C26:E26)</f>
        <v>1338.462</v>
      </c>
    </row>
    <row r="27" spans="1:7" x14ac:dyDescent="0.2">
      <c r="B27" t="s">
        <v>9</v>
      </c>
      <c r="C27">
        <f>7.74*1000*5.1/100</f>
        <v>394.74</v>
      </c>
      <c r="D27">
        <f>8.64*1000*14.2/100</f>
        <v>1226.8800000000001</v>
      </c>
      <c r="E27">
        <f>6.4*1000*28.2/100</f>
        <v>1804.8</v>
      </c>
      <c r="F27">
        <f t="shared" si="0"/>
        <v>3426.42</v>
      </c>
      <c r="G27" t="s">
        <v>13</v>
      </c>
    </row>
    <row r="28" spans="1:7" x14ac:dyDescent="0.2">
      <c r="B28" t="s">
        <v>70</v>
      </c>
    </row>
    <row r="29" spans="1:7" x14ac:dyDescent="0.2">
      <c r="B29" t="s">
        <v>10</v>
      </c>
      <c r="C29">
        <v>3</v>
      </c>
      <c r="D29">
        <v>2.25</v>
      </c>
      <c r="E29">
        <v>2.25</v>
      </c>
    </row>
    <row r="30" spans="1:7" x14ac:dyDescent="0.2">
      <c r="A30" t="s">
        <v>68</v>
      </c>
      <c r="B30" t="s">
        <v>67</v>
      </c>
      <c r="C30">
        <f>1.782+0.353*3.5-0.022*5-0.223*1.01</f>
        <v>2.6822700000000004</v>
      </c>
      <c r="D30">
        <f>1.782+0.353*3.2-0.022*5-0.223*0.88</f>
        <v>2.6053600000000001</v>
      </c>
      <c r="E30">
        <f>1.782+0.353*8.5-0.022*5-0.223*0.29</f>
        <v>4.6078299999999999</v>
      </c>
      <c r="G30" t="s">
        <v>12</v>
      </c>
    </row>
    <row r="31" spans="1:7" x14ac:dyDescent="0.2">
      <c r="C31">
        <f>1.782+0.353*0.13-0.022*10-0.223*1.01</f>
        <v>1.38266</v>
      </c>
      <c r="D31">
        <f>1.782+0.353*3.5-0.022*10-0.223*0.88</f>
        <v>2.6012600000000003</v>
      </c>
      <c r="E31">
        <f>1.782+0.353*3.3-0.022*10-0.223*0.29</f>
        <v>2.6622299999999997</v>
      </c>
    </row>
    <row r="32" spans="1:7" x14ac:dyDescent="0.2">
      <c r="C32">
        <f>1.782+0.353*1-0.022*30-0.223*1.01</f>
        <v>1.2497699999999998</v>
      </c>
      <c r="D32">
        <f>1.782+0.353*0.2-0.022*30-0.223*0.88</f>
        <v>0.99636000000000013</v>
      </c>
      <c r="E32">
        <f>1.782+0.353*2-0.022*30-0.223*0.29</f>
        <v>1.7633300000000001</v>
      </c>
    </row>
    <row r="33" spans="2:7" x14ac:dyDescent="0.2">
      <c r="B33" t="s">
        <v>11</v>
      </c>
      <c r="C33">
        <f>AVERAGE(C30:C32)*1/(1000000)*12/44*24</f>
        <v>1.1595709090909091E-5</v>
      </c>
      <c r="D33">
        <f t="shared" ref="D33:E33" si="1">AVERAGE(D30:D32)*1/(1000000)*12/44*24</f>
        <v>1.3533774545454547E-5</v>
      </c>
      <c r="E33">
        <f t="shared" si="1"/>
        <v>1.9709214545454547E-5</v>
      </c>
      <c r="G33" t="s">
        <v>66</v>
      </c>
    </row>
    <row r="34" spans="2:7" x14ac:dyDescent="0.2">
      <c r="B34" t="s">
        <v>11</v>
      </c>
      <c r="C34">
        <f>C33*(2.61+2.22+7.74)*1000/C24</f>
        <v>2.5044728058118988E-3</v>
      </c>
      <c r="D34">
        <f>D33*(7.46+2.18+8.64)*1000/D24</f>
        <v>1.9614166007905138E-3</v>
      </c>
      <c r="E34">
        <f>E33*(8.3+2.16+6.4)*1000/E24</f>
        <v>1.4282039525691701E-3</v>
      </c>
      <c r="F34">
        <f>AVERAGE(C34:E34)</f>
        <v>1.9646977863905274E-3</v>
      </c>
      <c r="G34" t="s">
        <v>69</v>
      </c>
    </row>
    <row r="36" spans="2:7" x14ac:dyDescent="0.2">
      <c r="C36">
        <f>1*10^6</f>
        <v>1000000</v>
      </c>
      <c r="D36">
        <v>1000000</v>
      </c>
    </row>
    <row r="39" spans="2:7" x14ac:dyDescent="0.2">
      <c r="B39" t="s">
        <v>21</v>
      </c>
      <c r="C39" t="s">
        <v>14</v>
      </c>
      <c r="G39" t="s">
        <v>16</v>
      </c>
    </row>
    <row r="40" spans="2:7" x14ac:dyDescent="0.2">
      <c r="C40" t="s">
        <v>15</v>
      </c>
      <c r="G40" t="s">
        <v>17</v>
      </c>
    </row>
    <row r="41" spans="2:7" x14ac:dyDescent="0.2">
      <c r="C41">
        <f>0.2 /10000*1000000</f>
        <v>20</v>
      </c>
    </row>
    <row r="42" spans="2:7" x14ac:dyDescent="0.2">
      <c r="C42">
        <f>0.2/0.001</f>
        <v>200</v>
      </c>
      <c r="D42" t="s">
        <v>18</v>
      </c>
    </row>
    <row r="43" spans="2:7" x14ac:dyDescent="0.2">
      <c r="C43" t="s">
        <v>26</v>
      </c>
      <c r="G43" t="s">
        <v>25</v>
      </c>
    </row>
    <row r="44" spans="2:7" x14ac:dyDescent="0.2">
      <c r="B44" t="s">
        <v>19</v>
      </c>
      <c r="C44">
        <v>0</v>
      </c>
      <c r="D44">
        <f>100/(0.09*1000)</f>
        <v>1.1111111111111112</v>
      </c>
      <c r="E44">
        <f>100/(5.5*1000)</f>
        <v>1.8181818181818181E-2</v>
      </c>
      <c r="G44" t="s">
        <v>24</v>
      </c>
    </row>
    <row r="45" spans="2:7" x14ac:dyDescent="0.2">
      <c r="B45" t="s">
        <v>20</v>
      </c>
      <c r="C45">
        <v>0.12</v>
      </c>
      <c r="D45">
        <v>0.12</v>
      </c>
      <c r="E45">
        <v>0.12</v>
      </c>
    </row>
    <row r="46" spans="2:7" x14ac:dyDescent="0.2">
      <c r="B46" t="s">
        <v>19</v>
      </c>
      <c r="C46">
        <v>0</v>
      </c>
      <c r="D46">
        <v>100</v>
      </c>
      <c r="E46">
        <v>100</v>
      </c>
      <c r="G46" t="s">
        <v>27</v>
      </c>
    </row>
    <row r="47" spans="2:7" x14ac:dyDescent="0.2">
      <c r="B47" t="s">
        <v>20</v>
      </c>
      <c r="C47">
        <v>0.12</v>
      </c>
      <c r="D47">
        <v>0.12</v>
      </c>
      <c r="E47">
        <v>0.12</v>
      </c>
    </row>
    <row r="48" spans="2:7" x14ac:dyDescent="0.2">
      <c r="B48" t="s">
        <v>22</v>
      </c>
      <c r="C48">
        <v>0.26</v>
      </c>
      <c r="D48" t="s">
        <v>23</v>
      </c>
    </row>
    <row r="49" spans="2:13" x14ac:dyDescent="0.2">
      <c r="B49" t="s">
        <v>75</v>
      </c>
      <c r="C49" t="s">
        <v>76</v>
      </c>
    </row>
    <row r="50" spans="2:13" x14ac:dyDescent="0.2">
      <c r="C50" t="s">
        <v>77</v>
      </c>
    </row>
    <row r="51" spans="2:13" x14ac:dyDescent="0.2">
      <c r="C51">
        <f>0.3/17/7</f>
        <v>2.5210084033613447E-3</v>
      </c>
    </row>
    <row r="52" spans="2:13" x14ac:dyDescent="0.2">
      <c r="B52" t="s">
        <v>34</v>
      </c>
      <c r="C52" t="s">
        <v>28</v>
      </c>
    </row>
    <row r="53" spans="2:13" x14ac:dyDescent="0.2">
      <c r="C53" t="s">
        <v>29</v>
      </c>
    </row>
    <row r="54" spans="2:13" x14ac:dyDescent="0.2">
      <c r="C54" t="s">
        <v>30</v>
      </c>
      <c r="D54" t="s">
        <v>33</v>
      </c>
      <c r="F54">
        <f>0.1/12*12</f>
        <v>0.1</v>
      </c>
    </row>
    <row r="55" spans="2:13" x14ac:dyDescent="0.2">
      <c r="C55" t="s">
        <v>31</v>
      </c>
      <c r="D55" s="1" t="s">
        <v>32</v>
      </c>
      <c r="F55">
        <f>0.16/14*12</f>
        <v>0.13714285714285715</v>
      </c>
    </row>
    <row r="56" spans="2:13" x14ac:dyDescent="0.2">
      <c r="C56">
        <f>0.1/365</f>
        <v>2.7397260273972606E-4</v>
      </c>
    </row>
    <row r="57" spans="2:13" x14ac:dyDescent="0.2">
      <c r="B57" t="s">
        <v>46</v>
      </c>
      <c r="D57" t="s">
        <v>46</v>
      </c>
      <c r="E57" t="s">
        <v>47</v>
      </c>
      <c r="F57" t="s">
        <v>48</v>
      </c>
      <c r="G57" t="s">
        <v>49</v>
      </c>
      <c r="H57" t="s">
        <v>50</v>
      </c>
      <c r="J57">
        <f>5.5*1000*0.3</f>
        <v>1650</v>
      </c>
    </row>
    <row r="59" spans="2:13" x14ac:dyDescent="0.2">
      <c r="C59" t="s">
        <v>35</v>
      </c>
      <c r="E59" t="s">
        <v>45</v>
      </c>
      <c r="M59">
        <f>0.1702*0.05</f>
        <v>8.5100000000000002E-3</v>
      </c>
    </row>
    <row r="60" spans="2:13" x14ac:dyDescent="0.2">
      <c r="M60">
        <f>0.00732*0.05</f>
        <v>3.6600000000000001E-4</v>
      </c>
    </row>
    <row r="61" spans="2:13" x14ac:dyDescent="0.2">
      <c r="M61">
        <f>0.059*0.05</f>
        <v>2.9499999999999999E-3</v>
      </c>
    </row>
    <row r="71" spans="2:13" x14ac:dyDescent="0.2">
      <c r="B71" t="s">
        <v>133</v>
      </c>
      <c r="C71">
        <f>AVERAGE(0.146,0.128,0.047,0.27,0.268)</f>
        <v>0.17180000000000001</v>
      </c>
      <c r="D71" t="s">
        <v>137</v>
      </c>
      <c r="E71">
        <f>AVERAGE(0.0054,0.0062,0.0174,0.0045,0.0031)</f>
        <v>7.3199999999999984E-3</v>
      </c>
      <c r="F71" t="s">
        <v>139</v>
      </c>
    </row>
    <row r="73" spans="2:13" x14ac:dyDescent="0.2">
      <c r="C73" t="s">
        <v>36</v>
      </c>
      <c r="D73" t="s">
        <v>37</v>
      </c>
      <c r="E73">
        <f>1/108*365</f>
        <v>3.3796296296296293</v>
      </c>
      <c r="F73" t="s">
        <v>38</v>
      </c>
    </row>
    <row r="74" spans="2:13" x14ac:dyDescent="0.2">
      <c r="E74">
        <f>1/108*365</f>
        <v>3.3796296296296293</v>
      </c>
    </row>
    <row r="75" spans="2:13" x14ac:dyDescent="0.2">
      <c r="L75">
        <v>0</v>
      </c>
      <c r="M75">
        <f>L75*0.3*1000</f>
        <v>0</v>
      </c>
    </row>
    <row r="76" spans="2:13" x14ac:dyDescent="0.2">
      <c r="B76">
        <f>0.1702/365</f>
        <v>4.6630136986301366E-4</v>
      </c>
      <c r="C76" s="2" t="s">
        <v>39</v>
      </c>
      <c r="D76" s="2" t="s">
        <v>40</v>
      </c>
      <c r="E76" s="2"/>
      <c r="F76" s="2"/>
      <c r="G76" s="2"/>
      <c r="H76" s="2"/>
      <c r="I76" s="2"/>
      <c r="L76">
        <v>0.09</v>
      </c>
      <c r="M76">
        <f>L76*0.3*1000</f>
        <v>27</v>
      </c>
    </row>
    <row r="77" spans="2:13" x14ac:dyDescent="0.2">
      <c r="C77" s="2" t="s">
        <v>51</v>
      </c>
      <c r="D77" s="2"/>
      <c r="E77" s="2"/>
      <c r="F77" s="2">
        <f>0.05*1.6+0.04</f>
        <v>0.12000000000000002</v>
      </c>
      <c r="G77" s="2" t="s">
        <v>52</v>
      </c>
      <c r="H77" s="2">
        <f>0.16+0.37*1.6</f>
        <v>0.752</v>
      </c>
      <c r="I77" s="2" t="s">
        <v>53</v>
      </c>
      <c r="L77">
        <v>5.5</v>
      </c>
      <c r="M77">
        <f>L77*0.3*1000</f>
        <v>1650</v>
      </c>
    </row>
    <row r="78" spans="2:13" x14ac:dyDescent="0.2">
      <c r="C78" t="s">
        <v>41</v>
      </c>
      <c r="D78" t="s">
        <v>42</v>
      </c>
      <c r="L78">
        <f>0.09*0.3*1000</f>
        <v>27</v>
      </c>
      <c r="M78">
        <f>5.5*0.3*1000</f>
        <v>1650</v>
      </c>
    </row>
    <row r="79" spans="2:13" x14ac:dyDescent="0.2">
      <c r="C79" t="s">
        <v>43</v>
      </c>
    </row>
    <row r="93" spans="2:9" x14ac:dyDescent="0.2">
      <c r="B93" s="2" t="s">
        <v>56</v>
      </c>
      <c r="C93" s="2" t="s">
        <v>44</v>
      </c>
      <c r="D93" s="2"/>
      <c r="E93" s="2"/>
      <c r="F93" s="2"/>
      <c r="G93" s="2"/>
      <c r="H93" s="2"/>
      <c r="I93" s="2"/>
    </row>
    <row r="94" spans="2:9" x14ac:dyDescent="0.2">
      <c r="B94" s="2" t="s">
        <v>55</v>
      </c>
      <c r="C94" s="2">
        <f>2/0.488/(F94)*F95*1000</f>
        <v>327.86885245901635</v>
      </c>
      <c r="D94" s="2">
        <f>2/0.488/(G94)*G95*1000</f>
        <v>699.72011195521793</v>
      </c>
      <c r="E94" s="2">
        <f>2/0.488/(H94)*H95*1000</f>
        <v>249.9196399871424</v>
      </c>
      <c r="F94" s="2">
        <v>15</v>
      </c>
      <c r="G94" s="2">
        <v>8.1999999999999993</v>
      </c>
      <c r="H94" s="2">
        <v>10.199999999999999</v>
      </c>
      <c r="I94" s="2" t="s">
        <v>71</v>
      </c>
    </row>
    <row r="95" spans="2:9" x14ac:dyDescent="0.2">
      <c r="B95" s="2" t="s">
        <v>54</v>
      </c>
      <c r="C95" s="2">
        <f>AVERAGE(C94:E94)</f>
        <v>425.83620146712559</v>
      </c>
      <c r="D95" s="2"/>
      <c r="E95" s="2"/>
      <c r="F95" s="2">
        <v>1.2</v>
      </c>
      <c r="G95" s="2">
        <v>1.4</v>
      </c>
      <c r="H95" s="2">
        <v>0.622</v>
      </c>
      <c r="I95" s="2"/>
    </row>
    <row r="97" spans="2:3" x14ac:dyDescent="0.2">
      <c r="B97" s="2" t="s">
        <v>57</v>
      </c>
      <c r="C97">
        <f>AVERAGE(0.26,0.195)</f>
        <v>0.22750000000000001</v>
      </c>
    </row>
    <row r="114" spans="2:5" x14ac:dyDescent="0.2">
      <c r="B114" s="2" t="s">
        <v>72</v>
      </c>
      <c r="C114" s="2">
        <f>1.7/1000000*12*86400/C94</f>
        <v>5.375808000000001E-3</v>
      </c>
      <c r="D114" s="2">
        <f t="shared" ref="D114:E114" si="2">1.7/1000000*12*86400/D94</f>
        <v>2.5189500342857143E-3</v>
      </c>
      <c r="E114" s="2">
        <f t="shared" si="2"/>
        <v>7.0525069581993576E-3</v>
      </c>
    </row>
    <row r="115" spans="2:5" x14ac:dyDescent="0.2">
      <c r="C115" t="s">
        <v>73</v>
      </c>
    </row>
    <row r="118" spans="2:5" x14ac:dyDescent="0.2">
      <c r="C118" t="s">
        <v>58</v>
      </c>
    </row>
    <row r="120" spans="2:5" x14ac:dyDescent="0.2">
      <c r="C120">
        <f>6.89/1000000*12*86400/425</f>
        <v>1.6808357647058823E-2</v>
      </c>
    </row>
    <row r="138" spans="3:3" x14ac:dyDescent="0.2">
      <c r="C138" t="s">
        <v>59</v>
      </c>
    </row>
    <row r="139" spans="3:3" x14ac:dyDescent="0.2">
      <c r="C139" t="s">
        <v>74</v>
      </c>
    </row>
    <row r="143" spans="3:3" x14ac:dyDescent="0.2">
      <c r="C143">
        <f>1/0.12</f>
        <v>8.3333333333333339</v>
      </c>
    </row>
    <row r="144" spans="3:3" x14ac:dyDescent="0.2">
      <c r="C144">
        <f>1/56</f>
        <v>1.7857142857142856E-2</v>
      </c>
    </row>
    <row r="161" spans="3:17" x14ac:dyDescent="0.2">
      <c r="C161" t="s">
        <v>60</v>
      </c>
      <c r="D161" t="s">
        <v>61</v>
      </c>
      <c r="E161" t="s">
        <v>62</v>
      </c>
      <c r="G161" t="s">
        <v>63</v>
      </c>
    </row>
    <row r="162" spans="3:17" x14ac:dyDescent="0.2">
      <c r="E162">
        <f xml:space="preserve"> 2.6*1000000/10000</f>
        <v>260</v>
      </c>
      <c r="G162" t="s">
        <v>64</v>
      </c>
    </row>
    <row r="166" spans="3:17" x14ac:dyDescent="0.2">
      <c r="C166" t="s">
        <v>78</v>
      </c>
    </row>
    <row r="168" spans="3:17" x14ac:dyDescent="0.2">
      <c r="D168" t="s">
        <v>82</v>
      </c>
    </row>
    <row r="169" spans="3:17" x14ac:dyDescent="0.2">
      <c r="G169" t="s">
        <v>83</v>
      </c>
      <c r="K169" t="s">
        <v>88</v>
      </c>
      <c r="Q169">
        <f>5.24*1000</f>
        <v>5240</v>
      </c>
    </row>
    <row r="170" spans="3:17" x14ac:dyDescent="0.2">
      <c r="F170" t="s">
        <v>81</v>
      </c>
      <c r="G170">
        <v>2012</v>
      </c>
      <c r="H170">
        <v>1990</v>
      </c>
      <c r="I170">
        <v>1969</v>
      </c>
      <c r="J170" t="s">
        <v>84</v>
      </c>
      <c r="K170">
        <v>2012</v>
      </c>
      <c r="L170">
        <v>1990</v>
      </c>
      <c r="M170">
        <v>1969</v>
      </c>
      <c r="N170" t="s">
        <v>84</v>
      </c>
    </row>
    <row r="171" spans="3:17" x14ac:dyDescent="0.2">
      <c r="C171" t="s">
        <v>79</v>
      </c>
      <c r="D171" t="s">
        <v>75</v>
      </c>
      <c r="E171" t="s">
        <v>76</v>
      </c>
      <c r="F171">
        <f>0.3/17/7</f>
        <v>2.5210084033613447E-3</v>
      </c>
      <c r="G171">
        <f>0*F171*365</f>
        <v>0</v>
      </c>
      <c r="H171">
        <f>0.09*F171*365*1000</f>
        <v>82.815126050420176</v>
      </c>
      <c r="I171">
        <f>3.5*F171*365*1000</f>
        <v>3220.5882352941176</v>
      </c>
      <c r="J171">
        <f>5.24*F171*365*1000</f>
        <v>4821.6806722689089</v>
      </c>
      <c r="K171">
        <f>0*$F171</f>
        <v>0</v>
      </c>
      <c r="L171">
        <f>0.09*F171*1000</f>
        <v>0.22689075630252101</v>
      </c>
      <c r="M171">
        <f>3.5*F171*1000</f>
        <v>8.8235294117647065</v>
      </c>
      <c r="N171">
        <f>5.24*F171*1000</f>
        <v>13.210084033613448</v>
      </c>
    </row>
    <row r="172" spans="3:17" x14ac:dyDescent="0.2">
      <c r="C172" t="s">
        <v>80</v>
      </c>
      <c r="D172" t="s">
        <v>30</v>
      </c>
      <c r="E172" t="s">
        <v>33</v>
      </c>
      <c r="F172">
        <f>0.1/365</f>
        <v>2.7397260273972606E-4</v>
      </c>
      <c r="G172">
        <f>0.3*F172*365*1000</f>
        <v>30.000000000000004</v>
      </c>
      <c r="H172">
        <f>0.7*F172*365*1000</f>
        <v>70</v>
      </c>
      <c r="I172">
        <f>0.7*F172*365*1000</f>
        <v>70</v>
      </c>
      <c r="J172">
        <f>0.6*F172*365*1000</f>
        <v>60.000000000000007</v>
      </c>
      <c r="K172">
        <f>0.3*F172*1000</f>
        <v>8.2191780821917804E-2</v>
      </c>
      <c r="L172">
        <f>0.7*F172*1000</f>
        <v>0.19178082191780824</v>
      </c>
      <c r="M172">
        <f>0.7*F172*1000</f>
        <v>0.19178082191780824</v>
      </c>
      <c r="N172">
        <f>0.6*F172*1000</f>
        <v>0.16438356164383561</v>
      </c>
    </row>
    <row r="173" spans="3:17" x14ac:dyDescent="0.2">
      <c r="D173" t="s">
        <v>31</v>
      </c>
      <c r="E173" s="1" t="s">
        <v>86</v>
      </c>
      <c r="F173">
        <f>0.3/22*12/365</f>
        <v>4.4831880448318803E-4</v>
      </c>
      <c r="G173">
        <f>0.3*F173*365*1000</f>
        <v>49.090909090909086</v>
      </c>
      <c r="H173">
        <f>0.7*F173*365*1000</f>
        <v>114.54545454545455</v>
      </c>
      <c r="I173">
        <f>0.7*F173*365*1000</f>
        <v>114.54545454545455</v>
      </c>
      <c r="J173">
        <f>0.6*F173*365*1000</f>
        <v>98.181818181818173</v>
      </c>
      <c r="K173">
        <f>0.3*F173*1000</f>
        <v>0.1344956413449564</v>
      </c>
      <c r="L173">
        <f>0.7*F173*1000</f>
        <v>0.31382316313823161</v>
      </c>
      <c r="M173">
        <f>0.7*F173*1000</f>
        <v>0.31382316313823161</v>
      </c>
      <c r="N173">
        <f>0.6*F173*1000</f>
        <v>0.26899128268991279</v>
      </c>
    </row>
    <row r="174" spans="3:17" x14ac:dyDescent="0.2">
      <c r="G174">
        <f>AVERAGE(G171:G172)</f>
        <v>15.000000000000002</v>
      </c>
      <c r="H174">
        <f t="shared" ref="H174:J174" si="3">AVERAGE(H171:H172)</f>
        <v>76.407563025210095</v>
      </c>
      <c r="I174">
        <f t="shared" si="3"/>
        <v>1645.2941176470588</v>
      </c>
      <c r="J174">
        <f t="shared" si="3"/>
        <v>2440.8403361344544</v>
      </c>
    </row>
    <row r="177" spans="3:14" x14ac:dyDescent="0.2">
      <c r="F177" t="s">
        <v>85</v>
      </c>
    </row>
    <row r="179" spans="3:14" x14ac:dyDescent="0.2">
      <c r="F179" t="s">
        <v>87</v>
      </c>
    </row>
    <row r="180" spans="3:14" x14ac:dyDescent="0.2">
      <c r="F180">
        <f>F171*365</f>
        <v>0.92016806722689082</v>
      </c>
    </row>
    <row r="181" spans="3:14" x14ac:dyDescent="0.2">
      <c r="F181">
        <f t="shared" ref="F181:F182" si="4">F172*365</f>
        <v>0.10000000000000002</v>
      </c>
    </row>
    <row r="182" spans="3:14" x14ac:dyDescent="0.2">
      <c r="F182">
        <f t="shared" si="4"/>
        <v>0.16363636363636364</v>
      </c>
    </row>
    <row r="185" spans="3:14" x14ac:dyDescent="0.2">
      <c r="C185" t="s">
        <v>78</v>
      </c>
    </row>
    <row r="188" spans="3:14" x14ac:dyDescent="0.2">
      <c r="G188" t="s">
        <v>89</v>
      </c>
      <c r="K188" t="s">
        <v>89</v>
      </c>
    </row>
    <row r="189" spans="3:14" x14ac:dyDescent="0.2">
      <c r="F189" t="s">
        <v>87</v>
      </c>
      <c r="G189">
        <v>2012</v>
      </c>
      <c r="H189">
        <v>1990</v>
      </c>
      <c r="I189">
        <v>1969</v>
      </c>
      <c r="J189" t="s">
        <v>84</v>
      </c>
      <c r="K189">
        <v>2012</v>
      </c>
      <c r="L189">
        <v>1990</v>
      </c>
      <c r="M189">
        <v>1969</v>
      </c>
      <c r="N189" t="s">
        <v>84</v>
      </c>
    </row>
    <row r="190" spans="3:14" x14ac:dyDescent="0.2">
      <c r="C190" t="s">
        <v>79</v>
      </c>
      <c r="D190" t="s">
        <v>75</v>
      </c>
      <c r="E190" t="s">
        <v>76</v>
      </c>
      <c r="F190">
        <f>0.3/17*52</f>
        <v>0.91764705882352937</v>
      </c>
      <c r="G190">
        <f>0*EXP(-0.3)</f>
        <v>0</v>
      </c>
      <c r="H190">
        <f>0.09*1000*EXP(-0.3)</f>
        <v>66.673639861354616</v>
      </c>
      <c r="I190">
        <f t="shared" ref="H190:J192" si="5">0*EXP(-0.3)</f>
        <v>0</v>
      </c>
      <c r="J190">
        <f>3.5*EXP(-0.3)*1000</f>
        <v>2592.8637723860124</v>
      </c>
      <c r="K190">
        <f>5.24*EXP(-0.3)*1000</f>
        <v>3881.8874763722019</v>
      </c>
      <c r="L190">
        <f>0.3*F190*1000</f>
        <v>275.29411764705878</v>
      </c>
      <c r="M190">
        <f>0.3*F190*1000</f>
        <v>275.29411764705878</v>
      </c>
      <c r="N190">
        <f>5.24*0.3*1000</f>
        <v>1572</v>
      </c>
    </row>
    <row r="191" spans="3:14" x14ac:dyDescent="0.2">
      <c r="C191" t="s">
        <v>80</v>
      </c>
      <c r="D191" t="s">
        <v>30</v>
      </c>
      <c r="E191" t="s">
        <v>33</v>
      </c>
      <c r="F191">
        <f>0.1</f>
        <v>0.1</v>
      </c>
      <c r="G191">
        <f t="shared" ref="G191:G192" si="6">0*EXP(-0.3)</f>
        <v>0</v>
      </c>
      <c r="H191">
        <f t="shared" si="5"/>
        <v>0</v>
      </c>
      <c r="I191">
        <f t="shared" si="5"/>
        <v>0</v>
      </c>
      <c r="J191">
        <f t="shared" si="5"/>
        <v>0</v>
      </c>
      <c r="K191">
        <f>0.3*F191*1000</f>
        <v>30</v>
      </c>
      <c r="L191">
        <f>0.7*F191*1000</f>
        <v>69.999999999999986</v>
      </c>
      <c r="M191">
        <f>0.7*F191*1000</f>
        <v>69.999999999999986</v>
      </c>
      <c r="N191">
        <f>0.6*F191*1000</f>
        <v>60</v>
      </c>
    </row>
    <row r="192" spans="3:14" x14ac:dyDescent="0.2">
      <c r="D192" t="s">
        <v>31</v>
      </c>
      <c r="E192" s="1" t="s">
        <v>86</v>
      </c>
      <c r="F192">
        <f>0.3/22*12</f>
        <v>0.16363636363636364</v>
      </c>
      <c r="G192">
        <f t="shared" si="6"/>
        <v>0</v>
      </c>
      <c r="H192">
        <f t="shared" si="5"/>
        <v>0</v>
      </c>
      <c r="I192">
        <f t="shared" si="5"/>
        <v>0</v>
      </c>
      <c r="J192">
        <f t="shared" si="5"/>
        <v>0</v>
      </c>
      <c r="K192">
        <f>0.3*F192*1000</f>
        <v>49.090909090909086</v>
      </c>
      <c r="L192">
        <f>0.7*F192*1000</f>
        <v>114.54545454545453</v>
      </c>
      <c r="M192">
        <f>0.7*F192*1000</f>
        <v>114.54545454545453</v>
      </c>
      <c r="N192">
        <f>0.6*F192*1000</f>
        <v>98.181818181818173</v>
      </c>
    </row>
    <row r="193" spans="2:21" x14ac:dyDescent="0.2">
      <c r="G193">
        <f>AVERAGE(G190:G191)</f>
        <v>0</v>
      </c>
      <c r="H193">
        <f t="shared" ref="H193:J193" si="7">AVERAGE(H190:H191)</f>
        <v>33.336819930677308</v>
      </c>
      <c r="I193">
        <f t="shared" si="7"/>
        <v>0</v>
      </c>
      <c r="J193">
        <f t="shared" si="7"/>
        <v>1296.4318861930062</v>
      </c>
    </row>
    <row r="196" spans="2:21" x14ac:dyDescent="0.2">
      <c r="F196" t="s">
        <v>85</v>
      </c>
    </row>
    <row r="198" spans="2:21" x14ac:dyDescent="0.2">
      <c r="F198" t="s">
        <v>87</v>
      </c>
      <c r="S198" t="s">
        <v>96</v>
      </c>
    </row>
    <row r="199" spans="2:21" x14ac:dyDescent="0.2">
      <c r="F199">
        <f>F190*365</f>
        <v>334.94117647058823</v>
      </c>
      <c r="O199" t="s">
        <v>92</v>
      </c>
      <c r="P199" t="s">
        <v>93</v>
      </c>
      <c r="Q199" t="s">
        <v>94</v>
      </c>
      <c r="R199" t="s">
        <v>95</v>
      </c>
      <c r="S199" t="s">
        <v>97</v>
      </c>
      <c r="T199" t="s">
        <v>98</v>
      </c>
      <c r="U199" t="s">
        <v>79</v>
      </c>
    </row>
    <row r="200" spans="2:21" x14ac:dyDescent="0.2">
      <c r="F200">
        <f t="shared" ref="F200:F201" si="8">F191*365</f>
        <v>36.5</v>
      </c>
      <c r="N200" t="s">
        <v>84</v>
      </c>
      <c r="O200">
        <v>0.6</v>
      </c>
      <c r="P200">
        <v>1</v>
      </c>
      <c r="Q200">
        <v>5.24</v>
      </c>
      <c r="R200">
        <f>SUM(O200:Q200)</f>
        <v>6.84</v>
      </c>
      <c r="S200" s="3">
        <f>O200/R200</f>
        <v>8.771929824561403E-2</v>
      </c>
      <c r="T200" s="3">
        <f>P200/R200</f>
        <v>0.14619883040935672</v>
      </c>
      <c r="U200" s="3">
        <f>Q200/R200</f>
        <v>0.76608187134502925</v>
      </c>
    </row>
    <row r="201" spans="2:21" x14ac:dyDescent="0.2">
      <c r="F201">
        <f t="shared" si="8"/>
        <v>59.727272727272727</v>
      </c>
      <c r="N201">
        <v>1969</v>
      </c>
      <c r="O201">
        <v>0.7</v>
      </c>
      <c r="P201">
        <v>0.6</v>
      </c>
      <c r="Q201">
        <v>3.5</v>
      </c>
      <c r="R201">
        <f t="shared" ref="R201:R203" si="9">SUM(O201:Q201)</f>
        <v>4.8</v>
      </c>
      <c r="S201" s="3">
        <f t="shared" ref="S201:S203" si="10">O201/R201</f>
        <v>0.14583333333333334</v>
      </c>
      <c r="T201" s="3">
        <f t="shared" ref="T201:T203" si="11">P201/R201</f>
        <v>0.125</v>
      </c>
      <c r="U201" s="3">
        <f t="shared" ref="U201:U203" si="12">Q201/R201</f>
        <v>0.72916666666666674</v>
      </c>
    </row>
    <row r="202" spans="2:21" x14ac:dyDescent="0.2">
      <c r="N202">
        <v>1990</v>
      </c>
      <c r="O202">
        <v>0.7</v>
      </c>
      <c r="P202">
        <v>0.7</v>
      </c>
      <c r="Q202">
        <v>0.09</v>
      </c>
      <c r="R202">
        <f t="shared" si="9"/>
        <v>1.49</v>
      </c>
      <c r="S202" s="3">
        <f t="shared" si="10"/>
        <v>0.46979865771812079</v>
      </c>
      <c r="T202" s="3">
        <f t="shared" si="11"/>
        <v>0.46979865771812079</v>
      </c>
      <c r="U202" s="3">
        <f t="shared" si="12"/>
        <v>6.0402684563758385E-2</v>
      </c>
    </row>
    <row r="203" spans="2:21" x14ac:dyDescent="0.2">
      <c r="N203">
        <v>2012</v>
      </c>
      <c r="O203">
        <v>0.3</v>
      </c>
      <c r="P203">
        <v>0.2</v>
      </c>
      <c r="Q203">
        <v>0</v>
      </c>
      <c r="R203">
        <f t="shared" si="9"/>
        <v>0.5</v>
      </c>
      <c r="S203" s="3">
        <f t="shared" si="10"/>
        <v>0.6</v>
      </c>
      <c r="T203" s="3">
        <f t="shared" si="11"/>
        <v>0.4</v>
      </c>
      <c r="U203" s="3">
        <f t="shared" si="12"/>
        <v>0</v>
      </c>
    </row>
    <row r="205" spans="2:21" x14ac:dyDescent="0.2">
      <c r="B205" t="s">
        <v>90</v>
      </c>
      <c r="C205" t="s">
        <v>171</v>
      </c>
      <c r="G205" t="s">
        <v>91</v>
      </c>
      <c r="O205" t="s">
        <v>96</v>
      </c>
    </row>
    <row r="206" spans="2:21" x14ac:dyDescent="0.2">
      <c r="O206" t="s">
        <v>97</v>
      </c>
      <c r="P206" t="s">
        <v>98</v>
      </c>
      <c r="Q206" t="s">
        <v>79</v>
      </c>
    </row>
    <row r="207" spans="2:21" x14ac:dyDescent="0.2">
      <c r="N207" t="s">
        <v>84</v>
      </c>
      <c r="O207" s="3">
        <v>8.771929824561403E-2</v>
      </c>
      <c r="P207" s="3">
        <v>0.14619883040935672</v>
      </c>
      <c r="Q207" s="3">
        <v>0.76608187134502925</v>
      </c>
    </row>
    <row r="208" spans="2:21" x14ac:dyDescent="0.2">
      <c r="N208">
        <v>1969</v>
      </c>
      <c r="O208" s="3">
        <v>0.14583333333333334</v>
      </c>
      <c r="P208" s="3">
        <v>0.125</v>
      </c>
      <c r="Q208" s="3">
        <v>0.72916666666666674</v>
      </c>
    </row>
    <row r="209" spans="2:17" x14ac:dyDescent="0.2">
      <c r="N209">
        <v>1990</v>
      </c>
      <c r="O209" s="3">
        <v>0.46979865771812079</v>
      </c>
      <c r="P209" s="3">
        <v>0.46979865771812079</v>
      </c>
      <c r="Q209" s="3">
        <v>6.0402684563758385E-2</v>
      </c>
    </row>
    <row r="210" spans="2:17" x14ac:dyDescent="0.2">
      <c r="N210">
        <v>2012</v>
      </c>
      <c r="O210" s="3">
        <v>0.6</v>
      </c>
      <c r="P210" s="3">
        <v>0.4</v>
      </c>
      <c r="Q210" s="3">
        <v>0</v>
      </c>
    </row>
    <row r="218" spans="2:17" x14ac:dyDescent="0.2">
      <c r="B218" t="s">
        <v>170</v>
      </c>
    </row>
    <row r="219" spans="2:17" x14ac:dyDescent="0.2">
      <c r="B219" t="s">
        <v>121</v>
      </c>
      <c r="C219" s="4" t="s">
        <v>122</v>
      </c>
      <c r="D219" t="s">
        <v>123</v>
      </c>
      <c r="E219">
        <v>0</v>
      </c>
      <c r="F219">
        <v>2.5000000000000001E-2</v>
      </c>
      <c r="G219">
        <v>0.50900000000000001</v>
      </c>
      <c r="H219">
        <v>0.32700000000000001</v>
      </c>
      <c r="I219" t="b">
        <v>0</v>
      </c>
      <c r="J219" t="b">
        <v>1</v>
      </c>
      <c r="K219">
        <v>0</v>
      </c>
      <c r="L219">
        <v>20</v>
      </c>
      <c r="M219" t="s">
        <v>124</v>
      </c>
    </row>
    <row r="220" spans="2:17" x14ac:dyDescent="0.2">
      <c r="B220" t="s">
        <v>34</v>
      </c>
      <c r="C220" s="4" t="s">
        <v>125</v>
      </c>
      <c r="D220" t="s">
        <v>123</v>
      </c>
      <c r="E220">
        <v>5.6000000000000001E-2</v>
      </c>
      <c r="F220">
        <v>0.19800000000000001</v>
      </c>
      <c r="G220">
        <v>9.0999999999999998E-2</v>
      </c>
      <c r="H220">
        <v>6.4000000000000001E-2</v>
      </c>
      <c r="I220" t="b">
        <v>0</v>
      </c>
      <c r="J220" t="b">
        <v>1</v>
      </c>
      <c r="K220">
        <v>0</v>
      </c>
      <c r="L220">
        <v>20</v>
      </c>
      <c r="M220" t="s">
        <v>124</v>
      </c>
    </row>
    <row r="221" spans="2:17" x14ac:dyDescent="0.2">
      <c r="B221" t="s">
        <v>126</v>
      </c>
      <c r="C221" s="4" t="s">
        <v>127</v>
      </c>
      <c r="D221" t="s">
        <v>123</v>
      </c>
      <c r="E221">
        <v>8.5000000000000006E-2</v>
      </c>
      <c r="F221">
        <v>0.19800000000000001</v>
      </c>
      <c r="G221">
        <v>0.105</v>
      </c>
      <c r="H221">
        <v>3.7999999999999999E-2</v>
      </c>
      <c r="I221" t="b">
        <v>0</v>
      </c>
      <c r="J221" t="b">
        <v>1</v>
      </c>
      <c r="K221">
        <v>0</v>
      </c>
      <c r="L221">
        <v>20</v>
      </c>
      <c r="M221" t="s">
        <v>124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5E6F2-0380-EF4E-8CA6-D942C3746141}">
  <dimension ref="A3:K32"/>
  <sheetViews>
    <sheetView topLeftCell="A16" workbookViewId="0">
      <selection activeCell="B20" sqref="B20"/>
    </sheetView>
  </sheetViews>
  <sheetFormatPr baseColWidth="10" defaultRowHeight="16" x14ac:dyDescent="0.2"/>
  <sheetData>
    <row r="3" spans="1:11" x14ac:dyDescent="0.2">
      <c r="A3" t="s">
        <v>99</v>
      </c>
      <c r="B3" t="s">
        <v>100</v>
      </c>
      <c r="C3" t="s">
        <v>101</v>
      </c>
      <c r="D3" t="s">
        <v>169</v>
      </c>
      <c r="K3" t="s">
        <v>102</v>
      </c>
    </row>
    <row r="4" spans="1:11" x14ac:dyDescent="0.2">
      <c r="A4" t="s">
        <v>56</v>
      </c>
      <c r="B4" t="s">
        <v>103</v>
      </c>
      <c r="C4" t="s">
        <v>104</v>
      </c>
      <c r="K4" t="s">
        <v>105</v>
      </c>
    </row>
    <row r="5" spans="1:11" x14ac:dyDescent="0.2">
      <c r="A5" t="s">
        <v>106</v>
      </c>
      <c r="B5" t="s">
        <v>107</v>
      </c>
      <c r="C5" t="s">
        <v>104</v>
      </c>
      <c r="K5" t="s">
        <v>105</v>
      </c>
    </row>
    <row r="6" spans="1:11" x14ac:dyDescent="0.2">
      <c r="A6" t="s">
        <v>108</v>
      </c>
      <c r="B6" t="s">
        <v>109</v>
      </c>
      <c r="C6" t="s">
        <v>104</v>
      </c>
      <c r="K6" t="s">
        <v>105</v>
      </c>
    </row>
    <row r="7" spans="1:11" x14ac:dyDescent="0.2">
      <c r="A7" t="s">
        <v>110</v>
      </c>
      <c r="B7" t="s">
        <v>111</v>
      </c>
      <c r="C7" t="s">
        <v>104</v>
      </c>
      <c r="K7" t="s">
        <v>112</v>
      </c>
    </row>
    <row r="8" spans="1:11" x14ac:dyDescent="0.2">
      <c r="A8" t="s">
        <v>113</v>
      </c>
      <c r="B8" t="s">
        <v>114</v>
      </c>
      <c r="C8" t="s">
        <v>104</v>
      </c>
      <c r="K8" t="s">
        <v>115</v>
      </c>
    </row>
    <row r="9" spans="1:11" x14ac:dyDescent="0.2">
      <c r="A9" t="s">
        <v>116</v>
      </c>
      <c r="B9" t="s">
        <v>117</v>
      </c>
      <c r="C9" t="s">
        <v>104</v>
      </c>
      <c r="K9" t="s">
        <v>118</v>
      </c>
    </row>
    <row r="10" spans="1:11" x14ac:dyDescent="0.2">
      <c r="A10" t="s">
        <v>119</v>
      </c>
      <c r="B10" t="s">
        <v>120</v>
      </c>
      <c r="C10" t="s">
        <v>104</v>
      </c>
      <c r="G10" s="2"/>
      <c r="H10" s="2"/>
      <c r="K10" t="s">
        <v>105</v>
      </c>
    </row>
    <row r="11" spans="1:11" x14ac:dyDescent="0.2">
      <c r="A11" s="4" t="s">
        <v>121</v>
      </c>
      <c r="B11" t="s">
        <v>122</v>
      </c>
      <c r="C11" t="s">
        <v>123</v>
      </c>
      <c r="K11" t="s">
        <v>124</v>
      </c>
    </row>
    <row r="12" spans="1:11" x14ac:dyDescent="0.2">
      <c r="A12" s="4" t="s">
        <v>34</v>
      </c>
      <c r="B12" t="s">
        <v>125</v>
      </c>
      <c r="C12" t="s">
        <v>123</v>
      </c>
      <c r="K12" t="s">
        <v>124</v>
      </c>
    </row>
    <row r="13" spans="1:11" x14ac:dyDescent="0.2">
      <c r="A13" s="4" t="s">
        <v>126</v>
      </c>
      <c r="B13" t="s">
        <v>127</v>
      </c>
      <c r="C13" t="s">
        <v>123</v>
      </c>
      <c r="K13" t="s">
        <v>124</v>
      </c>
    </row>
    <row r="14" spans="1:11" x14ac:dyDescent="0.2">
      <c r="A14" t="s">
        <v>128</v>
      </c>
      <c r="B14" t="s">
        <v>129</v>
      </c>
      <c r="C14" t="s">
        <v>130</v>
      </c>
      <c r="K14">
        <v>0.2</v>
      </c>
    </row>
    <row r="15" spans="1:11" x14ac:dyDescent="0.2">
      <c r="A15" t="s">
        <v>131</v>
      </c>
      <c r="B15" t="s">
        <v>132</v>
      </c>
      <c r="C15" t="s">
        <v>130</v>
      </c>
      <c r="K15">
        <v>0.1</v>
      </c>
    </row>
    <row r="16" spans="1:11" x14ac:dyDescent="0.2">
      <c r="A16" s="4" t="s">
        <v>133</v>
      </c>
      <c r="B16" s="4" t="s">
        <v>134</v>
      </c>
      <c r="C16" t="s">
        <v>135</v>
      </c>
      <c r="K16" t="s">
        <v>136</v>
      </c>
    </row>
    <row r="17" spans="1:11" x14ac:dyDescent="0.2">
      <c r="A17" s="4" t="s">
        <v>137</v>
      </c>
      <c r="B17" s="4" t="s">
        <v>138</v>
      </c>
      <c r="C17" t="s">
        <v>135</v>
      </c>
      <c r="K17" t="s">
        <v>136</v>
      </c>
    </row>
    <row r="18" spans="1:11" x14ac:dyDescent="0.2">
      <c r="A18" s="4" t="s">
        <v>139</v>
      </c>
      <c r="B18" s="4" t="s">
        <v>140</v>
      </c>
      <c r="C18" t="s">
        <v>135</v>
      </c>
      <c r="K18" t="s">
        <v>136</v>
      </c>
    </row>
    <row r="19" spans="1:11" x14ac:dyDescent="0.2">
      <c r="A19" s="4" t="s">
        <v>141</v>
      </c>
      <c r="B19" s="4" t="s">
        <v>142</v>
      </c>
      <c r="C19" t="s">
        <v>123</v>
      </c>
      <c r="K19" t="s">
        <v>143</v>
      </c>
    </row>
    <row r="20" spans="1:11" x14ac:dyDescent="0.2">
      <c r="A20" s="4" t="s">
        <v>144</v>
      </c>
      <c r="B20" s="4" t="s">
        <v>145</v>
      </c>
      <c r="C20" t="s">
        <v>123</v>
      </c>
      <c r="K20" t="s">
        <v>143</v>
      </c>
    </row>
    <row r="21" spans="1:11" x14ac:dyDescent="0.2">
      <c r="A21" s="4" t="s">
        <v>146</v>
      </c>
      <c r="B21" s="4" t="s">
        <v>147</v>
      </c>
      <c r="C21" t="s">
        <v>123</v>
      </c>
      <c r="K21" t="s">
        <v>143</v>
      </c>
    </row>
    <row r="22" spans="1:11" x14ac:dyDescent="0.2">
      <c r="A22" s="4" t="s">
        <v>148</v>
      </c>
      <c r="B22" s="4" t="s">
        <v>149</v>
      </c>
      <c r="C22" t="s">
        <v>123</v>
      </c>
      <c r="K22" t="s">
        <v>143</v>
      </c>
    </row>
    <row r="23" spans="1:11" x14ac:dyDescent="0.2">
      <c r="A23" t="s">
        <v>150</v>
      </c>
      <c r="B23" t="s">
        <v>151</v>
      </c>
      <c r="C23" t="s">
        <v>123</v>
      </c>
      <c r="D23" t="b">
        <v>1</v>
      </c>
      <c r="K23" t="s">
        <v>166</v>
      </c>
    </row>
    <row r="24" spans="1:11" x14ac:dyDescent="0.2">
      <c r="A24" t="s">
        <v>11</v>
      </c>
      <c r="B24" t="s">
        <v>152</v>
      </c>
      <c r="C24" t="s">
        <v>123</v>
      </c>
      <c r="D24" t="b">
        <v>1</v>
      </c>
      <c r="K24" t="s">
        <v>166</v>
      </c>
    </row>
    <row r="25" spans="1:11" x14ac:dyDescent="0.2">
      <c r="A25" t="s">
        <v>153</v>
      </c>
      <c r="B25" t="s">
        <v>154</v>
      </c>
      <c r="C25" t="s">
        <v>104</v>
      </c>
      <c r="D25" t="b">
        <v>1</v>
      </c>
      <c r="K25" t="s">
        <v>166</v>
      </c>
    </row>
    <row r="26" spans="1:11" x14ac:dyDescent="0.2">
      <c r="A26" t="s">
        <v>46</v>
      </c>
      <c r="B26" t="s">
        <v>155</v>
      </c>
      <c r="C26" t="s">
        <v>156</v>
      </c>
      <c r="D26" t="b">
        <v>1</v>
      </c>
      <c r="K26" t="s">
        <v>166</v>
      </c>
    </row>
    <row r="27" spans="1:11" x14ac:dyDescent="0.2">
      <c r="A27" t="s">
        <v>157</v>
      </c>
      <c r="B27" t="s">
        <v>158</v>
      </c>
      <c r="C27" t="s">
        <v>130</v>
      </c>
      <c r="D27" t="b">
        <v>1</v>
      </c>
      <c r="K27" t="s">
        <v>166</v>
      </c>
    </row>
    <row r="28" spans="1:11" x14ac:dyDescent="0.2">
      <c r="A28" t="s">
        <v>159</v>
      </c>
      <c r="B28" t="s">
        <v>160</v>
      </c>
      <c r="C28" t="s">
        <v>123</v>
      </c>
      <c r="D28" t="b">
        <v>1</v>
      </c>
      <c r="K28" t="s">
        <v>166</v>
      </c>
    </row>
    <row r="29" spans="1:11" x14ac:dyDescent="0.2">
      <c r="A29" t="s">
        <v>10</v>
      </c>
      <c r="B29" t="s">
        <v>161</v>
      </c>
      <c r="C29" t="s">
        <v>130</v>
      </c>
      <c r="D29" t="b">
        <v>1</v>
      </c>
      <c r="K29" t="s">
        <v>166</v>
      </c>
    </row>
    <row r="30" spans="1:11" x14ac:dyDescent="0.2">
      <c r="A30" t="s">
        <v>162</v>
      </c>
      <c r="B30" t="s">
        <v>163</v>
      </c>
      <c r="C30" t="s">
        <v>130</v>
      </c>
      <c r="D30" t="b">
        <v>1</v>
      </c>
      <c r="K30" t="s">
        <v>166</v>
      </c>
    </row>
    <row r="31" spans="1:11" x14ac:dyDescent="0.2">
      <c r="A31" t="s">
        <v>164</v>
      </c>
      <c r="B31" t="s">
        <v>165</v>
      </c>
      <c r="C31" t="s">
        <v>123</v>
      </c>
      <c r="D31" t="b">
        <v>1</v>
      </c>
      <c r="K31" t="s">
        <v>166</v>
      </c>
    </row>
    <row r="32" spans="1:11" x14ac:dyDescent="0.2">
      <c r="A32" t="s">
        <v>167</v>
      </c>
      <c r="B32" t="s">
        <v>168</v>
      </c>
      <c r="C32" t="s">
        <v>130</v>
      </c>
      <c r="D32" t="b">
        <v>1</v>
      </c>
      <c r="K32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Zobitz</cp:lastModifiedBy>
  <dcterms:created xsi:type="dcterms:W3CDTF">2021-02-01T09:52:31Z</dcterms:created>
  <dcterms:modified xsi:type="dcterms:W3CDTF">2025-01-03T18:10:29Z</dcterms:modified>
</cp:coreProperties>
</file>