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tables/table1.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5.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6.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7.xml" ContentType="application/vnd.openxmlformats-officedocument.drawing+xml"/>
  <Override PartName="/xl/comments3.xml" ContentType="application/vnd.openxmlformats-officedocument.spreadsheetml.comments+xml"/>
  <Override PartName="/xl/threadedComments/threadedComment3.xml" ContentType="application/vnd.ms-excel.threadedcomments+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8.xml" ContentType="application/vnd.openxmlformats-officedocument.drawing+xml"/>
  <Override PartName="/xl/comments4.xml" ContentType="application/vnd.openxmlformats-officedocument.spreadsheetml.comments+xml"/>
  <Override PartName="/xl/threadedComments/threadedComment4.xml" ContentType="application/vnd.ms-excel.threadedcomments+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9.xml" ContentType="application/vnd.openxmlformats-officedocument.drawing+xml"/>
  <Override PartName="/xl/tables/table2.xml" ContentType="application/vnd.openxmlformats-officedocument.spreadsheetml.tab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10.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11.xml" ContentType="application/vnd.openxmlformats-officedocument.drawing+xml"/>
  <Override PartName="/xl/tables/table3.xml" ContentType="application/vnd.openxmlformats-officedocument.spreadsheetml.tab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ustomProperty1.bin" ContentType="application/vnd.openxmlformats-officedocument.spreadsheetml.customProperty"/>
  <Override PartName="/xl/drawings/drawing12.xml" ContentType="application/vnd.openxmlformats-officedocument.drawing+xml"/>
  <Override PartName="/xl/comments5.xml" ContentType="application/vnd.openxmlformats-officedocument.spreadsheetml.comments+xml"/>
  <Override PartName="/xl/threadedComments/threadedComment5.xml" ContentType="application/vnd.ms-excel.threadedcomments+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13.xml" ContentType="application/vnd.openxmlformats-officedocument.drawingml.chartshapes+xml"/>
  <Override PartName="/xl/drawings/drawing14.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15.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omments6.xml" ContentType="application/vnd.openxmlformats-officedocument.spreadsheetml.comments+xml"/>
  <Override PartName="/xl/threadedComments/threadedComment6.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https://colliers-my.sharepoint.com/personal/jordan_na_colliers_com/Documents/CIK - CIHK Share Folder (202501)/Colliers-Market-Commentary/"/>
    </mc:Choice>
  </mc:AlternateContent>
  <xr:revisionPtr revIDLastSave="6" documentId="13_ncr:1_{C5A3B17B-374B-4F96-9C7B-F1AC67F60DEB}" xr6:coauthVersionLast="47" xr6:coauthVersionMax="47" xr10:uidLastSave="{CAF4B454-F8E2-41BE-B73B-0F008EA0940A}"/>
  <bookViews>
    <workbookView xWindow="-110" yWindow="-110" windowWidth="19420" windowHeight="10300" tabRatio="905" firstSheet="12" activeTab="13" xr2:uid="{C5FE2488-FAA0-41B6-B95E-26D2368AD853}"/>
  </bookViews>
  <sheets>
    <sheet name="Title" sheetId="4" r:id="rId1"/>
    <sheet name="Map" sheetId="31" r:id="rId2"/>
    <sheet name="Map_II" sheetId="36" r:id="rId3"/>
    <sheet name="Macro Econ&gt;&gt;" sheetId="48" r:id="rId4"/>
    <sheet name="Macro" sheetId="43" r:id="rId5"/>
    <sheet name="Headlines" sheetId="44" r:id="rId6"/>
    <sheet name="Visitor Arrivals" sheetId="22" r:id="rId7"/>
    <sheet name="Retail Sales Trend" sheetId="25" r:id="rId8"/>
    <sheet name="Retail Sales Index" sheetId="23" r:id="rId9"/>
    <sheet name="Unemployment Rate" sheetId="24" r:id="rId10"/>
    <sheet name="Office Market&gt;&gt;" sheetId="47" r:id="rId11"/>
    <sheet name="Office Outlook" sheetId="32" r:id="rId12"/>
    <sheet name="Existing Supply" sheetId="39" r:id="rId13"/>
    <sheet name="Future Supply" sheetId="45" r:id="rId14"/>
    <sheet name="Net Absorption" sheetId="27" r:id="rId15"/>
    <sheet name="Rent" sheetId="29" r:id="rId16"/>
    <sheet name="Vacancy Rate" sheetId="28" r:id="rId17"/>
    <sheet name="CV &amp; Yields" sheetId="11" r:id="rId18"/>
    <sheet name="Major Deals" sheetId="49" r:id="rId19"/>
    <sheet name="Key Government Policies" sheetId="30" r:id="rId20"/>
  </sheets>
  <externalReferences>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s>
  <definedNames>
    <definedName name="__123Graph_A" localSheetId="17" hidden="1">#REF!</definedName>
    <definedName name="__123Graph_A" localSheetId="12" hidden="1">#REF!</definedName>
    <definedName name="__123Graph_A" localSheetId="13" hidden="1">#REF!</definedName>
    <definedName name="__123Graph_A" localSheetId="18" hidden="1">'[1]Trust lending to real estate'!#REF!</definedName>
    <definedName name="__123Graph_A" localSheetId="14" hidden="1">#REF!</definedName>
    <definedName name="__123Graph_A" localSheetId="15" hidden="1">#REF!</definedName>
    <definedName name="__123Graph_A" localSheetId="8" hidden="1">#REF!</definedName>
    <definedName name="__123Graph_A" localSheetId="7" hidden="1">#REF!</definedName>
    <definedName name="__123Graph_A" localSheetId="9" hidden="1">#REF!</definedName>
    <definedName name="__123Graph_A" localSheetId="16" hidden="1">#REF!</definedName>
    <definedName name="__123Graph_A" localSheetId="6" hidden="1">#REF!</definedName>
    <definedName name="__123Graph_A" hidden="1">#REF!</definedName>
    <definedName name="__123Graph_CIMPORTS" localSheetId="17" hidden="1">#REF!</definedName>
    <definedName name="__123Graph_CIMPORTS" localSheetId="18" hidden="1">'[1]Trust lending to real estate'!#REF!</definedName>
    <definedName name="__123Graph_CIMPORTS" localSheetId="14" hidden="1">#REF!</definedName>
    <definedName name="__123Graph_CIMPORTS" localSheetId="15" hidden="1">#REF!</definedName>
    <definedName name="__123Graph_CIMPORTS" localSheetId="16" hidden="1">#REF!</definedName>
    <definedName name="__123Graph_CIMPORTS" hidden="1">#REF!</definedName>
    <definedName name="__123Graph_E" localSheetId="17" hidden="1">#REF!</definedName>
    <definedName name="__123Graph_E" localSheetId="18" hidden="1">[2]cathayforecasts!#REF!</definedName>
    <definedName name="__123Graph_E" localSheetId="14" hidden="1">#REF!</definedName>
    <definedName name="__123Graph_E" localSheetId="15" hidden="1">#REF!</definedName>
    <definedName name="__123Graph_E" localSheetId="16" hidden="1">#REF!</definedName>
    <definedName name="__123Graph_E" hidden="1">#REF!</definedName>
    <definedName name="__123Graph_EChart1" localSheetId="17" hidden="1">#REF!</definedName>
    <definedName name="__123Graph_EChart1" localSheetId="18" hidden="1">'[1]Trust lending to real estate'!#REF!</definedName>
    <definedName name="__123Graph_EChart1" localSheetId="14" hidden="1">#REF!</definedName>
    <definedName name="__123Graph_EChart1" localSheetId="15" hidden="1">#REF!</definedName>
    <definedName name="__123Graph_EChart1" localSheetId="16" hidden="1">#REF!</definedName>
    <definedName name="__123Graph_EChart1" hidden="1">#REF!</definedName>
    <definedName name="__123Graph_EChart2" localSheetId="17" hidden="1">#REF!</definedName>
    <definedName name="__123Graph_EChart2" localSheetId="18" hidden="1">'[1]Trust lending to real estate'!#REF!</definedName>
    <definedName name="__123Graph_EChart2" localSheetId="14" hidden="1">#REF!</definedName>
    <definedName name="__123Graph_EChart2" localSheetId="15" hidden="1">#REF!</definedName>
    <definedName name="__123Graph_EChart2" localSheetId="16" hidden="1">#REF!</definedName>
    <definedName name="__123Graph_EChart2" hidden="1">#REF!</definedName>
    <definedName name="__123Graph_EChart3" localSheetId="18" hidden="1">'[1]Trust lending to real estate'!#REF!</definedName>
    <definedName name="__123Graph_EChart3" hidden="1">#REF!</definedName>
    <definedName name="__123Graph_EChart4" localSheetId="18" hidden="1">'[1]Trust lending to real estate'!#REF!</definedName>
    <definedName name="__123Graph_EChart4" hidden="1">#REF!</definedName>
    <definedName name="__123Graph_EChart5" localSheetId="18" hidden="1">'[1]Trust lending to real estate'!#REF!</definedName>
    <definedName name="__123Graph_EChart5" hidden="1">#REF!</definedName>
    <definedName name="__123Graph_EChart6" localSheetId="18" hidden="1">'[1]Trust lending to real estate'!#REF!</definedName>
    <definedName name="__123Graph_EChart6" hidden="1">#REF!</definedName>
    <definedName name="__123Graph_EChart7" localSheetId="18" hidden="1">'[1]Trust lending to real estate'!#REF!</definedName>
    <definedName name="__123Graph_EChart7" hidden="1">#REF!</definedName>
    <definedName name="__123Graph_EChart8" localSheetId="18" hidden="1">'[1]Trust lending to real estate'!#REF!</definedName>
    <definedName name="__123Graph_EChart8" hidden="1">#REF!</definedName>
    <definedName name="__123Graph_ECurrent" localSheetId="18" hidden="1">'[1]Trust lending to real estate'!#REF!</definedName>
    <definedName name="__123Graph_ECurrent" hidden="1">#REF!</definedName>
    <definedName name="__123Graph_F" localSheetId="18" hidden="1">[3]deve!#REF!</definedName>
    <definedName name="__123Graph_F" hidden="1">#REF!</definedName>
    <definedName name="__123Graph_X" localSheetId="18" hidden="1">'[1]Trust lending to real estate'!#REF!</definedName>
    <definedName name="__123Graph_X" hidden="1">#REF!</definedName>
    <definedName name="_Fill" hidden="1">#N/A</definedName>
    <definedName name="_xlnm._FilterDatabase" localSheetId="13" hidden="1">'Future Supply'!$A$35:$AB$71</definedName>
    <definedName name="_xlnm._FilterDatabase" localSheetId="18" hidden="1">'Major Deals'!$A$7:$AE$64</definedName>
    <definedName name="_Key1" localSheetId="17" hidden="1">#REF!</definedName>
    <definedName name="_Key1" localSheetId="12" hidden="1">#REF!</definedName>
    <definedName name="_Key1" localSheetId="13" hidden="1">#REF!</definedName>
    <definedName name="_Key1" localSheetId="18" hidden="1">#REF!</definedName>
    <definedName name="_Key1" localSheetId="14" hidden="1">#REF!</definedName>
    <definedName name="_Key1" localSheetId="15" hidden="1">#REF!</definedName>
    <definedName name="_Key1" localSheetId="8" hidden="1">#REF!</definedName>
    <definedName name="_Key1" localSheetId="7" hidden="1">#REF!</definedName>
    <definedName name="_Key1" localSheetId="0" hidden="1">#REF!</definedName>
    <definedName name="_Key1" localSheetId="9" hidden="1">#REF!</definedName>
    <definedName name="_Key1" localSheetId="16" hidden="1">#REF!</definedName>
    <definedName name="_Key1" localSheetId="6" hidden="1">#REF!</definedName>
    <definedName name="_Key1" hidden="1">#REF!</definedName>
    <definedName name="_Order1" hidden="1">255</definedName>
    <definedName name="_Order2" hidden="1">255</definedName>
    <definedName name="_Regression_Int" hidden="1">1</definedName>
    <definedName name="_Regression_X" localSheetId="18" hidden="1">'[1]Trust lending to real estate'!$D$45:$G$45</definedName>
    <definedName name="_Regression_X" hidden="1">#REF!</definedName>
    <definedName name="_Regression_Y" localSheetId="18" hidden="1">'[1]Trust lending to real estate'!$D$191:$G$191</definedName>
    <definedName name="_Regression_Y" hidden="1">#REF!</definedName>
    <definedName name="_Sort" hidden="1">#REF!</definedName>
    <definedName name="actionlist" localSheetId="18">#REF!</definedName>
    <definedName name="actionlist">#REF!</definedName>
    <definedName name="Adopted_Value" localSheetId="18">[4]DCF_Approach!$F$9</definedName>
    <definedName name="Adopted_Value">#REF!</definedName>
    <definedName name="Block.5Yr" localSheetId="18">'[5]sino-p35'!$J$36:$O$41</definedName>
    <definedName name="Block.5Yr">#REF!</definedName>
    <definedName name="block.Assumptions.blue" localSheetId="18">#REF!</definedName>
    <definedName name="block.Assumptions.blue">#REF!</definedName>
    <definedName name="block.Author.blue" localSheetId="18">#REF!</definedName>
    <definedName name="block.Author.blue">#REF!</definedName>
    <definedName name="Block.BalSheet" localSheetId="18">'[5]sino-p35'!$B$27:$G$58</definedName>
    <definedName name="Block.BalSheet">#REF!</definedName>
    <definedName name="Block.Cashflow" localSheetId="18">'[5]sino-p35'!$J$7:$O$25</definedName>
    <definedName name="Block.Cashflow">#REF!</definedName>
    <definedName name="Block.CorpStruct" localSheetId="18">'[5]sino-p35'!$J$60:$O$67</definedName>
    <definedName name="Block.CorpStruct">#REF!</definedName>
    <definedName name="block.Expansion.blue" localSheetId="18">#REF!</definedName>
    <definedName name="block.Expansion.blue">#REF!</definedName>
    <definedName name="block.Forecasts.blue" localSheetId="18">#REF!</definedName>
    <definedName name="block.Forecasts.blue">#REF!</definedName>
    <definedName name="Block.Free" localSheetId="18">'[5]sino-p35'!$J$26:$O$41</definedName>
    <definedName name="Block.Free">#REF!</definedName>
    <definedName name="block.IncomeStatement.blue" localSheetId="18">#REF!</definedName>
    <definedName name="block.IncomeStatement.blue">#REF!</definedName>
    <definedName name="block.KeyData.blue" localSheetId="18">#REF!</definedName>
    <definedName name="block.KeyData.blue">#REF!</definedName>
    <definedName name="block.Miscellaneous.blue" localSheetId="18">#REF!</definedName>
    <definedName name="block.Miscellaneous.blue">#REF!</definedName>
    <definedName name="block.Miscellaneous.none" localSheetId="18">#REF!</definedName>
    <definedName name="block.Miscellaneous.none">#REF!</definedName>
    <definedName name="Block.Profit" localSheetId="18">'[5]sino-p35'!$B$7:$G$22</definedName>
    <definedName name="Block.Profit">#REF!</definedName>
    <definedName name="Block.Ratios" localSheetId="18">'[5]sino-p35'!$J$27:$O$32</definedName>
    <definedName name="Block.Ratios">#REF!</definedName>
    <definedName name="block.SalesBreakdown.blue" localSheetId="18">#REF!</definedName>
    <definedName name="block.SalesBreakdown.blue">#REF!</definedName>
    <definedName name="block.Subsidiaries.blue" localSheetId="18">#REF!</definedName>
    <definedName name="block.Subsidiaries.blue">#REF!</definedName>
    <definedName name="BLPH1" localSheetId="18" hidden="1">'[1]Trust lending to real estate'!#REF!</definedName>
    <definedName name="BLPH1" hidden="1">#REF!</definedName>
    <definedName name="BLPH2" localSheetId="18" hidden="1">'[1]Trust lending to real estate'!#REF!</definedName>
    <definedName name="BLPH2" hidden="1">#REF!</definedName>
    <definedName name="BLPH3" localSheetId="18" hidden="1">#REF!</definedName>
    <definedName name="BLPH3" hidden="1">#REF!</definedName>
    <definedName name="BLPH4" localSheetId="18" hidden="1">#REF!</definedName>
    <definedName name="BLPH4" hidden="1">#REF!</definedName>
    <definedName name="BLPH5" localSheetId="18" hidden="1">[6]Calcs!$A$3</definedName>
    <definedName name="BLPH5" hidden="1">#REF!</definedName>
    <definedName name="BLPH6" localSheetId="18" hidden="1">[6]Calcs!$C$3</definedName>
    <definedName name="BLPH6" hidden="1">#REF!</definedName>
    <definedName name="BLPH6001" localSheetId="18" hidden="1">'[1]Trust lending to real estate'!$E$38</definedName>
    <definedName name="BLPH6001" hidden="1">#REF!</definedName>
    <definedName name="BLPH6002" localSheetId="18" hidden="1">'[1]Trust lending to real estate'!$E$37</definedName>
    <definedName name="BLPH6002" hidden="1">#REF!</definedName>
    <definedName name="BLPH6003" hidden="1">#N/A</definedName>
    <definedName name="BLPH6004" hidden="1">#N/A</definedName>
    <definedName name="BLPH6005" hidden="1">#N/A</definedName>
    <definedName name="BLPH6016" localSheetId="18" hidden="1">'[1]Trust lending to real estate'!$B$11</definedName>
    <definedName name="BLPH6016" hidden="1">#REF!</definedName>
    <definedName name="BLPH6017" localSheetId="18" hidden="1">'[1]Trust lending to real estate'!$E$11</definedName>
    <definedName name="BLPH6017" hidden="1">#REF!</definedName>
    <definedName name="BLPH6018" localSheetId="18" hidden="1">'[1]Trust lending to real estate'!$H$11</definedName>
    <definedName name="BLPH6018" hidden="1">#REF!</definedName>
    <definedName name="BLPH6019" localSheetId="18" hidden="1">'[1]Trust lending to real estate'!$K$11</definedName>
    <definedName name="BLPH6019" hidden="1">#REF!</definedName>
    <definedName name="BLPH6020" localSheetId="18" hidden="1">'[1]Trust lending to real estate'!$N$11</definedName>
    <definedName name="BLPH6020" hidden="1">#REF!</definedName>
    <definedName name="BLPH6021" localSheetId="18" hidden="1">'[1]Trust lending to real estate'!$Q$11</definedName>
    <definedName name="BLPH6021" hidden="1">#REF!</definedName>
    <definedName name="Bot_Tenant" localSheetId="18">'[7]Tenancy Analysis'!$B$475</definedName>
    <definedName name="Bot_Tenant">#REF!</definedName>
    <definedName name="Building_Description" localSheetId="18">[4]Model!$F$17</definedName>
    <definedName name="Building_Description">#REF!</definedName>
    <definedName name="CC" localSheetId="18">[8]Summaries!$A$2:$B$181</definedName>
    <definedName name="CC">#REF!</definedName>
    <definedName name="churn1" localSheetId="13">#REF!</definedName>
    <definedName name="churn1" localSheetId="18">[9]!churn1</definedName>
    <definedName name="churn1" localSheetId="2">#REF!</definedName>
    <definedName name="churn1" localSheetId="14">#REF!</definedName>
    <definedName name="churn1" localSheetId="15">#REF!</definedName>
    <definedName name="churn1" localSheetId="8">#REF!</definedName>
    <definedName name="churn1" localSheetId="7">#REF!</definedName>
    <definedName name="churn1" localSheetId="9">#REF!</definedName>
    <definedName name="churn1" localSheetId="16">#REF!</definedName>
    <definedName name="churn1" localSheetId="6">#REF!</definedName>
    <definedName name="churn1">#REF!</definedName>
    <definedName name="Co_Name" localSheetId="18">'[10]Key data'!$A$1</definedName>
    <definedName name="Co_Name">#REF!</definedName>
    <definedName name="Core_Cap" localSheetId="18">[4]Model!$F$41</definedName>
    <definedName name="Core_Cap">#REF!</definedName>
    <definedName name="COSCO_Capacity_Growth" localSheetId="18">#REF!</definedName>
    <definedName name="COSCO_Capacity_Growth">#REF!</definedName>
    <definedName name="COSCO_throughput_growth" localSheetId="18">#REF!</definedName>
    <definedName name="COSCO_throughput_growth">#REF!</definedName>
    <definedName name="CP3YRS" localSheetId="18">'[8]CP 3-Yr Projection'!$B$5:$N$184</definedName>
    <definedName name="CP3YRS">#REF!</definedName>
    <definedName name="CP3YRSExp" localSheetId="18">'[8]CP 3-Yr Projection'!$B$5:$Q$185</definedName>
    <definedName name="CP3YRSExp">#REF!</definedName>
    <definedName name="Curr_Mth_R" localSheetId="18">'[11]Unit Rates'!$G$8</definedName>
    <definedName name="Curr_Mth_R">#REF!</definedName>
    <definedName name="Curr_Mth_R_IFA" localSheetId="18">'[11]Unit Rates'!$G$8</definedName>
    <definedName name="Curr_Mth_R_IFA">#REF!</definedName>
    <definedName name="_xlnm.Database" localSheetId="18">#REF!</definedName>
    <definedName name="_xlnm.Database">#REF!</definedName>
    <definedName name="DATES" localSheetId="18">[12]Sheet1!$A$8:$A$315</definedName>
    <definedName name="DATES">#REF!</definedName>
    <definedName name="DB">"WIREHKPROD"</definedName>
    <definedName name="DES" localSheetId="18">[12]Sheet1!$A$317:$A$323</definedName>
    <definedName name="DES">#REF!</definedName>
    <definedName name="Dis_Rate">16%</definedName>
    <definedName name="Discount_Rate" localSheetId="18">[4]Model!$F$48</definedName>
    <definedName name="Discount_Rate">#REF!</definedName>
    <definedName name="event" localSheetId="18">#REF!</definedName>
    <definedName name="event">#REF!</definedName>
    <definedName name="Ex_Shares" localSheetId="18">'[10]Key data'!$B$6</definedName>
    <definedName name="Ex_Shares">#REF!</definedName>
    <definedName name="FD_Shares" localSheetId="18">'[10]Key data'!$B$8</definedName>
    <definedName name="FD_Shares">#REF!</definedName>
    <definedName name="FDP_100_1_aSrv" localSheetId="18" hidden="1">'[13]Summary Sheet'!#REF!</definedName>
    <definedName name="FDP_100_1_aSrv" hidden="1">#REF!</definedName>
    <definedName name="FDP_102_1_aSrv" localSheetId="18" hidden="1">'[13]Summary Sheet'!#REF!</definedName>
    <definedName name="FDP_102_1_aSrv" hidden="1">#REF!</definedName>
    <definedName name="FDP_103_1_aSrv" localSheetId="18" hidden="1">'[13]Summary Sheet'!#REF!</definedName>
    <definedName name="FDP_103_1_aSrv" hidden="1">#REF!</definedName>
    <definedName name="FDP_104_1_aSrv" localSheetId="18" hidden="1">'[13]Summary Sheet'!#REF!</definedName>
    <definedName name="FDP_104_1_aSrv" hidden="1">#REF!</definedName>
    <definedName name="FDP_17_1_aSrv" localSheetId="18" hidden="1">'[13]Summary Sheet'!#REF!</definedName>
    <definedName name="FDP_17_1_aSrv" hidden="1">#REF!</definedName>
    <definedName name="FDP_2_1_aSrv" localSheetId="18" hidden="1">'[13]Summary Sheet'!#REF!</definedName>
    <definedName name="FDP_2_1_aSrv" hidden="1">#REF!</definedName>
    <definedName name="FDP_26_1_aSrv" localSheetId="18" hidden="1">'[13]Summary Sheet'!#REF!</definedName>
    <definedName name="FDP_26_1_aSrv" hidden="1">#REF!</definedName>
    <definedName name="FDP_57_1_aSrv" localSheetId="18" hidden="1">'[13]Summary Sheet'!#REF!</definedName>
    <definedName name="FDP_57_1_aSrv" hidden="1">#REF!</definedName>
    <definedName name="FDP_61_1_aSrv" localSheetId="18" hidden="1">'[13]Summary Sheet'!#REF!</definedName>
    <definedName name="FDP_61_1_aSrv" hidden="1">#REF!</definedName>
    <definedName name="FDP_81_1_aSrv" localSheetId="18" hidden="1">'[13]Summary Sheet'!#REF!</definedName>
    <definedName name="FDP_81_1_aSrv" hidden="1">#REF!</definedName>
    <definedName name="FDP_94_1_aSrv" localSheetId="18" hidden="1">'[13]Summary Sheet'!#REF!</definedName>
    <definedName name="FDP_94_1_aSrv" hidden="1">#REF!</definedName>
    <definedName name="FDP_97_1_aUrv" localSheetId="18" hidden="1">'[13]Summary Sheet'!#REF!</definedName>
    <definedName name="FDP_97_1_aUrv" hidden="1">#REF!</definedName>
    <definedName name="Five.Year" localSheetId="18">'[14]Report Layout'!$D$17</definedName>
    <definedName name="Five.Year">#REF!</definedName>
    <definedName name="Foreign.Price" localSheetId="18">'[14]Report Layout'!#REF!</definedName>
    <definedName name="Foreign.Price">#REF!</definedName>
    <definedName name="Free_Lease_Hold" localSheetId="18">[4]Model!$F$23</definedName>
    <definedName name="Free_Lease_Hold">#REF!</definedName>
    <definedName name="FX_Divisor1" localSheetId="18">'[14]Report Layout'!#REF!</definedName>
    <definedName name="FX_Divisor1">#REF!</definedName>
    <definedName name="Goto_main_page" localSheetId="13">#REF!</definedName>
    <definedName name="Goto_main_page" localSheetId="18">[15]!Goto_main_page</definedName>
    <definedName name="Goto_main_page" localSheetId="2">#REF!</definedName>
    <definedName name="Goto_main_page" localSheetId="14">#REF!</definedName>
    <definedName name="Goto_main_page" localSheetId="15">#REF!</definedName>
    <definedName name="Goto_main_page" localSheetId="8">#REF!</definedName>
    <definedName name="Goto_main_page" localSheetId="7">#REF!</definedName>
    <definedName name="Goto_main_page" localSheetId="9">#REF!</definedName>
    <definedName name="Goto_main_page" localSheetId="16">#REF!</definedName>
    <definedName name="Goto_main_page" localSheetId="6">#REF!</definedName>
    <definedName name="Goto_main_page">#REF!</definedName>
    <definedName name="Goto_profit_loss" localSheetId="13">#REF!</definedName>
    <definedName name="Goto_profit_loss" localSheetId="18">[15]!Goto_profit_loss</definedName>
    <definedName name="Goto_profit_loss" localSheetId="2">#REF!</definedName>
    <definedName name="Goto_profit_loss" localSheetId="14">#REF!</definedName>
    <definedName name="Goto_profit_loss" localSheetId="15">#REF!</definedName>
    <definedName name="Goto_profit_loss" localSheetId="8">#REF!</definedName>
    <definedName name="Goto_profit_loss" localSheetId="7">#REF!</definedName>
    <definedName name="Goto_profit_loss" localSheetId="9">#REF!</definedName>
    <definedName name="Goto_profit_loss" localSheetId="16">#REF!</definedName>
    <definedName name="Goto_profit_loss" localSheetId="6">#REF!</definedName>
    <definedName name="Goto_profit_loss">#REF!</definedName>
    <definedName name="Growth_Bottom" localSheetId="18">[4]Ann_Esc_Rates!$B$19</definedName>
    <definedName name="Growth_Bottom">#REF!</definedName>
    <definedName name="Growth_Top" localSheetId="18">[4]Ann_Esc_Rates!$B$16</definedName>
    <definedName name="Growth_Top">#REF!</definedName>
    <definedName name="HELLO" localSheetId="18">#REF!</definedName>
    <definedName name="HELLO">#REF!</definedName>
    <definedName name="Hide" localSheetId="18">[4]Model!$F$18</definedName>
    <definedName name="Hide">#REF!</definedName>
    <definedName name="Hist.Year" localSheetId="18">'[14]Report Layout'!$D$16</definedName>
    <definedName name="Hist.Year">#REF!</definedName>
    <definedName name="HK.US">7.74</definedName>
    <definedName name="HTML_CodePage" hidden="1">950</definedName>
    <definedName name="HTML_Control" localSheetId="17" hidden="1">{"'Data 99'!$A$1:$S$30","'Data 99'!$A$33:$A$36","'Data 99'!$O$34"}</definedName>
    <definedName name="HTML_Control" localSheetId="12" hidden="1">{"'Data 99'!$A$1:$S$30","'Data 99'!$A$33:$A$36","'Data 99'!$O$34"}</definedName>
    <definedName name="HTML_Control" localSheetId="13" hidden="1">{"'Data 99'!$A$1:$S$30","'Data 99'!$A$33:$A$36","'Data 99'!$O$34"}</definedName>
    <definedName name="HTML_Control" localSheetId="5" hidden="1">{"'Data 99'!$A$1:$S$30","'Data 99'!$A$33:$A$36","'Data 99'!$O$34"}</definedName>
    <definedName name="HTML_Control" localSheetId="18" hidden="1">{"'Data 99'!$A$1:$S$30","'Data 99'!$A$33:$A$36","'Data 99'!$O$34"}</definedName>
    <definedName name="HTML_Control" localSheetId="14" hidden="1">{"'Data 99'!$A$1:$S$30","'Data 99'!$A$33:$A$36","'Data 99'!$O$34"}</definedName>
    <definedName name="HTML_Control" localSheetId="15" hidden="1">{"'Data 99'!$A$1:$S$30","'Data 99'!$A$33:$A$36","'Data 99'!$O$34"}</definedName>
    <definedName name="HTML_Control" localSheetId="8" hidden="1">{"'Data 99'!$A$1:$S$30","'Data 99'!$A$33:$A$36","'Data 99'!$O$34"}</definedName>
    <definedName name="HTML_Control" localSheetId="7" hidden="1">{"'Data 99'!$A$1:$S$30","'Data 99'!$A$33:$A$36","'Data 99'!$O$34"}</definedName>
    <definedName name="HTML_Control" localSheetId="0" hidden="1">{"'Data 99'!$A$1:$S$30","'Data 99'!$A$33:$A$36","'Data 99'!$O$34"}</definedName>
    <definedName name="HTML_Control" localSheetId="9" hidden="1">{"'Data 99'!$A$1:$S$30","'Data 99'!$A$33:$A$36","'Data 99'!$O$34"}</definedName>
    <definedName name="HTML_Control" localSheetId="16" hidden="1">{"'Data 99'!$A$1:$S$30","'Data 99'!$A$33:$A$36","'Data 99'!$O$34"}</definedName>
    <definedName name="HTML_Control" localSheetId="6" hidden="1">{"'Data 99'!$A$1:$S$30","'Data 99'!$A$33:$A$36","'Data 99'!$O$34"}</definedName>
    <definedName name="HTML_Control" hidden="1">{"'Data 99'!$A$1:$S$30","'Data 99'!$A$33:$A$36","'Data 99'!$O$34"}</definedName>
    <definedName name="HTML_Description" hidden="1">""</definedName>
    <definedName name="HTML_Email" hidden="1">""</definedName>
    <definedName name="HTML_Header" hidden="1">"Data 99"</definedName>
    <definedName name="HTML_LastUpdate" hidden="1">"19/01/1999"</definedName>
    <definedName name="HTML_LineAfter" hidden="1">FALSE</definedName>
    <definedName name="HTML_LineBefore" hidden="1">FALSE</definedName>
    <definedName name="HTML_Name" hidden="1">"Patrick"</definedName>
    <definedName name="HTML_OBDlg2" hidden="1">TRUE</definedName>
    <definedName name="HTML_OBDlg4" hidden="1">TRUE</definedName>
    <definedName name="HTML_OS" hidden="1">0</definedName>
    <definedName name="HTML_PathFile" hidden="1">"F:\dept\RES\RSH\MDB\RESIDENT\Month\E-MAIL\data\MyHTML.htm"</definedName>
    <definedName name="HTML_Title" hidden="1">"FORM"</definedName>
    <definedName name="HTML1_1" hidden="1">"[firstpacpg59withformula.xls]Sheet1!$A$1:$G$23"</definedName>
    <definedName name="HTML1_11" hidden="1">1</definedName>
    <definedName name="HTML1_12" hidden="1">"C:\Irasia\mactopc\firstpachk\webpages\page 58 p and l 0713c.htm"</definedName>
    <definedName name="HTML1_2" hidden="1">-4146</definedName>
    <definedName name="HTML1_3" hidden="1">"C:\Irasia\mactopc\firstpachk\webpages\page 58 p and l 0713b.htm"</definedName>
    <definedName name="HTML2_1" hidden="1">"[firstpacpg58.xls]Sheet1!$A$1:$F$15"</definedName>
    <definedName name="HTML2_11" hidden="1">1</definedName>
    <definedName name="HTML2_12" hidden="1">"C:\Irasia\mactopc\firstpachk\webpages\page 58 p and l 0713b.htm"</definedName>
    <definedName name="HTML2_2" hidden="1">-4146</definedName>
    <definedName name="HTML2_3" hidden="1">"C:\Irasia\mactopc\firstpachk\webpages\page 58 p and l 0713.htm"</definedName>
    <definedName name="HTMLCount" hidden="1">1</definedName>
    <definedName name="I">#REF!</definedName>
    <definedName name="IDS" localSheetId="18">[12]Sheet1!$B$5:$I$5</definedName>
    <definedName name="IDS">#REF!</definedName>
    <definedName name="IFA" localSheetId="18">#REF!</definedName>
    <definedName name="IFA">#REF!</definedName>
    <definedName name="II" localSheetId="18">#REF!</definedName>
    <definedName name="II">#REF!</definedName>
    <definedName name="Incentive_Type" localSheetId="18">[4]Model!$F$84</definedName>
    <definedName name="Incentive_Type">#REF!</definedName>
    <definedName name="Interest_paid" localSheetId="18">'[16]Jihe WestInt_Paid'!$A$57:$IV$57</definedName>
    <definedName name="Interest_paid">#REF!</definedName>
    <definedName name="IQ_ACCOUNT_CHANGE" hidden="1">"c1449"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GROWTH" hidden="1">"c1924"</definedName>
    <definedName name="IQ_ACCT_RECV_1YR_ANN_GROWTH" hidden="1">"c1919"</definedName>
    <definedName name="IQ_ACCT_RECV_2YR_ANN_GROWTH" hidden="1">"c1920"</definedName>
    <definedName name="IQ_ACCT_RECV_3YR_ANN_GROWTH" hidden="1">"c1921"</definedName>
    <definedName name="IQ_ACCT_RECV_5YR_ANN_GROWTH" hidden="1">"c1922"</definedName>
    <definedName name="IQ_ACCT_RECV_7YR_ANN_GROWTH" hidden="1">"c1923"</definedName>
    <definedName name="IQ_ACCUM_DEP" hidden="1">"c1340"</definedName>
    <definedName name="IQ_ACCUMULATED_PENSION_OBLIGATION" hidden="1">"c2108"</definedName>
    <definedName name="IQ_ACQ_COST_SUB" hidden="1">"c2125"</definedName>
    <definedName name="IQ_ACQ_COSTS_CAPITALIZED" hidden="1">"c5"</definedName>
    <definedName name="IQ_ACQUIRE_REAL_ESTATE_CF" hidden="1">"c6"</definedName>
    <definedName name="IQ_ACQUISITION_RE_ASSETS" hidden="1">"c1628"</definedName>
    <definedName name="IQ_AD" hidden="1">"c7"</definedName>
    <definedName name="IQ_ADD_PAID_IN" hidden="1">"c1344"</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IT" hidden="1">"c13"</definedName>
    <definedName name="IQ_AE_UTI" hidden="1">"c14"</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GROWTH" hidden="1">"c18"</definedName>
    <definedName name="IQ_ALLOWANCE_1YR_ANN_GROWTH" hidden="1">"c19"</definedName>
    <definedName name="IQ_ALLOWANCE_2YR_ANN_GROWTH" hidden="1">"c20"</definedName>
    <definedName name="IQ_ALLOWANCE_3YR_ANN_GROWTH" hidden="1">"c21"</definedName>
    <definedName name="IQ_ALLOWANCE_5YR_ANN_GROWTH" hidden="1">"c22"</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ORTIZATION" hidden="1">"c1591"</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IT" hidden="1">"c43"</definedName>
    <definedName name="IQ_AR_TURNS" hidden="1">"c44"</definedName>
    <definedName name="IQ_AR_UTI" hidden="1">"c45"</definedName>
    <definedName name="IQ_ARPU" hidden="1">"c2126"</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OPER_LEASE_DEPR" hidden="1">"c2070"</definedName>
    <definedName name="IQ_ASSETS_OPER_LEASE_GROSS" hidden="1">"c2071"</definedName>
    <definedName name="IQ_AUDITOR_NAME" hidden="1">"c1539"</definedName>
    <definedName name="IQ_AUDITOR_OPINION" hidden="1">"c1540"</definedName>
    <definedName name="IQ_AUTO_WRITTEN" hidden="1">"c62"</definedName>
    <definedName name="IQ_AVG_BANK_ASSETS" hidden="1">"c2072"</definedName>
    <definedName name="IQ_AVG_BANK_LOANS" hidden="1">"c2073"</definedName>
    <definedName name="IQ_AVG_BROKER_REC" hidden="1">"c63"</definedName>
    <definedName name="IQ_AVG_BROKER_REC_NO" hidden="1">"c64"</definedName>
    <definedName name="IQ_AVG_DAILY_VOL" hidden="1">"c65"</definedName>
    <definedName name="IQ_AVG_INT_BEAR_LIAB" hidden="1">"c66"</definedName>
    <definedName name="IQ_AVG_INT_BEAR_LIAB_10YR_ANN_GROWTH" hidden="1">"c67"</definedName>
    <definedName name="IQ_AVG_INT_BEAR_LIAB_1YR_ANN_GROWTH" hidden="1">"c68"</definedName>
    <definedName name="IQ_AVG_INT_BEAR_LIAB_2YR_ANN_GROWTH" hidden="1">"c69"</definedName>
    <definedName name="IQ_AVG_INT_BEAR_LIAB_3YR_ANN_GROWTH" hidden="1">"c70"</definedName>
    <definedName name="IQ_AVG_INT_BEAR_LIAB_5YR_ANN_GROWTH" hidden="1">"c71"</definedName>
    <definedName name="IQ_AVG_INT_BEAR_LIAB_7YR_ANN_GROWTH" hidden="1">"c72"</definedName>
    <definedName name="IQ_AVG_INT_EARN_ASSETS" hidden="1">"c73"</definedName>
    <definedName name="IQ_AVG_INT_EARN_ASSETS_10YR_ANN_GROWTH" hidden="1">"c74"</definedName>
    <definedName name="IQ_AVG_INT_EARN_ASSETS_1YR_ANN_GROWTH" hidden="1">"c75"</definedName>
    <definedName name="IQ_AVG_INT_EARN_ASSETS_2YR_ANN_GROWTH" hidden="1">"c76"</definedName>
    <definedName name="IQ_AVG_INT_EARN_ASSETS_3YR_ANN_GROWTH" hidden="1">"c77"</definedName>
    <definedName name="IQ_AVG_INT_EARN_ASSETS_5YR_ANN_GROWTH" hidden="1">"c78"</definedName>
    <definedName name="IQ_AVG_INT_EARN_ASSETS_7YR_ANN_GROWTH" hidden="1">"c79"</definedName>
    <definedName name="IQ_AVG_MKTCAP" hidden="1">"c80"</definedName>
    <definedName name="IQ_AVG_PRICE" hidden="1">"c81"</definedName>
    <definedName name="IQ_AVG_SHAREOUTSTANDING" hidden="1">"c83"</definedName>
    <definedName name="IQ_AVG_TEV" hidden="1">"c84"</definedName>
    <definedName name="IQ_AVG_VOLUME" hidden="1">"c1346"</definedName>
    <definedName name="IQ_BASIC_EPS_EXCL" hidden="1">"c85"</definedName>
    <definedName name="IQ_BASIC_EPS_INCL" hidden="1">"c86"</definedName>
    <definedName name="IQ_BASIC_NORMAL_EPS" hidden="1">"c1592"</definedName>
    <definedName name="IQ_BASIC_WEIGHT" hidden="1">"c87"</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ROK_COMISSION" hidden="1">"c98"</definedName>
    <definedName name="IQ_BUILDINGS" hidden="1">"c99"</definedName>
    <definedName name="IQ_BUSINESS_DESCRIPTION" hidden="1">"c322"</definedName>
    <definedName name="IQ_BV_OVER_SHARES" hidden="1">"c1349"</definedName>
    <definedName name="IQ_BV_SHARE" hidden="1">"c100"</definedName>
    <definedName name="IQ_CAL_Q" hidden="1">"c101"</definedName>
    <definedName name="IQ_CAL_Y" hidden="1">"c102"</definedName>
    <definedName name="IQ_CAPEX" hidden="1">"c103"</definedName>
    <definedName name="IQ_CAPEX_10YR_ANN_GROWTH" hidden="1">"c104"</definedName>
    <definedName name="IQ_CAPEX_1YR_ANN_GROWTH" hidden="1">"c105"</definedName>
    <definedName name="IQ_CAPEX_2YR_ANN_GROWTH" hidden="1">"c106"</definedName>
    <definedName name="IQ_CAPEX_3YR_ANN_GROWTH" hidden="1">"c107"</definedName>
    <definedName name="IQ_CAPEX_5YR_ANN_GROWTH" hidden="1">"c108"</definedName>
    <definedName name="IQ_CAPEX_7YR_ANN_GROWTH" hidden="1">"c109"</definedName>
    <definedName name="IQ_CAPEX_BNK" hidden="1">"c110"</definedName>
    <definedName name="IQ_CAPEX_BR" hidden="1">"c111"</definedName>
    <definedName name="IQ_CAPEX_FIN" hidden="1">"c112"</definedName>
    <definedName name="IQ_CAPEX_INS" hidden="1">"c113"</definedName>
    <definedName name="IQ_CAPEX_UTI" hidden="1">"c114"</definedName>
    <definedName name="IQ_CAPITAL_LEASE" hidden="1">"c1350"</definedName>
    <definedName name="IQ_CAPITAL_LEASES" hidden="1">"c115"</definedName>
    <definedName name="IQ_CAPITALIZED_INTEREST" hidden="1">"c2076"</definedName>
    <definedName name="IQ_CASH" hidden="1">"c1458"</definedName>
    <definedName name="IQ_CASH_ACQUIRE_CF" hidden="1">"c1630"</definedName>
    <definedName name="IQ_CASH_CONVERSION" hidden="1">"c117"</definedName>
    <definedName name="IQ_CASH_DUE_BANKS" hidden="1">"c1351"</definedName>
    <definedName name="IQ_CASH_EQUIV" hidden="1">"c118"</definedName>
    <definedName name="IQ_CASH_FINAN" hidden="1">"c119"</definedName>
    <definedName name="IQ_CASH_INTEREST" hidden="1">"c120"</definedName>
    <definedName name="IQ_CASH_INVEST" hidden="1">"c121"</definedName>
    <definedName name="IQ_CASH_OPER" hidden="1">"c122"</definedName>
    <definedName name="IQ_CASH_SEGREG" hidden="1">"c123"</definedName>
    <definedName name="IQ_CASH_SHARE" hidden="1">"c1911"</definedName>
    <definedName name="IQ_CASH_ST" hidden="1">"c1355"</definedName>
    <definedName name="IQ_CASH_ST_INVEST" hidden="1">"c124"</definedName>
    <definedName name="IQ_CASH_TAXES" hidden="1">"c125"</definedName>
    <definedName name="IQ_CFO_10YR_ANN_GROWTH" hidden="1">"c126"</definedName>
    <definedName name="IQ_CFO_1YR_ANN_GROWTH" hidden="1">"c127"</definedName>
    <definedName name="IQ_CFO_2YR_ANN_GROWTH" hidden="1">"c128"</definedName>
    <definedName name="IQ_CFO_3YR_ANN_GROWTH" hidden="1">"c129"</definedName>
    <definedName name="IQ_CFO_5YR_ANN_GROWTH" hidden="1">"c130"</definedName>
    <definedName name="IQ_CFO_7YR_ANN_GROWTH" hidden="1">"c131"</definedName>
    <definedName name="IQ_CFO_CURRENT_LIAB" hidden="1">"c132"</definedName>
    <definedName name="IQ_CFPS_EST" hidden="1">"c1667"</definedName>
    <definedName name="IQ_CFPS_HIGH_EST" hidden="1">"c1669"</definedName>
    <definedName name="IQ_CFPS_LOW_EST" hidden="1">"c1670"</definedName>
    <definedName name="IQ_CFPS_MEDIAN_EST" hidden="1">"c1668"</definedName>
    <definedName name="IQ_CFPS_NUM_EST" hidden="1">"c1671"</definedName>
    <definedName name="IQ_CFPS_STDDEV_EST" hidden="1">"c1672"</definedName>
    <definedName name="IQ_CH">110000</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ORY" hidden="1">"c151"</definedName>
    <definedName name="IQ_CHANGE_NET_WORKING_CAPITAL" hidden="1">"c1909"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GROSS" hidden="1">"c162"</definedName>
    <definedName name="IQ_CHARGE_OFFS_NET" hidden="1">"c163"</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ASSA_OUTSTANDING_BS_DATE" hidden="1">"c1971"</definedName>
    <definedName name="IQ_CLASSA_OUTSTANDING_FILING_DATE" hidden="1">"c1973"</definedName>
    <definedName name="IQ_CLOSEPRICE" hidden="1">"c174"</definedName>
    <definedName name="IQ_CLOSEPRICE_ADJ" hidden="1">"c2115"</definedName>
    <definedName name="IQ_COGS" hidden="1">"c175"</definedName>
    <definedName name="IQ_COMBINED_RATIO" hidden="1">"c176"</definedName>
    <definedName name="IQ_COMMERCIAL_DOM" hidden="1">"c177"</definedName>
    <definedName name="IQ_COMMERCIAL_FIRE_WRITTEN" hidden="1">"c178"</definedName>
    <definedName name="IQ_COMMERCIAL_MORT" hidden="1">"c179"</definedName>
    <definedName name="IQ_COMMISS_FEES" hidden="1">"c180"</definedName>
    <definedName name="IQ_COMMISSION_DEF" hidden="1">"c181"</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IT" hidden="1">"c188"</definedName>
    <definedName name="IQ_COMMON_APIC_UTI" hidden="1">"c189"</definedName>
    <definedName name="IQ_COMMON_DIV_CF" hidden="1">"c190"</definedName>
    <definedName name="IQ_COMMON_EQUITY_10YR_ANN_GROWTH" hidden="1">"c191"</definedName>
    <definedName name="IQ_COMMON_EQUITY_1YR_ANN_GROWTH" hidden="1">"c192"</definedName>
    <definedName name="IQ_COMMON_EQUITY_2YR_ANN_GROWTH" hidden="1">"c193"</definedName>
    <definedName name="IQ_COMMON_EQUITY_3YR_ANN_GROWTH" hidden="1">"c194"</definedName>
    <definedName name="IQ_COMMON_EQUITY_5YR_ANN_GROWTH" hidden="1">"c195"</definedName>
    <definedName name="IQ_COMMON_EQUITY_7YR_ANN_GROWTH" hidden="1">"c196"</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NAME" hidden="1">"c215"</definedName>
    <definedName name="IQ_COMPANY_NAME_LONG" hidden="1">"c1585"</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LOANS" hidden="1">"c222"</definedName>
    <definedName name="IQ_CONSUMER_LOANS" hidden="1">"c223"</definedName>
    <definedName name="IQ_COST_BORROWINGS" hidden="1">"c225"</definedName>
    <definedName name="IQ_COST_REV" hidden="1">"c226"</definedName>
    <definedName name="IQ_COST_REVENUE" hidden="1">"c1359"</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Q">5000</definedName>
    <definedName name="IQ_CREDIT_CARD_FEE_BNK" hidden="1">"c231"</definedName>
    <definedName name="IQ_CREDIT_CARD_FEE_FIN" hidden="1">"c1583"</definedName>
    <definedName name="IQ_CREDIT_LOSS_CF" hidden="1">"c232"</definedName>
    <definedName name="IQ_CUMULATIVE_SPLIT_FACTOR" hidden="1">"c2094"</definedName>
    <definedName name="IQ_CURR_DOMESTIC_TAXES" hidden="1">"c2074"</definedName>
    <definedName name="IQ_CURR_FOREIGN_TAXES" hidden="1">"c2075"</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IT" hidden="1">"c1570"</definedName>
    <definedName name="IQ_CURRENT_PORT_DEBT_UTI" hidden="1">"c1571"</definedName>
    <definedName name="IQ_CURRENT_PORT_LEASES" hidden="1">"c245"</definedName>
    <definedName name="IQ_CURRENT_RATIO" hidden="1">"c246"</definedName>
    <definedName name="IQ_CY">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IT" hidden="1">"c254"</definedName>
    <definedName name="IQ_DA_CF_UTI" hidden="1">"c255"</definedName>
    <definedName name="IQ_DA_FIN" hidden="1">"c256"</definedName>
    <definedName name="IQ_DA_INS" hidden="1">"c257"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IT" hidden="1">"c266"</definedName>
    <definedName name="IQ_DA_SUPPL_CF_UTI" hidden="1">"c267"</definedName>
    <definedName name="IQ_DA_SUPPL_FIN" hidden="1">"c268"</definedName>
    <definedName name="IQ_DA_SUPPL_INS" hidden="1">"c269"</definedName>
    <definedName name="IQ_DA_SUPPL_REIT" hidden="1">"c270"</definedName>
    <definedName name="IQ_DA_SUPPL_UTI" hidden="1">"c271"</definedName>
    <definedName name="IQ_DA_UTI" hidden="1">"c272"</definedName>
    <definedName name="IQ_DAILY">500000</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OTHER_COST" hidden="1">"c284"</definedName>
    <definedName name="IQ_DEF_BENEFIT_ROA" hidden="1">"c285"</definedName>
    <definedName name="IQ_DEF_BENEFIT_SERVICE_COST" hidden="1">"c286"</definedName>
    <definedName name="IQ_DEF_BENEFIT_TOTAL_COST" hidden="1">"c287"</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IT" hidden="1">"c297"</definedName>
    <definedName name="IQ_DEF_CHARGES_LT_UTI" hidden="1">"c298"</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POSITS_FIN" hidden="1">"c321"</definedName>
    <definedName name="IQ_DEPRE_AMORT" hidden="1">"c1360"</definedName>
    <definedName name="IQ_DEPRE_AMORT_SUPPL" hidden="1">"c1593"</definedName>
    <definedName name="IQ_DEPRE_DEPLE" hidden="1">"c1361"</definedName>
    <definedName name="IQ_DEPRE_SUPP" hidden="1">"c1443"</definedName>
    <definedName name="IQ_DESCRIPTION_LONG" hidden="1">"c1520"</definedName>
    <definedName name="IQ_DEVELOP_LAND" hidden="1">"c323"</definedName>
    <definedName name="IQ_DIFF_LASTCLOSE_TARGET_PRICE" hidden="1">"c1854"</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SCONT_OPER" hidden="1">"c1367"</definedName>
    <definedName name="IQ_DISCOUNT_RATE_PENSION_DOMESTIC" hidden="1">"c327"</definedName>
    <definedName name="IQ_DISCOUNT_RATE_PENSION_FOREIGN" hidden="1">"c328"</definedName>
    <definedName name="IQ_DISTR_EXCESS_EARN" hidden="1">"c329"</definedName>
    <definedName name="IQ_DIV_PAYMENT_DATE" hidden="1">"c2106"</definedName>
    <definedName name="IQ_DIV_RECORD_DATE" hidden="1">"c2105"</definedName>
    <definedName name="IQ_DIV_SHARE" hidden="1">"c330"</definedName>
    <definedName name="IQ_DIVEST_CF" hidden="1">"c331"</definedName>
    <definedName name="IQ_DIVID_SHARE" hidden="1">"c1366"</definedName>
    <definedName name="IQ_DIVIDEND_YIELD" hidden="1">"c332"</definedName>
    <definedName name="IQ_DNTM" hidden="1">700000</definedName>
    <definedName name="IQ_DO" hidden="1">"c333"</definedName>
    <definedName name="IQ_DO_ASSETS_CURRENT" hidden="1">"c334"</definedName>
    <definedName name="IQ_DO_ASSETS_LT" hidden="1">"c335"</definedName>
    <definedName name="IQ_DO_CF" hidden="1">"c336"</definedName>
    <definedName name="IQ_DPS_10YR_ANN_GROWTH" hidden="1">"c337"</definedName>
    <definedName name="IQ_DPS_1YR_ANN_GROWTH" hidden="1">"c338"</definedName>
    <definedName name="IQ_DPS_2YR_ANN_GROWTH" hidden="1">"c339"</definedName>
    <definedName name="IQ_DPS_3YR_ANN_GROWTH" hidden="1">"c340"</definedName>
    <definedName name="IQ_DPS_5YR_ANN_GROWTH" hidden="1">"c341"</definedName>
    <definedName name="IQ_DPS_7YR_ANN_GROWTH" hidden="1">"c342"</definedName>
    <definedName name="IQ_DPS_EST" hidden="1">"c1674"</definedName>
    <definedName name="IQ_DPS_HIGH_EST" hidden="1">"c1676"</definedName>
    <definedName name="IQ_DPS_LOW_EST" hidden="1">"c1677"</definedName>
    <definedName name="IQ_DPS_MEDIAN_EST" hidden="1">"c1675"</definedName>
    <definedName name="IQ_DPS_NUM_EST" hidden="1">"c1678"</definedName>
    <definedName name="IQ_DPS_STDDEV_EST" hidden="1">"c1679"</definedName>
    <definedName name="IQ_EARNING_ASSET_YIELD" hidden="1">"c343"</definedName>
    <definedName name="IQ_EARNING_CO" hidden="1">"c344"</definedName>
    <definedName name="IQ_EARNING_CO_10YR_ANN_GROWTH" hidden="1">"c345"</definedName>
    <definedName name="IQ_EARNING_CO_1YR_ANN_GROWTH" hidden="1">"c346"</definedName>
    <definedName name="IQ_EARNING_CO_2YR_ANN_GROWTH" hidden="1">"c347"</definedName>
    <definedName name="IQ_EARNING_CO_3YR_ANN_GROWTH" hidden="1">"c348"</definedName>
    <definedName name="IQ_EARNING_CO_5YR_ANN_GROWTH" hidden="1">"c349"</definedName>
    <definedName name="IQ_EARNING_CO_7YR_ANN_GROWTH" hidden="1">"c350"</definedName>
    <definedName name="IQ_EARNING_CO_MARGIN" hidden="1">"c351"</definedName>
    <definedName name="IQ_EARNINGS_ANNOUNCE_DATE" hidden="1">"c1649"</definedName>
    <definedName name="IQ_EBIT" hidden="1">"c352"</definedName>
    <definedName name="IQ_EBIT_10YR_ANN_GROWTH" hidden="1">"c353"</definedName>
    <definedName name="IQ_EBIT_1YR_ANN_GROWTH" hidden="1">"c354"</definedName>
    <definedName name="IQ_EBIT_2YR_ANN_GROWTH" hidden="1">"c355"</definedName>
    <definedName name="IQ_EBIT_3YR_ANN_GROWTH" hidden="1">"c356"</definedName>
    <definedName name="IQ_EBIT_5YR_ANN_GROWTH" hidden="1">"c357"</definedName>
    <definedName name="IQ_EBIT_7YR_ANN_GROWTH" hidden="1">"c358"</definedName>
    <definedName name="IQ_EBIT_EST" hidden="1">"c1681"</definedName>
    <definedName name="IQ_EBIT_HIGH_EST" hidden="1">"c1683"</definedName>
    <definedName name="IQ_EBIT_INT" hidden="1">"c360"</definedName>
    <definedName name="IQ_EBIT_LOW_EST" hidden="1">"c1684"</definedName>
    <definedName name="IQ_EBIT_MARGIN" hidden="1">"c359"</definedName>
    <definedName name="IQ_EBIT_MEDIAN_EST" hidden="1">"c1682"</definedName>
    <definedName name="IQ_EBIT_NUM_EST" hidden="1">"c1685"</definedName>
    <definedName name="IQ_EBIT_OVER_IE" hidden="1">"c1369"</definedName>
    <definedName name="IQ_EBIT_STDDEV_EST" hidden="1">"c1686"</definedName>
    <definedName name="IQ_EBITA" hidden="1">"c1910"</definedName>
    <definedName name="IQ_EBITA_10YR_ANN_GROWTH" hidden="1">"c1954"</definedName>
    <definedName name="IQ_EBITA_1YR_ANN_GROWTH" hidden="1">"c1949"</definedName>
    <definedName name="IQ_EBITA_2YR_ANN_GROWTH" hidden="1">"c1950"</definedName>
    <definedName name="IQ_EBITA_3YR_ANN_GROWTH" hidden="1">"c1951"</definedName>
    <definedName name="IQ_EBITA_5YR_ANN_GROWTH" hidden="1">"c1952"</definedName>
    <definedName name="IQ_EBITA_7YR_ANN_GROWTH" hidden="1">"c1953"</definedName>
    <definedName name="IQ_EBITA_MARGIN" hidden="1">"c1963"</definedName>
    <definedName name="IQ_EBITDA" hidden="1">"c361"</definedName>
    <definedName name="IQ_EBITDA_10YR_ANN_GROWTH" hidden="1">"c362"</definedName>
    <definedName name="IQ_EBITDA_1YR_ANN_GROWTH" hidden="1">"c363"</definedName>
    <definedName name="IQ_EBITDA_2YR_ANN_GROWTH" hidden="1">"c364"</definedName>
    <definedName name="IQ_EBITDA_3YR_ANN_GROWTH" hidden="1">"c365"</definedName>
    <definedName name="IQ_EBITDA_5YR_ANN_GROWTH" hidden="1">"c366"</definedName>
    <definedName name="IQ_EBITDA_7YR_ANN_GROWTH" hidden="1">"c367"</definedName>
    <definedName name="IQ_EBITDA_CAPEX_INT" hidden="1">"c368"</definedName>
    <definedName name="IQ_EBITDA_CAPEX_OVER_TOTAL_IE" hidden="1">"c1370"</definedName>
    <definedName name="IQ_EBITDA_EST" hidden="1">"c369"</definedName>
    <definedName name="IQ_EBITDA_HIGH_EST" hidden="1">"c370"</definedName>
    <definedName name="IQ_EBITDA_INT" hidden="1">"c373"</definedName>
    <definedName name="IQ_EBITDA_LOW_EST" hidden="1">"c371"</definedName>
    <definedName name="IQ_EBITDA_MARGIN" hidden="1">"c372"</definedName>
    <definedName name="IQ_EBITDA_MEDIAN_EST" hidden="1">"c1663"</definedName>
    <definedName name="IQ_EBITDA_NUM_EST" hidden="1">"c374"</definedName>
    <definedName name="IQ_EBITDA_OVER_TOTAL_IE" hidden="1">"c1371"</definedName>
    <definedName name="IQ_EBITDA_STDDEV_EST" hidden="1">"c375"</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IT" hidden="1">"c389"</definedName>
    <definedName name="IQ_EBT_UTI" hidden="1">"c390"</definedName>
    <definedName name="IQ_EFFECT_SPECIAL_CHARGE" hidden="1">"c1595"</definedName>
    <definedName name="IQ_EFFECT_TAX_RATE" hidden="1">"c1899"</definedName>
    <definedName name="IQ_EFFICIENCY_RATIO" hidden="1">"c391"</definedName>
    <definedName name="IQ_EMPLOYEES" hidden="1">"c392"</definedName>
    <definedName name="IQ_ENTERPRISE_VALUE" hidden="1">"c1348"</definedName>
    <definedName name="IQ_EPS_10YR_ANN_GROWTH" hidden="1">"c393"</definedName>
    <definedName name="IQ_EPS_1YR_ANN_GROWTH" hidden="1">"c394"</definedName>
    <definedName name="IQ_EPS_2YR_ANN_GROWTH" hidden="1">"c395"</definedName>
    <definedName name="IQ_EPS_3YR_ANN_GROWTH" hidden="1">"c396"</definedName>
    <definedName name="IQ_EPS_5YR_ANN_GROWTH" hidden="1">"c397"</definedName>
    <definedName name="IQ_EPS_7YR_ANN_GROWTH" hidden="1">"c398"</definedName>
    <definedName name="IQ_EPS_EST" hidden="1">"c399"</definedName>
    <definedName name="IQ_EPS_GW_EST" hidden="1">"c1737"</definedName>
    <definedName name="IQ_EPS_GW_HIGH_EST" hidden="1">"c1739"</definedName>
    <definedName name="IQ_EPS_GW_LOW_EST" hidden="1">"c1740"</definedName>
    <definedName name="IQ_EPS_GW_MEDIAN_EST" hidden="1">"c1738"</definedName>
    <definedName name="IQ_EPS_GW_NUM_EST" hidden="1">"c1741"</definedName>
    <definedName name="IQ_EPS_GW_STDDEV_EST" hidden="1">"c1742"</definedName>
    <definedName name="IQ_EPS_HIGH_EST" hidden="1">"c400"</definedName>
    <definedName name="IQ_EPS_LOW_EST" hidden="1">"c401"</definedName>
    <definedName name="IQ_EPS_MEDIAN_EST" hidden="1">"c1661"</definedName>
    <definedName name="IQ_EPS_NORM" hidden="1">"c1902"</definedName>
    <definedName name="IQ_EPS_NUM_EST" hidden="1">"c402"</definedName>
    <definedName name="IQ_EPS_REPORTED_EST" hidden="1">"c1744"</definedName>
    <definedName name="IQ_EPS_REPORTED_HIGH_EST" hidden="1">"c1746"</definedName>
    <definedName name="IQ_EPS_REPORTED_LOW_EST" hidden="1">"c1747"</definedName>
    <definedName name="IQ_EPS_REPORTED_MEDIAN_EST" hidden="1">"c1745"</definedName>
    <definedName name="IQ_EPS_REPORTED_NUM_EST" hidden="1">"c1748"</definedName>
    <definedName name="IQ_EPS_REPORTED_STDDEV_EST" hidden="1">"c1749"</definedName>
    <definedName name="IQ_EPS_STDDEV_EST" hidden="1">"c403"</definedName>
    <definedName name="IQ_EQUITY_AFFIL" hidden="1">"c1451"</definedName>
    <definedName name="IQ_EQUITY_METHOD" hidden="1">"c404"</definedName>
    <definedName name="IQ_EQV_OVER_BV" hidden="1">"c1596"</definedName>
    <definedName name="IQ_EQV_OVER_LTM_PRETAX_INC" hidden="1">"c1390"</definedName>
    <definedName name="IQ_ESOP_DEBT" hidden="1">"c1597"</definedName>
    <definedName name="IQ_EST_ACT_CFPS" hidden="1">"c1673"</definedName>
    <definedName name="IQ_EST_ACT_DPS" hidden="1">"c1680"</definedName>
    <definedName name="IQ_EST_ACT_EBIT" hidden="1">"c1687"</definedName>
    <definedName name="IQ_EST_ACT_EBITDA" hidden="1">"c1664"</definedName>
    <definedName name="IQ_EST_ACT_EPS" hidden="1">"c1648"</definedName>
    <definedName name="IQ_EST_ACT_EPS_GW" hidden="1">"c1743"</definedName>
    <definedName name="IQ_EST_ACT_EPS_REPORTED" hidden="1">"c1750"</definedName>
    <definedName name="IQ_EST_ACT_FFO" hidden="1">"c1666"</definedName>
    <definedName name="IQ_EST_ACT_NAV" hidden="1">"c1757"</definedName>
    <definedName name="IQ_EST_ACT_NI" hidden="1">"c1722"</definedName>
    <definedName name="IQ_EST_ACT_NI_GW" hidden="1">"c1729"</definedName>
    <definedName name="IQ_EST_ACT_NI_REPORTED" hidden="1">"c1736"</definedName>
    <definedName name="IQ_EST_ACT_OPER_INC" hidden="1">"c1694"</definedName>
    <definedName name="IQ_EST_ACT_PRETAX_GW_INC" hidden="1">"c1708"</definedName>
    <definedName name="IQ_EST_ACT_PRETAX_INC" hidden="1">"c1701"</definedName>
    <definedName name="IQ_EST_ACT_PRETAX_REPORT_INC" hidden="1">"c1715"</definedName>
    <definedName name="IQ_EST_ACT_REV" hidden="1">"c2113"</definedName>
    <definedName name="IQ_EST_CFPS_DIFF" hidden="1">"c1871"</definedName>
    <definedName name="IQ_EST_CFPS_GROWTH_1YR" hidden="1">"c1774"</definedName>
    <definedName name="IQ_EST_CFPS_GROWTH_2YR" hidden="1">"c1775"</definedName>
    <definedName name="IQ_EST_CFPS_GROWTH_Q_1YR" hidden="1">"c1776"</definedName>
    <definedName name="IQ_EST_CFPS_SEQ_GROWTH_Q" hidden="1">"c1777"</definedName>
    <definedName name="IQ_EST_CFPS_SURPRISE_PERCENT" hidden="1">"c1872"</definedName>
    <definedName name="IQ_EST_CURRENCY" hidden="1">"c2140"</definedName>
    <definedName name="IQ_EST_DATE" hidden="1">"c1634"</definedName>
    <definedName name="IQ_EST_DPS_DIFF" hidden="1">"c1873"</definedName>
    <definedName name="IQ_EST_DPS_GROWTH_1YR" hidden="1">"c1778"</definedName>
    <definedName name="IQ_EST_DPS_GROWTH_2YR" hidden="1">"c1779"</definedName>
    <definedName name="IQ_EST_DPS_GROWTH_Q_1YR" hidden="1">"c1780"</definedName>
    <definedName name="IQ_EST_DPS_SEQ_GROWTH_Q" hidden="1">"c1781"</definedName>
    <definedName name="IQ_EST_DPS_SURPRISE_PERCENT" hidden="1">"c1874"</definedName>
    <definedName name="IQ_EST_EBIT_DIFF" hidden="1">"c1875"</definedName>
    <definedName name="IQ_EST_EBIT_SURPRISE_PERCENT" hidden="1">"c1876"</definedName>
    <definedName name="IQ_EST_EBITDA_DIFF" hidden="1">"c1867"</definedName>
    <definedName name="IQ_EST_EBITDA_GROWTH_1YR" hidden="1">"c1766"</definedName>
    <definedName name="IQ_EST_EBITDA_GROWTH_2YR" hidden="1">"c1767"</definedName>
    <definedName name="IQ_EST_EBITDA_GROWTH_Q_1YR" hidden="1">"c1768"</definedName>
    <definedName name="IQ_EST_EBITDA_SEQ_GROWTH_Q" hidden="1">"c1769"</definedName>
    <definedName name="IQ_EST_EBITDA_SURPRISE_PERCENT" hidden="1">"c1868"</definedName>
    <definedName name="IQ_EST_EPS_DIFF" hidden="1">"c1864"</definedName>
    <definedName name="IQ_EST_EPS_GROWTH_1YR" hidden="1">"c1636"</definedName>
    <definedName name="IQ_EST_EPS_GROWTH_2YR" hidden="1">"c1637"</definedName>
    <definedName name="IQ_EST_EPS_GROWTH_5YR" hidden="1">"c1655"</definedName>
    <definedName name="IQ_EST_EPS_GROWTH_5YR_HIGH" hidden="1">"c1657"</definedName>
    <definedName name="IQ_EST_EPS_GROWTH_5YR_LOW" hidden="1">"c1658"</definedName>
    <definedName name="IQ_EST_EPS_GROWTH_5YR_MEDIAN" hidden="1">"c1656"</definedName>
    <definedName name="IQ_EST_EPS_GROWTH_5YR_NUM" hidden="1">"c1659"</definedName>
    <definedName name="IQ_EST_EPS_GROWTH_5YR_STDDEV" hidden="1">"c1660"</definedName>
    <definedName name="IQ_EST_EPS_GROWTH_Q_1YR" hidden="1">"c1641"</definedName>
    <definedName name="IQ_EST_EPS_GW_DIFF" hidden="1">"c1891"</definedName>
    <definedName name="IQ_EST_EPS_GW_SURPRISE_PERCENT" hidden="1">"c1892"</definedName>
    <definedName name="IQ_EST_EPS_REPORT_DIFF" hidden="1">"c1893"</definedName>
    <definedName name="IQ_EST_EPS_REPORT_SURPRISE_PERCENT" hidden="1">"c1894"</definedName>
    <definedName name="IQ_EST_EPS_SEQ_GROWTH_Q" hidden="1">"c1764"</definedName>
    <definedName name="IQ_EST_EPS_SURPRISE_PERCENT" hidden="1">"c1635"</definedName>
    <definedName name="IQ_EST_FFO_DIFF" hidden="1">"c1869"</definedName>
    <definedName name="IQ_EST_FFO_GROWTH_1YR" hidden="1">"c1770"</definedName>
    <definedName name="IQ_EST_FFO_GROWTH_2YR" hidden="1">"c1771"</definedName>
    <definedName name="IQ_EST_FFO_GROWTH_Q_1YR" hidden="1">"c1772"</definedName>
    <definedName name="IQ_EST_FFO_SEQ_GROWTH_Q" hidden="1">"c1773"</definedName>
    <definedName name="IQ_EST_FFO_SURPRISE_PERCENT" hidden="1">"c1870"</definedName>
    <definedName name="IQ_EST_NAV_DIFF" hidden="1">"c1895"</definedName>
    <definedName name="IQ_EST_NAV_SURPRISE_PERCENT" hidden="1">"c1896"</definedName>
    <definedName name="IQ_EST_NI_DIFF" hidden="1">"c1885"</definedName>
    <definedName name="IQ_EST_NI_GW_DIFF" hidden="1">"c1887"</definedName>
    <definedName name="IQ_EST_NI_GW_SURPRISE_PERCENT" hidden="1">"c1888"</definedName>
    <definedName name="IQ_EST_NI_REPORT_DIFF" hidden="1">"c1889"</definedName>
    <definedName name="IQ_EST_NI_REPORT_SURPRISE_PERCENT" hidden="1">"c1890"</definedName>
    <definedName name="IQ_EST_NI_SURPRISE_PERCENT" hidden="1">"c1886"</definedName>
    <definedName name="IQ_EST_NUM_BUY" hidden="1">"c1759"</definedName>
    <definedName name="IQ_EST_NUM_HOLD" hidden="1">"c1761"</definedName>
    <definedName name="IQ_EST_NUM_NO_OPINION" hidden="1">"c1758"</definedName>
    <definedName name="IQ_EST_NUM_OUTPERFORM" hidden="1">"c1760"</definedName>
    <definedName name="IQ_EST_NUM_SELL" hidden="1">"c1763"</definedName>
    <definedName name="IQ_EST_NUM_UNDERPERFORM" hidden="1">"c1762"</definedName>
    <definedName name="IQ_EST_OPER_INC_DIFF" hidden="1">"c1877"</definedName>
    <definedName name="IQ_EST_OPER_INC_SURPRISE_PERCENT" hidden="1">"c1878"</definedName>
    <definedName name="IQ_EST_PRE_TAX_DIFF" hidden="1">"c1879"</definedName>
    <definedName name="IQ_EST_PRE_TAX_GW_DIFF" hidden="1">"c1881"</definedName>
    <definedName name="IQ_EST_PRE_TAX_GW_SURPRISE_PERCENT" hidden="1">"c1882"</definedName>
    <definedName name="IQ_EST_PRE_TAX_REPORT_DIFF" hidden="1">"c1883"</definedName>
    <definedName name="IQ_EST_PRE_TAX_REPORT_SURPRISE_PERCENT" hidden="1">"c1884"</definedName>
    <definedName name="IQ_EST_PRE_TAX_SURPRISE_PERCENT" hidden="1">"c1880"</definedName>
    <definedName name="IQ_EST_REV_DIFF" hidden="1">"c1865"</definedName>
    <definedName name="IQ_EST_REV_GROWTH_1YR" hidden="1">"c1638"</definedName>
    <definedName name="IQ_EST_REV_GROWTH_2YR" hidden="1">"c1639"</definedName>
    <definedName name="IQ_EST_REV_GROWTH_Q_1YR" hidden="1">"c1640"</definedName>
    <definedName name="IQ_EST_REV_SEQ_GROWTH_Q" hidden="1">"c1765"</definedName>
    <definedName name="IQ_EST_REV_SURPRISE_PERCENT" hidden="1">"c1866"</definedName>
    <definedName name="IQ_EV_OVER_EMPLOYEE" hidden="1">"c1428"</definedName>
    <definedName name="IQ_EV_OVER_LTM_EBIT" hidden="1">"c1426"</definedName>
    <definedName name="IQ_EV_OVER_LTM_EBITDA" hidden="1">"c1427"</definedName>
    <definedName name="IQ_EV_OVER_LTM_REVENUE" hidden="1">"c1429"</definedName>
    <definedName name="IQ_EXCHANGE" hidden="1">"c405"</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LORE_DRILL" hidden="1">"c409"</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IT" hidden="1">"c415"</definedName>
    <definedName name="IQ_EXTRA_ACC_ITEMS_UTI" hidden="1">"c416"</definedName>
    <definedName name="IQ_EXTRA_ITEMS" hidden="1">"c1459"</definedName>
    <definedName name="IQ_FDIC" hidden="1">"c417"</definedName>
    <definedName name="IQ_FFO" hidden="1">"c1574"</definedName>
    <definedName name="IQ_FFO_EST" hidden="1">"c418"</definedName>
    <definedName name="IQ_FFO_HIGH_EST" hidden="1">"c419"</definedName>
    <definedName name="IQ_FFO_LOW_EST" hidden="1">"c420"</definedName>
    <definedName name="IQ_FFO_MEDIAN_EST" hidden="1">"c1665"</definedName>
    <definedName name="IQ_FFO_NUM_EST" hidden="1">"c421"</definedName>
    <definedName name="IQ_FFO_STDDEV_EST" hidden="1">"c422"</definedName>
    <definedName name="IQ_FH">100000</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LING_CURRENCY" hidden="1">"c2129"</definedName>
    <definedName name="IQ_FILINGDATE_BS" hidden="1">"c424"</definedName>
    <definedName name="IQ_FILINGDATE_CF" hidden="1">"c425"</definedName>
    <definedName name="IQ_FILINGDATE_IS" hidden="1">"c426"</definedName>
    <definedName name="IQ_FIN_DIV_ASSETS_CURRENT" hidden="1">"c427"</definedName>
    <definedName name="IQ_FIN_DIV_ASSETS_LT" hidden="1">"c428"</definedName>
    <definedName name="IQ_FIN_DIV_DEBT_CURRENT" hidden="1">"c429"</definedName>
    <definedName name="IQ_FIN_DIV_DEBT_LT" hidden="1">"c430"</definedName>
    <definedName name="IQ_FIN_DIV_EXP" hidden="1">"c431"</definedName>
    <definedName name="IQ_FIN_DIV_INT_EXP" hidden="1">"c432"</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REV" hidden="1">"c437"</definedName>
    <definedName name="IQ_FINANCING_CASH" hidden="1">"c1405"</definedName>
    <definedName name="IQ_FINANCING_CASH_SUPPL" hidden="1">"c1406"</definedName>
    <definedName name="IQ_FINISHED_INV" hidden="1">"c438"</definedName>
    <definedName name="IQ_FIRST_YEAR_LIFE" hidden="1">"c439"</definedName>
    <definedName name="IQ_FISCAL_Q" hidden="1">"c440"</definedName>
    <definedName name="IQ_FISCAL_Y" hidden="1">"c441"</definedName>
    <definedName name="IQ_FIVE_PERCENT_OWNER" hidden="1">"c442"</definedName>
    <definedName name="IQ_FIVEPERCENT_PERCENT" hidden="1">"c443"</definedName>
    <definedName name="IQ_FIVEPERCENT_SHARES" hidden="1">"c444"</definedName>
    <definedName name="IQ_FIXED_ASSET_TURNS" hidden="1">"c445"</definedName>
    <definedName name="IQ_FLOAT_PERCENT" hidden="1">"c1575"</definedName>
    <definedName name="IQ_FOREIGN_DEP_IB" hidden="1">"c446"</definedName>
    <definedName name="IQ_FOREIGN_DEP_NON_IB" hidden="1">"c447"</definedName>
    <definedName name="IQ_FOREIGN_EXCHANGE" hidden="1">"c1376"</definedName>
    <definedName name="IQ_FOREIGN_LOANS" hidden="1">"c448"</definedName>
    <definedName name="IQ_FQ">500</definedName>
    <definedName name="IQ_FUEL" hidden="1">"c449"</definedName>
    <definedName name="IQ_FULL_TIME" hidden="1">"c450"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X" hidden="1">"c451"</definedName>
    <definedName name="IQ_FY">1000</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OODWILL_NET" hidden="1">"c1380"</definedName>
    <definedName name="IQ_GP" hidden="1">"c511"</definedName>
    <definedName name="IQ_GP_10YR_ANN_GROWTH" hidden="1">"c512"</definedName>
    <definedName name="IQ_GP_1YR_ANN_GROWTH" hidden="1">"c513"</definedName>
    <definedName name="IQ_GP_2YR_ANN_GROWTH" hidden="1">"c514"</definedName>
    <definedName name="IQ_GP_3YR_ANN_GROWTH" hidden="1">"c515"</definedName>
    <definedName name="IQ_GP_5YR_ANN_GROWTH" hidden="1">"c516"</definedName>
    <definedName name="IQ_GP_7YR_ANN_GROWTH" hidden="1">"c517"</definedName>
    <definedName name="IQ_GPPE" hidden="1">"c518"</definedName>
    <definedName name="IQ_GROSS_DIVID" hidden="1">"c1446"</definedName>
    <definedName name="IQ_GROSS_LOANS" hidden="1">"c521"</definedName>
    <definedName name="IQ_GROSS_LOANS_10YR_ANN_GROWTH" hidden="1">"c522"</definedName>
    <definedName name="IQ_GROSS_LOANS_1YR_ANN_GROWTH" hidden="1">"c523"</definedName>
    <definedName name="IQ_GROSS_LOANS_2YR_ANN_GROWTH" hidden="1">"c524"</definedName>
    <definedName name="IQ_GROSS_LOANS_3YR_ANN_GROWTH" hidden="1">"c525"</definedName>
    <definedName name="IQ_GROSS_LOANS_5YR_ANN_GROWTH" hidden="1">"c526"</definedName>
    <definedName name="IQ_GROSS_LOANS_7YR_ANN_GROWTH" hidden="1">"c527"</definedName>
    <definedName name="IQ_GROSS_LOANS_TOTAL_DEPOSITS" hidden="1">"c528"</definedName>
    <definedName name="IQ_GROSS_MARGIN" hidden="1">"c529"</definedName>
    <definedName name="IQ_GROSS_PROFIT" hidden="1">"c1378"</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IT" hidden="1">"c1480"</definedName>
    <definedName name="IQ_GW_INTAN_AMORT_UTI" hidden="1">"c1481"</definedName>
    <definedName name="IQ_HIGH_TARGET_PRICE" hidden="1">"c1651"</definedName>
    <definedName name="IQ_HIGHPRICE" hidden="1">"c545"</definedName>
    <definedName name="IQ_HOMEOWNERS_WRITTEN" hidden="1">"c546"</definedName>
    <definedName name="IQ_IMPAIR_OIL" hidden="1">"c547"</definedName>
    <definedName name="IQ_IMPAIRMENT_GW" hidden="1">"c548"</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S_ANNUITY_LIAB" hidden="1">"c563"</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UR_RECEIV" hidden="1">"c1600"</definedName>
    <definedName name="IQ_INT_BORROW" hidden="1">"c583"</definedName>
    <definedName name="IQ_INT_DEPOSITS" hidden="1">"c584"</definedName>
    <definedName name="IQ_INT_DIV_INC" hidden="1">"c585"</definedName>
    <definedName name="IQ_INT_EXP_BR" hidden="1">"c586"</definedName>
    <definedName name="IQ_INT_EXP_COVERAGE" hidden="1">"c587"</definedName>
    <definedName name="IQ_INT_EXP_FIN" hidden="1">"c588"</definedName>
    <definedName name="IQ_INT_EXP_INS" hidden="1">"c589"</definedName>
    <definedName name="IQ_INT_EXP_LTD" hidden="1">"c2086"</definedName>
    <definedName name="IQ_INT_EXP_REIT" hidden="1">"c590"</definedName>
    <definedName name="IQ_INT_EXP_TOTAL" hidden="1">"c591"</definedName>
    <definedName name="IQ_INT_EXP_UTI" hidden="1">"c592"</definedName>
    <definedName name="IQ_INT_INC_BR" hidden="1">"c593"</definedName>
    <definedName name="IQ_INT_INC_FIN" hidden="1">"c594"</definedName>
    <definedName name="IQ_INT_INC_INVEST" hidden="1">"c595"</definedName>
    <definedName name="IQ_INT_INC_LOANS" hidden="1">"c596"</definedName>
    <definedName name="IQ_INT_INC_REIT" hidden="1">"c597"</definedName>
    <definedName name="IQ_INT_INC_TOTAL" hidden="1">"c598"</definedName>
    <definedName name="IQ_INT_INC_UTI" hidden="1">"c599"</definedName>
    <definedName name="IQ_INT_INV_INC" hidden="1">"c600"</definedName>
    <definedName name="IQ_INT_INV_INC_REIT" hidden="1">"c601"</definedName>
    <definedName name="IQ_INT_INV_INC_UTI" hidden="1">"c602"</definedName>
    <definedName name="IQ_INT_ON_BORROWING_COVERAGE" hidden="1">"c603"</definedName>
    <definedName name="IQ_INT_RATE_SPREAD" hidden="1">"c604"</definedName>
    <definedName name="IQ_INTANGIBLES_NET" hidden="1">"c1407"</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V_10YR_ANN_GROWTH" hidden="1">"c1930"</definedName>
    <definedName name="IQ_INV_1YR_ANN_GROWTH" hidden="1">"c1925"</definedName>
    <definedName name="IQ_INV_2YR_ANN_GROWTH" hidden="1">"c1926"</definedName>
    <definedName name="IQ_INV_3YR_ANN_GROWTH" hidden="1">"c1927"</definedName>
    <definedName name="IQ_INV_5YR_ANN_GROWTH" hidden="1">"c1928"</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IT" hidden="1">"c633"</definedName>
    <definedName name="IQ_INVEST_LOANS_CF_UTI" hidden="1">"c634"</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IT" hidden="1">"c642"</definedName>
    <definedName name="IQ_INVEST_SECURITY_CF_UTI" hidden="1">"c643"</definedName>
    <definedName name="IQ_IPRD" hidden="1">"c644"</definedName>
    <definedName name="IQ_ISS_DEBT_NET" hidden="1">"c1391"</definedName>
    <definedName name="IQ_ISS_STOCK_NET" hidden="1">"c1601"</definedName>
    <definedName name="IQ_LAND" hidden="1">"c645"</definedName>
    <definedName name="IQ_LAST_SPLIT_DATE" hidden="1">"c2095"</definedName>
    <definedName name="IQ_LAST_SPLIT_FACTOR" hidden="1">"c2093"</definedName>
    <definedName name="IQ_LASTSALEPRICE" hidden="1">"c646"</definedName>
    <definedName name="IQ_LASTSALEPRICE_DATE" hidden="1">"c2109"</definedName>
    <definedName name="IQ_LATESTK" hidden="1">1000</definedName>
    <definedName name="IQ_LATESTQ" hidden="1">500</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IT" hidden="1">"c652"</definedName>
    <definedName name="IQ_LEGAL_SETTLE_UTI" hidden="1">"c653"</definedName>
    <definedName name="IQ_LEVERAGE_RATIO" hidden="1">"c654"</definedName>
    <definedName name="IQ_LEVERED_FCF" hidden="1">"c1907"</definedName>
    <definedName name="IQ_LFCF_10YR_ANN_GROWTH" hidden="1">"c1942"</definedName>
    <definedName name="IQ_LFCF_1YR_ANN_GROWTH" hidden="1">"c1937"</definedName>
    <definedName name="IQ_LFCF_2YR_ANN_GROWTH" hidden="1">"c1938"</definedName>
    <definedName name="IQ_LFCF_3YR_ANN_GROWTH" hidden="1">"c1939"</definedName>
    <definedName name="IQ_LFCF_5YR_ANN_GROWTH" hidden="1">"c1940"</definedName>
    <definedName name="IQ_LFCF_7YR_ANN_GROWTH" hidden="1">"c1941"</definedName>
    <definedName name="IQ_LFCF_MARGIN" hidden="1">"c1961"</definedName>
    <definedName name="IQ_LICENSED_POPS" hidden="1">"c2123"</definedName>
    <definedName name="IQ_LIFOR" hidden="1">"c655"</definedName>
    <definedName name="IQ_LL" hidden="1">"c656"</definedName>
    <definedName name="IQ_LOAN_LEASE_RECEIV" hidden="1">"c657"</definedName>
    <definedName name="IQ_LOAN_LOSS" hidden="1">"c1386"</definedName>
    <definedName name="IQ_LOAN_SERVICE_REV" hidden="1">"c658"</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IT" hidden="1">"c664"</definedName>
    <definedName name="IQ_LOANS_CF_UTI" hidden="1">"c665"</definedName>
    <definedName name="IQ_LOANS_FOR_SALE" hidden="1">"c666"</definedName>
    <definedName name="IQ_LOANS_PAST_DUE" hidden="1">"c667"</definedName>
    <definedName name="IQ_LOANS_RECEIV_CURRENT" hidden="1">"c668"</definedName>
    <definedName name="IQ_LOANS_RECEIV_LT" hidden="1">"c669"</definedName>
    <definedName name="IQ_LOANS_RECEIV_LT_UTI" hidden="1">"c670"</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LOSS_EXP" hidden="1">"c672"</definedName>
    <definedName name="IQ_LOW_TARGET_PRICE" hidden="1">"c1652"</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IT" hidden="1">"c686"</definedName>
    <definedName name="IQ_LT_DEBT_ISSUED_UTI" hidden="1">"c687"</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IT" hidden="1">"c700"</definedName>
    <definedName name="IQ_LT_INVEST_UTI" hidden="1">"c701"</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2000</definedName>
    <definedName name="IQ_LTM_REVENUE_OVER_EMPLOYEES" hidden="1">"c1437"</definedName>
    <definedName name="IQ_LTMMONTH" hidden="1">120000</definedName>
    <definedName name="IQ_MACHINERY" hidden="1">"c711"</definedName>
    <definedName name="IQ_MAINT_REPAIR" hidden="1">"c2087"</definedName>
    <definedName name="IQ_MARKETCAP" hidden="1">"c712"</definedName>
    <definedName name="IQ_MEDIAN_TARGET_PRICE" hidden="1">"c1650"</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KTCAP_TOTAL_REV_FWD" hidden="1">"c742"</definedName>
    <definedName name="IQ_MM_ACCOUNT" hidden="1">"c743"</definedName>
    <definedName name="IQ_MONTH">15000</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TD" hidden="1">800000</definedName>
    <definedName name="IQ_NAMES_REVISION_DATE_" hidden="1">43787.3997685185</definedName>
    <definedName name="IQ_NAV_EST" hidden="1">"c1751"</definedName>
    <definedName name="IQ_NAV_HIGH_EST" hidden="1">"c1753"</definedName>
    <definedName name="IQ_NAV_LOW_EST" hidden="1">"c1754"</definedName>
    <definedName name="IQ_NAV_MEDIAN_EST" hidden="1">"c1752"</definedName>
    <definedName name="IQ_NAV_NUM_EST" hidden="1">"c1755"</definedName>
    <definedName name="IQ_NAV_STDDEV_EST" hidden="1">"c1756"</definedName>
    <definedName name="IQ_NET_CHANGE" hidden="1">"c749"</definedName>
    <definedName name="IQ_NET_DEBT" hidden="1">"c1584"</definedName>
    <definedName name="IQ_NET_DEBT_EBITDA" hidden="1">"c750"</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IT" hidden="1">"c756"</definedName>
    <definedName name="IQ_NET_DEBT_ISSUED_UTI" hidden="1">"c757"</definedName>
    <definedName name="IQ_NET_INC" hidden="1">"c1394"</definedName>
    <definedName name="IQ_NET_INC_BEFORE" hidden="1">"c1368"</definedName>
    <definedName name="IQ_NET_INC_CF" hidden="1">"c1397"</definedName>
    <definedName name="IQ_NET_INC_MARGIN" hidden="1">"c1398"</definedName>
    <definedName name="IQ_NET_INT_INC_10YR_ANN_GROWTH" hidden="1">"c758"</definedName>
    <definedName name="IQ_NET_INT_INC_1YR_ANN_GROWTH" hidden="1">"c759"</definedName>
    <definedName name="IQ_NET_INT_INC_2YR_ANN_GROWTH" hidden="1">"c760"</definedName>
    <definedName name="IQ_NET_INT_INC_3YR_ANN_GROWTH" hidden="1">"c761"</definedName>
    <definedName name="IQ_NET_INT_INC_5YR_ANN_GROWTH" hidden="1">"c762"</definedName>
    <definedName name="IQ_NET_INT_INC_7YR_ANN_GROWTH" hidden="1">"c763"</definedName>
    <definedName name="IQ_NET_INT_INC_BNK" hidden="1">"c764"</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LOANS" hidden="1">"c772"</definedName>
    <definedName name="IQ_NET_LOANS_10YR_ANN_GROWTH" hidden="1">"c773"</definedName>
    <definedName name="IQ_NET_LOANS_1YR_ANN_GROWTH" hidden="1">"c774"</definedName>
    <definedName name="IQ_NET_LOANS_2YR_ANN_GROWTH" hidden="1">"c775"</definedName>
    <definedName name="IQ_NET_LOANS_3YR_ANN_GROWTH" hidden="1">"c776"</definedName>
    <definedName name="IQ_NET_LOANS_5YR_ANN_GROWTH" hidden="1">"c777"</definedName>
    <definedName name="IQ_NET_LOANS_7YR_ANN_GROWTH" hidden="1">"c778"</definedName>
    <definedName name="IQ_NET_LOANS_TOTAL_DEPOSITS" hidden="1">"c779"</definedName>
    <definedName name="IQ_NET_RENTAL_EXP_FN" hidden="1">"c780"</definedName>
    <definedName name="IQ_NI" hidden="1">"c781"</definedName>
    <definedName name="IQ_NI_10YR_ANN_GROWTH" hidden="1">"c782"</definedName>
    <definedName name="IQ_NI_1YR_ANN_GROWTH" hidden="1">"c783"</definedName>
    <definedName name="IQ_NI_2YR_ANN_GROWTH" hidden="1">"c784"</definedName>
    <definedName name="IQ_NI_3YR_ANN_GROWTH" hidden="1">"c785"</definedName>
    <definedName name="IQ_NI_5YR_ANN_GROWTH" hidden="1">"c786"</definedName>
    <definedName name="IQ_NI_7YR_ANN_GROWTH" hidden="1">"c787"</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EST" hidden="1">"c1716"</definedName>
    <definedName name="IQ_NI_GW_EST" hidden="1">"c1723"</definedName>
    <definedName name="IQ_NI_GW_HIGH_EST" hidden="1">"c1725"</definedName>
    <definedName name="IQ_NI_GW_LOW_EST" hidden="1">"c1726"</definedName>
    <definedName name="IQ_NI_GW_MEDIAN_EST" hidden="1">"c1724"</definedName>
    <definedName name="IQ_NI_GW_NUM_EST" hidden="1">"c1727"</definedName>
    <definedName name="IQ_NI_GW_STDDEV_EST" hidden="1">"c1728"</definedName>
    <definedName name="IQ_NI_HIGH_EST" hidden="1">"c1718"</definedName>
    <definedName name="IQ_NI_LOW_EST" hidden="1">"c1719"</definedName>
    <definedName name="IQ_NI_MARGIN" hidden="1">"c794"</definedName>
    <definedName name="IQ_NI_MEDIAN_EST" hidden="1">"c1717"</definedName>
    <definedName name="IQ_NI_NORM" hidden="1">"c1901"</definedName>
    <definedName name="IQ_NI_NORM_10YR_ANN_GROWTH" hidden="1">"c1960"</definedName>
    <definedName name="IQ_NI_NORM_1YR_ANN_GROWTH" hidden="1">"c1955"</definedName>
    <definedName name="IQ_NI_NORM_2YR_ANN_GROWTH" hidden="1">"c1956"</definedName>
    <definedName name="IQ_NI_NORM_3YR_ANN_GROWTH" hidden="1">"c1957"</definedName>
    <definedName name="IQ_NI_NORM_5YR_ANN_GROWTH" hidden="1">"c1958"</definedName>
    <definedName name="IQ_NI_NORM_7YR_ANN_GROWTH" hidden="1">"c1959"</definedName>
    <definedName name="IQ_NI_NORM_MARGIN" hidden="1">"c1964"</definedName>
    <definedName name="IQ_NI_NUM_EST" hidden="1">"c1720"</definedName>
    <definedName name="IQ_NI_REPORTED_EST" hidden="1">"c1730"</definedName>
    <definedName name="IQ_NI_REPORTED_HIGH_EST" hidden="1">"c1732"</definedName>
    <definedName name="IQ_NI_REPORTED_LOW_EST" hidden="1">"c1733"</definedName>
    <definedName name="IQ_NI_REPORTED_MEDIAN_EST" hidden="1">"c1731"</definedName>
    <definedName name="IQ_NI_REPORTED_NUM_EST" hidden="1">"c1734"</definedName>
    <definedName name="IQ_NI_REPORTED_STDDEV_EST" hidden="1">"c1735"</definedName>
    <definedName name="IQ_NI_SFAS" hidden="1">"c795"</definedName>
    <definedName name="IQ_NI_STDDEV_EST" hidden="1">"c1721"</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INC" hidden="1">"c802"</definedName>
    <definedName name="IQ_NON_INT_INC_10YR_ANN_GROWTH" hidden="1">"c803"</definedName>
    <definedName name="IQ_NON_INT_INC_1YR_ANN_GROWTH" hidden="1">"c804"</definedName>
    <definedName name="IQ_NON_INT_INC_2YR_ANN_GROWTH" hidden="1">"c805"</definedName>
    <definedName name="IQ_NON_INT_INC_3YR_ANN_GROWTH" hidden="1">"c806"</definedName>
    <definedName name="IQ_NON_INT_INC_5YR_ANN_GROWTH" hidden="1">"c807"</definedName>
    <definedName name="IQ_NON_INT_INC_7YR_ANN_GROWTH" hidden="1">"c808"</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GROWTH" hidden="1">"c811"</definedName>
    <definedName name="IQ_NON_PERF_ASSETS_1YR_ANN_GROWTH" hidden="1">"c812"</definedName>
    <definedName name="IQ_NON_PERF_ASSETS_2YR_ANN_GROWTH" hidden="1">"c813"</definedName>
    <definedName name="IQ_NON_PERF_ASSETS_3YR_ANN_GROWTH" hidden="1">"c814"</definedName>
    <definedName name="IQ_NON_PERF_ASSETS_5YR_ANN_GROWTH" hidden="1">"c815"</definedName>
    <definedName name="IQ_NON_PERF_ASSETS_7YR_ANN_GROWTH" hidden="1">"c816"</definedName>
    <definedName name="IQ_NON_PERF_ASSETS_TOTAL_ASSETS" hidden="1">"c817"</definedName>
    <definedName name="IQ_NON_PERF_LOANS_10YR_ANN_GROWTH" hidden="1">"c818"</definedName>
    <definedName name="IQ_NON_PERF_LOANS_1YR_ANN_GROWTH" hidden="1">"c819"</definedName>
    <definedName name="IQ_NON_PERF_LOANS_2YR_ANN_GROWTH" hidden="1">"c820"</definedName>
    <definedName name="IQ_NON_PERF_LOANS_3YR_ANN_GROWTH" hidden="1">"c821"</definedName>
    <definedName name="IQ_NON_PERF_LOANS_5YR_ANN_GROWTH" hidden="1">"c822"</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UTIL_REV" hidden="1">"c2089"</definedName>
    <definedName name="IQ_NORMAL_INC_AFTER" hidden="1">"c1605"</definedName>
    <definedName name="IQ_NORMAL_INC_AVAIL" hidden="1">"c1606"</definedName>
    <definedName name="IQ_NORMAL_INC_BEFORE" hidden="1">"c1607"</definedName>
    <definedName name="IQ_NOTES_PAY" hidden="1">"c1423"</definedName>
    <definedName name="IQ_NOW_ACCOUNT" hidden="1">"c828"</definedName>
    <definedName name="IQ_NPPE" hidden="1">"c829"</definedName>
    <definedName name="IQ_NPPE_10YR_ANN_GROWTH" hidden="1">"c830"</definedName>
    <definedName name="IQ_NPPE_1YR_ANN_GROWTH" hidden="1">"c831"</definedName>
    <definedName name="IQ_NPPE_2YR_ANN_GROWTH" hidden="1">"c832"</definedName>
    <definedName name="IQ_NPPE_3YR_ANN_GROWTH" hidden="1">"c833"</definedName>
    <definedName name="IQ_NPPE_5YR_ANN_GROWTH" hidden="1">"c834"</definedName>
    <definedName name="IQ_NPPE_7YR_ANN_GROWTH" hidden="1">"c835"</definedName>
    <definedName name="IQ_NTM">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SHAREHOLDERS" hidden="1">"c1967"</definedName>
    <definedName name="IQ_NUMBER_SHAREHOLDERS_CLASSA" hidden="1">"c1968"</definedName>
    <definedName name="IQ_NUMBER_SHAREHOLDERS_OTHER" hidden="1">"c1969"</definedName>
    <definedName name="IQ_OCCUPY_EXP" hidden="1">"c839"</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CLOSE_BALANCE_GAS" hidden="1">"c2049"</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RESERVES_GAS" hidden="1">"c2053"</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OIL" hidden="1">"c2032"</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OIL" hidden="1">"c2035"</definedName>
    <definedName name="IQ_OG_PURCHASES_GAS" hidden="1">"c2045"</definedName>
    <definedName name="IQ_OG_PURCHASES_OIL" hidden="1">"c2033"</definedName>
    <definedName name="IQ_OG_REVISIONS_GAS" hidden="1">"c2042"</definedName>
    <definedName name="IQ_OG_REVISIONS_OIL" hidden="1">"c2030"</definedName>
    <definedName name="IQ_OG_SALES_IN_PLACE_GAS" hidden="1">"c2046"</definedName>
    <definedName name="IQ_OG_SALES_IN_PLACE_OIL" hidden="1">"c2034"</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OIL_PRODUCTON" hidden="1">"c2059"</definedName>
    <definedName name="IQ_OG_UNDEVELOPED_RESERVES_GAS" hidden="1">"c2051"</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NPRICE" hidden="1">"c848"</definedName>
    <definedName name="IQ_OPER_INC" hidden="1">"c849"</definedName>
    <definedName name="IQ_OPER_INC_BR" hidden="1">"c850"</definedName>
    <definedName name="IQ_OPER_INC_EST" hidden="1">"c1688"</definedName>
    <definedName name="IQ_OPER_INC_FIN" hidden="1">"c851"</definedName>
    <definedName name="IQ_OPER_INC_HIGH_EST" hidden="1">"c1690"</definedName>
    <definedName name="IQ_OPER_INC_INS" hidden="1">"c852"</definedName>
    <definedName name="IQ_OPER_INC_LOW_EST" hidden="1">"c1691"</definedName>
    <definedName name="IQ_OPER_INC_MARGIN" hidden="1">"c1448"</definedName>
    <definedName name="IQ_OPER_INC_MEDIAN_EST" hidden="1">"c1689"</definedName>
    <definedName name="IQ_OPER_INC_NUM_EST" hidden="1">"c1692"</definedName>
    <definedName name="IQ_OPER_INC_REIT" hidden="1">"c853"</definedName>
    <definedName name="IQ_OPER_INC_STDDEV_EST" hidden="1">"c1693"</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ED" hidden="1">"c2116"</definedName>
    <definedName name="IQ_OPTIONS_ISSUED" hidden="1">"c857"</definedName>
    <definedName name="IQ_ORDER_BACKLOG" hidden="1">"c2090"</definedName>
    <definedName name="IQ_OTHER_ADJUST_GROSS_LOANS" hidden="1">"c859"</definedName>
    <definedName name="IQ_OTHER_ASSETS" hidden="1">"c860"</definedName>
    <definedName name="IQ_OTHER_ASSETS_BNK" hidden="1">"c861"</definedName>
    <definedName name="IQ_OTHER_ASSETS_BR" hidden="1">"c862"</definedName>
    <definedName name="IQ_OTHER_ASSETS_FIN" hidden="1">"c863"</definedName>
    <definedName name="IQ_OTHER_ASSETS_INS" hidden="1">"c864"</definedName>
    <definedName name="IQ_OTHER_ASSETS_REIT" hidden="1">"c865"</definedName>
    <definedName name="IQ_OTHER_ASSETS_UTI" hidden="1">"c866"</definedName>
    <definedName name="IQ_OTHER_BEARING_LIAB" hidden="1">"c1608"</definedName>
    <definedName name="IQ_OTHER_BENEFITS_OBLIGATION" hidden="1">"c867"</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REIT" hidden="1">"c882"</definedName>
    <definedName name="IQ_OTHER_CL_SUPPL_UTI" hidden="1">"c883"</definedName>
    <definedName name="IQ_OTHER_CL_UTI" hidden="1">"c884"</definedName>
    <definedName name="IQ_OTHER_CURRENT_ASSETS" hidden="1">"c1403"</definedName>
    <definedName name="IQ_OTHER_CURRENT_LIAB" hidden="1">"c1404"</definedName>
    <definedName name="IQ_OTHER_DEP" hidden="1">"c885"</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IT" hidden="1">"c904"</definedName>
    <definedName name="IQ_OTHER_FINANCE_ACT_SUPPL_UTI" hidden="1">"c905"</definedName>
    <definedName name="IQ_OTHER_FINANCE_ACT_UTI" hidden="1">"c906"</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IT" hidden="1">"c912"</definedName>
    <definedName name="IQ_OTHER_INTAN_UTI" hidden="1">"c913"</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IT" hidden="1">"c940"</definedName>
    <definedName name="IQ_OTHER_LIAB_LT_UTI" hidden="1">"c941"</definedName>
    <definedName name="IQ_OTHER_LIAB_REIT" hidden="1">"c942"</definedName>
    <definedName name="IQ_OTHER_LIAB_UTI" hidden="1">"c943"</definedName>
    <definedName name="IQ_OTHER_LIAB_WRITTEN" hidden="1">"c944"</definedName>
    <definedName name="IQ_OTHER_LOANS" hidden="1">"c945"</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IT" hidden="1">"c951"</definedName>
    <definedName name="IQ_OTHER_LT_ASSETS_UTI" hidden="1">"c952"</definedName>
    <definedName name="IQ_OTHER_NET" hidden="1">"c1453"</definedName>
    <definedName name="IQ_OTHER_NON_INT_EXP" hidden="1">"c953"</definedName>
    <definedName name="IQ_OTHER_NON_INT_EXP_TOTAL" hidden="1">"c954"</definedName>
    <definedName name="IQ_OTHER_NON_INT_INC" hidden="1">"c955"</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IT" hidden="1">"c965"</definedName>
    <definedName name="IQ_OTHER_NON_OPER_EXP_SUPPL_UTI" hidden="1">"c966"</definedName>
    <definedName name="IQ_OTHER_NON_OPER_EXP_UTI" hidden="1">"c967"</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IT" hidden="1">"c1003"</definedName>
    <definedName name="IQ_OTHER_OPER_TOT_UTI" hidden="1">"c1004"</definedName>
    <definedName name="IQ_OTHER_OPER_UTI" hidden="1">"c1005"</definedName>
    <definedName name="IQ_OTHER_OUTSTANDING_BS_DATE" hidden="1">"c1972"</definedName>
    <definedName name="IQ_OTHER_OUTSTANDING_FILING_DATE" hidden="1">"c1974"</definedName>
    <definedName name="IQ_OTHER_PC_WRITTEN" hidden="1">"c1006"</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IT" hidden="1">"c1019"</definedName>
    <definedName name="IQ_OTHER_REV_SUPPL_UTI" hidden="1">"c1020"</definedName>
    <definedName name="IQ_OTHER_REV_UTI" hidden="1">"c1021"</definedName>
    <definedName name="IQ_OTHER_REVENUE" hidden="1">"c1410"</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IT" hidden="1">"c1499"</definedName>
    <definedName name="IQ_OTHER_UNUSUAL_SUPPL_UTI" hidden="1">"c1500"</definedName>
    <definedName name="IQ_OTHER_UNUSUAL_UTI" hidden="1">"c1565"</definedName>
    <definedName name="IQ_OUTSTANDING_BS_DATE" hidden="1">"c2128"</definedName>
    <definedName name="IQ_OUTSTANDING_FILING_DATE" hidden="1">"c2127"</definedName>
    <definedName name="IQ_PART_TIME" hidden="1">"c1024"</definedName>
    <definedName name="IQ_PAY_ACCRUED" hidden="1">"c1457"</definedName>
    <definedName name="IQ_PAYOUT_RATIO" hidden="1">"c1900"</definedName>
    <definedName name="IQ_PBV" hidden="1">"c1025"</definedName>
    <definedName name="IQ_PBV_AVG" hidden="1">"c1026"</definedName>
    <definedName name="IQ_PC_WRITTEN" hidden="1">"c1027"</definedName>
    <definedName name="IQ_PE_EXCL" hidden="1">"c1028"</definedName>
    <definedName name="IQ_PE_EXCL_AVG" hidden="1">"c1029"</definedName>
    <definedName name="IQ_PE_EXCL_FWD" hidden="1">"c1030"</definedName>
    <definedName name="IQ_PE_RATIO" hidden="1">"c1610"</definedName>
    <definedName name="IQ_PEG_FWD" hidden="1">"c1863"</definedName>
    <definedName name="IQ_PENSION" hidden="1">"c1031"</definedName>
    <definedName name="IQ_PERCENT_CHANGE_EST_5YR_GROWTH_RATE_12MONTHS" hidden="1">"c1852"</definedName>
    <definedName name="IQ_PERCENT_CHANGE_EST_5YR_GROWTH_RATE_18MONTHS" hidden="1">"c1853"</definedName>
    <definedName name="IQ_PERCENT_CHANGE_EST_5YR_GROWTH_RATE_3MONTHS" hidden="1">"c1849"</definedName>
    <definedName name="IQ_PERCENT_CHANGE_EST_5YR_GROWTH_RATE_6MONTHS" hidden="1">"c1850"</definedName>
    <definedName name="IQ_PERCENT_CHANGE_EST_5YR_GROWTH_RATE_9MONTHS" hidden="1">"c1851"</definedName>
    <definedName name="IQ_PERCENT_CHANGE_EST_5YR_GROWTH_RATE_DAY" hidden="1">"c1846"</definedName>
    <definedName name="IQ_PERCENT_CHANGE_EST_5YR_GROWTH_RATE_MONTH" hidden="1">"c1848"</definedName>
    <definedName name="IQ_PERCENT_CHANGE_EST_5YR_GROWTH_RATE_WEEK" hidden="1">"c1847"</definedName>
    <definedName name="IQ_PERCENT_CHANGE_EST_CFPS_12MONTHS" hidden="1">"c1812"</definedName>
    <definedName name="IQ_PERCENT_CHANGE_EST_CFPS_18MONTHS" hidden="1">"c1813"</definedName>
    <definedName name="IQ_PERCENT_CHANGE_EST_CFPS_3MONTHS" hidden="1">"c1809"</definedName>
    <definedName name="IQ_PERCENT_CHANGE_EST_CFPS_6MONTHS" hidden="1">"c1810"</definedName>
    <definedName name="IQ_PERCENT_CHANGE_EST_CFPS_9MONTHS" hidden="1">"c1811"</definedName>
    <definedName name="IQ_PERCENT_CHANGE_EST_CFPS_DAY" hidden="1">"c1806"</definedName>
    <definedName name="IQ_PERCENT_CHANGE_EST_CFPS_MONTH" hidden="1">"c1808"</definedName>
    <definedName name="IQ_PERCENT_CHANGE_EST_CFPS_WEEK" hidden="1">"c1807"</definedName>
    <definedName name="IQ_PERCENT_CHANGE_EST_DPS_12MONTHS" hidden="1">"c1820"</definedName>
    <definedName name="IQ_PERCENT_CHANGE_EST_DPS_18MONTHS" hidden="1">"c1821"</definedName>
    <definedName name="IQ_PERCENT_CHANGE_EST_DPS_3MONTHS" hidden="1">"c1817"</definedName>
    <definedName name="IQ_PERCENT_CHANGE_EST_DPS_6MONTHS" hidden="1">"c1818"</definedName>
    <definedName name="IQ_PERCENT_CHANGE_EST_DPS_9MONTHS" hidden="1">"c1819"</definedName>
    <definedName name="IQ_PERCENT_CHANGE_EST_DPS_DAY" hidden="1">"c1814"</definedName>
    <definedName name="IQ_PERCENT_CHANGE_EST_DPS_MONTH" hidden="1">"c1816"</definedName>
    <definedName name="IQ_PERCENT_CHANGE_EST_DPS_WEEK" hidden="1">"c1815"</definedName>
    <definedName name="IQ_PERCENT_CHANGE_EST_EBITDA_12MONTHS" hidden="1">"c1804"</definedName>
    <definedName name="IQ_PERCENT_CHANGE_EST_EBITDA_18MONTHS" hidden="1">"c1805"</definedName>
    <definedName name="IQ_PERCENT_CHANGE_EST_EBITDA_3MONTHS" hidden="1">"c1801"</definedName>
    <definedName name="IQ_PERCENT_CHANGE_EST_EBITDA_6MONTHS" hidden="1">"c1802"</definedName>
    <definedName name="IQ_PERCENT_CHANGE_EST_EBITDA_9MONTHS" hidden="1">"c1803"</definedName>
    <definedName name="IQ_PERCENT_CHANGE_EST_EBITDA_DAY" hidden="1">"c1798"</definedName>
    <definedName name="IQ_PERCENT_CHANGE_EST_EBITDA_MONTH" hidden="1">"c1800"</definedName>
    <definedName name="IQ_PERCENT_CHANGE_EST_EBITDA_WEEK" hidden="1">"c1799"</definedName>
    <definedName name="IQ_PERCENT_CHANGE_EST_EPS_12MONTHS" hidden="1">"c1788"</definedName>
    <definedName name="IQ_PERCENT_CHANGE_EST_EPS_18MONTHS" hidden="1">"c1789"</definedName>
    <definedName name="IQ_PERCENT_CHANGE_EST_EPS_3MONTHS" hidden="1">"c1785"</definedName>
    <definedName name="IQ_PERCENT_CHANGE_EST_EPS_6MONTHS" hidden="1">"c1786"</definedName>
    <definedName name="IQ_PERCENT_CHANGE_EST_EPS_9MONTHS" hidden="1">"c1787"</definedName>
    <definedName name="IQ_PERCENT_CHANGE_EST_EPS_DAY" hidden="1">"c1782"</definedName>
    <definedName name="IQ_PERCENT_CHANGE_EST_EPS_MONTH" hidden="1">"c1784"</definedName>
    <definedName name="IQ_PERCENT_CHANGE_EST_EPS_WEEK" hidden="1">"c1783"</definedName>
    <definedName name="IQ_PERCENT_CHANGE_EST_FFO_12MONTHS" hidden="1">"c1828"</definedName>
    <definedName name="IQ_PERCENT_CHANGE_EST_FFO_18MONTHS" hidden="1">"c1829"</definedName>
    <definedName name="IQ_PERCENT_CHANGE_EST_FFO_3MONTHS" hidden="1">"c1825"</definedName>
    <definedName name="IQ_PERCENT_CHANGE_EST_FFO_6MONTHS" hidden="1">"c1826"</definedName>
    <definedName name="IQ_PERCENT_CHANGE_EST_FFO_9MONTHS" hidden="1">"c1827"</definedName>
    <definedName name="IQ_PERCENT_CHANGE_EST_FFO_DAY" hidden="1">"c1822"</definedName>
    <definedName name="IQ_PERCENT_CHANGE_EST_FFO_MONTH" hidden="1">"c1824"</definedName>
    <definedName name="IQ_PERCENT_CHANGE_EST_FFO_WEEK" hidden="1">"c1823"</definedName>
    <definedName name="IQ_PERCENT_CHANGE_EST_PRICE_TARGET_12MONTHS" hidden="1">"c1844"</definedName>
    <definedName name="IQ_PERCENT_CHANGE_EST_PRICE_TARGET_18MONTHS" hidden="1">"c1845"</definedName>
    <definedName name="IQ_PERCENT_CHANGE_EST_PRICE_TARGET_3MONTHS" hidden="1">"c1841"</definedName>
    <definedName name="IQ_PERCENT_CHANGE_EST_PRICE_TARGET_6MONTHS" hidden="1">"c1842"</definedName>
    <definedName name="IQ_PERCENT_CHANGE_EST_PRICE_TARGET_9MONTHS" hidden="1">"c1843"</definedName>
    <definedName name="IQ_PERCENT_CHANGE_EST_PRICE_TARGET_DAY" hidden="1">"c1838"</definedName>
    <definedName name="IQ_PERCENT_CHANGE_EST_PRICE_TARGET_MONTH" hidden="1">"c1840"</definedName>
    <definedName name="IQ_PERCENT_CHANGE_EST_PRICE_TARGET_WEEK" hidden="1">"c1839"</definedName>
    <definedName name="IQ_PERCENT_CHANGE_EST_RECO_12MONTHS" hidden="1">"c1836"</definedName>
    <definedName name="IQ_PERCENT_CHANGE_EST_RECO_18MONTHS" hidden="1">"c1837"</definedName>
    <definedName name="IQ_PERCENT_CHANGE_EST_RECO_3MONTHS" hidden="1">"c1833"</definedName>
    <definedName name="IQ_PERCENT_CHANGE_EST_RECO_6MONTHS" hidden="1">"c1834"</definedName>
    <definedName name="IQ_PERCENT_CHANGE_EST_RECO_9MONTHS" hidden="1">"c1835"</definedName>
    <definedName name="IQ_PERCENT_CHANGE_EST_RECO_DAY" hidden="1">"c1830"</definedName>
    <definedName name="IQ_PERCENT_CHANGE_EST_RECO_MONTH" hidden="1">"c1832"</definedName>
    <definedName name="IQ_PERCENT_CHANGE_EST_RECO_WEEK" hidden="1">"c1831"</definedName>
    <definedName name="IQ_PERCENT_CHANGE_EST_REV_12MONTHS" hidden="1">"c1796"</definedName>
    <definedName name="IQ_PERCENT_CHANGE_EST_REV_18MONTHS" hidden="1">"c1797"</definedName>
    <definedName name="IQ_PERCENT_CHANGE_EST_REV_3MONTHS" hidden="1">"c1793"</definedName>
    <definedName name="IQ_PERCENT_CHANGE_EST_REV_6MONTHS" hidden="1">"c1794"</definedName>
    <definedName name="IQ_PERCENT_CHANGE_EST_REV_9MONTHS" hidden="1">"c1795"</definedName>
    <definedName name="IQ_PERCENT_CHANGE_EST_REV_DAY" hidden="1">"c1790"</definedName>
    <definedName name="IQ_PERCENT_CHANGE_EST_REV_MONTH" hidden="1">"c1792"</definedName>
    <definedName name="IQ_PERCENT_CHANGE_EST_REV_WEEK" hidden="1">"c1791"</definedName>
    <definedName name="IQ_PERIODDATE" hidden="1">"c1414"</definedName>
    <definedName name="IQ_PERIODDATE_BS" hidden="1">"c1032"</definedName>
    <definedName name="IQ_PERIODDATE_CF" hidden="1">"c1033"</definedName>
    <definedName name="IQ_PERIODDATE_IS" hidden="1">"c1034"</definedName>
    <definedName name="IQ_PERIODLENGTH_CF" hidden="1">"c1502"</definedName>
    <definedName name="IQ_PERIODLENGTH_IS" hidden="1">"c1503"</definedName>
    <definedName name="IQ_PERTYPE" hidden="1">"c1611"</definedName>
    <definedName name="IQ_PLL" hidden="1">"c2114"</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OTENTIAL_UPSIDE" hidden="1">"c1855"</definedName>
    <definedName name="IQ_PRE_OPEN_COST" hidden="1">"c1040"</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IT" hidden="1">"c1058"</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IT" hidden="1">"c1065"</definedName>
    <definedName name="IQ_PREF_REP_UTI" hidden="1">"c1066"</definedName>
    <definedName name="IQ_PREF_STOCK" hidden="1">"c1416"</definedName>
    <definedName name="IQ_PREF_TOT" hidden="1">"c1415"</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ETAX_GW_INC_EST" hidden="1">"c1702"</definedName>
    <definedName name="IQ_PRETAX_GW_INC_HIGH_EST" hidden="1">"c1704"</definedName>
    <definedName name="IQ_PRETAX_GW_INC_LOW_EST" hidden="1">"c1705"</definedName>
    <definedName name="IQ_PRETAX_GW_INC_MEDIAN_EST" hidden="1">"c1703"</definedName>
    <definedName name="IQ_PRETAX_GW_INC_NUM_EST" hidden="1">"c1706"</definedName>
    <definedName name="IQ_PRETAX_GW_INC_STDDEV_EST" hidden="1">"c1707"</definedName>
    <definedName name="IQ_PRETAX_INC_EST" hidden="1">"c1695"</definedName>
    <definedName name="IQ_PRETAX_INC_HIGH_EST" hidden="1">"c1697"</definedName>
    <definedName name="IQ_PRETAX_INC_LOW_EST" hidden="1">"c1698"</definedName>
    <definedName name="IQ_PRETAX_INC_MEDIAN_EST" hidden="1">"c1696"</definedName>
    <definedName name="IQ_PRETAX_INC_NUM_EST" hidden="1">"c1699"</definedName>
    <definedName name="IQ_PRETAX_INC_STDDEV_EST" hidden="1">"c1700"</definedName>
    <definedName name="IQ_PRETAX_REPORT_INC_EST" hidden="1">"c1709"</definedName>
    <definedName name="IQ_PRETAX_REPORT_INC_HIGH_EST" hidden="1">"c1711"</definedName>
    <definedName name="IQ_PRETAX_REPORT_INC_LOW_EST" hidden="1">"c1712"</definedName>
    <definedName name="IQ_PRETAX_REPORT_INC_MEDIAN_EST" hidden="1">"c1710"</definedName>
    <definedName name="IQ_PRETAX_REPORT_INC_NUM_EST" hidden="1">"c1713"</definedName>
    <definedName name="IQ_PRETAX_REPORT_INC_STDDEV_EST" hidden="1">"c1714"</definedName>
    <definedName name="IQ_PRICE_OVER_BVPS" hidden="1">"c1412"</definedName>
    <definedName name="IQ_PRICE_OVER_LTM_EPS" hidden="1">"c1413"</definedName>
    <definedName name="IQ_PRICE_TARGET" hidden="1">"c82"</definedName>
    <definedName name="IQ_PRICEDATE" hidden="1">"c1069"</definedName>
    <definedName name="IQ_PRICING_DATE" hidden="1">"c1613"</definedName>
    <definedName name="IQ_PRIMARY_INDUSTRY" hidden="1">"c1070"</definedName>
    <definedName name="IQ_PRO_FORMA_BASIC_EPS" hidden="1">"c1614"</definedName>
    <definedName name="IQ_PRO_FORMA_DILUT_EPS" hidden="1">"c1615"</definedName>
    <definedName name="IQ_PRO_FORMA_NET_INC" hidden="1">"c1452"</definedName>
    <definedName name="IQ_PROFESSIONAL" hidden="1">"c1071"</definedName>
    <definedName name="IQ_PROFESSIONAL_TITLE" hidden="1">"c1072"</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ISION_10YR_ANN_GROWTH" hidden="1">"c1077"</definedName>
    <definedName name="IQ_PROVISION_1YR_ANN_GROWTH" hidden="1">"c1078"</definedName>
    <definedName name="IQ_PROVISION_2YR_ANN_GROWTH" hidden="1">"c1079"</definedName>
    <definedName name="IQ_PROVISION_3YR_ANN_GROWTH" hidden="1">"c1080"</definedName>
    <definedName name="IQ_PROVISION_5YR_ANN_GROWTH" hidden="1">"c1081"</definedName>
    <definedName name="IQ_PROVISION_7YR_ANN_GROWTH" hidden="1">"c1082"</definedName>
    <definedName name="IQ_PROVISION_CHARGE_OFFS" hidden="1">"c1083"</definedName>
    <definedName name="IQ_PTBV" hidden="1">"c1084"</definedName>
    <definedName name="IQ_PTBV_AVG" hidden="1">"c1085"</definedName>
    <definedName name="IQ_QTD" hidden="1">750000</definedName>
    <definedName name="IQ_QUICK_RATIO" hidden="1">"c1086"</definedName>
    <definedName name="IQ_RATE_COMP_GROWTH_DOMESTIC" hidden="1">"c1087"</definedName>
    <definedName name="IQ_RATE_COMP_GROWTH_FOREIGN" hidden="1">"c1088"</definedName>
    <definedName name="IQ_RAW_INV" hidden="1">"c1089"</definedName>
    <definedName name="IQ_RD_EXP" hidden="1">"c1090"</definedName>
    <definedName name="IQ_RD_EXP_FN" hidden="1">"c1091"</definedName>
    <definedName name="IQ_RE" hidden="1">"c1092"</definedName>
    <definedName name="IQ_REAL_ESTATE" hidden="1">"c1093"</definedName>
    <definedName name="IQ_REAL_ESTATE_ASSETS" hidden="1">"c1094"</definedName>
    <definedName name="IQ_REDEEM_PREF_STOCK" hidden="1">"c1417"</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NTAL_REV" hidden="1">"c1101"</definedName>
    <definedName name="IQ_RESEARCH_DEV" hidden="1">"c1419"</definedName>
    <definedName name="IQ_RESIDENTIAL_LOANS" hidden="1">"c1102"</definedName>
    <definedName name="IQ_RESTATEMENT_BS" hidden="1">"c1643"</definedName>
    <definedName name="IQ_RESTATEMENT_CF" hidden="1">"c1644"</definedName>
    <definedName name="IQ_RESTATEMENT_IS" hidden="1">"c1642"</definedName>
    <definedName name="IQ_RESTRICTED_CASH" hidden="1">"c1103"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IT" hidden="1">"c1110"</definedName>
    <definedName name="IQ_RESTRUCTURE_UTI" hidden="1">"c1111"</definedName>
    <definedName name="IQ_RESTRUCTURED_LOANS" hidden="1">"c1112"</definedName>
    <definedName name="IQ_RETAIL_AVG_STORE_SIZE_GROSS" hidden="1">"c2066"</definedName>
    <definedName name="IQ_RETAIL_AVG_STORE_SIZE_NET" hidden="1">"c2067"</definedName>
    <definedName name="IQ_RETAIL_CLOSED_STORES" hidden="1">"c2063"</definedName>
    <definedName name="IQ_RETAIL_OPENED_STORES" hidden="1">"c2062"</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Q_FOOTAGE" hidden="1">"c2064"</definedName>
    <definedName name="IQ_RETAIL_STORE_SELLING_AREA" hidden="1">"c2065"</definedName>
    <definedName name="IQ_RETAIL_TOTAL_STORES" hidden="1">"c2061"</definedName>
    <definedName name="IQ_RETAINED_EARN" hidden="1">"c1420"</definedName>
    <definedName name="IQ_RETURN_ASSETS" hidden="1">"c1113"</definedName>
    <definedName name="IQ_RETURN_ASSETS_BANK" hidden="1">"c1114"</definedName>
    <definedName name="IQ_RETURN_ASSETS_BROK" hidden="1">"c1115"</definedName>
    <definedName name="IQ_RETURN_ASSETS_FS" hidden="1">"c1116"</definedName>
    <definedName name="IQ_RETURN_CAPITAL" hidden="1">"c1117"</definedName>
    <definedName name="IQ_RETURN_EQUITY" hidden="1">"c1118"</definedName>
    <definedName name="IQ_RETURN_EQUITY_BANK" hidden="1">"c1119"</definedName>
    <definedName name="IQ_RETURN_EQUITY_BROK" hidden="1">"c1120"</definedName>
    <definedName name="IQ_RETURN_EQUITY_FS" hidden="1">"c1121"</definedName>
    <definedName name="IQ_RETURN_INVESTMENT" hidden="1">"c1421"</definedName>
    <definedName name="IQ_REV" hidden="1">"c1122"</definedName>
    <definedName name="IQ_REV_BEFORE_LL" hidden="1">"c1123"</definedName>
    <definedName name="IQ_REV_STDDEV_EST" hidden="1">"c1124"</definedName>
    <definedName name="IQ_REV_UTI" hidden="1">"c1125"</definedName>
    <definedName name="IQ_REVENUE" hidden="1">"c1422"</definedName>
    <definedName name="IQ_REVENUE_EST" hidden="1">"c1126"</definedName>
    <definedName name="IQ_REVENUE_HIGH_EST" hidden="1">"c1127"</definedName>
    <definedName name="IQ_REVENUE_LOW_EST" hidden="1">"c1128"</definedName>
    <definedName name="IQ_REVENUE_MEDIAN_EST" hidden="1">"c1662"</definedName>
    <definedName name="IQ_REVENUE_NUM_EST" hidden="1">"c1129"</definedName>
    <definedName name="IQ_SALARY" hidden="1">"c1130"</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ME_STORE" hidden="1">"c1149"</definedName>
    <definedName name="IQ_SAVING_DEP" hidden="1">"c1150"</definedName>
    <definedName name="IQ_SECUR_RECEIV" hidden="1">"c1151"</definedName>
    <definedName name="IQ_SECURITY_BORROW" hidden="1">"c1152"</definedName>
    <definedName name="IQ_SECURITY_OWN" hidden="1">"c1153"</definedName>
    <definedName name="IQ_SECURITY_RESELL" hidden="1">"c1154"</definedName>
    <definedName name="IQ_SEPARATE_ACCT_ASSETS" hidden="1">"c1155"</definedName>
    <definedName name="IQ_SEPARATE_ACCT_LIAB" hidden="1">"c1156"</definedName>
    <definedName name="IQ_SERV_CHARGE_DEPOSITS" hidden="1">"c1157"</definedName>
    <definedName name="IQ_SGA" hidden="1">"c1158"</definedName>
    <definedName name="IQ_SGA_BNK" hidden="1">"c1159"</definedName>
    <definedName name="IQ_SGA_INS" hidden="1">"c1160"</definedName>
    <definedName name="IQ_SGA_MARGIN" hidden="1">"c1898"</definedName>
    <definedName name="IQ_SGA_REIT" hidden="1">"c1161"</definedName>
    <definedName name="IQ_SGA_SUPPL" hidden="1">"c1162"</definedName>
    <definedName name="IQ_SGA_UTI" hidden="1">"c1163"</definedName>
    <definedName name="IQ_SHAREOUTSTANDING" hidden="1">"c1347"</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"c1166"</definedName>
    <definedName name="IQ_SOFTWARE" hidden="1">"c1167"</definedName>
    <definedName name="IQ_SOURCE" hidden="1">"c1168"</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IT" hidden="1">"c1174"</definedName>
    <definedName name="IQ_SPECIAL_DIV_CF_UTI" hidden="1">"c1175"</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IT" hidden="1">"c1186"</definedName>
    <definedName name="IQ_ST_DEBT_ISSUED_UTI" hidden="1">"c1187"</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IT" hidden="1">"c1194"</definedName>
    <definedName name="IQ_ST_DEBT_REPAID_UTI" hidden="1">"c1195"</definedName>
    <definedName name="IQ_ST_DEBT_UTI" hidden="1">"c1196"</definedName>
    <definedName name="IQ_ST_INVEST" hidden="1">"c1197"</definedName>
    <definedName name="IQ_ST_INVEST_UTI" hidden="1">"c1198"</definedName>
    <definedName name="IQ_ST_NOTE_RECEIV" hidden="1">"c1199"</definedName>
    <definedName name="IQ_STATE" hidden="1">"c1200"</definedName>
    <definedName name="IQ_STATUTORY_SURPLUS" hidden="1">"c1201"</definedName>
    <definedName name="IQ_STOCK_BASED" hidden="1">"c1202"</definedName>
    <definedName name="IQ_STOCK_BASED_CF" hidden="1">"c1203"</definedName>
    <definedName name="IQ_STRIKE_PRICE_ISSUED" hidden="1">"c1645"</definedName>
    <definedName name="IQ_STRIKE_PRICE_OS" hidden="1">"c1646"</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VA" hidden="1">"c1214"</definedName>
    <definedName name="IQ_TARGET_PRICE_NUM" hidden="1">"c1653"</definedName>
    <definedName name="IQ_TARGET_PRICE_STDDEV" hidden="1">"c1654"</definedName>
    <definedName name="IQ_TAX_BENEFIT_OPTIONS" hidden="1">"c1215"</definedName>
    <definedName name="IQ_TAX_EQUIV_NET_INT_INC" hidden="1">"c1216"</definedName>
    <definedName name="IQ_TBV" hidden="1">"c1906"</definedName>
    <definedName name="IQ_TBV_10YR_ANN_GROWTH" hidden="1">"c1936"</definedName>
    <definedName name="IQ_TBV_1YR_ANN_GROWTH" hidden="1">"c1931"</definedName>
    <definedName name="IQ_TBV_2YR_ANN_GROWTH" hidden="1">"c1932"</definedName>
    <definedName name="IQ_TBV_3YR_ANN_GROWTH" hidden="1">"c1933"</definedName>
    <definedName name="IQ_TBV_5YR_ANN_GROWTH" hidden="1">"c1934"</definedName>
    <definedName name="IQ_TBV_7YR_ANN_GROWTH" hidden="1">"c1935"</definedName>
    <definedName name="IQ_TBV_SHARE" hidden="1">"c1217"</definedName>
    <definedName name="IQ_TEMPLATE" hidden="1">"c1521"</definedName>
    <definedName name="IQ_TENANT" hidden="1">"c1218"</definedName>
    <definedName name="IQ_TEV" hidden="1">"c1219"</definedName>
    <definedName name="IQ_TEV_EBIT" hidden="1">"c1220"</definedName>
    <definedName name="IQ_TEV_EBIT_AVG" hidden="1">"c1221"</definedName>
    <definedName name="IQ_TEV_EBITDA" hidden="1">"c1222"</definedName>
    <definedName name="IQ_TEV_EBITDA_AVG" hidden="1">"c1223"</definedName>
    <definedName name="IQ_TEV_EBITDA_FWD" hidden="1">"c1224"</definedName>
    <definedName name="IQ_TEV_EMPLOYEE_AVG" hidden="1">"c1225"</definedName>
    <definedName name="IQ_TEV_TOTAL_REV" hidden="1">"c1226"</definedName>
    <definedName name="IQ_TEV_TOTAL_REV_AVG" hidden="1">"c1227"</definedName>
    <definedName name="IQ_TEV_TOTAL_REV_FWD" hidden="1">"c1228"</definedName>
    <definedName name="IQ_TIER_ONE_RATIO" hidden="1">"c1229"</definedName>
    <definedName name="IQ_TIME_DEP" hidden="1">"c1230"</definedName>
    <definedName name="IQ_TODAY" hidden="1">0</definedName>
    <definedName name="IQ_TOT_ADJ_INC" hidden="1">"c1616"</definedName>
    <definedName name="IQ_TOTAL_AR_BR" hidden="1">"c1231"</definedName>
    <definedName name="IQ_TOTAL_AR_REIT" hidden="1">"c1232"</definedName>
    <definedName name="IQ_TOTAL_AR_UTI" hidden="1">"c1233"</definedName>
    <definedName name="IQ_TOTAL_ASSETS" hidden="1">"c1234"</definedName>
    <definedName name="IQ_TOTAL_ASSETS_10YR_ANN_GROWTH" hidden="1">"c1235"</definedName>
    <definedName name="IQ_TOTAL_ASSETS_1YR_ANN_GROWTH" hidden="1">"c1236"</definedName>
    <definedName name="IQ_TOTAL_ASSETS_2YR_ANN_GROWTH" hidden="1">"c1237"</definedName>
    <definedName name="IQ_TOTAL_ASSETS_3YR_ANN_GROWTH" hidden="1">"c1238"</definedName>
    <definedName name="IQ_TOTAL_ASSETS_5YR_ANN_GROWTH" hidden="1">"c1239"</definedName>
    <definedName name="IQ_TOTAL_ASSETS_7YR_ANN_GROWTH" hidden="1">"c1240"</definedName>
    <definedName name="IQ_TOTAL_AVG_CE_TOTAL_AVG_ASSETS" hidden="1">"c1241"</definedName>
    <definedName name="IQ_TOTAL_AVG_EQUITY_TOTAL_AVG_ASSETS" hidden="1">"c1242"</definedName>
    <definedName name="IQ_TOTAL_CA" hidden="1">"c1243"</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URN" hidden="1">"c2122"</definedName>
    <definedName name="IQ_TOTAL_CL" hidden="1">"c1245"</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EBITDA" hidden="1">"c1249"</definedName>
    <definedName name="IQ_TOTAL_DEBT_EQUITY" hidden="1">"c1250"</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IT" hidden="1">"c1255"</definedName>
    <definedName name="IQ_TOTAL_DEBT_ISSUED_UTI" hidden="1">"c1256"</definedName>
    <definedName name="IQ_TOTAL_DEBT_ISSUES_INS" hidden="1">"c1257"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IT" hidden="1">"c1263"</definedName>
    <definedName name="IQ_TOTAL_DEBT_REPAID_UTI" hidden="1">"c1264"</definedName>
    <definedName name="IQ_TOTAL_DEPOSITS" hidden="1">"c1265"</definedName>
    <definedName name="IQ_TOTAL_DIV_PAID_CF" hidden="1">"c1266"</definedName>
    <definedName name="IQ_TOTAL_EMPLOYEES" hidden="1">"c1522"</definedName>
    <definedName name="IQ_TOTAL_EQUITY" hidden="1">"c1267"</definedName>
    <definedName name="IQ_TOTAL_EQUITY_10YR_ANN_GROWTH" hidden="1">"c1268"</definedName>
    <definedName name="IQ_TOTAL_EQUITY_1YR_ANN_GROWTH" hidden="1">"c1269"</definedName>
    <definedName name="IQ_TOTAL_EQUITY_2YR_ANN_GROWTH" hidden="1">"c1270"</definedName>
    <definedName name="IQ_TOTAL_EQUITY_3YR_ANN_GROWTH" hidden="1">"c1271"</definedName>
    <definedName name="IQ_TOTAL_EQUITY_5YR_ANN_GROWTH" hidden="1">"c1272"</definedName>
    <definedName name="IQ_TOTAL_EQUITY_7YR_ANN_GROWTH" hidden="1">"c1273"</definedName>
    <definedName name="IQ_TOTAL_EQUITY_ALLOWANCE_TOTAL_LOANS" hidden="1">"c1274"</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FIN" hidden="1">"c1280"</definedName>
    <definedName name="IQ_TOTAL_LIAB_INS" hidden="1">"c1281"</definedName>
    <definedName name="IQ_TOTAL_LIAB_REIT" hidden="1">"c1282"</definedName>
    <definedName name="IQ_TOTAL_LIAB_SHAREHOLD" hidden="1">"c1435"</definedName>
    <definedName name="IQ_TOTAL_LIAB_TOTAL_ASSETS" hidden="1">"c1283"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IT" hidden="1">"c1287"</definedName>
    <definedName name="IQ_TOTAL_OPER_EXP_UTI" hidden="1">"c1288"</definedName>
    <definedName name="IQ_TOTAL_OPER_EXPEN" hidden="1">"c1445"</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EXP" hidden="1">"c1291"</definedName>
    <definedName name="IQ_TOTAL_PENSION_OBLIGATION" hidden="1">"c1292"</definedName>
    <definedName name="IQ_TOTAL_PROVED_RESERVES_OIL" hidden="1">"c2040"</definedName>
    <definedName name="IQ_TOTAL_RECEIV" hidden="1">"c1293"</definedName>
    <definedName name="IQ_TOTAL_REV" hidden="1">"c1294"</definedName>
    <definedName name="IQ_TOTAL_REV_10YR_ANN_GROWTH" hidden="1">"c1295"</definedName>
    <definedName name="IQ_TOTAL_REV_1YR_ANN_GROWTH" hidden="1">"c1296"</definedName>
    <definedName name="IQ_TOTAL_REV_2YR_ANN_GROWTH" hidden="1">"c1297"</definedName>
    <definedName name="IQ_TOTAL_REV_3YR_ANN_GROWTH" hidden="1">"c1298"</definedName>
    <definedName name="IQ_TOTAL_REV_5YR_ANN_GROWTH" hidden="1">"c1299"</definedName>
    <definedName name="IQ_TOTAL_REV_7YR_ANN_GROWTH" hidden="1">"c1300"</definedName>
    <definedName name="IQ_TOTAL_REV_AS_REPORTED" hidden="1">"c1301"</definedName>
    <definedName name="IQ_TOTAL_REV_BNK" hidden="1">"c1302"</definedName>
    <definedName name="IQ_TOTAL_REV_BR" hidden="1">"c1303"</definedName>
    <definedName name="IQ_TOTAL_REV_EMPLOYEE" hidden="1">"c1304"</definedName>
    <definedName name="IQ_TOTAL_REV_FIN" hidden="1">"c1305"</definedName>
    <definedName name="IQ_TOTAL_REV_INS" hidden="1">"c1306"</definedName>
    <definedName name="IQ_TOTAL_REV_REIT" hidden="1">"c1307"</definedName>
    <definedName name="IQ_TOTAL_REV_SHARE" hidden="1">"c1912"</definedName>
    <definedName name="IQ_TOTAL_REV_UTI" hidden="1">"c1308"</definedName>
    <definedName name="IQ_TOTAL_REVENUE" hidden="1">"c1436"</definedName>
    <definedName name="IQ_TOTAL_SPECIAL" hidden="1">"c1618"</definedName>
    <definedName name="IQ_TOTAL_ST_BORROW" hidden="1">"c1424"</definedName>
    <definedName name="IQ_TOTAL_SUBS" hidden="1">"c2119"</definedName>
    <definedName name="IQ_TOTAL_UNUSUAL" hidden="1">"c1508"</definedName>
    <definedName name="IQ_TRADE_AR" hidden="1">"c1345"</definedName>
    <definedName name="IQ_TRADE_PRINCIPAL" hidden="1">"c1309"</definedName>
    <definedName name="IQ_TRADING_ASSETS" hidden="1">"c1310"</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IT" hidden="1">"c1317"</definedName>
    <definedName name="IQ_TREASURY_OTHER_EQUITY_UTI" hidden="1">"c1318"</definedName>
    <definedName name="IQ_TREASURY_STOCK" hidden="1">"c1438"</definedName>
    <definedName name="IQ_TRUST_INC" hidden="1">"c1319"</definedName>
    <definedName name="IQ_TRUST_PREF" hidden="1">"c1320"</definedName>
    <definedName name="IQ_UFCF_10YR_ANN_GROWTH" hidden="1">"c1948"</definedName>
    <definedName name="IQ_UFCF_1YR_ANN_GROWTH" hidden="1">"c1943"</definedName>
    <definedName name="IQ_UFCF_2YR_ANN_GROWTH" hidden="1">"c1944"</definedName>
    <definedName name="IQ_UFCF_3YR_ANN_GROWTH" hidden="1">"c1945"</definedName>
    <definedName name="IQ_UFCF_5YR_ANN_GROWTH" hidden="1">"c1946"</definedName>
    <definedName name="IQ_UFCF_7YR_ANN_GROWTH" hidden="1">"c1947"</definedName>
    <definedName name="IQ_UFCF_MARGIN" hidden="1">"c1962"</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IT" hidden="1">"c1327"</definedName>
    <definedName name="IQ_UNEARN_REV_CURRENT_UTI" hidden="1">"c1328"</definedName>
    <definedName name="IQ_UNEARN_REV_LT" hidden="1">"c1329"</definedName>
    <definedName name="IQ_UNLEVERED_FCF" hidden="1">"c1908"</definedName>
    <definedName name="IQ_UNPAID_CLAIMS" hidden="1">"c1330"</definedName>
    <definedName name="IQ_UNREALIZED_GAIN" hidden="1">"c1619"</definedName>
    <definedName name="IQ_UNUSUAL_EXP" hidden="1">"c1456"</definedName>
    <definedName name="IQ_US_GAAP" hidden="1">"c1331"</definedName>
    <definedName name="IQ_UTIL_PPE_NET" hidden="1">"c1620"</definedName>
    <definedName name="IQ_UTIL_REV" hidden="1">"c2091"</definedName>
    <definedName name="IQ_UV_PENSION_LIAB" hidden="1">"c1332"</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UME" hidden="1">"c1333"</definedName>
    <definedName name="IQ_WEEK">50000</definedName>
    <definedName name="IQ_WEIGHTED_AVG_PRICE" hidden="1">"c1334"</definedName>
    <definedName name="IQ_WIP_INV" hidden="1">"c1335"</definedName>
    <definedName name="IQ_WORKMEN_WRITTEN" hidden="1">"c1336"</definedName>
    <definedName name="IQ_XDIV_DATE" hidden="1">"c2104"</definedName>
    <definedName name="IQ_YEARHIGH" hidden="1">"c1337"</definedName>
    <definedName name="IQ_YEARLOW" hidden="1">"c1338"</definedName>
    <definedName name="IQ_YTD">3000</definedName>
    <definedName name="IQ_YTDMONTH" hidden="1">130000</definedName>
    <definedName name="IQ_Z_SCORE" hidden="1">"c1339"</definedName>
    <definedName name="KMB_Int" localSheetId="18">'[10]Key data'!$B$12</definedName>
    <definedName name="KMB_Int">#REF!</definedName>
    <definedName name="Last_BS" localSheetId="18">[17]BS!#REF!</definedName>
    <definedName name="Last_BS">#REF!</definedName>
    <definedName name="Lease_Term_Y" localSheetId="18">[4]Model!$F$64</definedName>
    <definedName name="Lease_Term_Y">#REF!</definedName>
    <definedName name="Lease_Term_YR" localSheetId="18">[4]Model!$M$64</definedName>
    <definedName name="Lease_Term_YR">#REF!</definedName>
    <definedName name="List_Growth_Codes" localSheetId="18">[4]Ann_Esc_Rates!$C$10:$C$18</definedName>
    <definedName name="List_Growth_Codes">#REF!</definedName>
    <definedName name="Local.Price" localSheetId="18">'[14]Report Layout'!#REF!</definedName>
    <definedName name="Local.Price">#REF!</definedName>
    <definedName name="Lok_Wah_North" localSheetId="18">#REF!</definedName>
    <definedName name="Lok_Wah_North">#REF!</definedName>
    <definedName name="Lok_Wah_South" localSheetId="18">#REF!</definedName>
    <definedName name="Lok_Wah_South">#REF!</definedName>
    <definedName name="LU_Assump" localSheetId="18">[4]Model!$C$69</definedName>
    <definedName name="LU_Assump">#REF!</definedName>
    <definedName name="LUA" localSheetId="18">[4]Model!$C$69</definedName>
    <definedName name="LUA">#REF!</definedName>
    <definedName name="m">1000000</definedName>
    <definedName name="M_Core_Cap" localSheetId="18">[4]Model!$F$60</definedName>
    <definedName name="M_Core_Cap">#REF!</definedName>
    <definedName name="M_Discount_Rate" localSheetId="18">[4]Model!$F$59</definedName>
    <definedName name="M_Discount_Rate">#REF!</definedName>
    <definedName name="M_PV_Core_Cap" localSheetId="18">[18]Model!$F$75</definedName>
    <definedName name="M_PV_Core_Cap">#REF!</definedName>
    <definedName name="Macro8" localSheetId="13">#REF!</definedName>
    <definedName name="Macro8" localSheetId="18">[15]!Macro8</definedName>
    <definedName name="Macro8" localSheetId="2">#REF!</definedName>
    <definedName name="Macro8" localSheetId="14">#REF!</definedName>
    <definedName name="Macro8" localSheetId="15">#REF!</definedName>
    <definedName name="Macro8" localSheetId="8">#REF!</definedName>
    <definedName name="Macro8" localSheetId="7">#REF!</definedName>
    <definedName name="Macro8" localSheetId="9">#REF!</definedName>
    <definedName name="Macro8" localSheetId="16">#REF!</definedName>
    <definedName name="Macro8" localSheetId="6">#REF!</definedName>
    <definedName name="Macro8">#REF!</definedName>
    <definedName name="mil">1000000</definedName>
    <definedName name="Model_End" localSheetId="18">[4]Model!$F$9</definedName>
    <definedName name="Model_End">#REF!</definedName>
    <definedName name="Model_Start" localSheetId="18">[18]Model!$F$8</definedName>
    <definedName name="Model_Start">#REF!</definedName>
    <definedName name="Model_Type" localSheetId="18">[18]Model!$F$10</definedName>
    <definedName name="Model_Type">#REF!</definedName>
    <definedName name="NAV" localSheetId="18">[19]f1!$C$55</definedName>
    <definedName name="NAV">#REF!</definedName>
    <definedName name="NLA" localSheetId="18">'[7]Tenancy Analysis'!#REF!</definedName>
    <definedName name="NLA">#REF!</definedName>
    <definedName name="OBS" localSheetId="18">[12]Sheet1!$B$8:$I$315</definedName>
    <definedName name="OBS">#REF!</definedName>
    <definedName name="PCA_Headings" localSheetId="18">[4]Outgoings!$C$54:$F$54</definedName>
    <definedName name="PCA_Headings">#REF!</definedName>
    <definedName name="prevreclist" localSheetId="18">#REF!</definedName>
    <definedName name="prevreclist">#REF!</definedName>
    <definedName name="prevtarget" localSheetId="18">#REF!</definedName>
    <definedName name="prevtarget">#REF!</definedName>
    <definedName name="_xlnm.Print_Area" localSheetId="17">'CV &amp; Yields'!$A$1:$AE$95</definedName>
    <definedName name="_xlnm.Print_Area" localSheetId="12">'Existing Supply'!$A$1:$Q$33</definedName>
    <definedName name="_xlnm.Print_Area" localSheetId="13">'Future Supply'!$A$1:$U$72</definedName>
    <definedName name="_xlnm.Print_Area" localSheetId="5">Headlines!$A$1:$Q$42</definedName>
    <definedName name="_xlnm.Print_Area" localSheetId="19">'Key Government Policies'!$A$1:$P$27</definedName>
    <definedName name="_xlnm.Print_Area" localSheetId="4">Macro!$A$1:$X$82</definedName>
    <definedName name="_xlnm.Print_Area" localSheetId="18">'Major Deals'!$A$1:$AF$87</definedName>
    <definedName name="_xlnm.Print_Area" localSheetId="1">Map!$A$1:$M$28</definedName>
    <definedName name="_xlnm.Print_Area" localSheetId="2">Map_II!$A$1:$M$28</definedName>
    <definedName name="_xlnm.Print_Area" localSheetId="14">'Net Absorption'!$A$1:$V$128</definedName>
    <definedName name="_xlnm.Print_Area" localSheetId="11">'Office Outlook'!$A$1:$R$9</definedName>
    <definedName name="_xlnm.Print_Area" localSheetId="15">Rent!$A$1:$AO$49</definedName>
    <definedName name="_xlnm.Print_Area" localSheetId="8">'Retail Sales Index'!$A$1:$AG$56</definedName>
    <definedName name="_xlnm.Print_Area" localSheetId="7">'Retail Sales Trend'!$A$1:$AZ$82</definedName>
    <definedName name="_xlnm.Print_Area" localSheetId="0">Title!$A$1:$W$48</definedName>
    <definedName name="_xlnm.Print_Area" localSheetId="9">'Unemployment Rate'!$A$1:$AA$31</definedName>
    <definedName name="_xlnm.Print_Area" localSheetId="16">'Vacancy Rate'!$A$1:$AT$76</definedName>
    <definedName name="_xlnm.Print_Area" localSheetId="6">'Visitor Arrivals'!$A$1:$T$182</definedName>
    <definedName name="_xlnm.Print_Area">#REF!</definedName>
    <definedName name="Print_Area_MI" localSheetId="17">#REF!</definedName>
    <definedName name="Print_Area_MI" localSheetId="12">#REF!</definedName>
    <definedName name="Print_Area_MI" localSheetId="13">#REF!</definedName>
    <definedName name="Print_Area_MI" localSheetId="18">#REF!</definedName>
    <definedName name="Print_Area_MI" localSheetId="14">#REF!</definedName>
    <definedName name="Print_Area_MI" localSheetId="15">#REF!</definedName>
    <definedName name="Print_Area_MI" localSheetId="8">#REF!</definedName>
    <definedName name="Print_Area_MI" localSheetId="7">#REF!</definedName>
    <definedName name="Print_Area_MI" localSheetId="0">#REF!</definedName>
    <definedName name="Print_Area_MI" localSheetId="9">#REF!</definedName>
    <definedName name="Print_Area_MI" localSheetId="16">#REF!</definedName>
    <definedName name="Print_Area_MI" localSheetId="6">#REF!</definedName>
    <definedName name="Print_Area_MI">#REF!</definedName>
    <definedName name="Prop_Address" localSheetId="18">[18]Model!$F$15</definedName>
    <definedName name="Prop_Address">#REF!</definedName>
    <definedName name="PV_Core_Cap" localSheetId="18">[4]Model!$F$42</definedName>
    <definedName name="PV_Core_Cap">#REF!</definedName>
    <definedName name="Range" localSheetId="18">[4]Model!$B$63:$F$71</definedName>
    <definedName name="Range">#REF!</definedName>
    <definedName name="Rates_Peg" localSheetId="18">[18]Ann_Esc_Rates!$B$9</definedName>
    <definedName name="Rates_Peg">#REF!</definedName>
    <definedName name="Recomm" localSheetId="17">#REF!</definedName>
    <definedName name="Recomm" localSheetId="12">#REF!</definedName>
    <definedName name="Recomm" localSheetId="13">#REF!</definedName>
    <definedName name="Recomm" localSheetId="18">#REF!</definedName>
    <definedName name="Recomm" localSheetId="14">#REF!</definedName>
    <definedName name="Recomm" localSheetId="15">#REF!</definedName>
    <definedName name="Recomm" localSheetId="8">#REF!</definedName>
    <definedName name="Recomm" localSheetId="7">#REF!</definedName>
    <definedName name="Recomm" localSheetId="9">#REF!</definedName>
    <definedName name="Recomm" localSheetId="16">#REF!</definedName>
    <definedName name="Recomm" localSheetId="6">#REF!</definedName>
    <definedName name="Recomm">#REF!</definedName>
    <definedName name="Retail42" localSheetId="18">'[8]42 Forecasts'!$C$7:$F$48</definedName>
    <definedName name="Retail42">#REF!</definedName>
    <definedName name="SAPBEXrevision" hidden="1">3</definedName>
    <definedName name="SAPBEXsysID" hidden="1">"B01"</definedName>
    <definedName name="SAPBEXwbID" hidden="1">"1OKLBDAAGJ3NPBUSNNGRFDKQH"</definedName>
    <definedName name="SCT_Capacity_Growth">#REF!</definedName>
    <definedName name="SCT_throughput_growth" localSheetId="18">#REF!</definedName>
    <definedName name="SCT_throughput_growth">#REF!</definedName>
    <definedName name="Select_model" localSheetId="13">#REF!</definedName>
    <definedName name="Select_model" localSheetId="18">[20]!Select_model</definedName>
    <definedName name="Select_model" localSheetId="2">#REF!</definedName>
    <definedName name="Select_model" localSheetId="14">#REF!</definedName>
    <definedName name="Select_model" localSheetId="15">#REF!</definedName>
    <definedName name="Select_model" localSheetId="8">#REF!</definedName>
    <definedName name="Select_model" localSheetId="7">#REF!</definedName>
    <definedName name="Select_model" localSheetId="9">#REF!</definedName>
    <definedName name="Select_model" localSheetId="16">#REF!</definedName>
    <definedName name="Select_model" localSheetId="6">#REF!</definedName>
    <definedName name="Select_model">#REF!</definedName>
    <definedName name="sf">10.76</definedName>
    <definedName name="Sing.US">1.673</definedName>
    <definedName name="sm">10.76</definedName>
    <definedName name="SmarTone_Int" localSheetId="18">'[10]Key data'!$B$11</definedName>
    <definedName name="SmarTone_Int">#REF!</definedName>
    <definedName name="Stk_Price" localSheetId="18">'[10]Key data'!$B$3</definedName>
    <definedName name="Stk_Price">#REF!</definedName>
    <definedName name="StockPrice" localSheetId="18">'[21]Sample Layout'!#REF!</definedName>
    <definedName name="StockPrice">#REF!</definedName>
    <definedName name="T_Dis">16%</definedName>
    <definedName name="targetprice" localSheetId="18">#REF!</definedName>
    <definedName name="targetprice">#REF!</definedName>
    <definedName name="Tax_Rate">16%</definedName>
    <definedName name="Template.WIRE.DBAccess.CalcMode">"Async"</definedName>
    <definedName name="Template_Line" localSheetId="18">'[7]Tenancy Analysis'!$B$479</definedName>
    <definedName name="Template_Line">#REF!</definedName>
    <definedName name="Tenant_List" localSheetId="18">'[7]Tenancy Analysis'!#REF!</definedName>
    <definedName name="Tenant_List">#REF!</definedName>
    <definedName name="Tenant_Numbers" localSheetId="18">'[7]Tenancy Analysis'!$B$179:$B$181</definedName>
    <definedName name="Tenant_Numbers">#REF!</definedName>
    <definedName name="Top_Tenant" localSheetId="18">'[7]Tenancy Analysis'!$B$85</definedName>
    <definedName name="Top_Tenant">#REF!</definedName>
    <definedName name="Total_Outgoings" localSheetId="18">[4]Outgoings!$C$52</definedName>
    <definedName name="Total_Outgoings">#REF!</definedName>
    <definedName name="Total_Outgoings_M" localSheetId="18">[4]Outgoings!$D$52</definedName>
    <definedName name="Total_Outgoings_M">#REF!</definedName>
    <definedName name="TRNR_781f957db77e40e284725dd965c765fb_1_1" localSheetId="18" hidden="1">#REF!</definedName>
    <definedName name="TRNR_781f957db77e40e284725dd965c765fb_1_1" hidden="1">#REF!</definedName>
    <definedName name="Tung_Tau_II" localSheetId="18">#REF!</definedName>
    <definedName name="Tung_Tau_II">#REF!</definedName>
    <definedName name="Tx_Rate">16%</definedName>
    <definedName name="UNITS" localSheetId="18">[12]Sheet1!$B$6:$I$6</definedName>
    <definedName name="UNITS">#REF!</definedName>
    <definedName name="Update" localSheetId="18">'[10]Key data'!$D$3</definedName>
    <definedName name="Update">#REF!</definedName>
    <definedName name="Upper_Wong_Tai_Sin__Lung_Cheung_Mall_" localSheetId="18">#REF!</definedName>
    <definedName name="Upper_Wong_Tai_Sin__Lung_Cheung_Mall_">#REF!</definedName>
    <definedName name="year_end">"June"</definedName>
    <definedName name="YearSearch" localSheetId="18">[14]DataSheet!$A$24:$IV$24</definedName>
    <definedName name="YearSearch">#REF!</definedName>
    <definedName name="yrendlist" localSheetId="17">#REF!</definedName>
    <definedName name="yrendlist" localSheetId="12">#REF!</definedName>
    <definedName name="yrendlist" localSheetId="13">#REF!</definedName>
    <definedName name="yrendlist" localSheetId="18">#REF!</definedName>
    <definedName name="yrendlist" localSheetId="14">#REF!</definedName>
    <definedName name="yrendlist" localSheetId="15">#REF!</definedName>
    <definedName name="yrendlist" localSheetId="8">#REF!</definedName>
    <definedName name="yrendlist" localSheetId="7">#REF!</definedName>
    <definedName name="yrendlist" localSheetId="9">#REF!</definedName>
    <definedName name="yrendlist" localSheetId="16">#REF!</definedName>
    <definedName name="yrendlist" localSheetId="6">#REF!</definedName>
    <definedName name="yrendlist">#REF!</definedName>
  </definedNames>
  <calcPr calcId="191029" calcMode="autoNoTable" calcCompleted="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K98" i="11" l="1"/>
  <c r="AL98" i="11"/>
  <c r="AL100" i="11"/>
  <c r="AK100" i="11"/>
  <c r="N79" i="11"/>
  <c r="N81" i="11"/>
  <c r="N48" i="11"/>
  <c r="R87" i="49"/>
  <c r="O87" i="49"/>
  <c r="M87" i="49"/>
  <c r="L87" i="49"/>
  <c r="I87" i="49"/>
  <c r="Q87" i="49" s="1"/>
  <c r="S87" i="49" s="1"/>
  <c r="G87" i="49"/>
  <c r="R86" i="49"/>
  <c r="O86" i="49"/>
  <c r="M86" i="49"/>
  <c r="T86" i="49" s="1"/>
  <c r="L86" i="49"/>
  <c r="I86" i="49"/>
  <c r="Q86" i="49" s="1"/>
  <c r="S86" i="49" s="1"/>
  <c r="G86" i="49"/>
  <c r="T85" i="49"/>
  <c r="R85" i="49"/>
  <c r="O85" i="49"/>
  <c r="M85" i="49"/>
  <c r="L85" i="49"/>
  <c r="I85" i="49"/>
  <c r="Q85" i="49" s="1"/>
  <c r="S85" i="49" s="1"/>
  <c r="G85" i="49"/>
  <c r="R84" i="49"/>
  <c r="O84" i="49"/>
  <c r="M84" i="49"/>
  <c r="T84" i="49" s="1"/>
  <c r="L84" i="49"/>
  <c r="U84" i="49" s="1"/>
  <c r="I84" i="49"/>
  <c r="G84" i="49"/>
  <c r="R83" i="49"/>
  <c r="O83" i="49"/>
  <c r="M83" i="49"/>
  <c r="L83" i="49"/>
  <c r="I83" i="49"/>
  <c r="Q83" i="49" s="1"/>
  <c r="S83" i="49" s="1"/>
  <c r="G83" i="49"/>
  <c r="R82" i="49"/>
  <c r="O82" i="49"/>
  <c r="M82" i="49"/>
  <c r="L82" i="49"/>
  <c r="I82" i="49"/>
  <c r="Q82" i="49" s="1"/>
  <c r="S82" i="49" s="1"/>
  <c r="G82" i="49"/>
  <c r="R81" i="49"/>
  <c r="O81" i="49"/>
  <c r="M81" i="49"/>
  <c r="L81" i="49"/>
  <c r="I81" i="49"/>
  <c r="Q81" i="49" s="1"/>
  <c r="S81" i="49" s="1"/>
  <c r="G81" i="49"/>
  <c r="R80" i="49"/>
  <c r="O80" i="49"/>
  <c r="M80" i="49"/>
  <c r="L80" i="49"/>
  <c r="I80" i="49"/>
  <c r="Q80" i="49" s="1"/>
  <c r="S80" i="49" s="1"/>
  <c r="G80" i="49"/>
  <c r="R79" i="49"/>
  <c r="O79" i="49"/>
  <c r="M79" i="49"/>
  <c r="L79" i="49"/>
  <c r="I79" i="49"/>
  <c r="Q79" i="49" s="1"/>
  <c r="S79" i="49" s="1"/>
  <c r="G79" i="49"/>
  <c r="R78" i="49"/>
  <c r="O78" i="49"/>
  <c r="M78" i="49"/>
  <c r="L78" i="49"/>
  <c r="I78" i="49"/>
  <c r="Q78" i="49" s="1"/>
  <c r="S78" i="49" s="1"/>
  <c r="G78" i="49"/>
  <c r="U77" i="49"/>
  <c r="R77" i="49"/>
  <c r="O77" i="49"/>
  <c r="M77" i="49"/>
  <c r="T77" i="49" s="1"/>
  <c r="L77" i="49"/>
  <c r="I77" i="49"/>
  <c r="Q77" i="49" s="1"/>
  <c r="S77" i="49" s="1"/>
  <c r="G77" i="49"/>
  <c r="U76" i="49"/>
  <c r="R76" i="49"/>
  <c r="O76" i="49"/>
  <c r="M76" i="49"/>
  <c r="L76" i="49"/>
  <c r="I76" i="49"/>
  <c r="Q76" i="49" s="1"/>
  <c r="S76" i="49" s="1"/>
  <c r="G76" i="49"/>
  <c r="R75" i="49"/>
  <c r="O75" i="49"/>
  <c r="M75" i="49"/>
  <c r="T75" i="49" s="1"/>
  <c r="L75" i="49"/>
  <c r="I75" i="49"/>
  <c r="G75" i="49"/>
  <c r="R74" i="49"/>
  <c r="O74" i="49"/>
  <c r="M74" i="49"/>
  <c r="L74" i="49"/>
  <c r="I74" i="49"/>
  <c r="Q74" i="49" s="1"/>
  <c r="S74" i="49" s="1"/>
  <c r="G74" i="49"/>
  <c r="D74" i="49"/>
  <c r="R73" i="49"/>
  <c r="O73" i="49"/>
  <c r="M73" i="49"/>
  <c r="L73" i="49"/>
  <c r="I73" i="49"/>
  <c r="Q73" i="49" s="1"/>
  <c r="S73" i="49" s="1"/>
  <c r="G73" i="49"/>
  <c r="D73" i="49"/>
  <c r="R72" i="49"/>
  <c r="O72" i="49"/>
  <c r="M72" i="49"/>
  <c r="L72" i="49"/>
  <c r="U72" i="49" s="1"/>
  <c r="I72" i="49"/>
  <c r="Q72" i="49" s="1"/>
  <c r="S72" i="49" s="1"/>
  <c r="G72" i="49"/>
  <c r="D72" i="49"/>
  <c r="R71" i="49"/>
  <c r="O71" i="49"/>
  <c r="M71" i="49"/>
  <c r="L71" i="49"/>
  <c r="I71" i="49"/>
  <c r="Q71" i="49" s="1"/>
  <c r="S71" i="49" s="1"/>
  <c r="G71" i="49"/>
  <c r="D71" i="49"/>
  <c r="R70" i="49"/>
  <c r="O70" i="49"/>
  <c r="M70" i="49"/>
  <c r="L70" i="49"/>
  <c r="I70" i="49"/>
  <c r="Q70" i="49" s="1"/>
  <c r="S70" i="49" s="1"/>
  <c r="G70" i="49"/>
  <c r="D70" i="49"/>
  <c r="R69" i="49"/>
  <c r="O69" i="49"/>
  <c r="M69" i="49"/>
  <c r="L69" i="49"/>
  <c r="I69" i="49"/>
  <c r="Q69" i="49" s="1"/>
  <c r="S69" i="49" s="1"/>
  <c r="G69" i="49"/>
  <c r="D69" i="49"/>
  <c r="R68" i="49"/>
  <c r="Q68" i="49"/>
  <c r="S68" i="49" s="1"/>
  <c r="O68" i="49"/>
  <c r="M68" i="49"/>
  <c r="L68" i="49"/>
  <c r="I68" i="49"/>
  <c r="G68" i="49"/>
  <c r="D68" i="49"/>
  <c r="R67" i="49"/>
  <c r="O67" i="49"/>
  <c r="M67" i="49"/>
  <c r="L67" i="49"/>
  <c r="I67" i="49"/>
  <c r="Q67" i="49" s="1"/>
  <c r="S67" i="49" s="1"/>
  <c r="G67" i="49"/>
  <c r="D67" i="49"/>
  <c r="R66" i="49"/>
  <c r="O66" i="49"/>
  <c r="M66" i="49"/>
  <c r="L66" i="49"/>
  <c r="I66" i="49"/>
  <c r="Q66" i="49" s="1"/>
  <c r="S66" i="49" s="1"/>
  <c r="G66" i="49"/>
  <c r="D66" i="49"/>
  <c r="R65" i="49"/>
  <c r="O65" i="49"/>
  <c r="M65" i="49"/>
  <c r="L65" i="49"/>
  <c r="I65" i="49"/>
  <c r="Q65" i="49" s="1"/>
  <c r="S65" i="49" s="1"/>
  <c r="G65" i="49"/>
  <c r="D65" i="49"/>
  <c r="R60" i="49"/>
  <c r="O60" i="49"/>
  <c r="M60" i="49"/>
  <c r="L60" i="49"/>
  <c r="I60" i="49"/>
  <c r="Q60" i="49" s="1"/>
  <c r="S60" i="49" s="1"/>
  <c r="G60" i="49"/>
  <c r="D60" i="49"/>
  <c r="U59" i="49"/>
  <c r="R59" i="49"/>
  <c r="O59" i="49"/>
  <c r="M59" i="49"/>
  <c r="T59" i="49" s="1"/>
  <c r="L59" i="49"/>
  <c r="I59" i="49"/>
  <c r="Q59" i="49" s="1"/>
  <c r="S59" i="49" s="1"/>
  <c r="G59" i="49"/>
  <c r="D59" i="49"/>
  <c r="U58" i="49"/>
  <c r="T58" i="49"/>
  <c r="R58" i="49"/>
  <c r="O58" i="49"/>
  <c r="M58" i="49"/>
  <c r="L58" i="49"/>
  <c r="I58" i="49"/>
  <c r="Q58" i="49" s="1"/>
  <c r="S58" i="49" s="1"/>
  <c r="G58" i="49"/>
  <c r="D58" i="49"/>
  <c r="R57" i="49"/>
  <c r="O57" i="49"/>
  <c r="M57" i="49"/>
  <c r="U57" i="49" s="1"/>
  <c r="L57" i="49"/>
  <c r="I57" i="49"/>
  <c r="Q57" i="49" s="1"/>
  <c r="S57" i="49" s="1"/>
  <c r="G57" i="49"/>
  <c r="D57" i="49"/>
  <c r="R56" i="49"/>
  <c r="Q56" i="49"/>
  <c r="S56" i="49" s="1"/>
  <c r="O56" i="49"/>
  <c r="M56" i="49"/>
  <c r="U56" i="49" s="1"/>
  <c r="L56" i="49"/>
  <c r="I56" i="49"/>
  <c r="G56" i="49"/>
  <c r="D56" i="49"/>
  <c r="AB55" i="49"/>
  <c r="U55" i="49"/>
  <c r="T55" i="49"/>
  <c r="R55" i="49"/>
  <c r="O55" i="49"/>
  <c r="M55" i="49"/>
  <c r="L55" i="49"/>
  <c r="I55" i="49"/>
  <c r="P55" i="49" s="1"/>
  <c r="G55" i="49"/>
  <c r="D55" i="49"/>
  <c r="U54" i="49"/>
  <c r="R54" i="49"/>
  <c r="O54" i="49"/>
  <c r="M54" i="49"/>
  <c r="T54" i="49" s="1"/>
  <c r="L54" i="49"/>
  <c r="I54" i="49"/>
  <c r="Q54" i="49" s="1"/>
  <c r="S54" i="49" s="1"/>
  <c r="G54" i="49"/>
  <c r="D54" i="49"/>
  <c r="Q53" i="49"/>
  <c r="S53" i="49" s="1"/>
  <c r="O53" i="49"/>
  <c r="M53" i="49"/>
  <c r="J53" i="49"/>
  <c r="L53" i="49" s="1"/>
  <c r="G53" i="49"/>
  <c r="D53" i="49"/>
  <c r="T52" i="49"/>
  <c r="R52" i="49"/>
  <c r="Q52" i="49"/>
  <c r="S52" i="49" s="1"/>
  <c r="O52" i="49"/>
  <c r="M52" i="49"/>
  <c r="P52" i="49" s="1"/>
  <c r="J52" i="49"/>
  <c r="L52" i="49" s="1"/>
  <c r="G52" i="49"/>
  <c r="D52" i="49"/>
  <c r="T51" i="49"/>
  <c r="Q51" i="49"/>
  <c r="S51" i="49" s="1"/>
  <c r="O51" i="49"/>
  <c r="M51" i="49"/>
  <c r="P51" i="49" s="1"/>
  <c r="L51" i="49"/>
  <c r="U51" i="49" s="1"/>
  <c r="J51" i="49"/>
  <c r="R51" i="49" s="1"/>
  <c r="G51" i="49"/>
  <c r="D51" i="49"/>
  <c r="Q50" i="49"/>
  <c r="S50" i="49" s="1"/>
  <c r="O50" i="49"/>
  <c r="M50" i="49"/>
  <c r="J50" i="49"/>
  <c r="R50" i="49" s="1"/>
  <c r="G50" i="49"/>
  <c r="D50" i="49"/>
  <c r="Q49" i="49"/>
  <c r="S49" i="49" s="1"/>
  <c r="O49" i="49"/>
  <c r="M49" i="49"/>
  <c r="J49" i="49"/>
  <c r="R49" i="49" s="1"/>
  <c r="G49" i="49"/>
  <c r="D49" i="49"/>
  <c r="Q48" i="49"/>
  <c r="S48" i="49" s="1"/>
  <c r="O48" i="49"/>
  <c r="M48" i="49"/>
  <c r="J48" i="49"/>
  <c r="L48" i="49" s="1"/>
  <c r="G48" i="49"/>
  <c r="D48" i="49"/>
  <c r="Q47" i="49"/>
  <c r="S47" i="49" s="1"/>
  <c r="O47" i="49"/>
  <c r="M47" i="49"/>
  <c r="J47" i="49"/>
  <c r="R47" i="49" s="1"/>
  <c r="G47" i="49"/>
  <c r="D47" i="49"/>
  <c r="Q46" i="49"/>
  <c r="S46" i="49" s="1"/>
  <c r="O46" i="49"/>
  <c r="M46" i="49"/>
  <c r="J46" i="49"/>
  <c r="R46" i="49" s="1"/>
  <c r="G46" i="49"/>
  <c r="D46" i="49"/>
  <c r="Q45" i="49"/>
  <c r="S45" i="49" s="1"/>
  <c r="O45" i="49"/>
  <c r="M45" i="49"/>
  <c r="J45" i="49"/>
  <c r="R45" i="49" s="1"/>
  <c r="G45" i="49"/>
  <c r="D45" i="49"/>
  <c r="Q44" i="49"/>
  <c r="S44" i="49" s="1"/>
  <c r="O44" i="49"/>
  <c r="M44" i="49"/>
  <c r="P44" i="49" s="1"/>
  <c r="J44" i="49"/>
  <c r="R44" i="49" s="1"/>
  <c r="G44" i="49"/>
  <c r="D44" i="49"/>
  <c r="Q43" i="49"/>
  <c r="S43" i="49" s="1"/>
  <c r="O43" i="49"/>
  <c r="M43" i="49"/>
  <c r="P43" i="49" s="1"/>
  <c r="J43" i="49"/>
  <c r="G43" i="49"/>
  <c r="D43" i="49"/>
  <c r="S42" i="49"/>
  <c r="Q42" i="49"/>
  <c r="O42" i="49"/>
  <c r="M42" i="49"/>
  <c r="P42" i="49" s="1"/>
  <c r="J42" i="49"/>
  <c r="G42" i="49"/>
  <c r="D42" i="49"/>
  <c r="T41" i="49"/>
  <c r="Q41" i="49"/>
  <c r="S41" i="49" s="1"/>
  <c r="O41" i="49"/>
  <c r="M41" i="49"/>
  <c r="P41" i="49" s="1"/>
  <c r="J41" i="49"/>
  <c r="L41" i="49" s="1"/>
  <c r="G41" i="49"/>
  <c r="D41" i="49"/>
  <c r="R40" i="49"/>
  <c r="O40" i="49"/>
  <c r="M40" i="49"/>
  <c r="U40" i="49" s="1"/>
  <c r="L40" i="49"/>
  <c r="I40" i="49"/>
  <c r="Q40" i="49" s="1"/>
  <c r="S40" i="49" s="1"/>
  <c r="G40" i="49"/>
  <c r="D40" i="49"/>
  <c r="U39" i="49"/>
  <c r="T39" i="49"/>
  <c r="R39" i="49"/>
  <c r="O39" i="49"/>
  <c r="M39" i="49"/>
  <c r="L39" i="49"/>
  <c r="I39" i="49"/>
  <c r="G39" i="49"/>
  <c r="D39" i="49"/>
  <c r="Q38" i="49"/>
  <c r="S38" i="49" s="1"/>
  <c r="O38" i="49"/>
  <c r="M38" i="49"/>
  <c r="J38" i="49"/>
  <c r="R38" i="49" s="1"/>
  <c r="G38" i="49"/>
  <c r="D38" i="49"/>
  <c r="R37" i="49"/>
  <c r="O37" i="49"/>
  <c r="M37" i="49"/>
  <c r="L37" i="49"/>
  <c r="I37" i="49"/>
  <c r="Q37" i="49" s="1"/>
  <c r="S37" i="49" s="1"/>
  <c r="G37" i="49"/>
  <c r="D37" i="49"/>
  <c r="Q36" i="49"/>
  <c r="S36" i="49" s="1"/>
  <c r="O36" i="49"/>
  <c r="M36" i="49"/>
  <c r="P36" i="49" s="1"/>
  <c r="J36" i="49"/>
  <c r="R36" i="49" s="1"/>
  <c r="G36" i="49"/>
  <c r="D36" i="49"/>
  <c r="Q35" i="49"/>
  <c r="S35" i="49" s="1"/>
  <c r="O35" i="49"/>
  <c r="M35" i="49"/>
  <c r="J35" i="49"/>
  <c r="R35" i="49" s="1"/>
  <c r="G35" i="49"/>
  <c r="D35" i="49"/>
  <c r="Q34" i="49"/>
  <c r="S34" i="49" s="1"/>
  <c r="P34" i="49"/>
  <c r="O34" i="49"/>
  <c r="M34" i="49"/>
  <c r="J34" i="49"/>
  <c r="L34" i="49" s="1"/>
  <c r="G34" i="49"/>
  <c r="D34" i="49"/>
  <c r="Q33" i="49"/>
  <c r="S33" i="49" s="1"/>
  <c r="O33" i="49"/>
  <c r="M33" i="49"/>
  <c r="J33" i="49"/>
  <c r="R33" i="49" s="1"/>
  <c r="G33" i="49"/>
  <c r="D33" i="49"/>
  <c r="Q32" i="49"/>
  <c r="S32" i="49" s="1"/>
  <c r="O32" i="49"/>
  <c r="M32" i="49"/>
  <c r="J32" i="49"/>
  <c r="R32" i="49" s="1"/>
  <c r="G32" i="49"/>
  <c r="D32" i="49"/>
  <c r="Q31" i="49"/>
  <c r="S31" i="49" s="1"/>
  <c r="O31" i="49"/>
  <c r="M31" i="49"/>
  <c r="J31" i="49"/>
  <c r="R31" i="49" s="1"/>
  <c r="G31" i="49"/>
  <c r="D31" i="49"/>
  <c r="S30" i="49"/>
  <c r="Q30" i="49"/>
  <c r="O30" i="49"/>
  <c r="M30" i="49"/>
  <c r="P30" i="49" s="1"/>
  <c r="J30" i="49"/>
  <c r="R30" i="49" s="1"/>
  <c r="G30" i="49"/>
  <c r="D30" i="49"/>
  <c r="Q29" i="49"/>
  <c r="S29" i="49" s="1"/>
  <c r="O29" i="49"/>
  <c r="M29" i="49"/>
  <c r="P29" i="49" s="1"/>
  <c r="J29" i="49"/>
  <c r="G29" i="49"/>
  <c r="D29" i="49"/>
  <c r="S28" i="49"/>
  <c r="Q28" i="49"/>
  <c r="O28" i="49"/>
  <c r="M28" i="49"/>
  <c r="P28" i="49" s="1"/>
  <c r="J28" i="49"/>
  <c r="G28" i="49"/>
  <c r="D28" i="49"/>
  <c r="T27" i="49"/>
  <c r="S27" i="49"/>
  <c r="Q27" i="49"/>
  <c r="O27" i="49"/>
  <c r="M27" i="49"/>
  <c r="P27" i="49" s="1"/>
  <c r="J27" i="49"/>
  <c r="L27" i="49" s="1"/>
  <c r="G27" i="49"/>
  <c r="D27" i="49"/>
  <c r="P26" i="49"/>
  <c r="M26" i="49"/>
  <c r="N26" i="49" s="1"/>
  <c r="O26" i="49" s="1"/>
  <c r="L26" i="49"/>
  <c r="U26" i="49" s="1"/>
  <c r="I26" i="49"/>
  <c r="G26" i="49"/>
  <c r="D26" i="49"/>
  <c r="M25" i="49"/>
  <c r="N25" i="49" s="1"/>
  <c r="O25" i="49" s="1"/>
  <c r="L25" i="49"/>
  <c r="I25" i="49"/>
  <c r="G25" i="49"/>
  <c r="D25" i="49"/>
  <c r="M24" i="49"/>
  <c r="N24" i="49" s="1"/>
  <c r="O24" i="49" s="1"/>
  <c r="L24" i="49"/>
  <c r="I24" i="49"/>
  <c r="G24" i="49"/>
  <c r="D24" i="49"/>
  <c r="M23" i="49"/>
  <c r="N23" i="49" s="1"/>
  <c r="O23" i="49" s="1"/>
  <c r="L23" i="49"/>
  <c r="U23" i="49" s="1"/>
  <c r="I23" i="49"/>
  <c r="G23" i="49"/>
  <c r="D23" i="49"/>
  <c r="M22" i="49"/>
  <c r="N22" i="49" s="1"/>
  <c r="L22" i="49"/>
  <c r="U22" i="49" s="1"/>
  <c r="I22" i="49"/>
  <c r="G22" i="49"/>
  <c r="D22" i="49"/>
  <c r="R21" i="49"/>
  <c r="O21" i="49"/>
  <c r="M21" i="49"/>
  <c r="U21" i="49" s="1"/>
  <c r="L21" i="49"/>
  <c r="I21" i="49"/>
  <c r="Q21" i="49" s="1"/>
  <c r="S21" i="49" s="1"/>
  <c r="G21" i="49"/>
  <c r="D21" i="49"/>
  <c r="O20" i="49"/>
  <c r="J20" i="49"/>
  <c r="L20" i="49" s="1"/>
  <c r="U20" i="49" s="1"/>
  <c r="G20" i="49"/>
  <c r="D20" i="49"/>
  <c r="Q19" i="49"/>
  <c r="S19" i="49" s="1"/>
  <c r="P19" i="49"/>
  <c r="O19" i="49"/>
  <c r="J19" i="49"/>
  <c r="G19" i="49"/>
  <c r="D19" i="49"/>
  <c r="Q18" i="49"/>
  <c r="S18" i="49" s="1"/>
  <c r="P18" i="49"/>
  <c r="O18" i="49"/>
  <c r="J18" i="49"/>
  <c r="T18" i="49" s="1"/>
  <c r="G18" i="49"/>
  <c r="D18" i="49"/>
  <c r="S17" i="49"/>
  <c r="O17" i="49"/>
  <c r="J17" i="49"/>
  <c r="L17" i="49" s="1"/>
  <c r="U17" i="49" s="1"/>
  <c r="D17" i="49"/>
  <c r="S16" i="49"/>
  <c r="O16" i="49"/>
  <c r="J16" i="49"/>
  <c r="D16" i="49"/>
  <c r="T15" i="49"/>
  <c r="S15" i="49"/>
  <c r="O15" i="49"/>
  <c r="J15" i="49"/>
  <c r="R15" i="49" s="1"/>
  <c r="D15" i="49"/>
  <c r="S14" i="49"/>
  <c r="O14" i="49"/>
  <c r="J14" i="49"/>
  <c r="L14" i="49" s="1"/>
  <c r="U14" i="49" s="1"/>
  <c r="D14" i="49"/>
  <c r="S13" i="49"/>
  <c r="O13" i="49"/>
  <c r="J13" i="49"/>
  <c r="D13" i="49"/>
  <c r="S12" i="49"/>
  <c r="O12" i="49"/>
  <c r="J12" i="49"/>
  <c r="D12" i="49"/>
  <c r="S11" i="49"/>
  <c r="O11" i="49"/>
  <c r="J11" i="49"/>
  <c r="D11" i="49"/>
  <c r="S10" i="49"/>
  <c r="O10" i="49"/>
  <c r="J10" i="49"/>
  <c r="L10" i="49" s="1"/>
  <c r="U10" i="49" s="1"/>
  <c r="D10" i="49"/>
  <c r="S9" i="49"/>
  <c r="R9" i="49"/>
  <c r="O9" i="49"/>
  <c r="J9" i="49"/>
  <c r="T9" i="49" s="1"/>
  <c r="D9" i="49"/>
  <c r="S8" i="49"/>
  <c r="O8" i="49"/>
  <c r="J8" i="49"/>
  <c r="R8" i="49" s="1"/>
  <c r="D8" i="49"/>
  <c r="AB7" i="49"/>
  <c r="Z7" i="49"/>
  <c r="H7" i="49"/>
  <c r="E5" i="49"/>
  <c r="F43" i="49" s="1"/>
  <c r="P24" i="49" l="1"/>
  <c r="P22" i="49"/>
  <c r="T23" i="49"/>
  <c r="R24" i="49"/>
  <c r="P39" i="49"/>
  <c r="P68" i="49"/>
  <c r="P83" i="49"/>
  <c r="P21" i="49"/>
  <c r="P25" i="49"/>
  <c r="T21" i="49"/>
  <c r="T22" i="49"/>
  <c r="T24" i="49"/>
  <c r="U41" i="49"/>
  <c r="T44" i="49"/>
  <c r="U78" i="49"/>
  <c r="P23" i="49"/>
  <c r="T10" i="49"/>
  <c r="R48" i="49"/>
  <c r="U53" i="49"/>
  <c r="R10" i="49"/>
  <c r="T38" i="49"/>
  <c r="P76" i="49"/>
  <c r="Q24" i="49"/>
  <c r="S24" i="49" s="1"/>
  <c r="R27" i="49"/>
  <c r="R34" i="49"/>
  <c r="Q39" i="49"/>
  <c r="S39" i="49" s="1"/>
  <c r="P53" i="49"/>
  <c r="P72" i="49"/>
  <c r="U73" i="49"/>
  <c r="P74" i="49"/>
  <c r="P84" i="49"/>
  <c r="U85" i="49"/>
  <c r="T72" i="49"/>
  <c r="P73" i="49"/>
  <c r="U74" i="49"/>
  <c r="U75" i="49"/>
  <c r="T76" i="49"/>
  <c r="T83" i="49"/>
  <c r="Q84" i="49"/>
  <c r="S84" i="49" s="1"/>
  <c r="R17" i="49"/>
  <c r="U27" i="49"/>
  <c r="L38" i="49"/>
  <c r="U38" i="49" s="1"/>
  <c r="U83" i="49"/>
  <c r="T17" i="49"/>
  <c r="T25" i="49"/>
  <c r="L44" i="49"/>
  <c r="U44" i="49" s="1"/>
  <c r="U52" i="49"/>
  <c r="R53" i="49"/>
  <c r="U71" i="49"/>
  <c r="Q26" i="49"/>
  <c r="S26" i="49" s="1"/>
  <c r="U24" i="49"/>
  <c r="U25" i="49"/>
  <c r="R26" i="49"/>
  <c r="P38" i="49"/>
  <c r="T53" i="49"/>
  <c r="P54" i="49"/>
  <c r="T56" i="49"/>
  <c r="T73" i="49"/>
  <c r="P40" i="49"/>
  <c r="T8" i="49"/>
  <c r="T26" i="49"/>
  <c r="P77" i="49"/>
  <c r="T40" i="49"/>
  <c r="P56" i="49"/>
  <c r="T57" i="49"/>
  <c r="U86" i="49"/>
  <c r="R41" i="49"/>
  <c r="Q55" i="49"/>
  <c r="S55" i="49" s="1"/>
  <c r="T74" i="49"/>
  <c r="P85" i="49"/>
  <c r="F48" i="49"/>
  <c r="F27" i="49"/>
  <c r="F59" i="49"/>
  <c r="L28" i="49"/>
  <c r="U28" i="49" s="1"/>
  <c r="T28" i="49"/>
  <c r="R28" i="49"/>
  <c r="T31" i="49"/>
  <c r="P31" i="49"/>
  <c r="T60" i="49"/>
  <c r="P60" i="49"/>
  <c r="U60" i="49"/>
  <c r="U79" i="49"/>
  <c r="T79" i="49"/>
  <c r="P79" i="49"/>
  <c r="F81" i="49"/>
  <c r="F68" i="49"/>
  <c r="F49" i="49"/>
  <c r="F35" i="49"/>
  <c r="F72" i="49"/>
  <c r="F39" i="49"/>
  <c r="F73" i="49"/>
  <c r="F82" i="49"/>
  <c r="F69" i="49"/>
  <c r="F50" i="49"/>
  <c r="F36" i="49"/>
  <c r="F70" i="49"/>
  <c r="F51" i="49"/>
  <c r="F37" i="49"/>
  <c r="F83" i="49"/>
  <c r="F71" i="49"/>
  <c r="F52" i="49"/>
  <c r="F84" i="49"/>
  <c r="F38" i="49"/>
  <c r="F53" i="49"/>
  <c r="F54" i="49"/>
  <c r="F76" i="49"/>
  <c r="F30" i="49"/>
  <c r="F24" i="49"/>
  <c r="F86" i="49"/>
  <c r="F57" i="49"/>
  <c r="F47" i="49"/>
  <c r="F65" i="49"/>
  <c r="F44" i="49"/>
  <c r="F25" i="49"/>
  <c r="F77" i="49"/>
  <c r="F31" i="49"/>
  <c r="F80" i="49"/>
  <c r="F58" i="49"/>
  <c r="F34" i="49"/>
  <c r="F26" i="49"/>
  <c r="F45" i="49"/>
  <c r="L46" i="49"/>
  <c r="F78" i="49"/>
  <c r="L33" i="49"/>
  <c r="U33" i="49" s="1"/>
  <c r="R43" i="49"/>
  <c r="T43" i="49"/>
  <c r="U46" i="49"/>
  <c r="T46" i="49"/>
  <c r="P46" i="49"/>
  <c r="F75" i="49"/>
  <c r="P86" i="49"/>
  <c r="T12" i="49"/>
  <c r="R12" i="49"/>
  <c r="L12" i="49"/>
  <c r="U12" i="49" s="1"/>
  <c r="F22" i="49"/>
  <c r="T33" i="49"/>
  <c r="L43" i="49"/>
  <c r="U43" i="49" s="1"/>
  <c r="L50" i="49"/>
  <c r="U50" i="49" s="1"/>
  <c r="P71" i="49"/>
  <c r="Q23" i="49"/>
  <c r="S23" i="49" s="1"/>
  <c r="L30" i="49"/>
  <c r="U30" i="49" s="1"/>
  <c r="L35" i="49"/>
  <c r="U35" i="49" s="1"/>
  <c r="T50" i="49"/>
  <c r="Q75" i="49"/>
  <c r="S75" i="49" s="1"/>
  <c r="K75" i="49"/>
  <c r="F85" i="49"/>
  <c r="F19" i="49"/>
  <c r="F21" i="49"/>
  <c r="R23" i="49"/>
  <c r="F32" i="49"/>
  <c r="P33" i="49"/>
  <c r="T35" i="49"/>
  <c r="P35" i="49"/>
  <c r="F67" i="49"/>
  <c r="F74" i="49"/>
  <c r="U37" i="49"/>
  <c r="F42" i="49"/>
  <c r="P50" i="49"/>
  <c r="U70" i="49"/>
  <c r="T70" i="49"/>
  <c r="P75" i="49"/>
  <c r="U80" i="49"/>
  <c r="T80" i="49"/>
  <c r="U82" i="49"/>
  <c r="T82" i="49"/>
  <c r="T19" i="49"/>
  <c r="R19" i="49"/>
  <c r="O22" i="49"/>
  <c r="R22" i="49"/>
  <c r="Q22" i="49"/>
  <c r="S22" i="49" s="1"/>
  <c r="F29" i="49"/>
  <c r="U65" i="49"/>
  <c r="T65" i="49"/>
  <c r="P65" i="49"/>
  <c r="T71" i="49"/>
  <c r="F87" i="49"/>
  <c r="T13" i="49"/>
  <c r="L13" i="49"/>
  <c r="U13" i="49" s="1"/>
  <c r="R13" i="49"/>
  <c r="L19" i="49"/>
  <c r="U19" i="49" s="1"/>
  <c r="L32" i="49"/>
  <c r="U32" i="49" s="1"/>
  <c r="P37" i="49"/>
  <c r="L42" i="49"/>
  <c r="U42" i="49" s="1"/>
  <c r="T42" i="49"/>
  <c r="R42" i="49"/>
  <c r="L47" i="49"/>
  <c r="P70" i="49"/>
  <c r="P80" i="49"/>
  <c r="P82" i="49"/>
  <c r="F18" i="49"/>
  <c r="R29" i="49"/>
  <c r="T29" i="49"/>
  <c r="T30" i="49"/>
  <c r="F41" i="49"/>
  <c r="U47" i="49"/>
  <c r="T47" i="49"/>
  <c r="U67" i="49"/>
  <c r="T67" i="49"/>
  <c r="F79" i="49"/>
  <c r="T16" i="49"/>
  <c r="R16" i="49"/>
  <c r="L29" i="49"/>
  <c r="U29" i="49" s="1"/>
  <c r="F40" i="49"/>
  <c r="L49" i="49"/>
  <c r="U49" i="49" s="1"/>
  <c r="F60" i="49"/>
  <c r="L16" i="49"/>
  <c r="U16" i="49" s="1"/>
  <c r="Q25" i="49"/>
  <c r="S25" i="49" s="1"/>
  <c r="L36" i="49"/>
  <c r="U36" i="49" s="1"/>
  <c r="P47" i="49"/>
  <c r="T49" i="49"/>
  <c r="P49" i="49"/>
  <c r="F56" i="49"/>
  <c r="P57" i="49"/>
  <c r="F66" i="49"/>
  <c r="P67" i="49"/>
  <c r="T11" i="49"/>
  <c r="R11" i="49"/>
  <c r="F23" i="49"/>
  <c r="R25" i="49"/>
  <c r="F28" i="49"/>
  <c r="T36" i="49"/>
  <c r="T37" i="49"/>
  <c r="F46" i="49"/>
  <c r="K79" i="49"/>
  <c r="K81" i="49"/>
  <c r="L9" i="49"/>
  <c r="U9" i="49" s="1"/>
  <c r="L11" i="49"/>
  <c r="U11" i="49" s="1"/>
  <c r="T14" i="49"/>
  <c r="R14" i="49"/>
  <c r="F33" i="49"/>
  <c r="F55" i="49"/>
  <c r="K76" i="49"/>
  <c r="U69" i="49"/>
  <c r="T69" i="49"/>
  <c r="U81" i="49"/>
  <c r="T81" i="49"/>
  <c r="R18" i="49"/>
  <c r="L18" i="49"/>
  <c r="U18" i="49" s="1"/>
  <c r="T32" i="49"/>
  <c r="U66" i="49"/>
  <c r="T66" i="49"/>
  <c r="K78" i="49"/>
  <c r="P59" i="49"/>
  <c r="P69" i="49"/>
  <c r="P81" i="49"/>
  <c r="P32" i="49"/>
  <c r="L45" i="49"/>
  <c r="U45" i="49" s="1"/>
  <c r="U48" i="49"/>
  <c r="T48" i="49"/>
  <c r="P66" i="49"/>
  <c r="T78" i="49"/>
  <c r="P78" i="49"/>
  <c r="U87" i="49"/>
  <c r="P87" i="49"/>
  <c r="T87" i="49"/>
  <c r="T45" i="49"/>
  <c r="P45" i="49"/>
  <c r="K80" i="49"/>
  <c r="L31" i="49"/>
  <c r="U31" i="49" s="1"/>
  <c r="U34" i="49"/>
  <c r="T34" i="49"/>
  <c r="P48" i="49"/>
  <c r="P58" i="49"/>
  <c r="U68" i="49"/>
  <c r="T68" i="49"/>
  <c r="K77" i="49"/>
  <c r="L15" i="49"/>
  <c r="U15" i="49" s="1"/>
  <c r="L8" i="49"/>
  <c r="U8" i="49" s="1"/>
  <c r="AG56" i="29" l="1"/>
  <c r="AF56" i="29"/>
  <c r="AE56" i="29"/>
  <c r="AD56" i="29"/>
  <c r="AG55" i="29"/>
  <c r="AF55" i="29"/>
  <c r="AE55" i="29"/>
  <c r="AD55" i="29"/>
  <c r="AG54" i="29"/>
  <c r="AF54" i="29"/>
  <c r="AE54" i="29"/>
  <c r="AD54" i="29"/>
  <c r="AG53" i="29"/>
  <c r="AF53" i="29"/>
  <c r="AE53" i="29"/>
  <c r="AD53" i="29"/>
  <c r="J26" i="29"/>
  <c r="J25" i="29"/>
  <c r="J24" i="29"/>
  <c r="J23" i="29"/>
  <c r="L6" i="45"/>
  <c r="B47" i="23"/>
  <c r="B48" i="23" s="1"/>
  <c r="B49" i="23" s="1"/>
  <c r="B50" i="23" s="1"/>
  <c r="B51" i="23" s="1"/>
  <c r="B52" i="23" s="1"/>
  <c r="B53" i="23" s="1"/>
  <c r="B54" i="23" s="1"/>
  <c r="B55" i="23" s="1"/>
  <c r="H79" i="25"/>
  <c r="G79" i="25"/>
  <c r="H78" i="25"/>
  <c r="G78" i="25"/>
  <c r="H77" i="25"/>
  <c r="G77" i="25"/>
  <c r="H76" i="25"/>
  <c r="G76" i="25"/>
  <c r="H75" i="25"/>
  <c r="G75" i="25"/>
  <c r="AE59" i="29" l="1"/>
  <c r="AF60" i="29"/>
  <c r="AG60" i="29"/>
  <c r="AE61" i="29"/>
  <c r="AF58" i="29"/>
  <c r="AG58" i="29"/>
  <c r="AF59" i="29"/>
  <c r="AE60" i="29"/>
  <c r="AE58" i="29"/>
  <c r="AG61" i="29"/>
  <c r="AG59" i="29"/>
  <c r="AF61" i="29"/>
  <c r="N5" i="44"/>
  <c r="N7" i="44"/>
  <c r="N9" i="44" s="1"/>
  <c r="O9" i="44"/>
  <c r="O7" i="44"/>
  <c r="O5" i="44"/>
  <c r="G42" i="28" l="1"/>
  <c r="I26" i="29" l="1"/>
  <c r="I25" i="29"/>
  <c r="I24" i="29"/>
  <c r="I23" i="29"/>
  <c r="AB26" i="28"/>
  <c r="AB25" i="28"/>
  <c r="AB24" i="28"/>
  <c r="AB23" i="28"/>
  <c r="M21" i="45"/>
  <c r="L21" i="45"/>
  <c r="K21" i="45"/>
  <c r="J21" i="45"/>
  <c r="I21" i="45"/>
  <c r="H21" i="45"/>
  <c r="G21" i="45"/>
  <c r="F21" i="45"/>
  <c r="M20" i="45"/>
  <c r="L20" i="45"/>
  <c r="K20" i="45"/>
  <c r="J20" i="45"/>
  <c r="I20" i="45"/>
  <c r="H20" i="45"/>
  <c r="G20" i="45"/>
  <c r="F20" i="45"/>
  <c r="M19" i="45"/>
  <c r="L19" i="45"/>
  <c r="K19" i="45"/>
  <c r="J19" i="45"/>
  <c r="I19" i="45"/>
  <c r="H19" i="45"/>
  <c r="G19" i="45"/>
  <c r="F19" i="45"/>
  <c r="L5" i="45"/>
  <c r="M5" i="45"/>
  <c r="M6" i="45"/>
  <c r="L7" i="45"/>
  <c r="M7" i="45"/>
  <c r="H44" i="45"/>
  <c r="M22" i="45" l="1"/>
  <c r="L8" i="45"/>
  <c r="L12" i="45" s="1"/>
  <c r="M8" i="45"/>
  <c r="L22" i="45"/>
  <c r="L13" i="45" l="1"/>
  <c r="L14" i="45"/>
  <c r="L15" i="45"/>
  <c r="M15" i="45"/>
  <c r="M13" i="45"/>
  <c r="M14" i="45"/>
  <c r="M12" i="45"/>
  <c r="D16" i="39" l="1"/>
  <c r="B27" i="39"/>
  <c r="M145" i="22"/>
  <c r="M158" i="22"/>
  <c r="B29" i="24"/>
  <c r="C30" i="24" s="1"/>
  <c r="P9" i="44"/>
  <c r="P7" i="44"/>
  <c r="P5" i="44"/>
  <c r="M5" i="44"/>
  <c r="M7" i="44" s="1"/>
  <c r="M9" i="44" s="1"/>
  <c r="N10" i="44" s="1"/>
  <c r="N158" i="22" l="1"/>
  <c r="AJ100" i="11" l="1"/>
  <c r="AI100" i="11"/>
  <c r="AH100" i="11"/>
  <c r="AG100" i="11"/>
  <c r="AF100" i="11"/>
  <c r="AI98" i="11"/>
  <c r="L48" i="11"/>
  <c r="AJ98" i="11" l="1"/>
  <c r="G60" i="11"/>
  <c r="C60" i="11"/>
  <c r="G58" i="11"/>
  <c r="C58" i="11"/>
  <c r="G56" i="11"/>
  <c r="C56" i="11"/>
  <c r="O49" i="11"/>
  <c r="K49" i="11"/>
  <c r="O47" i="11"/>
  <c r="K47" i="11"/>
  <c r="O45" i="11"/>
  <c r="K45" i="11"/>
  <c r="G49" i="11"/>
  <c r="C49" i="11"/>
  <c r="C47" i="11"/>
  <c r="H46" i="11"/>
  <c r="G47" i="11" s="1"/>
  <c r="G45" i="11"/>
  <c r="F44" i="11"/>
  <c r="C45" i="11" s="1"/>
  <c r="O38" i="11"/>
  <c r="O36" i="11"/>
  <c r="O34" i="11"/>
  <c r="G93" i="11"/>
  <c r="C93" i="11"/>
  <c r="G91" i="11"/>
  <c r="C91" i="11"/>
  <c r="G89" i="11"/>
  <c r="C89" i="11"/>
  <c r="O82" i="11"/>
  <c r="K82" i="11"/>
  <c r="O80" i="11"/>
  <c r="K80" i="11"/>
  <c r="O78" i="11"/>
  <c r="K78" i="11"/>
  <c r="G82" i="11"/>
  <c r="C81" i="11"/>
  <c r="C82" i="11" s="1"/>
  <c r="G80" i="11"/>
  <c r="C79" i="11"/>
  <c r="C80" i="11" s="1"/>
  <c r="G78" i="11"/>
  <c r="C77" i="11"/>
  <c r="C78" i="11" s="1"/>
  <c r="O71" i="11"/>
  <c r="K71" i="11"/>
  <c r="O69" i="11"/>
  <c r="K69" i="11"/>
  <c r="O67" i="11"/>
  <c r="K67" i="11"/>
  <c r="G71" i="11"/>
  <c r="C71" i="11"/>
  <c r="G69" i="11"/>
  <c r="C69" i="11"/>
  <c r="G67" i="11"/>
  <c r="C67" i="11"/>
  <c r="G27" i="11"/>
  <c r="C27" i="11"/>
  <c r="G25" i="11"/>
  <c r="C25" i="11"/>
  <c r="O19" i="11"/>
  <c r="K19" i="11"/>
  <c r="O17" i="11"/>
  <c r="K17" i="11"/>
  <c r="G19" i="11"/>
  <c r="C19" i="11"/>
  <c r="C17" i="11"/>
  <c r="H16" i="11"/>
  <c r="G17" i="11" s="1"/>
  <c r="O11" i="11"/>
  <c r="K11" i="11"/>
  <c r="K9" i="11"/>
  <c r="Q8" i="11"/>
  <c r="G9" i="11"/>
  <c r="C9" i="11"/>
  <c r="H26" i="29"/>
  <c r="I31" i="29" s="1"/>
  <c r="H25" i="29"/>
  <c r="H24" i="29"/>
  <c r="AA54" i="29" s="1"/>
  <c r="AE64" i="29" s="1"/>
  <c r="H23" i="29"/>
  <c r="AA53" i="29" s="1"/>
  <c r="AE63" i="29" s="1"/>
  <c r="AB53" i="29"/>
  <c r="AF63" i="29" s="1"/>
  <c r="AC53" i="29"/>
  <c r="AB54" i="29"/>
  <c r="AF64" i="29" s="1"/>
  <c r="AC54" i="29"/>
  <c r="AB55" i="29"/>
  <c r="AF65" i="29" s="1"/>
  <c r="AC55" i="29"/>
  <c r="AB56" i="29"/>
  <c r="AF66" i="29" s="1"/>
  <c r="AC56" i="29"/>
  <c r="J31" i="29"/>
  <c r="J29" i="29"/>
  <c r="AB38" i="28"/>
  <c r="AB37" i="28"/>
  <c r="AB36" i="28"/>
  <c r="AB35" i="28"/>
  <c r="AC32" i="28"/>
  <c r="AC31" i="28"/>
  <c r="AC30" i="28"/>
  <c r="AC29" i="28"/>
  <c r="AA26" i="28"/>
  <c r="AA38" i="28" s="1"/>
  <c r="AA25" i="28"/>
  <c r="AA37" i="28" s="1"/>
  <c r="AA24" i="28"/>
  <c r="AA23" i="28"/>
  <c r="AB29" i="28" s="1"/>
  <c r="AC57" i="28"/>
  <c r="AA57" i="28"/>
  <c r="AC56" i="28"/>
  <c r="AA56" i="28"/>
  <c r="AC55" i="28"/>
  <c r="AA55" i="28"/>
  <c r="AC54" i="28"/>
  <c r="AA54" i="28"/>
  <c r="AC51" i="28"/>
  <c r="AB51" i="28"/>
  <c r="AA51" i="28"/>
  <c r="AC50" i="28"/>
  <c r="AB50" i="28"/>
  <c r="AA50" i="28"/>
  <c r="AC49" i="28"/>
  <c r="AB49" i="28"/>
  <c r="AA49" i="28"/>
  <c r="AC48" i="28"/>
  <c r="AB48" i="28"/>
  <c r="AA48" i="28"/>
  <c r="AG63" i="29" l="1"/>
  <c r="AD58" i="29"/>
  <c r="AD59" i="29"/>
  <c r="AG64" i="29"/>
  <c r="AD61" i="29"/>
  <c r="AG66" i="29"/>
  <c r="AD60" i="29"/>
  <c r="AG65" i="29"/>
  <c r="AC59" i="29"/>
  <c r="AB30" i="28"/>
  <c r="AB31" i="28"/>
  <c r="AB32" i="28"/>
  <c r="I28" i="29"/>
  <c r="I30" i="29"/>
  <c r="AB59" i="29"/>
  <c r="I29" i="29"/>
  <c r="AA56" i="29"/>
  <c r="AE66" i="29" s="1"/>
  <c r="AA55" i="29"/>
  <c r="AC58" i="29"/>
  <c r="AB58" i="29"/>
  <c r="AC61" i="29"/>
  <c r="AC60" i="29"/>
  <c r="J28" i="29"/>
  <c r="J30" i="29"/>
  <c r="AA36" i="28"/>
  <c r="AA35" i="28"/>
  <c r="E26" i="39"/>
  <c r="C15" i="39"/>
  <c r="D15" i="39"/>
  <c r="AB60" i="29" l="1"/>
  <c r="AE65" i="29"/>
  <c r="AB61" i="29"/>
  <c r="K126" i="27"/>
  <c r="M126" i="27"/>
  <c r="O126" i="27"/>
  <c r="Q126" i="27"/>
  <c r="K114" i="27"/>
  <c r="M114" i="27"/>
  <c r="O114" i="27"/>
  <c r="Q114" i="27"/>
  <c r="K102" i="27"/>
  <c r="M102" i="27"/>
  <c r="O102" i="27"/>
  <c r="Q102" i="27"/>
  <c r="D64" i="27"/>
  <c r="H64" i="27"/>
  <c r="L64" i="27"/>
  <c r="L68" i="27"/>
  <c r="H68" i="27"/>
  <c r="D68" i="27"/>
  <c r="B28" i="24" l="1"/>
  <c r="H74" i="25"/>
  <c r="G74" i="25"/>
  <c r="E74" i="25"/>
  <c r="H73" i="25"/>
  <c r="G73" i="25"/>
  <c r="E73" i="25"/>
  <c r="H72" i="25"/>
  <c r="G72" i="25"/>
  <c r="E72" i="25"/>
  <c r="U89" i="22"/>
  <c r="U102" i="22"/>
  <c r="B23" i="22"/>
  <c r="V102" i="22" l="1"/>
  <c r="C28" i="24"/>
  <c r="C29" i="24"/>
  <c r="L5" i="44"/>
  <c r="L7" i="44" s="1"/>
  <c r="L9" i="44" s="1"/>
  <c r="B11" i="39"/>
  <c r="B10" i="39" s="1"/>
  <c r="B13" i="39"/>
  <c r="F5" i="45"/>
  <c r="H71" i="25"/>
  <c r="G71" i="25"/>
  <c r="E71" i="25"/>
  <c r="H70" i="25"/>
  <c r="G70" i="25"/>
  <c r="E70" i="25"/>
  <c r="H69" i="25"/>
  <c r="G69" i="25"/>
  <c r="E69" i="25"/>
  <c r="B22" i="22"/>
  <c r="K150" i="22"/>
  <c r="L10" i="44" l="1"/>
  <c r="M10" i="44"/>
  <c r="C23" i="22"/>
  <c r="F22" i="45" l="1"/>
  <c r="G22" i="45"/>
  <c r="I22" i="45"/>
  <c r="J22" i="45"/>
  <c r="K22" i="45"/>
  <c r="H22" i="45"/>
  <c r="H29" i="45" l="1"/>
  <c r="U27" i="39" s="1"/>
  <c r="D14" i="39"/>
  <c r="M121" i="27" l="1"/>
  <c r="L121" i="27"/>
  <c r="K121" i="27"/>
  <c r="J121" i="27"/>
  <c r="M109" i="27"/>
  <c r="L109" i="27"/>
  <c r="K109" i="27"/>
  <c r="J109" i="27"/>
  <c r="M97" i="27"/>
  <c r="L97" i="27"/>
  <c r="K97" i="27"/>
  <c r="J97" i="27"/>
  <c r="D32" i="27"/>
  <c r="D31" i="27"/>
  <c r="D30" i="27"/>
  <c r="D29" i="27"/>
  <c r="L88" i="27"/>
  <c r="H88" i="27"/>
  <c r="D88" i="27"/>
  <c r="I126" i="27" l="1"/>
  <c r="E126" i="27"/>
  <c r="Q122" i="27"/>
  <c r="M122" i="27"/>
  <c r="I114" i="27"/>
  <c r="E114" i="27"/>
  <c r="Q110" i="27"/>
  <c r="M110" i="27"/>
  <c r="M98" i="27"/>
  <c r="Q98" i="27"/>
  <c r="E102" i="27"/>
  <c r="I102" i="27"/>
  <c r="E32" i="27"/>
  <c r="E31" i="27"/>
  <c r="E30" i="27"/>
  <c r="K163" i="22"/>
  <c r="K162" i="22"/>
  <c r="K161" i="22"/>
  <c r="K160" i="22"/>
  <c r="K159" i="22"/>
  <c r="K158" i="22"/>
  <c r="K157" i="22"/>
  <c r="K156" i="22"/>
  <c r="K155" i="22"/>
  <c r="K154" i="22"/>
  <c r="K153" i="22"/>
  <c r="K152" i="22"/>
  <c r="J164" i="22"/>
  <c r="G26" i="29"/>
  <c r="G25" i="29"/>
  <c r="G24" i="29"/>
  <c r="G23" i="29"/>
  <c r="H36" i="29"/>
  <c r="H35" i="29"/>
  <c r="H34" i="29"/>
  <c r="AC53" i="28"/>
  <c r="AC47" i="28"/>
  <c r="AB53" i="28"/>
  <c r="AB47" i="28"/>
  <c r="AA53" i="28"/>
  <c r="AA47" i="28"/>
  <c r="Z26" i="28"/>
  <c r="Z25" i="28"/>
  <c r="Z24" i="28"/>
  <c r="Z23" i="28"/>
  <c r="Z53" i="28"/>
  <c r="Z47" i="28"/>
  <c r="AI101" i="11"/>
  <c r="AI99" i="11"/>
  <c r="O93" i="11"/>
  <c r="K93" i="11"/>
  <c r="O91" i="11"/>
  <c r="K91" i="11"/>
  <c r="O89" i="11"/>
  <c r="K89" i="11"/>
  <c r="O60" i="11"/>
  <c r="K60" i="11"/>
  <c r="K58" i="11"/>
  <c r="O58" i="11"/>
  <c r="O56" i="11"/>
  <c r="K56" i="11"/>
  <c r="Z38" i="28" l="1"/>
  <c r="AA32" i="28"/>
  <c r="Z35" i="28"/>
  <c r="AA29" i="28"/>
  <c r="Z36" i="28"/>
  <c r="AA30" i="28"/>
  <c r="Z37" i="28"/>
  <c r="AA31" i="28"/>
  <c r="Z55" i="29"/>
  <c r="Z56" i="29"/>
  <c r="H28" i="29"/>
  <c r="B29" i="27"/>
  <c r="E29" i="27"/>
  <c r="H31" i="29"/>
  <c r="H30" i="29"/>
  <c r="Z54" i="29"/>
  <c r="Z53" i="29"/>
  <c r="H33" i="29"/>
  <c r="H29" i="29"/>
  <c r="O27" i="11"/>
  <c r="K27" i="11"/>
  <c r="K25" i="11"/>
  <c r="O25" i="11"/>
  <c r="AA60" i="29" l="1"/>
  <c r="AD65" i="29"/>
  <c r="AA61" i="29"/>
  <c r="AD66" i="29"/>
  <c r="AA58" i="29"/>
  <c r="AD63" i="29"/>
  <c r="AA59" i="29"/>
  <c r="AD64" i="29"/>
  <c r="J6" i="45"/>
  <c r="K6" i="45"/>
  <c r="J7" i="45"/>
  <c r="K7" i="45"/>
  <c r="K5" i="45"/>
  <c r="G6" i="45"/>
  <c r="H6" i="45"/>
  <c r="I6" i="45"/>
  <c r="G7" i="45"/>
  <c r="H7" i="45"/>
  <c r="I7" i="45"/>
  <c r="F7" i="45"/>
  <c r="A5" i="45"/>
  <c r="A6" i="45"/>
  <c r="A7" i="45"/>
  <c r="A8" i="45"/>
  <c r="A9" i="45"/>
  <c r="A10" i="45"/>
  <c r="H37" i="45"/>
  <c r="H43" i="45"/>
  <c r="H5" i="45" s="1"/>
  <c r="H49" i="45"/>
  <c r="I5" i="45" s="1"/>
  <c r="H59" i="45"/>
  <c r="H60" i="45"/>
  <c r="H61" i="45"/>
  <c r="D5" i="44"/>
  <c r="E5" i="44"/>
  <c r="F5" i="44"/>
  <c r="G5" i="44"/>
  <c r="H5" i="44"/>
  <c r="I5" i="44"/>
  <c r="J5" i="44"/>
  <c r="D7" i="44"/>
  <c r="E7" i="44"/>
  <c r="F7" i="44"/>
  <c r="G7" i="44"/>
  <c r="H7" i="44"/>
  <c r="I7" i="44"/>
  <c r="J7" i="44"/>
  <c r="D9" i="44"/>
  <c r="E9" i="44"/>
  <c r="F9" i="44"/>
  <c r="G9" i="44"/>
  <c r="H9" i="44"/>
  <c r="I9" i="44"/>
  <c r="J9" i="44"/>
  <c r="Q14" i="45" l="1" a="1"/>
  <c r="Q14" i="45" s="1"/>
  <c r="Q15" i="45" a="1"/>
  <c r="Q15" i="45" s="1"/>
  <c r="G5" i="45"/>
  <c r="I70" i="45"/>
  <c r="Q59" i="45" s="1"/>
  <c r="S59" i="45" s="1"/>
  <c r="G10" i="44"/>
  <c r="J10" i="44"/>
  <c r="Q7" i="45"/>
  <c r="F6" i="45"/>
  <c r="I10" i="44"/>
  <c r="K8" i="45"/>
  <c r="J5" i="45"/>
  <c r="B9" i="45" s="1"/>
  <c r="E10" i="44"/>
  <c r="B10" i="45"/>
  <c r="H70" i="45"/>
  <c r="B8" i="45"/>
  <c r="I8" i="45"/>
  <c r="H8" i="45"/>
  <c r="B7" i="45"/>
  <c r="F10" i="44"/>
  <c r="H10" i="44"/>
  <c r="B6" i="45" l="1"/>
  <c r="Q13" i="45" a="1"/>
  <c r="Q13" i="45" s="1"/>
  <c r="G8" i="45"/>
  <c r="G12" i="45" s="1"/>
  <c r="I12" i="45"/>
  <c r="H12" i="45"/>
  <c r="K12" i="45"/>
  <c r="Q5" i="45"/>
  <c r="B5" i="45"/>
  <c r="Q6" i="45"/>
  <c r="F8" i="45"/>
  <c r="Q16" i="45"/>
  <c r="R15" i="45" s="1"/>
  <c r="K15" i="45"/>
  <c r="K14" i="45"/>
  <c r="K13" i="45"/>
  <c r="J8" i="45"/>
  <c r="H14" i="45"/>
  <c r="H13" i="45"/>
  <c r="H15" i="45"/>
  <c r="G13" i="45"/>
  <c r="G15" i="45"/>
  <c r="G14" i="45"/>
  <c r="I15" i="45"/>
  <c r="I14" i="45"/>
  <c r="I13" i="45"/>
  <c r="F15" i="45" l="1"/>
  <c r="F12" i="45"/>
  <c r="F14" i="45"/>
  <c r="F13" i="45"/>
  <c r="C5" i="45"/>
  <c r="C6" i="45" s="1"/>
  <c r="C7" i="45" s="1"/>
  <c r="C8" i="45" s="1"/>
  <c r="C9" i="45" s="1"/>
  <c r="C10" i="45" s="1"/>
  <c r="J12" i="45"/>
  <c r="B11" i="45"/>
  <c r="D8" i="45" s="1"/>
  <c r="Q8" i="45"/>
  <c r="R7" i="45" s="1"/>
  <c r="J14" i="45"/>
  <c r="J15" i="45"/>
  <c r="J13" i="45"/>
  <c r="R14" i="45"/>
  <c r="R13" i="45"/>
  <c r="R5" i="45" l="1"/>
  <c r="R6" i="45"/>
  <c r="R16" i="45"/>
  <c r="D25" i="27"/>
  <c r="O60" i="27"/>
  <c r="R8" i="45" l="1"/>
  <c r="AE99" i="11"/>
  <c r="Y26" i="28" l="1"/>
  <c r="AC38" i="28" s="1"/>
  <c r="Y25" i="28"/>
  <c r="AC37" i="28" s="1"/>
  <c r="Y24" i="28"/>
  <c r="AC36" i="28" s="1"/>
  <c r="Y23" i="28"/>
  <c r="AC35" i="28" s="1"/>
  <c r="F26" i="29"/>
  <c r="F25" i="29"/>
  <c r="F24" i="29"/>
  <c r="F23" i="29"/>
  <c r="D28" i="27"/>
  <c r="I121" i="27"/>
  <c r="I122" i="27" s="1"/>
  <c r="I109" i="27"/>
  <c r="I110" i="27" s="1"/>
  <c r="I97" i="27"/>
  <c r="I98" i="27" s="1"/>
  <c r="C13" i="39"/>
  <c r="D13" i="39"/>
  <c r="G28" i="29" l="1"/>
  <c r="J33" i="29"/>
  <c r="G29" i="29"/>
  <c r="J34" i="29"/>
  <c r="G30" i="29"/>
  <c r="J35" i="29"/>
  <c r="G31" i="29"/>
  <c r="J36" i="29"/>
  <c r="Y36" i="28"/>
  <c r="Z30" i="28"/>
  <c r="Y35" i="28"/>
  <c r="Z29" i="28"/>
  <c r="Y37" i="28"/>
  <c r="Z31" i="28"/>
  <c r="Y38" i="28"/>
  <c r="Z32" i="28"/>
  <c r="Y29" i="28"/>
  <c r="Y31" i="28"/>
  <c r="Y32" i="28"/>
  <c r="Y30" i="28"/>
  <c r="G18" i="25" l="1"/>
  <c r="G17" i="25"/>
  <c r="G16" i="25"/>
  <c r="G15" i="25"/>
  <c r="G14" i="25"/>
  <c r="G13" i="25"/>
  <c r="G12" i="25"/>
  <c r="G11" i="25"/>
  <c r="G10" i="25"/>
  <c r="G9" i="25"/>
  <c r="G8" i="25"/>
  <c r="H67" i="25"/>
  <c r="G67" i="25"/>
  <c r="H66" i="25"/>
  <c r="G66" i="25"/>
  <c r="H65" i="25"/>
  <c r="G65" i="25"/>
  <c r="H64" i="25"/>
  <c r="G64" i="25"/>
  <c r="H63" i="25"/>
  <c r="G63" i="25"/>
  <c r="H62" i="25"/>
  <c r="G62" i="25"/>
  <c r="H61" i="25"/>
  <c r="G61" i="25"/>
  <c r="H60" i="25"/>
  <c r="G60" i="25"/>
  <c r="H59" i="25"/>
  <c r="G59" i="25"/>
  <c r="H58" i="25"/>
  <c r="G58" i="25"/>
  <c r="H57" i="25"/>
  <c r="G57" i="25"/>
  <c r="H56" i="25"/>
  <c r="G56" i="25"/>
  <c r="H55" i="25"/>
  <c r="G55" i="25"/>
  <c r="H54" i="25"/>
  <c r="G54" i="25"/>
  <c r="H53" i="25"/>
  <c r="G53" i="25"/>
  <c r="H52" i="25"/>
  <c r="G52" i="25"/>
  <c r="H51" i="25"/>
  <c r="G51" i="25"/>
  <c r="H50" i="25"/>
  <c r="G50" i="25"/>
  <c r="H49" i="25"/>
  <c r="G49" i="25"/>
  <c r="H48" i="25"/>
  <c r="G48" i="25"/>
  <c r="H47" i="25"/>
  <c r="G47" i="25"/>
  <c r="H46" i="25"/>
  <c r="G46" i="25"/>
  <c r="H45" i="25"/>
  <c r="G45" i="25"/>
  <c r="H44" i="25"/>
  <c r="G44" i="25"/>
  <c r="H43" i="25"/>
  <c r="G43" i="25"/>
  <c r="H42" i="25"/>
  <c r="G42" i="25"/>
  <c r="H41" i="25"/>
  <c r="G41" i="25"/>
  <c r="H40" i="25"/>
  <c r="G40" i="25"/>
  <c r="H39" i="25"/>
  <c r="G39" i="25"/>
  <c r="H38" i="25"/>
  <c r="G38" i="25"/>
  <c r="H37" i="25"/>
  <c r="G37" i="25"/>
  <c r="H36" i="25"/>
  <c r="G36" i="25"/>
  <c r="H35" i="25"/>
  <c r="G35" i="25"/>
  <c r="H34" i="25"/>
  <c r="G34" i="25"/>
  <c r="H33" i="25"/>
  <c r="G33" i="25"/>
  <c r="H32" i="25"/>
  <c r="G32" i="25"/>
  <c r="H31" i="25"/>
  <c r="G31" i="25"/>
  <c r="H30" i="25"/>
  <c r="G30" i="25"/>
  <c r="H29" i="25"/>
  <c r="G29" i="25"/>
  <c r="H28" i="25"/>
  <c r="G28" i="25"/>
  <c r="H27" i="25"/>
  <c r="G27" i="25"/>
  <c r="H26" i="25"/>
  <c r="G26" i="25"/>
  <c r="H25" i="25"/>
  <c r="G25" i="25"/>
  <c r="H24" i="25"/>
  <c r="G24" i="25"/>
  <c r="H23" i="25"/>
  <c r="G23" i="25"/>
  <c r="H22" i="25"/>
  <c r="G22" i="25"/>
  <c r="H21" i="25"/>
  <c r="G21" i="25"/>
  <c r="H20" i="25"/>
  <c r="G20" i="25"/>
  <c r="G19" i="25"/>
  <c r="G68" i="25"/>
  <c r="H68" i="25"/>
  <c r="E68" i="25"/>
  <c r="E67" i="25"/>
  <c r="E66" i="25"/>
  <c r="E65" i="25"/>
  <c r="K149" i="22"/>
  <c r="K148" i="22"/>
  <c r="K147" i="22"/>
  <c r="K146" i="22"/>
  <c r="C27" i="24" l="1"/>
  <c r="X38" i="28" l="1"/>
  <c r="W38" i="28"/>
  <c r="V38" i="28"/>
  <c r="U38" i="28"/>
  <c r="T38" i="28"/>
  <c r="S38" i="28"/>
  <c r="R38" i="28"/>
  <c r="Q38" i="28"/>
  <c r="P38" i="28"/>
  <c r="O38" i="28"/>
  <c r="N38" i="28"/>
  <c r="X37" i="28"/>
  <c r="W37" i="28"/>
  <c r="V37" i="28"/>
  <c r="U37" i="28"/>
  <c r="T37" i="28"/>
  <c r="S37" i="28"/>
  <c r="R37" i="28"/>
  <c r="Q37" i="28"/>
  <c r="P37" i="28"/>
  <c r="O37" i="28"/>
  <c r="N37" i="28"/>
  <c r="X36" i="28"/>
  <c r="W36" i="28"/>
  <c r="V36" i="28"/>
  <c r="U36" i="28"/>
  <c r="T36" i="28"/>
  <c r="S36" i="28"/>
  <c r="R36" i="28"/>
  <c r="Q36" i="28"/>
  <c r="P36" i="28"/>
  <c r="O36" i="28"/>
  <c r="N36" i="28"/>
  <c r="X35" i="28"/>
  <c r="W35" i="28"/>
  <c r="V35" i="28"/>
  <c r="U35" i="28"/>
  <c r="T35" i="28"/>
  <c r="S35" i="28"/>
  <c r="R35" i="28"/>
  <c r="Q35" i="28"/>
  <c r="P35" i="28"/>
  <c r="O35" i="28"/>
  <c r="N35" i="28"/>
  <c r="M38" i="28"/>
  <c r="L38" i="28"/>
  <c r="K38" i="28"/>
  <c r="J38" i="28"/>
  <c r="M37" i="28"/>
  <c r="L37" i="28"/>
  <c r="K37" i="28"/>
  <c r="J37" i="28"/>
  <c r="M36" i="28"/>
  <c r="L36" i="28"/>
  <c r="K36" i="28"/>
  <c r="J36" i="28"/>
  <c r="M35" i="28"/>
  <c r="L35" i="28"/>
  <c r="K35" i="28"/>
  <c r="J35" i="28"/>
  <c r="D27" i="27"/>
  <c r="D12" i="39"/>
  <c r="C8" i="22"/>
  <c r="C9" i="22"/>
  <c r="C10" i="22"/>
  <c r="C11" i="22"/>
  <c r="C12" i="22"/>
  <c r="C13" i="22"/>
  <c r="C14" i="22"/>
  <c r="C15" i="22"/>
  <c r="C16" i="22"/>
  <c r="C17" i="22"/>
  <c r="C18" i="22"/>
  <c r="C19" i="22"/>
  <c r="E19" i="22"/>
  <c r="E18" i="22"/>
  <c r="E17" i="22"/>
  <c r="E16" i="22"/>
  <c r="E15" i="22"/>
  <c r="E14" i="22"/>
  <c r="E13" i="22"/>
  <c r="E12" i="22"/>
  <c r="E11" i="22"/>
  <c r="E10" i="22"/>
  <c r="E9" i="22"/>
  <c r="E8" i="22"/>
  <c r="X45" i="28" l="1"/>
  <c r="AB57" i="28" s="1"/>
  <c r="X44" i="28"/>
  <c r="AB56" i="28" s="1"/>
  <c r="X43" i="28"/>
  <c r="AB55" i="28" s="1"/>
  <c r="X42" i="28"/>
  <c r="AB54" i="28" s="1"/>
  <c r="X32" i="28"/>
  <c r="X31" i="28"/>
  <c r="X30" i="28"/>
  <c r="X29" i="28"/>
  <c r="Y56" i="29"/>
  <c r="Y55" i="29"/>
  <c r="Y54" i="29"/>
  <c r="Y53" i="29"/>
  <c r="E25" i="29"/>
  <c r="I35" i="29" s="1"/>
  <c r="E24" i="29"/>
  <c r="I34" i="29" s="1"/>
  <c r="E23" i="29"/>
  <c r="I33" i="29" s="1"/>
  <c r="E26" i="29"/>
  <c r="I36" i="29" s="1"/>
  <c r="Z58" i="29" l="1"/>
  <c r="AC63" i="29"/>
  <c r="Z59" i="29"/>
  <c r="AC64" i="29"/>
  <c r="Z60" i="29"/>
  <c r="AC65" i="29"/>
  <c r="Z61" i="29"/>
  <c r="AC66" i="29"/>
  <c r="E31" i="29"/>
  <c r="F31" i="29"/>
  <c r="E30" i="29"/>
  <c r="F30" i="29"/>
  <c r="F28" i="29"/>
  <c r="E29" i="29"/>
  <c r="F29" i="29"/>
  <c r="M70" i="29"/>
  <c r="M69" i="29"/>
  <c r="E28" i="29"/>
  <c r="E64" i="25" l="1"/>
  <c r="E63" i="25"/>
  <c r="E62" i="25"/>
  <c r="C26" i="24"/>
  <c r="K145" i="22"/>
  <c r="K144" i="22"/>
  <c r="K143" i="22"/>
  <c r="C25" i="24" l="1"/>
  <c r="D5" i="27"/>
  <c r="D6" i="27"/>
  <c r="D7" i="27"/>
  <c r="D8" i="27"/>
  <c r="D9" i="27"/>
  <c r="D10" i="27"/>
  <c r="D11" i="27"/>
  <c r="D12" i="27"/>
  <c r="D13" i="27"/>
  <c r="D14" i="27"/>
  <c r="D15" i="27"/>
  <c r="D16" i="27"/>
  <c r="D17" i="27"/>
  <c r="D18" i="27"/>
  <c r="D19" i="27"/>
  <c r="D20" i="27"/>
  <c r="D21" i="27"/>
  <c r="D22" i="27"/>
  <c r="D23" i="27"/>
  <c r="D24" i="27"/>
  <c r="D26" i="27"/>
  <c r="I94" i="27"/>
  <c r="E94" i="27"/>
  <c r="AE101" i="11"/>
  <c r="W32" i="28" l="1"/>
  <c r="W31" i="28"/>
  <c r="W30" i="28"/>
  <c r="W29" i="28"/>
  <c r="E25" i="39"/>
  <c r="E24" i="39"/>
  <c r="X56" i="29" l="1"/>
  <c r="AB66" i="29" s="1"/>
  <c r="W56" i="29"/>
  <c r="AA66" i="29" s="1"/>
  <c r="X55" i="29"/>
  <c r="AB65" i="29" s="1"/>
  <c r="W55" i="29"/>
  <c r="AA65" i="29" s="1"/>
  <c r="X54" i="29"/>
  <c r="AB64" i="29" s="1"/>
  <c r="W54" i="29"/>
  <c r="AA64" i="29" s="1"/>
  <c r="X53" i="29"/>
  <c r="AB63" i="29" s="1"/>
  <c r="W53" i="29"/>
  <c r="AA63" i="29" s="1"/>
  <c r="D27" i="39" l="1"/>
  <c r="C26" i="39"/>
  <c r="C25" i="39"/>
  <c r="C24" i="39"/>
  <c r="E61" i="25"/>
  <c r="E60" i="25"/>
  <c r="E59" i="25"/>
  <c r="C27" i="39" l="1"/>
  <c r="E27" i="39" l="1"/>
  <c r="C24" i="24"/>
  <c r="B18" i="39" l="1"/>
  <c r="C18" i="39" s="1"/>
  <c r="B17" i="39"/>
  <c r="F26" i="39"/>
  <c r="F25" i="39"/>
  <c r="F24" i="39"/>
  <c r="C9" i="39"/>
  <c r="D17" i="39" l="1"/>
  <c r="D18" i="39"/>
  <c r="E18" i="39" s="1"/>
  <c r="C17" i="39"/>
  <c r="F27" i="39"/>
  <c r="D6" i="39"/>
  <c r="D7" i="39"/>
  <c r="D8" i="39"/>
  <c r="D9" i="39"/>
  <c r="D10" i="39"/>
  <c r="D11" i="39"/>
  <c r="C10" i="39"/>
  <c r="AG15" i="11"/>
  <c r="V32" i="28"/>
  <c r="U32" i="28"/>
  <c r="T32" i="28"/>
  <c r="S32" i="28"/>
  <c r="R32" i="28"/>
  <c r="Q32" i="28"/>
  <c r="P32" i="28"/>
  <c r="O32" i="28"/>
  <c r="N32" i="28"/>
  <c r="M32" i="28"/>
  <c r="L32" i="28"/>
  <c r="K32" i="28"/>
  <c r="V31" i="28"/>
  <c r="U31" i="28"/>
  <c r="T31" i="28"/>
  <c r="S31" i="28"/>
  <c r="R31" i="28"/>
  <c r="Q31" i="28"/>
  <c r="P31" i="28"/>
  <c r="O31" i="28"/>
  <c r="N31" i="28"/>
  <c r="M31" i="28"/>
  <c r="L31" i="28"/>
  <c r="K31" i="28"/>
  <c r="V30" i="28"/>
  <c r="U30" i="28"/>
  <c r="T30" i="28"/>
  <c r="S30" i="28"/>
  <c r="R30" i="28"/>
  <c r="Q30" i="28"/>
  <c r="P30" i="28"/>
  <c r="O30" i="28"/>
  <c r="N30" i="28"/>
  <c r="M30" i="28"/>
  <c r="L30" i="28"/>
  <c r="K30" i="28"/>
  <c r="V29" i="28"/>
  <c r="U29" i="28"/>
  <c r="T29" i="28"/>
  <c r="S29" i="28"/>
  <c r="R29" i="28"/>
  <c r="Q29" i="28"/>
  <c r="P29" i="28"/>
  <c r="O29" i="28"/>
  <c r="N29" i="28"/>
  <c r="M29" i="28"/>
  <c r="L29" i="28"/>
  <c r="K29" i="28"/>
  <c r="J32" i="28"/>
  <c r="J31" i="28"/>
  <c r="J30" i="28"/>
  <c r="J29" i="28"/>
  <c r="U20" i="28"/>
  <c r="T20" i="28"/>
  <c r="S20" i="28"/>
  <c r="R20" i="28"/>
  <c r="Q20" i="28"/>
  <c r="P20" i="28"/>
  <c r="O20" i="28"/>
  <c r="N20" i="28"/>
  <c r="M20" i="28"/>
  <c r="L20" i="28"/>
  <c r="K20" i="28"/>
  <c r="J20" i="28"/>
  <c r="I20" i="28"/>
  <c r="H20" i="28"/>
  <c r="G20" i="28"/>
  <c r="F20" i="28"/>
  <c r="U19" i="28"/>
  <c r="T19" i="28"/>
  <c r="S19" i="28"/>
  <c r="R19" i="28"/>
  <c r="Q19" i="28"/>
  <c r="P19" i="28"/>
  <c r="O19" i="28"/>
  <c r="N19" i="28"/>
  <c r="M19" i="28"/>
  <c r="L19" i="28"/>
  <c r="K19" i="28"/>
  <c r="J19" i="28"/>
  <c r="I19" i="28"/>
  <c r="H19" i="28"/>
  <c r="G19" i="28"/>
  <c r="F19" i="28"/>
  <c r="U18" i="28"/>
  <c r="T18" i="28"/>
  <c r="S18" i="28"/>
  <c r="R18" i="28"/>
  <c r="Q18" i="28"/>
  <c r="P18" i="28"/>
  <c r="O18" i="28"/>
  <c r="N18" i="28"/>
  <c r="M18" i="28"/>
  <c r="L18" i="28"/>
  <c r="K18" i="28"/>
  <c r="J18" i="28"/>
  <c r="I18" i="28"/>
  <c r="H18" i="28"/>
  <c r="G18" i="28"/>
  <c r="F18" i="28"/>
  <c r="U17" i="28"/>
  <c r="T17" i="28"/>
  <c r="S17" i="28"/>
  <c r="R17" i="28"/>
  <c r="Q17" i="28"/>
  <c r="P17" i="28"/>
  <c r="O17" i="28"/>
  <c r="N17" i="28"/>
  <c r="M17" i="28"/>
  <c r="L17" i="28"/>
  <c r="K17" i="28"/>
  <c r="J17" i="28"/>
  <c r="I17" i="28"/>
  <c r="H17" i="28"/>
  <c r="F17" i="28"/>
  <c r="U14" i="28"/>
  <c r="T14" i="28"/>
  <c r="S14" i="28"/>
  <c r="R14" i="28"/>
  <c r="Q14" i="28"/>
  <c r="P14" i="28"/>
  <c r="O14" i="28"/>
  <c r="N14" i="28"/>
  <c r="M14" i="28"/>
  <c r="L14" i="28"/>
  <c r="K14" i="28"/>
  <c r="J14" i="28"/>
  <c r="I14" i="28"/>
  <c r="H14" i="28"/>
  <c r="G14" i="28"/>
  <c r="F14" i="28"/>
  <c r="E14" i="28"/>
  <c r="D14" i="28"/>
  <c r="C14" i="28"/>
  <c r="U13" i="28"/>
  <c r="T13" i="28"/>
  <c r="S13" i="28"/>
  <c r="R13" i="28"/>
  <c r="Q13" i="28"/>
  <c r="P13" i="28"/>
  <c r="O13" i="28"/>
  <c r="N13" i="28"/>
  <c r="M13" i="28"/>
  <c r="L13" i="28"/>
  <c r="K13" i="28"/>
  <c r="J13" i="28"/>
  <c r="I13" i="28"/>
  <c r="H13" i="28"/>
  <c r="G13" i="28"/>
  <c r="F13" i="28"/>
  <c r="E13" i="28"/>
  <c r="D13" i="28"/>
  <c r="C13" i="28"/>
  <c r="U12" i="28"/>
  <c r="T12" i="28"/>
  <c r="S12" i="28"/>
  <c r="R12" i="28"/>
  <c r="Q12" i="28"/>
  <c r="P12" i="28"/>
  <c r="O12" i="28"/>
  <c r="N12" i="28"/>
  <c r="M12" i="28"/>
  <c r="L12" i="28"/>
  <c r="K12" i="28"/>
  <c r="J12" i="28"/>
  <c r="I12" i="28"/>
  <c r="H12" i="28"/>
  <c r="G12" i="28"/>
  <c r="F12" i="28"/>
  <c r="E12" i="28"/>
  <c r="D12" i="28"/>
  <c r="C12" i="28"/>
  <c r="U11" i="28"/>
  <c r="T11" i="28"/>
  <c r="S11" i="28"/>
  <c r="R11" i="28"/>
  <c r="Q11" i="28"/>
  <c r="P11" i="28"/>
  <c r="O11" i="28"/>
  <c r="N11" i="28"/>
  <c r="M11" i="28"/>
  <c r="L11" i="28"/>
  <c r="K11" i="28"/>
  <c r="J11" i="28"/>
  <c r="I11" i="28"/>
  <c r="H11" i="28"/>
  <c r="G11" i="28"/>
  <c r="F11" i="28"/>
  <c r="E11" i="28"/>
  <c r="D11" i="28"/>
  <c r="C11" i="28"/>
  <c r="Q19" i="29"/>
  <c r="O19" i="29"/>
  <c r="N19" i="29"/>
  <c r="Q18" i="29"/>
  <c r="O18" i="29"/>
  <c r="N18" i="29"/>
  <c r="Q17" i="29"/>
  <c r="O17" i="29"/>
  <c r="N17" i="29"/>
  <c r="Q16" i="29"/>
  <c r="O16" i="29"/>
  <c r="N16" i="29"/>
  <c r="M19" i="29"/>
  <c r="M18" i="29"/>
  <c r="M17" i="29"/>
  <c r="L19" i="29"/>
  <c r="K19" i="29"/>
  <c r="J19" i="29"/>
  <c r="L18" i="29"/>
  <c r="K18" i="29"/>
  <c r="J18" i="29"/>
  <c r="L17" i="29"/>
  <c r="K17" i="29"/>
  <c r="J17" i="29"/>
  <c r="I19" i="29"/>
  <c r="I18" i="29"/>
  <c r="I17" i="29"/>
  <c r="R16" i="29"/>
  <c r="L16" i="29"/>
  <c r="K16" i="29"/>
  <c r="J16" i="29"/>
  <c r="I16" i="29"/>
  <c r="I14" i="29"/>
  <c r="I13" i="29"/>
  <c r="I12" i="29"/>
  <c r="I11" i="29"/>
  <c r="R19" i="29"/>
  <c r="R17" i="29"/>
  <c r="M16" i="29"/>
  <c r="R14" i="29"/>
  <c r="O14" i="29"/>
  <c r="N14" i="29"/>
  <c r="M14" i="29"/>
  <c r="L14" i="29"/>
  <c r="K14" i="29"/>
  <c r="J14" i="29"/>
  <c r="O13" i="29"/>
  <c r="N13" i="29"/>
  <c r="M13" i="29"/>
  <c r="L13" i="29"/>
  <c r="K13" i="29"/>
  <c r="J13" i="29"/>
  <c r="R12" i="29"/>
  <c r="O12" i="29"/>
  <c r="N12" i="29"/>
  <c r="M12" i="29"/>
  <c r="L12" i="29"/>
  <c r="K12" i="29"/>
  <c r="J12" i="29"/>
  <c r="R11" i="29"/>
  <c r="O11" i="29"/>
  <c r="N11" i="29"/>
  <c r="M11" i="29"/>
  <c r="L11" i="29"/>
  <c r="K11" i="29"/>
  <c r="J11" i="29"/>
  <c r="C26" i="29"/>
  <c r="G36" i="29" s="1"/>
  <c r="B26" i="29"/>
  <c r="F36" i="29" s="1"/>
  <c r="T9" i="29"/>
  <c r="S9" i="29"/>
  <c r="D36" i="29" s="1"/>
  <c r="P9" i="29"/>
  <c r="Q14" i="29" s="1"/>
  <c r="C25" i="29"/>
  <c r="B25" i="29"/>
  <c r="T8" i="29"/>
  <c r="E35" i="29" s="1"/>
  <c r="S8" i="29"/>
  <c r="D35" i="29" s="1"/>
  <c r="R8" i="29"/>
  <c r="R18" i="29" s="1"/>
  <c r="P8" i="29"/>
  <c r="Q13" i="29" s="1"/>
  <c r="C24" i="29"/>
  <c r="B24" i="29"/>
  <c r="F34" i="29" s="1"/>
  <c r="T7" i="29"/>
  <c r="E34" i="29" s="1"/>
  <c r="S7" i="29"/>
  <c r="P7" i="29"/>
  <c r="P17" i="29" s="1"/>
  <c r="C23" i="29"/>
  <c r="G33" i="29" s="1"/>
  <c r="B23" i="29"/>
  <c r="T6" i="29"/>
  <c r="S6" i="29"/>
  <c r="D33" i="29" s="1"/>
  <c r="P6" i="29"/>
  <c r="P11" i="29" s="1"/>
  <c r="V53" i="29"/>
  <c r="V54" i="29"/>
  <c r="V55" i="29"/>
  <c r="Z65" i="29" s="1"/>
  <c r="V56" i="29"/>
  <c r="B25" i="27"/>
  <c r="D80" i="27"/>
  <c r="D76" i="27"/>
  <c r="AA101" i="11"/>
  <c r="W101" i="11"/>
  <c r="S101" i="11"/>
  <c r="AA99" i="11"/>
  <c r="S99" i="11"/>
  <c r="O99" i="11"/>
  <c r="K99" i="11"/>
  <c r="G99" i="11"/>
  <c r="C99" i="11"/>
  <c r="W99" i="11"/>
  <c r="R66" i="29"/>
  <c r="Q66" i="29"/>
  <c r="O66" i="29"/>
  <c r="N66" i="29"/>
  <c r="M66" i="29"/>
  <c r="L66" i="29"/>
  <c r="K66" i="29"/>
  <c r="J66" i="29"/>
  <c r="I66" i="29"/>
  <c r="H66" i="29"/>
  <c r="G66" i="29"/>
  <c r="Q65" i="29"/>
  <c r="O65" i="29"/>
  <c r="N65" i="29"/>
  <c r="M65" i="29"/>
  <c r="L65" i="29"/>
  <c r="K65" i="29"/>
  <c r="J65" i="29"/>
  <c r="I65" i="29"/>
  <c r="H65" i="29"/>
  <c r="G65" i="29"/>
  <c r="R64" i="29"/>
  <c r="Q64" i="29"/>
  <c r="O64" i="29"/>
  <c r="N64" i="29"/>
  <c r="M64" i="29"/>
  <c r="L64" i="29"/>
  <c r="K64" i="29"/>
  <c r="J64" i="29"/>
  <c r="I64" i="29"/>
  <c r="H64" i="29"/>
  <c r="G64" i="29"/>
  <c r="R63" i="29"/>
  <c r="Q63" i="29"/>
  <c r="O63" i="29"/>
  <c r="N63" i="29"/>
  <c r="M63" i="29"/>
  <c r="L63" i="29"/>
  <c r="K63" i="29"/>
  <c r="J63" i="29"/>
  <c r="I63" i="29"/>
  <c r="H63" i="29"/>
  <c r="G63" i="29"/>
  <c r="Y61" i="29"/>
  <c r="X61" i="29"/>
  <c r="R61" i="29"/>
  <c r="O61" i="29"/>
  <c r="N61" i="29"/>
  <c r="M61" i="29"/>
  <c r="L61" i="29"/>
  <c r="K61" i="29"/>
  <c r="J61" i="29"/>
  <c r="I61" i="29"/>
  <c r="H61" i="29"/>
  <c r="G61" i="29"/>
  <c r="Y60" i="29"/>
  <c r="X60" i="29"/>
  <c r="O60" i="29"/>
  <c r="N60" i="29"/>
  <c r="M60" i="29"/>
  <c r="L60" i="29"/>
  <c r="K60" i="29"/>
  <c r="J60" i="29"/>
  <c r="I60" i="29"/>
  <c r="H60" i="29"/>
  <c r="G60" i="29"/>
  <c r="Y59" i="29"/>
  <c r="X59" i="29"/>
  <c r="R59" i="29"/>
  <c r="O59" i="29"/>
  <c r="N59" i="29"/>
  <c r="M59" i="29"/>
  <c r="L59" i="29"/>
  <c r="K59" i="29"/>
  <c r="J59" i="29"/>
  <c r="I59" i="29"/>
  <c r="H59" i="29"/>
  <c r="G59" i="29"/>
  <c r="Y58" i="29"/>
  <c r="X58" i="29"/>
  <c r="R58" i="29"/>
  <c r="O58" i="29"/>
  <c r="N58" i="29"/>
  <c r="M58" i="29"/>
  <c r="L58" i="29"/>
  <c r="K58" i="29"/>
  <c r="J58" i="29"/>
  <c r="I58" i="29"/>
  <c r="H58" i="29"/>
  <c r="G58" i="29"/>
  <c r="U56" i="29"/>
  <c r="Y66" i="29" s="1"/>
  <c r="T56" i="29"/>
  <c r="S56" i="29"/>
  <c r="S61" i="29" s="1"/>
  <c r="P56" i="29"/>
  <c r="Q61" i="29" s="1"/>
  <c r="U55" i="29"/>
  <c r="Y65" i="29" s="1"/>
  <c r="T55" i="29"/>
  <c r="X65" i="29" s="1"/>
  <c r="S55" i="29"/>
  <c r="S65" i="29" s="1"/>
  <c r="R55" i="29"/>
  <c r="R60" i="29" s="1"/>
  <c r="P55" i="29"/>
  <c r="P60" i="29" s="1"/>
  <c r="U54" i="29"/>
  <c r="U64" i="29" s="1"/>
  <c r="T54" i="29"/>
  <c r="X64" i="29" s="1"/>
  <c r="S54" i="29"/>
  <c r="S64" i="29" s="1"/>
  <c r="P54" i="29"/>
  <c r="P64" i="29" s="1"/>
  <c r="U53" i="29"/>
  <c r="Y63" i="29" s="1"/>
  <c r="T53" i="29"/>
  <c r="X63" i="29" s="1"/>
  <c r="S53" i="29"/>
  <c r="W63" i="29" s="1"/>
  <c r="P53" i="29"/>
  <c r="Q58" i="29" s="1"/>
  <c r="L84" i="27"/>
  <c r="H84" i="27"/>
  <c r="D84" i="27"/>
  <c r="L80" i="27"/>
  <c r="H80" i="27"/>
  <c r="D72" i="27"/>
  <c r="E28" i="27"/>
  <c r="E27" i="27"/>
  <c r="E26" i="27"/>
  <c r="E24" i="27"/>
  <c r="E23" i="27"/>
  <c r="E22" i="27"/>
  <c r="E21" i="27"/>
  <c r="E18" i="27"/>
  <c r="E16" i="27"/>
  <c r="E15" i="27"/>
  <c r="E14" i="27"/>
  <c r="E12" i="27"/>
  <c r="E11" i="27"/>
  <c r="E10" i="27"/>
  <c r="E9" i="27"/>
  <c r="E8" i="27"/>
  <c r="E7" i="27"/>
  <c r="E6" i="27"/>
  <c r="E5" i="27"/>
  <c r="C8" i="39"/>
  <c r="C7" i="39"/>
  <c r="C6" i="39"/>
  <c r="C5" i="39"/>
  <c r="E58" i="25"/>
  <c r="E57" i="25"/>
  <c r="E56" i="25"/>
  <c r="E55" i="25"/>
  <c r="E54" i="25"/>
  <c r="E53" i="25"/>
  <c r="E52" i="25"/>
  <c r="E51" i="25"/>
  <c r="E50" i="25"/>
  <c r="E49" i="25"/>
  <c r="E48" i="25"/>
  <c r="E47" i="25"/>
  <c r="E46" i="25"/>
  <c r="E45" i="25"/>
  <c r="E44" i="25"/>
  <c r="E43" i="25"/>
  <c r="D43" i="25"/>
  <c r="E42" i="25"/>
  <c r="D42" i="25"/>
  <c r="E41" i="25"/>
  <c r="D41" i="25"/>
  <c r="E40" i="25"/>
  <c r="D40" i="25"/>
  <c r="E39" i="25"/>
  <c r="D39" i="25"/>
  <c r="E38" i="25"/>
  <c r="D38" i="25"/>
  <c r="E37" i="25"/>
  <c r="D37" i="25"/>
  <c r="E36" i="25"/>
  <c r="D36" i="25"/>
  <c r="E35" i="25"/>
  <c r="D35" i="25"/>
  <c r="E34" i="25"/>
  <c r="D34" i="25"/>
  <c r="E33" i="25"/>
  <c r="D33" i="25"/>
  <c r="E32" i="25"/>
  <c r="D32" i="25"/>
  <c r="E31" i="25"/>
  <c r="D31" i="25"/>
  <c r="E30" i="25"/>
  <c r="D30" i="25"/>
  <c r="E29" i="25"/>
  <c r="D29" i="25"/>
  <c r="E28" i="25"/>
  <c r="D28" i="25"/>
  <c r="E27" i="25"/>
  <c r="D27" i="25"/>
  <c r="E26" i="25"/>
  <c r="D26" i="25"/>
  <c r="E25" i="25"/>
  <c r="D25" i="25"/>
  <c r="E24" i="25"/>
  <c r="D24" i="25"/>
  <c r="E23" i="25"/>
  <c r="D23" i="25"/>
  <c r="E22" i="25"/>
  <c r="D22" i="25"/>
  <c r="E21" i="25"/>
  <c r="D21" i="25"/>
  <c r="E20" i="25"/>
  <c r="D20" i="25"/>
  <c r="E19" i="25"/>
  <c r="D19" i="25"/>
  <c r="E18" i="25"/>
  <c r="D18" i="25"/>
  <c r="E17" i="25"/>
  <c r="D17" i="25"/>
  <c r="E16" i="25"/>
  <c r="D16" i="25"/>
  <c r="E15" i="25"/>
  <c r="D15" i="25"/>
  <c r="E14" i="25"/>
  <c r="D14" i="25"/>
  <c r="E13" i="25"/>
  <c r="D13" i="25"/>
  <c r="E12" i="25"/>
  <c r="D12" i="25"/>
  <c r="E11" i="25"/>
  <c r="D11" i="25"/>
  <c r="E10" i="25"/>
  <c r="D10" i="25"/>
  <c r="E9" i="25"/>
  <c r="D9" i="25"/>
  <c r="E8" i="25"/>
  <c r="D8" i="25"/>
  <c r="E7" i="25"/>
  <c r="D7" i="25"/>
  <c r="C23" i="24"/>
  <c r="C22" i="24"/>
  <c r="C21" i="24"/>
  <c r="C20" i="24"/>
  <c r="C19" i="24"/>
  <c r="C18" i="24"/>
  <c r="C17" i="24"/>
  <c r="C16" i="24"/>
  <c r="C15" i="24"/>
  <c r="C14" i="24"/>
  <c r="C13" i="24"/>
  <c r="C12" i="24"/>
  <c r="C11" i="24"/>
  <c r="C10" i="24"/>
  <c r="C9" i="24"/>
  <c r="C8" i="24"/>
  <c r="C7" i="24"/>
  <c r="C6" i="24"/>
  <c r="D151" i="22"/>
  <c r="D123" i="22"/>
  <c r="D138" i="22"/>
  <c r="D110" i="22"/>
  <c r="J151" i="22"/>
  <c r="K164" i="22" s="1"/>
  <c r="K97" i="22"/>
  <c r="D97" i="22"/>
  <c r="K142" i="22"/>
  <c r="K141" i="22"/>
  <c r="K140" i="22"/>
  <c r="K139" i="22"/>
  <c r="J138" i="22"/>
  <c r="K84" i="22"/>
  <c r="D84" i="22"/>
  <c r="K137" i="22"/>
  <c r="K136" i="22"/>
  <c r="K135" i="22"/>
  <c r="K134" i="22"/>
  <c r="K133" i="22"/>
  <c r="K132" i="22"/>
  <c r="K131" i="22"/>
  <c r="K130" i="22"/>
  <c r="K129" i="22"/>
  <c r="K128" i="22"/>
  <c r="K127" i="22"/>
  <c r="K126" i="22"/>
  <c r="C177" i="22"/>
  <c r="D177" i="22" s="1"/>
  <c r="K71" i="22"/>
  <c r="D71" i="22"/>
  <c r="D176" i="22"/>
  <c r="D175" i="22"/>
  <c r="D174" i="22"/>
  <c r="D173" i="22"/>
  <c r="D172" i="22"/>
  <c r="D171" i="22"/>
  <c r="D170" i="22"/>
  <c r="D169" i="22"/>
  <c r="D168" i="22"/>
  <c r="D167" i="22"/>
  <c r="D166" i="22"/>
  <c r="D165" i="22"/>
  <c r="D164" i="22"/>
  <c r="K58" i="22"/>
  <c r="F35" i="29" l="1"/>
  <c r="B30" i="29"/>
  <c r="G35" i="29"/>
  <c r="C30" i="29"/>
  <c r="V64" i="29"/>
  <c r="Z64" i="29"/>
  <c r="W61" i="29"/>
  <c r="Z66" i="29"/>
  <c r="V63" i="29"/>
  <c r="Z63" i="29"/>
  <c r="D29" i="29"/>
  <c r="G34" i="29"/>
  <c r="B33" i="29"/>
  <c r="F33" i="29"/>
  <c r="V66" i="29"/>
  <c r="T14" i="29"/>
  <c r="W59" i="29"/>
  <c r="C31" i="29"/>
  <c r="T11" i="29"/>
  <c r="C29" i="29"/>
  <c r="S16" i="29"/>
  <c r="T19" i="29"/>
  <c r="E36" i="29"/>
  <c r="P19" i="29"/>
  <c r="T16" i="29"/>
  <c r="E33" i="29"/>
  <c r="D30" i="29"/>
  <c r="B20" i="22"/>
  <c r="K138" i="22"/>
  <c r="T66" i="29"/>
  <c r="C34" i="29"/>
  <c r="S17" i="29"/>
  <c r="D34" i="29"/>
  <c r="Q11" i="29"/>
  <c r="S18" i="29"/>
  <c r="P16" i="29"/>
  <c r="P18" i="29"/>
  <c r="C28" i="29"/>
  <c r="D28" i="29"/>
  <c r="C36" i="29"/>
  <c r="D31" i="29"/>
  <c r="P14" i="29"/>
  <c r="T17" i="29"/>
  <c r="S11" i="29"/>
  <c r="E19" i="27"/>
  <c r="E20" i="27"/>
  <c r="B13" i="27"/>
  <c r="E25" i="27"/>
  <c r="B21" i="22"/>
  <c r="C22" i="22" s="1"/>
  <c r="K151" i="22"/>
  <c r="C11" i="39"/>
  <c r="Q12" i="29"/>
  <c r="P13" i="29"/>
  <c r="C33" i="29"/>
  <c r="B34" i="29"/>
  <c r="T18" i="29"/>
  <c r="S19" i="29"/>
  <c r="C35" i="29"/>
  <c r="B36" i="29"/>
  <c r="B35" i="29"/>
  <c r="S12" i="29"/>
  <c r="R13" i="29"/>
  <c r="B28" i="29"/>
  <c r="T12" i="29"/>
  <c r="S13" i="29"/>
  <c r="P12" i="29"/>
  <c r="B29" i="29"/>
  <c r="T13" i="29"/>
  <c r="S14" i="29"/>
  <c r="B31" i="29"/>
  <c r="Q60" i="29"/>
  <c r="P63" i="29"/>
  <c r="P59" i="29"/>
  <c r="W66" i="29"/>
  <c r="P58" i="29"/>
  <c r="S60" i="29"/>
  <c r="V59" i="29"/>
  <c r="T63" i="29"/>
  <c r="T59" i="29"/>
  <c r="W58" i="29"/>
  <c r="W65" i="29"/>
  <c r="T61" i="29"/>
  <c r="S66" i="29"/>
  <c r="U59" i="29"/>
  <c r="U66" i="29"/>
  <c r="T60" i="29"/>
  <c r="S63" i="29"/>
  <c r="T64" i="29"/>
  <c r="U65" i="29"/>
  <c r="T65" i="29"/>
  <c r="S58" i="29"/>
  <c r="V65" i="29"/>
  <c r="U60" i="29"/>
  <c r="T58" i="29"/>
  <c r="Q59" i="29"/>
  <c r="U61" i="29"/>
  <c r="U63" i="29"/>
  <c r="W64" i="29"/>
  <c r="P66" i="29"/>
  <c r="X66" i="29"/>
  <c r="U58" i="29"/>
  <c r="V61" i="29"/>
  <c r="P65" i="29"/>
  <c r="V58" i="29"/>
  <c r="S59" i="29"/>
  <c r="Y64" i="29"/>
  <c r="P61" i="29"/>
  <c r="R65" i="29"/>
  <c r="V60" i="29"/>
  <c r="W60" i="29"/>
  <c r="B17" i="27"/>
  <c r="E17" i="27"/>
  <c r="E13" i="27"/>
  <c r="B5" i="27"/>
  <c r="B9" i="27"/>
  <c r="B21" i="27"/>
  <c r="C20" i="22" l="1"/>
  <c r="E20" i="22"/>
  <c r="C21" i="2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tc={827A2B1E-4142-4DDC-83FE-32103B942BC0}</author>
    <author>tc={73472B3D-E2CA-441A-813C-3D7804CFF3BF}</author>
    <author>tc={99A7CFA5-6661-417D-BB0D-E63CFFFCE737}</author>
    <author>tc={2B02A473-38B5-4896-8DA1-561FBE163613}</author>
    <author>tc={AE2BFD05-4E19-4FD6-8D4B-6FDB538A5027}</author>
    <author>tc={6020133E-453E-41EF-815F-4DA452577AAA}</author>
    <author>tc={0D1AB5A3-5CBC-4612-82C5-C4C050C57D76}</author>
    <author>tc={BE4B2E94-6FDB-4952-AACA-A172A92D5770}</author>
    <author>tc={C2D2F435-DB27-48D9-96EB-8F5474654243}</author>
    <author>tc={6D82BCF6-B493-4724-AD42-34965D835831}</author>
    <author>tc={6A79C260-2A0D-447D-9A69-C418FF24D740}</author>
    <author>tc={D770D7FD-FBA6-418D-B611-4400A3E92EE8}</author>
    <author>tc={4C51FD63-F875-4F71-B598-FFD3D5D9D580}</author>
    <author>tc={351593FA-F306-45EA-835F-EBABE394D362}</author>
    <author>tc={6A4B2D3B-DC28-418A-B4F2-5520A67F465F}</author>
    <author>tc={750148F8-F2B6-46E5-9844-A8E5921DEF8A}</author>
    <author>tc={1A819C1D-4660-4CC5-BBE0-D4050F287639}</author>
    <author>tc={204FD886-370A-4853-A578-01F602B58AB8}</author>
    <author>tc={11587775-61F9-40C4-946F-9F0342609939}</author>
  </authors>
  <commentList>
    <comment ref="K4" authorId="0" shapeId="0" xr:uid="{827A2B1E-4142-4DDC-83FE-32103B942BC0}">
      <text>
        <t>[Threaded comment]
Your version of Excel allows you to read this threaded comment; however, any edits to it will get removed if the file is opened in a newer version of Excel. Learn more: https://go.microsoft.com/fwlink/?linkid=870924
Comment:
    KOSIS</t>
      </text>
    </comment>
    <comment ref="L4" authorId="1" shapeId="0" xr:uid="{73472B3D-E2CA-441A-813C-3D7804CFF3BF}">
      <text>
        <t>[Threaded comment]
Your version of Excel allows you to read this threaded comment; however, any edits to it will get removed if the file is opened in a newer version of Excel. Learn more: https://go.microsoft.com/fwlink/?linkid=870924
Comment:
    *KDI Economic Outlook 2025 1H</t>
      </text>
    </comment>
    <comment ref="M4" authorId="2" shapeId="0" xr:uid="{99A7CFA5-6661-417D-BB0D-E63CFFFCE737}">
      <text>
        <t>[Threaded comment]
Your version of Excel allows you to read this threaded comment; however, any edits to it will get removed if the file is opened in a newer version of Excel. Learn more: https://go.microsoft.com/fwlink/?linkid=870924
Comment:
    *KDI Monthly Economic Trend: September Forecast (Actuals are yet to be updated)</t>
      </text>
    </comment>
    <comment ref="N4" authorId="3" shapeId="0" xr:uid="{2B02A473-38B5-4896-8DA1-561FBE163613}">
      <text>
        <t>[Threaded comment]
Your version of Excel allows you to read this threaded comment; however, any edits to it will get removed if the file is opened in a newer version of Excel. Learn more: https://go.microsoft.com/fwlink/?linkid=870924
Comment:
    *KDI Economic Outlook: 2025 2H</t>
      </text>
    </comment>
    <comment ref="O4" authorId="4" shapeId="0" xr:uid="{AE2BFD05-4E19-4FD6-8D4B-6FDB538A5027}">
      <text>
        <t>[Threaded comment]
Your version of Excel allows you to read this threaded comment; however, any edits to it will get removed if the file is opened in a newer version of Excel. Learn more: https://go.microsoft.com/fwlink/?linkid=870924
Comment:
    *KDI Economic Outlook: 2025 2H</t>
      </text>
    </comment>
    <comment ref="P4" authorId="5" shapeId="0" xr:uid="{6020133E-453E-41EF-815F-4DA452577AAA}">
      <text>
        <t xml:space="preserve">[Threaded comment]
Your version of Excel allows you to read this threaded comment; however, any edits to it will get removed if the file is opened in a newer version of Excel. Learn more: https://go.microsoft.com/fwlink/?linkid=870924
Comment:
    *KDI Economic Outlook 2025 Aug
- The economy is supported by a recovery in domestic consumption alongside the continuation of lagged exports. 
Reply:
    *KDI Economic Outlook 2025 Dec
- The economy is supported by a recovery in domestic consumption alongside the continuation of lagged exports. </t>
      </text>
    </comment>
    <comment ref="K6" authorId="6" shapeId="0" xr:uid="{0D1AB5A3-5CBC-4612-82C5-C4C050C57D76}">
      <text>
        <t>[Threaded comment]
Your version of Excel allows you to read this threaded comment; however, any edits to it will get removed if the file is opened in a newer version of Excel. Learn more: https://go.microsoft.com/fwlink/?linkid=870924
Comment:
    KOSIS</t>
      </text>
    </comment>
    <comment ref="L6" authorId="7" shapeId="0" xr:uid="{BE4B2E94-6FDB-4952-AACA-A172A92D5770}">
      <text>
        <t>[Threaded comment]
Your version of Excel allows you to read this threaded comment; however, any edits to it will get removed if the file is opened in a newer version of Excel. Learn more: https://go.microsoft.com/fwlink/?linkid=870924
Comment:
    *KDI Economic Outlook 2025 1H</t>
      </text>
    </comment>
    <comment ref="M6" authorId="8" shapeId="0" xr:uid="{C2D2F435-DB27-48D9-96EB-8F5474654243}">
      <text>
        <t>[Threaded comment]
Your version of Excel allows you to read this threaded comment; however, any edits to it will get removed if the file is opened in a newer version of Excel. Learn more: https://go.microsoft.com/fwlink/?linkid=870924
Comment:
    *KDI Monthly Economic Trend: September (August YoY)</t>
      </text>
    </comment>
    <comment ref="N6" authorId="9" shapeId="0" xr:uid="{6D82BCF6-B493-4724-AD42-34965D835831}">
      <text>
        <t>[Threaded comment]
Your version of Excel allows you to read this threaded comment; however, any edits to it will get removed if the file is opened in a newer version of Excel. Learn more: https://go.microsoft.com/fwlink/?linkid=870924
Comment:
    *KDI Economic Outlook: 2025 2H</t>
      </text>
    </comment>
    <comment ref="O6" authorId="10" shapeId="0" xr:uid="{6A79C260-2A0D-447D-9A69-C418FF24D740}">
      <text>
        <t>[Threaded comment]
Your version of Excel allows you to read this threaded comment; however, any edits to it will get removed if the file is opened in a newer version of Excel. Learn more: https://go.microsoft.com/fwlink/?linkid=870924
Comment:
    *KDI Economic Outlook: 2025 2H</t>
      </text>
    </comment>
    <comment ref="P6" authorId="11" shapeId="0" xr:uid="{D770D7FD-FBA6-418D-B611-4400A3E92EE8}">
      <text>
        <t xml:space="preserve">[Threaded comment]
Your version of Excel allows you to read this threaded comment; however, any edits to it will get removed if the file is opened in a newer version of Excel. Learn more: https://go.microsoft.com/fwlink/?linkid=870924
Comment:
    *KDI Economic Outlook 2025 Dec
: Consumer prices are expected to increase by approximately 2.0%, broadly in line with the 2.1% level in 2025, as domestic demand recovers while international oil prices decline. </t>
      </text>
    </comment>
    <comment ref="B8" authorId="12" shapeId="0" xr:uid="{4C51FD63-F875-4F71-B598-FFD3D5D9D580}">
      <text>
        <t>[Threaded comment]
Your version of Excel allows you to read this threaded comment; however, any edits to it will get removed if the file is opened in a newer version of Excel. Learn more: https://go.microsoft.com/fwlink/?linkid=870924
Comment:
    *Seasonally Adjusted Figures.</t>
      </text>
    </comment>
    <comment ref="K8" authorId="13" shapeId="0" xr:uid="{351593FA-F306-45EA-835F-EBABE394D362}">
      <text>
        <t>[Threaded comment]
Your version of Excel allows you to read this threaded comment; however, any edits to it will get removed if the file is opened in a newer version of Excel. Learn more: https://go.microsoft.com/fwlink/?linkid=870924
Comment:
    KOSIS</t>
      </text>
    </comment>
    <comment ref="L8" authorId="14" shapeId="0" xr:uid="{6A4B2D3B-DC28-418A-B4F2-5520A67F465F}">
      <text>
        <t>[Threaded comment]
Your version of Excel allows you to read this threaded comment; however, any edits to it will get removed if the file is opened in a newer version of Excel. Learn more: https://go.microsoft.com/fwlink/?linkid=870924
Comment:
    *KDI Economic Outlook 2025 1H</t>
      </text>
    </comment>
    <comment ref="M8" authorId="15" shapeId="0" xr:uid="{750148F8-F2B6-46E5-9844-A8E5921DEF8A}">
      <text>
        <t>[Threaded comment]
Your version of Excel allows you to read this threaded comment; however, any edits to it will get removed if the file is opened in a newer version of Excel. Learn more: https://go.microsoft.com/fwlink/?linkid=870924
Comment:
    *KDI Monthly Economic Trend: September</t>
      </text>
    </comment>
    <comment ref="N8" authorId="16" shapeId="0" xr:uid="{1A819C1D-4660-4CC5-BBE0-D4050F287639}">
      <text>
        <t>[Threaded comment]
Your version of Excel allows you to read this threaded comment; however, any edits to it will get removed if the file is opened in a newer version of Excel. Learn more: https://go.microsoft.com/fwlink/?linkid=870924
Comment:
    *KDI Economic Outlook: 2025 2H</t>
      </text>
    </comment>
    <comment ref="O8" authorId="17" shapeId="0" xr:uid="{204FD886-370A-4853-A578-01F602B58AB8}">
      <text>
        <t>[Threaded comment]
Your version of Excel allows you to read this threaded comment; however, any edits to it will get removed if the file is opened in a newer version of Excel. Learn more: https://go.microsoft.com/fwlink/?linkid=870924
Comment:
    *KDI Economic Outlook: 2025 2H</t>
      </text>
    </comment>
    <comment ref="P8" authorId="18" shapeId="0" xr:uid="{11587775-61F9-40C4-946F-9F0342609939}">
      <text>
        <t>[Threaded comment]
Your version of Excel allows you to read this threaded comment; however, any edits to it will get removed if the file is opened in a newer version of Excel. Learn more: https://go.microsoft.com/fwlink/?linkid=870924
Comment:
    *KDI Economic Outlook 2025 Aug</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tc={DB3A299F-A27B-4B11-8474-80220C3E990F}</author>
  </authors>
  <commentList>
    <comment ref="A47" authorId="0" shapeId="0" xr:uid="{DB3A299F-A27B-4B11-8474-80220C3E990F}">
      <text>
        <t>[Threaded comment]
Your version of Excel allows you to read this threaded comment; however, any edits to it will get removed if the file is opened in a newer version of Excel. Learn more: https://go.microsoft.com/fwlink/?linkid=870924
Comment:
    Projections changed with actuals</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tc={D71609AB-C199-4CEA-9FF1-929A71EA4595}</author>
  </authors>
  <commentList>
    <comment ref="A23" authorId="0" shapeId="0" xr:uid="{D71609AB-C199-4CEA-9FF1-929A71EA4595}">
      <text>
        <t>[Threaded comment]
Your version of Excel allows you to read this threaded comment; however, any edits to it will get removed if the file is opened in a newer version of Excel. Learn more: https://go.microsoft.com/fwlink/?linkid=870924
Comment:
    Projections changed to actuals</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tc={6327A577-90C4-45A8-87C8-8C948C28113B}</author>
    <author>tc={D197CC84-80A2-4EC7-A1FF-6076CE04387E}</author>
  </authors>
  <commentList>
    <comment ref="B29" authorId="0" shapeId="0" xr:uid="{6327A577-90C4-45A8-87C8-8C948C28113B}">
      <text>
        <t>[Threaded comment]
Your version of Excel allows you to read this threaded comment; however, any edits to it will get removed if the file is opened in a newer version of Excel. Learn more: https://go.microsoft.com/fwlink/?linkid=870924
Comment:
    *KDI Monthly Economic Trend: September</t>
      </text>
    </comment>
    <comment ref="B30" authorId="1" shapeId="0" xr:uid="{D197CC84-80A2-4EC7-A1FF-6076CE04387E}">
      <text>
        <t>[Threaded comment]
Your version of Excel allows you to read this threaded comment; however, any edits to it will get removed if the file is opened in a newer version of Excel. Learn more: https://go.microsoft.com/fwlink/?linkid=870924
Comment:
    *KDI Monthly Economic Trend: December</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tc={B0FB5918-EC0F-4C4F-819F-868AB5C76441}</author>
    <author>tc={B0327178-A985-4995-807A-80FDE75282A2}</author>
  </authors>
  <commentList>
    <comment ref="R8" authorId="0" shapeId="0" xr:uid="{B0FB5918-EC0F-4C4F-819F-868AB5C76441}">
      <text>
        <t>[Threaded comment]
Your version of Excel allows you to read this threaded comment; however, any edits to it will get removed if the file is opened in a newer version of Excel. Learn more: https://go.microsoft.com/fwlink/?linkid=870924
Comment:
    *Typo, revised</t>
      </text>
    </comment>
    <comment ref="R55" authorId="1" shapeId="0" xr:uid="{B0327178-A985-4995-807A-80FDE75282A2}">
      <text>
        <t>[Threaded comment]
Your version of Excel allows you to read this threaded comment; however, any edits to it will get removed if the file is opened in a newer version of Excel. Learn more: https://go.microsoft.com/fwlink/?linkid=870924
Comment:
    *Typo, revised</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tc={0C72D7C6-CDBF-4082-8D8D-0608B66FD418}</author>
  </authors>
  <commentList>
    <comment ref="AC86" authorId="0" shapeId="0" xr:uid="{0C72D7C6-CDBF-4082-8D8D-0608B66FD418}">
      <text>
        <t>[Threaded comment]
Your version of Excel allows you to read this threaded comment; however, any edits to it will get removed if the file is opened in a newer version of Excel. Learn more: https://go.microsoft.com/fwlink/?linkid=870924
Comment:
    현대얼터너티브는 현대카드와 현대커머셜이 각각 51%, 49%의 지분을 보유한 현대자동차그룹의 신생 금융사다.</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<sst xmlns="http://schemas.openxmlformats.org/spreadsheetml/2006/main" count="2410" uniqueCount="938">
  <si>
    <t>Mapletree Quarterly Market Research Study</t>
  </si>
  <si>
    <t>Seoul Office</t>
    <phoneticPr fontId="28" type="noConversion"/>
  </si>
  <si>
    <t>Prepared by: Colliers</t>
  </si>
  <si>
    <t>[INSERT PICTURE OF THE MARKET]</t>
  </si>
  <si>
    <t>Seoul Map of Grade A Office Building Submarkets</t>
    <phoneticPr fontId="28" type="noConversion"/>
  </si>
  <si>
    <t>Seoul Map of Grade A Office Building Submarkets_II</t>
    <phoneticPr fontId="28" type="noConversion"/>
  </si>
  <si>
    <t>Supporting Docs 2a: Key Macroeconomic Highlights - For Each Market</t>
  </si>
  <si>
    <t xml:space="preserve">Note from Colliers: Section will be further updated with release of 2Q 2025 data. </t>
    <phoneticPr fontId="28" type="noConversion"/>
  </si>
  <si>
    <t xml:space="preserve">As requested, please find the latest economic highlights for the various markets. </t>
  </si>
  <si>
    <t>Singapore Retail</t>
  </si>
  <si>
    <t>1. GDP Forecast</t>
  </si>
  <si>
    <r>
      <t xml:space="preserve">- </t>
    </r>
    <r>
      <rPr>
        <sz val="10"/>
        <color rgb="FF00B050"/>
        <rFont val="Arial"/>
        <family val="2"/>
      </rPr>
      <t>Based on advance estimates</t>
    </r>
    <r>
      <rPr>
        <sz val="10"/>
        <rFont val="Arial"/>
        <family val="2"/>
      </rPr>
      <t xml:space="preserve">, Singapore’s GDP grew by </t>
    </r>
    <r>
      <rPr>
        <sz val="10"/>
        <color rgb="FF00B050"/>
        <rFont val="Arial"/>
        <family val="2"/>
      </rPr>
      <t>4.1%</t>
    </r>
    <r>
      <rPr>
        <sz val="10"/>
        <rFont val="Arial"/>
        <family val="2"/>
      </rPr>
      <t xml:space="preserve"> in </t>
    </r>
    <r>
      <rPr>
        <sz val="10"/>
        <color rgb="FF00B050"/>
        <rFont val="Arial"/>
        <family val="2"/>
      </rPr>
      <t>3Q 2024</t>
    </r>
    <r>
      <rPr>
        <sz val="10"/>
        <rFont val="Arial"/>
        <family val="2"/>
      </rPr>
      <t xml:space="preserve">, extending the </t>
    </r>
    <r>
      <rPr>
        <sz val="10"/>
        <color rgb="FF00B050"/>
        <rFont val="Arial"/>
        <family val="2"/>
      </rPr>
      <t>2.9%</t>
    </r>
    <r>
      <rPr>
        <sz val="10"/>
        <rFont val="Arial"/>
        <family val="2"/>
      </rPr>
      <t xml:space="preserve"> growth in</t>
    </r>
    <r>
      <rPr>
        <sz val="10"/>
        <color rgb="FF00B050"/>
        <rFont val="Arial"/>
        <family val="2"/>
      </rPr>
      <t xml:space="preserve"> 2Q 2024</t>
    </r>
    <r>
      <rPr>
        <sz val="10"/>
        <rFont val="Arial"/>
        <family val="2"/>
      </rPr>
      <t>.</t>
    </r>
  </si>
  <si>
    <r>
      <t xml:space="preserve">- For whole of 2023, GDP grew by 1.1%. Singapore's economy is forecasted to grow by </t>
    </r>
    <r>
      <rPr>
        <sz val="10"/>
        <color rgb="FF00B050"/>
        <rFont val="Arial"/>
        <family val="2"/>
      </rPr>
      <t>2% to 3%</t>
    </r>
    <r>
      <rPr>
        <sz val="10"/>
        <rFont val="Arial"/>
        <family val="2"/>
      </rPr>
      <t xml:space="preserve"> in 2024.</t>
    </r>
  </si>
  <si>
    <t>2. Retail Sales</t>
  </si>
  <si>
    <r>
      <t xml:space="preserve">- Retail sales (excluding motor vehicles) in </t>
    </r>
    <r>
      <rPr>
        <sz val="10"/>
        <color rgb="FF00B050"/>
        <rFont val="Arial"/>
        <family val="2"/>
      </rPr>
      <t>August 2024 declined 1.5%</t>
    </r>
    <r>
      <rPr>
        <sz val="10"/>
        <rFont val="Arial"/>
        <family val="2"/>
      </rPr>
      <t xml:space="preserve"> yoy, overall retail sales in 2Q 2024 </t>
    </r>
    <r>
      <rPr>
        <sz val="10"/>
        <color rgb="FF00B050"/>
        <rFont val="Arial"/>
        <family val="2"/>
      </rPr>
      <t>down 2.7%</t>
    </r>
    <r>
      <rPr>
        <sz val="10"/>
        <rFont val="Arial"/>
        <family val="2"/>
      </rPr>
      <t xml:space="preserve"> yoy.</t>
    </r>
  </si>
  <si>
    <t>- 2023 vs 2022 an increase of 1.7%.</t>
  </si>
  <si>
    <t>3. Recent notable events</t>
  </si>
  <si>
    <t>- From Jan. 1, 2024, GST rate has increased from 8% to 9%.</t>
  </si>
  <si>
    <r>
      <t xml:space="preserve">- Tourist arrivals recorded </t>
    </r>
    <r>
      <rPr>
        <sz val="10"/>
        <color rgb="FF00B050"/>
        <rFont val="Arial"/>
        <family val="2"/>
      </rPr>
      <t>12.5 million in 9M 2024</t>
    </r>
    <r>
      <rPr>
        <sz val="10"/>
        <rFont val="Arial"/>
        <family val="2"/>
      </rPr>
      <t>, about</t>
    </r>
    <r>
      <rPr>
        <sz val="10"/>
        <color rgb="FF00B050"/>
        <rFont val="Arial"/>
        <family val="2"/>
      </rPr>
      <t xml:space="preserve"> 87.8%</t>
    </r>
    <r>
      <rPr>
        <sz val="10"/>
        <rFont val="Arial"/>
        <family val="2"/>
      </rPr>
      <t xml:space="preserve"> of the same period in 2019 before COVID. The return of mainland visitors in</t>
    </r>
    <r>
      <rPr>
        <sz val="10"/>
        <color rgb="FF00B050"/>
        <rFont val="Arial"/>
        <family val="2"/>
      </rPr>
      <t xml:space="preserve"> 9M 2024</t>
    </r>
    <r>
      <rPr>
        <sz val="10"/>
        <rFont val="Arial"/>
        <family val="2"/>
      </rPr>
      <t xml:space="preserve"> is about 87.1% of the same period in 2019 before COVID.</t>
    </r>
  </si>
  <si>
    <t>- STB forecasts overall international visitor arrivals in 2024 to reach around 15 to 16 million.</t>
  </si>
  <si>
    <t xml:space="preserve">- The retail market continues to face challenges from a tight labour market and rising operating costs. The appreciation of the Singapore dollar, coupled with increased outbound travel, has exerted some pressure on retail sales volume. </t>
  </si>
  <si>
    <t>- However, the strong recovery in tourism and a lineup of major live entertainment events for the remainder of 2024 are expected to boost footfall and demand for retail space.</t>
  </si>
  <si>
    <t>- With relatively limited upcoming supply, retail occupancy levels are likely to remain tight, and rents are expected to continue their upward trend.</t>
  </si>
  <si>
    <t>Singapore Office/BP</t>
  </si>
  <si>
    <t>- As above</t>
  </si>
  <si>
    <t>2. Recent notable events</t>
  </si>
  <si>
    <t xml:space="preserve">- Occupiers were also observed to be more cautious and conservative in capital expenditures, opting to renew their leases rather than relocate. </t>
  </si>
  <si>
    <t>- As a result, islandwide office shadow and secondary spaces have build up and landlords have also been observed to soften their rental expectations and more willing to offer incentives to secure tenants.</t>
  </si>
  <si>
    <t xml:space="preserve">- From 1 December 2024, the new Tripartite Guidelines on Flexible Work Arrangement Requests will require all employers in Singapore to fairly consider formal requests from employees for flexible work arrangements. </t>
  </si>
  <si>
    <t xml:space="preserve">  Firms may right-size according to their work arrangements and corresponding space requirements of their workforce. </t>
  </si>
  <si>
    <t xml:space="preserve">- Qualifying salary for new Employment Pass applicants will increase from S$5,000 to S$5,600 from 1 January 2025. Qualifying salary for new EP applicants in the financial services sectors will increase from S$5,500 to S$6,200. </t>
  </si>
  <si>
    <t xml:space="preserve">  Firms will face stricter regulations into foreign employment and may phase out its employment plans and corresponding space requirements.</t>
  </si>
  <si>
    <t>- The persistent global economic uncertainties alongside high capital cost have seen continued job cuts across various industries. Occupiers remained cautious in new take-up and expansion plans.</t>
  </si>
  <si>
    <t>- Coupled with significant new supply, office vacancies and rental levels in both the CBD and islandwide markets are expected to come under more pressure as competition for tenants intensifies.</t>
  </si>
  <si>
    <t>- However, the trend of flight to quality remains prevalent and newer office developments in prime locations are well poised for growth as economic conditions improve.</t>
  </si>
  <si>
    <t>Hong Kong Retail</t>
  </si>
  <si>
    <t>- Real GDP achieved a YoY growth of 3.3% in the second quarter of 2024 (HKSAR Government)</t>
  </si>
  <si>
    <t>- Hong Kong Government forecast a GDP growth rate of at 3% for 2024</t>
  </si>
  <si>
    <t>- August 2024 Retail Sales decreased by 10.1% YoY. Online sales accounted for 8.1% of the total retail sales.</t>
  </si>
  <si>
    <t xml:space="preserve"> - September 2024 Visitor Arrivals increased by 10.0% YoY. Arrivals for the period July-August 2024 recorded over10 million, and accounted for about 96% of the same period in 2019.</t>
  </si>
  <si>
    <t>- In the 2024-2025 budget, the government has announced plans to organize a range of large-scale events, immersive tours, and other activities aimed at enhancing the attraction for visitors. These initiatives include monthly pyrotechnic and drone shows etc.</t>
  </si>
  <si>
    <t>- In order to strengthen Hong Kong's international status and improve its image, the government has allocated a funding of HKD 1.1 billion to the Tourism Commission and Hong Kong Tourism Board for the purpose of implementing publicity and promotional efforts</t>
  </si>
  <si>
    <t xml:space="preserve">- The shift in consumer behavior among tourists and the strong Hong Kong dollar continue to create challenges for the retail market. </t>
  </si>
  <si>
    <t xml:space="preserve">- Upcoming supplies of three major malls in Kai Tak area, comprising of 1.54 million sq. ft. are expected to exert further pressure on the resilient leasing market and curb down rental growth rates. </t>
  </si>
  <si>
    <t xml:space="preserve">- Despite government's effort to promote leisure and MICE events and stimulate local consumption, retail capital market are expected to continue softening trend in remaining time of the year. </t>
  </si>
  <si>
    <t>China Office</t>
  </si>
  <si>
    <t xml:space="preserve">- In Q2 2024, China's economy grew by 4.7%. </t>
  </si>
  <si>
    <t>- Based on Oxford Economics estimate, Q3 growth has been moderated to 4.6% YoY growth in Q3, down from 4.7% in Q2 despite the assistance of the low base last year.</t>
  </si>
  <si>
    <t xml:space="preserve">- Along with the government initiative to stimulate real estate capital market, People’s Bank of China (PBoC) has lowered Reverse Repo Rate from 1.7% to 1.5%, Mortgage Rate by 0.5% and Reserve Requirement Ratio (RRR) by 0.5% to inject approx. 1 trillion yuan into the market. </t>
  </si>
  <si>
    <t>- The enhanced liquidity are expected to translate into higher consumption and recovery of Chinese growth.</t>
  </si>
  <si>
    <t>- Given the recent government policy measures aimed at stimulating the economy and the deferred impact of cyclical policies, economic conditions are likely to improve starting early next year.</t>
  </si>
  <si>
    <t>Japan Office</t>
  </si>
  <si>
    <t>- Japan's real GDP growth for Q2 2024 showed a recovery, reaching 2.9% (Annualized QoQ)</t>
  </si>
  <si>
    <t>- The government's latest economic outlook projects real GDP growth for FY2024 at approximately 1.3%.</t>
  </si>
  <si>
    <t xml:space="preserve"> - Private consumption is forecast to increase by about 1.2% year-on-year, supported by improving income conditions.</t>
  </si>
  <si>
    <t>- In September 2024, Shigeru Ishiba was elected as the new LDP leader and became Prime Minister in October, forming a new cabinet. The new administration has pledged to largely continue the economic policies of the previous government.</t>
  </si>
  <si>
    <t>- The BoJ maintains its monetary easing stance, continuing its purchases of JGBs, commercial paper, and corporate bonds. The new administration has expressed support for this policy direction.</t>
  </si>
  <si>
    <t>- Japan's tourism sector continues to recover strongly. In August 2024, Japan recorded nearly 2.93 million foreign visitors, a 16.4% increase from August 2019.</t>
  </si>
  <si>
    <t>- The Bank of Japan's Tankan index of sentiment for all enterprises showed improvement in Q3 2024, rising to 14.0 from 12.0 in Q2, indicating growing business confidence despite the political transition.</t>
  </si>
  <si>
    <t>Korea Office</t>
  </si>
  <si>
    <t>- Korea’s economy is projected to grow by around 1.8% in 2026, led by a recovery in domestic demand despite softer exports.</t>
    <phoneticPr fontId="28" type="noConversion"/>
  </si>
  <si>
    <t>- Ongoing trade uncertainty, including trade agreement details and U.S. legal issues, may materially affect Korea’s exports.</t>
    <phoneticPr fontId="28" type="noConversion"/>
  </si>
  <si>
    <t>- Grade A prime office buildings in the core area of Teheran-ro within the GBD continues to remain popular among end-users and financial investors.</t>
    <phoneticPr fontId="28" type="noConversion"/>
  </si>
  <si>
    <t>Headlines</t>
  </si>
  <si>
    <t>Table: Real GDP Growth Rate, Unemployment Rate, Inflation Rate and their Forecast</t>
  </si>
  <si>
    <t>Indicator</t>
  </si>
  <si>
    <t>2017</t>
  </si>
  <si>
    <t>2018</t>
  </si>
  <si>
    <t>2019</t>
  </si>
  <si>
    <t>2020</t>
  </si>
  <si>
    <t>2021</t>
  </si>
  <si>
    <t>2022</t>
  </si>
  <si>
    <t>2023</t>
    <phoneticPr fontId="28" type="noConversion"/>
  </si>
  <si>
    <t>2024</t>
  </si>
  <si>
    <t>1Q 2025</t>
  </si>
  <si>
    <t>2Q 2025</t>
  </si>
  <si>
    <t>3Q 2025</t>
  </si>
  <si>
    <t>4Q 2025</t>
  </si>
  <si>
    <t>2025 (F)</t>
  </si>
  <si>
    <t>2026 (F)</t>
    <phoneticPr fontId="28" type="noConversion"/>
  </si>
  <si>
    <t>Real GDP Growth Rate</t>
  </si>
  <si>
    <t>YoY/QoQ</t>
  </si>
  <si>
    <t>Inflation Rate</t>
  </si>
  <si>
    <t>Unemployment Rate</t>
  </si>
  <si>
    <t>Source(s): KOSIS, Bank Of Korea, National Assembly, KDI</t>
  </si>
  <si>
    <t>Recently, the Korean economy has continued to experience weakness in the construction sector; however, a gradual economic recovery led by consumption has been maintained. GDP increased by 0.2pp quarter-on-quarter, supported by improvements in consumption and exports, and recorded a higher year-on-year growth rate compared to the previous quarter. While domestic demand remains constrained by weak construction investment, the downturn has been partially offset by improving consumption. Facility investment continues to underperform outside the semiconductor sector, and despite an increase in construction orders, construction investment has continued to decline as orders have not translated smoothly into actual development activity. In contrast, private consumption has expanded, supported by declining market interest rates and government support measures, while government consumption has also recorded strong growth, contributing to the overall economic recovery. Employment has shown a moderate increase, mainly in the service sector, which is significantly influenced by government job programs.
In 2026, Korea’s economy is expected to grow by approximately 1.8%, as domestic demand recovers despite a moderation in exports. Consumer prices are projected to rise by around 2.0%, broadly in line with this year’s 2.1%, as recovering domestic demand is offset by declining international oil prices. Employment conditions are expected to improve gradually in line with the domestic recovery; however, due to demographic structural changes, the total number of employed persons is projected to decline compared to this year.</t>
  </si>
  <si>
    <t>Seoul Tourist Arrivals</t>
    <phoneticPr fontId="28" type="noConversion"/>
  </si>
  <si>
    <t>Table: Number of Tourist Arrivals ('000) (Yearly)</t>
  </si>
  <si>
    <t>Tourist Arrivals</t>
  </si>
  <si>
    <t>Year</t>
  </si>
  <si>
    <t>Total visitor</t>
  </si>
  <si>
    <t>YoY Change in All Visitors</t>
  </si>
  <si>
    <t>-</t>
  </si>
  <si>
    <t>2025 (Oct)</t>
    <phoneticPr fontId="28" type="noConversion"/>
  </si>
  <si>
    <t>Source: VisitKorea Data Lab</t>
    <phoneticPr fontId="28" type="noConversion"/>
  </si>
  <si>
    <t>In 2025, South Korea’s inbound tourism continued its recovery trajectory, supported by the normalization of international travel, expanded flight capacity, and the gradual return of key source markets. While Chinese visitor volumes recovered at a slower pace compared to pre-pandemic levels, growth was led by travelers from Japan, Southeast Asia, and North America, driven by favorable exchange rates, improved air connectivity, and sustained interest in Korean culture and entertainment.
The rebound in inbound tourism supported improvements in hotel occupancy and RevPAR, particularly in Seoul and major metropolitan areas, with demand concentrated in leisure-oriented districts and well-connected urban locations. Looking ahead, inbound tourism is expected to remain on a gradual growth path, underpinned by visa facilitation measures, major international events, and continued expansion of low-cost and full-service airline routes.</t>
    <phoneticPr fontId="28" type="noConversion"/>
  </si>
  <si>
    <t>Table: Number of Tourist Arrivals (Monthly)</t>
  </si>
  <si>
    <t>Month</t>
  </si>
  <si>
    <t>Total</t>
  </si>
  <si>
    <t>Source: VisitKorea Data Lab</t>
  </si>
  <si>
    <t>Seoul Retail Sales Trend</t>
    <phoneticPr fontId="28" type="noConversion"/>
  </si>
  <si>
    <t>Table: Retail Sales &amp; Proportion of Online Sales</t>
  </si>
  <si>
    <t>FOREX: respective KRW/USD by month used for caluation</t>
    <phoneticPr fontId="28" type="noConversion"/>
  </si>
  <si>
    <t>Month-Year</t>
  </si>
  <si>
    <t>Monthly Total Retail Sales ($ Billion)</t>
    <phoneticPr fontId="28" type="noConversion"/>
  </si>
  <si>
    <t>Monthly Online Sales ($ Billion)</t>
  </si>
  <si>
    <t>Monthly Physical Sales ($ Billion)</t>
  </si>
  <si>
    <t>Proportion of Online Retail Sales</t>
  </si>
  <si>
    <t>MoM</t>
    <phoneticPr fontId="28" type="noConversion"/>
  </si>
  <si>
    <t>YoY</t>
  </si>
  <si>
    <t>Retail Total</t>
  </si>
  <si>
    <t>Online Retail Sales</t>
  </si>
  <si>
    <t>Physical Retail Sales</t>
  </si>
  <si>
    <t>% of Online Retail Sales</t>
  </si>
  <si>
    <t>In October 2025, South Korea’s online retail sales totaled USD 15.96 billion, accounting for 40.8% of total retail sales (USD 39.10 billion), while physical retail sales reached USD 23.14 billion. On a month-on-month basis, online sales declined by 6.3%, while year-on-year growth remained positive at 8.7%. Overall, the data indicates that online penetration remains structurally high, despite short-term volatility in monthly sales performance.
Year-on-year growth was driven by food services, automobiles and auto-related products, and food and beverages, while culture and leisure services declined. Specialized online malls outperformed general malls in annual growth, and omnichannel platforms recorded stronger year-on-year growth than online-only platforms, despite month-on-month declines across all segments.</t>
  </si>
  <si>
    <t>Source: KOSIS</t>
    <phoneticPr fontId="28" type="noConversion"/>
  </si>
  <si>
    <t>Seoul Retail Sales Index</t>
    <phoneticPr fontId="28" type="noConversion"/>
  </si>
  <si>
    <t>Table: Retail Sales Index</t>
  </si>
  <si>
    <t>Retail Sales Index - YoY % change</t>
  </si>
  <si>
    <t>Consumer spending has shown a gradual improvement, supported by accumulated policy rate cuts and government stimulus measures. Although retail sales growth moderated in October due to the delayed Chuseok holiday, average growth over September–October remained positive. Seasonally adjusted retail sales rose month-on-month, driven by consumption stimulus policies, while increased activity in accommodation, food services, and leisure sectors indicated a recovery in services consumption. With consumer sentiment remaining elevated, the improving consumption trend is expected to continue in the near term despite short-term fluctuations.</t>
    <phoneticPr fontId="28" type="noConversion"/>
  </si>
  <si>
    <t>Seoul Unemployment Rate</t>
    <phoneticPr fontId="28" type="noConversion"/>
  </si>
  <si>
    <t>Table: Unemployment Rate</t>
  </si>
  <si>
    <t>QoQ</t>
    <phoneticPr fontId="28" type="noConversion"/>
  </si>
  <si>
    <t>Employment conditions in South Korea continue to face delays in recovery due to prolonged weakness in the construction and manufacturing sectors. While overall job growth moderated in October, with the increase in employment narrowing from 312,000 to 193,000 month-on-month following a normalization of temporary daily employment, labor market conditions remain uneven. Employment in manufacturing and construction continued to decline, while growth in the services sector moderated as strong gains in health and welfare eased and employment in professional and scientific services turned negative.
Nevertheless, employment trends in consumption-related sectors—including wholesale and retail, accommodation and food services, and arts and entertainment—showed signs of stabilization, reflecting a gradual improvement in consumer-driven demand. Overall employment and labor force participation rates remain below early-year levels, indicating a delayed labor market recovery. Employment rates declined among workers in their 20s and 30s, while those in their 40s and 50s continued to improve, and the unemployment rate remained broadly stable at 2.6%.</t>
    <phoneticPr fontId="28" type="noConversion"/>
  </si>
  <si>
    <t>1Q 2024</t>
  </si>
  <si>
    <t>2Q 2024</t>
  </si>
  <si>
    <t>3Q 2024</t>
  </si>
  <si>
    <t>4Q 2024</t>
  </si>
  <si>
    <t>2Q 2025</t>
    <phoneticPr fontId="28" type="noConversion"/>
  </si>
  <si>
    <t>3Q 2025</t>
    <phoneticPr fontId="28" type="noConversion"/>
  </si>
  <si>
    <t>4Q 2025</t>
    <phoneticPr fontId="28" type="noConversion"/>
  </si>
  <si>
    <t>Source: KOSIS, National Assembly</t>
    <phoneticPr fontId="28" type="noConversion"/>
  </si>
  <si>
    <t>Seoul Office Outlook</t>
    <phoneticPr fontId="28" type="noConversion"/>
  </si>
  <si>
    <t>Outlook</t>
    <phoneticPr fontId="28" type="noConversion"/>
  </si>
  <si>
    <t>The Seoul office market remains resilient entering year-end 2025, supported by firm rental growth, low vacancy, and the absence of new supply in the second half of the year. However, the outlook is increasingly shaped by the contrast between tight near-term market conditions and a substantial supply pipeline from 2026 onward, which will be the key driver of market performance over the medium term.
In 2025, new office supply was limited to approximately 28,437 pyeong, all delivered in the first half of the year. While Q4 2025 recorded negative net absorption, full-year absorption remained marginally positive, with the quarterly reversal reflecting year-end tenant consolidation rather than a structural weakening in demand. The ongoing Flight to Quality continues to support prime assets, sustaining low vacancy in the GBD and YBD, while the CBD faces relatively higher vacancy risk due to tenant relocations and future supply exposure.
From 2026, the market will enter a period of elevated new supply, concentrated in the CBD and GBD and peaking in 2028–2029, which is expected to place upward pressure on vacancy rates and moderate rental growth. Despite these risks, investment demand remains solid, as evidenced by increased transaction activity in Q4 2025 and the growing use of share-deal structures, while cap rates have remained broadly stable. Overall, near-term rental conditions are expected to remain supportive, though medium-term performance will increasingly depend on the market’s ability to absorb the upcoming supply wave.</t>
    <phoneticPr fontId="28" type="noConversion"/>
  </si>
  <si>
    <t>Source: Colliers Database</t>
  </si>
  <si>
    <t>Seoul Grade A Office Building Existing Stock</t>
    <phoneticPr fontId="28" type="noConversion"/>
  </si>
  <si>
    <t>Table: Distribution of existing Grade A Office Building stock by end of current quarter</t>
    <phoneticPr fontId="28" type="noConversion"/>
  </si>
  <si>
    <t>Grade A Office Building Stock</t>
    <phoneticPr fontId="28" type="noConversion"/>
  </si>
  <si>
    <t>Net (pyeong)</t>
    <phoneticPr fontId="28" type="noConversion"/>
  </si>
  <si>
    <t>Gross (x1.25)</t>
  </si>
  <si>
    <t>Completions (New Supply)</t>
    <phoneticPr fontId="28" type="noConversion"/>
  </si>
  <si>
    <t>Check</t>
    <phoneticPr fontId="28" type="noConversion"/>
  </si>
  <si>
    <t>Grade A Office Building Stock at 2021 Q4 (Net)</t>
    <phoneticPr fontId="28" type="noConversion"/>
  </si>
  <si>
    <t>Grade A Office Building Stock at 2022 Q4 (Net)</t>
  </si>
  <si>
    <t>Grade A Office Building Stock at 2023 Q1 (Net)</t>
  </si>
  <si>
    <t>Grade A Office Building Stock at 2023 Q2 (Net)</t>
    <phoneticPr fontId="28" type="noConversion"/>
  </si>
  <si>
    <t>Grade A Office Building Stock at 2023 Q3 (Net)</t>
    <phoneticPr fontId="28" type="noConversion"/>
  </si>
  <si>
    <t>Grade A Office Building Stock at 2023 Q4 (Net)</t>
    <phoneticPr fontId="28" type="noConversion"/>
  </si>
  <si>
    <t>Grade A Office Building Stock at 2024 Q1 (Net)</t>
    <phoneticPr fontId="28" type="noConversion"/>
  </si>
  <si>
    <t>Grade A Office Building Stock at 2024 Q2 (Net)</t>
  </si>
  <si>
    <t>Grade A Office Building Stock at 2024 Q3 (Net)</t>
  </si>
  <si>
    <t>Grade A Office Building Stock at 2024 Q4 (Net)</t>
  </si>
  <si>
    <t>Grade A Office Building Stock at 2025 Q1 (Net)</t>
  </si>
  <si>
    <t>Grade A Office Building Stock at 2025 Q2 (Net)</t>
  </si>
  <si>
    <t>Grade A Office Building Stock at 2025 Q3 (Net)</t>
    <phoneticPr fontId="28" type="noConversion"/>
  </si>
  <si>
    <t>Grade A Office Building Stock at 2025 Q4 (Net)</t>
    <phoneticPr fontId="28" type="noConversion"/>
  </si>
  <si>
    <t>Table: Distribution of Grade A Office Building existing stock by submarkets by end of current quarter</t>
    <phoneticPr fontId="28" type="noConversion"/>
  </si>
  <si>
    <t>Submarket</t>
  </si>
  <si>
    <t>Previous Quarter GFA (pyeong)</t>
    <phoneticPr fontId="28" type="noConversion"/>
  </si>
  <si>
    <t>Pecentage of Stock</t>
  </si>
  <si>
    <t>New Supply (pyeong)</t>
    <phoneticPr fontId="28" type="noConversion"/>
  </si>
  <si>
    <t>Current Quarter GFA (pyeong)</t>
    <phoneticPr fontId="28" type="noConversion"/>
  </si>
  <si>
    <t>Percentage of Stock</t>
  </si>
  <si>
    <t>CBD</t>
    <phoneticPr fontId="28" type="noConversion"/>
  </si>
  <si>
    <t>GBD</t>
    <phoneticPr fontId="28" type="noConversion"/>
  </si>
  <si>
    <t>YBD</t>
    <phoneticPr fontId="28" type="noConversion"/>
  </si>
  <si>
    <t>In 2025, all new office supply in Seoul was completed in the first half of the year, with no new office completions scheduled in the second half of year 2025. A total of 28,436.67 pyeong (GFA basis) of new office space was delivered during the year, comprising two projects in the CBD and one project in the GBD.</t>
    <phoneticPr fontId="28" type="noConversion"/>
  </si>
  <si>
    <t>Seoul Future Supply</t>
    <phoneticPr fontId="23" type="noConversion"/>
  </si>
  <si>
    <t>Table: Future Supply (2024-2026)</t>
    <phoneticPr fontId="23" type="noConversion"/>
  </si>
  <si>
    <t>Table: Future Supply by Submarkets (2025-2032)</t>
    <phoneticPr fontId="28" type="noConversion"/>
  </si>
  <si>
    <t>Unit: pyeong</t>
    <phoneticPr fontId="23" type="noConversion"/>
  </si>
  <si>
    <t>Table: Future Supply Breakdown in next 5 years  (2025-2030)</t>
  </si>
  <si>
    <t>GFA (Million pyeong)</t>
    <phoneticPr fontId="23" type="noConversion"/>
  </si>
  <si>
    <t>GFA (Million pyeong) including  2025 YTD</t>
  </si>
  <si>
    <t>2025F</t>
    <phoneticPr fontId="23" type="noConversion"/>
  </si>
  <si>
    <t>2026F</t>
    <phoneticPr fontId="23" type="noConversion"/>
  </si>
  <si>
    <t>2027F</t>
  </si>
  <si>
    <t>2028F</t>
  </si>
  <si>
    <t>2029F</t>
  </si>
  <si>
    <t>2030F</t>
  </si>
  <si>
    <t>2031F</t>
  </si>
  <si>
    <t>2032F</t>
  </si>
  <si>
    <t>Supply Breakdown
(2025 -2030)</t>
  </si>
  <si>
    <t>Area
(Million pyeong)</t>
  </si>
  <si>
    <t>% of Total Supply</t>
  </si>
  <si>
    <t>CBD</t>
  </si>
  <si>
    <t>GBD</t>
  </si>
  <si>
    <t>YBD</t>
  </si>
  <si>
    <t>Overall</t>
    <phoneticPr fontId="23" type="noConversion"/>
  </si>
  <si>
    <t>Source: Colliers International</t>
    <phoneticPr fontId="23" type="noConversion"/>
  </si>
  <si>
    <t>Table: Future Supply by Submarkets by area (2025-2032)</t>
    <phoneticPr fontId="28" type="noConversion"/>
  </si>
  <si>
    <t>TOTAL</t>
  </si>
  <si>
    <t>Table: Future Supply Breakdown in next 3 years (2026-2028)</t>
  </si>
  <si>
    <t>Supply Breakdown 
(2026 - 2028)</t>
  </si>
  <si>
    <t>Table: Number of Future Projects by Submarkets (2025-2032)</t>
    <phoneticPr fontId="28" type="noConversion"/>
  </si>
  <si>
    <t>Table: Completed Projects</t>
    <phoneticPr fontId="23" type="noConversion"/>
  </si>
  <si>
    <t>Quarter</t>
  </si>
  <si>
    <t>Status</t>
  </si>
  <si>
    <t>Project</t>
  </si>
  <si>
    <t>Developer</t>
  </si>
  <si>
    <t>Location</t>
  </si>
  <si>
    <t>GFA
(Million pyeong)</t>
    <phoneticPr fontId="23" type="noConversion"/>
  </si>
  <si>
    <t>1Q</t>
    <phoneticPr fontId="23" type="noConversion"/>
  </si>
  <si>
    <t>Completed</t>
  </si>
  <si>
    <t>TP Tower</t>
  </si>
  <si>
    <t>Samsung C&amp;T</t>
    <phoneticPr fontId="23" type="noConversion"/>
  </si>
  <si>
    <t>Yeoido</t>
    <phoneticPr fontId="23" type="noConversion"/>
  </si>
  <si>
    <t>S</t>
    <phoneticPr fontId="28" type="noConversion"/>
  </si>
  <si>
    <t>2Q</t>
  </si>
  <si>
    <t>Meritz Bongrae</t>
  </si>
  <si>
    <t>Doosan Construction</t>
  </si>
  <si>
    <t>Bongrae</t>
  </si>
  <si>
    <t>4Q</t>
  </si>
  <si>
    <t>Centrepoint Gangnam</t>
  </si>
  <si>
    <t>Mastern</t>
  </si>
  <si>
    <t>Gangnam</t>
  </si>
  <si>
    <t>1Q</t>
  </si>
  <si>
    <t>Jung-gu Cho-dong (Project 107)</t>
  </si>
  <si>
    <t>MPLUS AMC</t>
  </si>
  <si>
    <t>Junggu</t>
  </si>
  <si>
    <t>2Q</t>
    <phoneticPr fontId="28" type="noConversion"/>
  </si>
  <si>
    <t>Baekam Building (OPUS  459)</t>
  </si>
  <si>
    <t>Taeyoung Group</t>
  </si>
  <si>
    <t>Seocho</t>
  </si>
  <si>
    <t>KT Gwanghwamun Bld (WEST)</t>
  </si>
  <si>
    <t>Gunwon Engineering</t>
  </si>
  <si>
    <t>Table: Proposed Projects Information (2026-2032)</t>
    <phoneticPr fontId="28" type="noConversion"/>
  </si>
  <si>
    <t>Proposed Project</t>
  </si>
  <si>
    <t>Estimated GFA (Million pyeong)</t>
    <phoneticPr fontId="23" type="noConversion"/>
  </si>
  <si>
    <t>Remark (Changes)</t>
    <phoneticPr fontId="23" type="noConversion"/>
  </si>
  <si>
    <t>[Summary]</t>
    <phoneticPr fontId="28" type="noConversion"/>
  </si>
  <si>
    <t>3Q</t>
  </si>
  <si>
    <t>U/C</t>
  </si>
  <si>
    <t>Gongpyeong District 15, 16</t>
    <phoneticPr fontId="23" type="noConversion"/>
  </si>
  <si>
    <t>Hyundai Engineering</t>
    <phoneticPr fontId="23" type="noConversion"/>
  </si>
  <si>
    <t>Jongro-gu</t>
    <phoneticPr fontId="23" type="noConversion"/>
  </si>
  <si>
    <t>CBD</t>
    <phoneticPr fontId="23" type="noConversion"/>
  </si>
  <si>
    <t>Between 2025 and 2032, Seoul’s major business districts are expected to see a substantial pipeline of new office supply, with notable concentration in the CBD and GBD. From 2026 onward, the CBD will lead with steady deliveries, accounting for over half of the new supply in most years and peaking at more than 318,000 pyeong in 2029. The GBD is also set to receive significant injections, particularly in 2028–2031 when more than 436,000 pyeong is forecast, reinforcing its role as a core office hub. The YBD pipeline remains limited, though it will see modest additions in 2028 and from 2031 onwards, including a 25,000-pyeong project in 2032.</t>
    <phoneticPr fontId="28" type="noConversion"/>
  </si>
  <si>
    <t>Euljiro Central Office 3ga 12 District</t>
  </si>
  <si>
    <t>Eastern Development</t>
    <phoneticPr fontId="23" type="noConversion"/>
  </si>
  <si>
    <t>Jung-gu</t>
  </si>
  <si>
    <t>4Q</t>
    <phoneticPr fontId="23" type="noConversion"/>
  </si>
  <si>
    <t>Supyo City Environment Renovation Office Development Project</t>
    <phoneticPr fontId="23" type="noConversion"/>
  </si>
  <si>
    <t>n.a.</t>
    <phoneticPr fontId="23" type="noConversion"/>
  </si>
  <si>
    <t xml:space="preserve">The 3rd Seoul City Hall </t>
    <phoneticPr fontId="23" type="noConversion"/>
  </si>
  <si>
    <t>Seoul Metropolitan Government</t>
    <phoneticPr fontId="23" type="noConversion"/>
  </si>
  <si>
    <t>The Seoul City departments are currently residing in 'Seoul City Square Building' and will move into their new building after completion</t>
  </si>
  <si>
    <t>B/C</t>
  </si>
  <si>
    <t>Eulji Finance Center (Euljiro 3ga 1, 2 District)</t>
    <phoneticPr fontId="23" type="noConversion"/>
  </si>
  <si>
    <t>Euljiro 3ga 6 District</t>
    <phoneticPr fontId="23" type="noConversion"/>
  </si>
  <si>
    <t>2Q</t>
    <phoneticPr fontId="23" type="noConversion"/>
  </si>
  <si>
    <t>Euljiro 3ga 12 District</t>
    <phoneticPr fontId="23" type="noConversion"/>
  </si>
  <si>
    <t>Euljiro 75 PFV</t>
    <phoneticPr fontId="23" type="noConversion"/>
  </si>
  <si>
    <t>Euljiro 3ga 10 District</t>
  </si>
  <si>
    <t>Mugyo-Dadong District 31 (Burim Building)</t>
    <phoneticPr fontId="23" type="noConversion"/>
  </si>
  <si>
    <t>Bongrae-dong 1ga (3 District) &amp; Namdaemunro 5ga Development Project</t>
  </si>
  <si>
    <t>SK D&amp;D</t>
  </si>
  <si>
    <t>Jung-gu</t>
    <phoneticPr fontId="23" type="noConversion"/>
  </si>
  <si>
    <t>U/C</t>
    <phoneticPr fontId="23" type="noConversion"/>
  </si>
  <si>
    <t>KDIC Seocho Development Project</t>
    <phoneticPr fontId="23" type="noConversion"/>
  </si>
  <si>
    <t>MDM, Shinhan, IGIS</t>
    <phoneticPr fontId="23" type="noConversion"/>
  </si>
  <si>
    <t>Seocho-gu</t>
    <phoneticPr fontId="23" type="noConversion"/>
  </si>
  <si>
    <t>GBD</t>
    <phoneticPr fontId="23" type="noConversion"/>
  </si>
  <si>
    <t>B/C</t>
    <phoneticPr fontId="23" type="noConversion"/>
  </si>
  <si>
    <t>Kiwoom Finance Square Redevelopment</t>
    <phoneticPr fontId="23" type="noConversion"/>
  </si>
  <si>
    <t>Kiwoom</t>
    <phoneticPr fontId="23" type="noConversion"/>
  </si>
  <si>
    <t>Yeongdeungpo-gu</t>
    <phoneticPr fontId="23" type="noConversion"/>
  </si>
  <si>
    <t>Sewoon 3-8, 9, 10 Development</t>
    <phoneticPr fontId="23" type="noConversion"/>
  </si>
  <si>
    <t>Myeongdong Area District 1 (Yuanta Securities Building)</t>
  </si>
  <si>
    <t>n.a.</t>
  </si>
  <si>
    <t>Seosomun 10 District</t>
    <phoneticPr fontId="23" type="noConversion"/>
  </si>
  <si>
    <t>JB Group</t>
  </si>
  <si>
    <t>Seosomun 11, 12 District</t>
    <phoneticPr fontId="23" type="noConversion"/>
  </si>
  <si>
    <t>Civic Center PFV</t>
  </si>
  <si>
    <t>Euljiro 3-ga District 9</t>
    <phoneticPr fontId="28" type="noConversion"/>
  </si>
  <si>
    <t>Jung-gu</t>
    <phoneticPr fontId="28" type="noConversion"/>
  </si>
  <si>
    <t>Yeoksam-dong Aster Site</t>
    <phoneticPr fontId="28" type="noConversion"/>
  </si>
  <si>
    <t>KT Estate, Lasalle</t>
  </si>
  <si>
    <t>Gangnam-gu</t>
    <phoneticPr fontId="28" type="noConversion"/>
  </si>
  <si>
    <t>Meritz Fire &amp; Marine Insurance Yeouido Headquarters</t>
    <phoneticPr fontId="28" type="noConversion"/>
  </si>
  <si>
    <t>Shinyoung</t>
    <phoneticPr fontId="28" type="noConversion"/>
  </si>
  <si>
    <t>Yeongdeungpo-gu</t>
  </si>
  <si>
    <t>Seoul Station Seodaemun 1 District</t>
    <phoneticPr fontId="23" type="noConversion"/>
  </si>
  <si>
    <t>Samsung</t>
    <phoneticPr fontId="23" type="noConversion"/>
  </si>
  <si>
    <t>Millenium Hilton Hotel Development Project</t>
    <phoneticPr fontId="23" type="noConversion"/>
  </si>
  <si>
    <t>IGIS (YD427)</t>
    <phoneticPr fontId="23" type="noConversion"/>
  </si>
  <si>
    <t>North Seoul Station Bongraedong 2ga Development Project</t>
    <phoneticPr fontId="23" type="noConversion"/>
  </si>
  <si>
    <t>Hanhwa</t>
    <phoneticPr fontId="23" type="noConversion"/>
  </si>
  <si>
    <t>Metro Tower + Seoulro Tower Development Project</t>
    <phoneticPr fontId="23" type="noConversion"/>
  </si>
  <si>
    <t>IGIS (YD816)</t>
    <phoneticPr fontId="23" type="noConversion"/>
  </si>
  <si>
    <t>2030 YTD</t>
  </si>
  <si>
    <t>2024 4Q</t>
  </si>
  <si>
    <t>Sewoon District 4</t>
    <phoneticPr fontId="23" type="noConversion"/>
  </si>
  <si>
    <t>Seoul Housing (SH)</t>
    <phoneticPr fontId="23" type="noConversion"/>
  </si>
  <si>
    <t>Postponed from Q4 2026; Office, Officetel, Hotel complex</t>
  </si>
  <si>
    <t>Office Supply</t>
  </si>
  <si>
    <t>Sewoon 6-3-3 Development</t>
  </si>
  <si>
    <t>Hanho Construction (Dblock Group)</t>
  </si>
  <si>
    <t>Sewoon 6-4-22, 23 Development</t>
  </si>
  <si>
    <t>Sewoon District 5-1·3 (Daeshin)</t>
    <phoneticPr fontId="28" type="noConversion"/>
  </si>
  <si>
    <t>IGIS ( Sewoon 5 PFV)</t>
  </si>
  <si>
    <t>Office building (Forward purchased by Daeshin Securities)</t>
  </si>
  <si>
    <t>4Q</t>
    <phoneticPr fontId="28" type="noConversion"/>
  </si>
  <si>
    <t>Gangnam Le Méridien Site Mixed-Use</t>
    <phoneticPr fontId="28" type="noConversion"/>
  </si>
  <si>
    <t>Mastern No.116 Gangnam Premier Project Finance Investment</t>
    <phoneticPr fontId="28" type="noConversion"/>
  </si>
  <si>
    <t>Gangnam-gu</t>
    <phoneticPr fontId="23" type="noConversion"/>
  </si>
  <si>
    <t>3Q</t>
    <phoneticPr fontId="28" type="noConversion"/>
  </si>
  <si>
    <t>Shinhan Financial Tower Headquarters</t>
    <phoneticPr fontId="28" type="noConversion"/>
  </si>
  <si>
    <t>Jongno-gu</t>
    <phoneticPr fontId="23" type="noConversion"/>
  </si>
  <si>
    <t>Gongpyeong District 3 (Former Hana Tour Headquarters)</t>
    <phoneticPr fontId="28" type="noConversion"/>
  </si>
  <si>
    <t>Myeong-dong District 2</t>
    <phoneticPr fontId="28" type="noConversion"/>
  </si>
  <si>
    <t>HMG Global Business Center</t>
  </si>
  <si>
    <t>Hyundai Motors Group</t>
  </si>
  <si>
    <t>Postponed from Q4 2029 to Q4 2031</t>
    <phoneticPr fontId="28" type="noConversion"/>
  </si>
  <si>
    <t>Mirae Asset Securities Building (Woori Financial Group)</t>
    <phoneticPr fontId="28" type="noConversion"/>
  </si>
  <si>
    <t>DDIVC (NPS: 98%)</t>
    <phoneticPr fontId="28" type="noConversion"/>
  </si>
  <si>
    <t>Korea Fire Insurance Association Redevelopment</t>
    <phoneticPr fontId="28" type="noConversion"/>
  </si>
  <si>
    <t>Seoul Net Absorption</t>
    <phoneticPr fontId="23" type="noConversion"/>
  </si>
  <si>
    <t>Table: Overall Net Absorption</t>
  </si>
  <si>
    <t>[Overall summary]</t>
    <phoneticPr fontId="23" type="noConversion"/>
  </si>
  <si>
    <t>Yearly Net Absorption
(pyeong)</t>
    <phoneticPr fontId="23" type="noConversion"/>
  </si>
  <si>
    <t>Quarterly Net Absorption
(pyeong)</t>
  </si>
  <si>
    <t>Quarterly Net Absorption
(sq. m.)</t>
  </si>
  <si>
    <t>In Q4 2025, Seoul’s office market recorded negative net absorption of 24,992 pyeong, partially offsetting the strong positive absorption achieved in Q2 and Q3. While 2025 year-to-date absorption remained marginally positive at 11,528 pyeong, the Q4 reversal reflects year-end lease rationalisation and selective tenant consolidation, rather than a broad-based weakening in demand. The quarterly volatility highlights an increasingly uneven absorption pattern, with occupier expansion remaining concentrated in specific sectors and locations, while some tenants deferred or adjusted space commitments toward year-end.</t>
    <phoneticPr fontId="23" type="noConversion"/>
  </si>
  <si>
    <t>[GBD - Projection]</t>
    <phoneticPr fontId="23" type="noConversion"/>
  </si>
  <si>
    <t>Despite the negative citywide absorption in Q4, the GBD continued to demonstrate relative resilience, supported by strong tenant retention and structurally limited Grade A supply. Demand in the district remains underpinned by technology-, AI-, and data-driven occupiers, suggesting that the Q4 decline is largely attributable to CBD-led move-outs and timing effects, rather than a deterioration in GBD fundamentals. As such, the GBD is expected to maintain tight vacancy conditions relative to other submarkets heading into 2026.</t>
    <phoneticPr fontId="23" type="noConversion"/>
  </si>
  <si>
    <t>3Q</t>
    <phoneticPr fontId="23" type="noConversion"/>
  </si>
  <si>
    <t>2025 YTD</t>
  </si>
  <si>
    <t>Table: Net Absorption by Submarkets_Unit: pyeong</t>
    <phoneticPr fontId="23" type="noConversion"/>
  </si>
  <si>
    <t>Net Absorption</t>
    <phoneticPr fontId="23" type="noConversion"/>
  </si>
  <si>
    <t>Net Absorption</t>
  </si>
  <si>
    <t>1Q 2019</t>
  </si>
  <si>
    <t>2Q 2019</t>
  </si>
  <si>
    <t>3Q 2019</t>
  </si>
  <si>
    <t>FY 2019</t>
    <phoneticPr fontId="23" type="noConversion"/>
  </si>
  <si>
    <t>4Q 2019</t>
  </si>
  <si>
    <t>1Q 2020</t>
  </si>
  <si>
    <t>2Q 2020</t>
  </si>
  <si>
    <t>3Q 2020</t>
  </si>
  <si>
    <t>FY 2020</t>
    <phoneticPr fontId="23" type="noConversion"/>
  </si>
  <si>
    <t>4Q 2020</t>
  </si>
  <si>
    <t>1Q 2021</t>
  </si>
  <si>
    <t>2Q 2021</t>
  </si>
  <si>
    <t>3Q 2021</t>
  </si>
  <si>
    <t>FY 2021</t>
  </si>
  <si>
    <t>4Q 2021</t>
  </si>
  <si>
    <t>1Q 2022</t>
  </si>
  <si>
    <t>2Q 2022</t>
  </si>
  <si>
    <t>3Q 2022</t>
  </si>
  <si>
    <t>FY 2022</t>
  </si>
  <si>
    <t>4Q 2022</t>
  </si>
  <si>
    <t>1Q 2023</t>
  </si>
  <si>
    <t>2Q 2023</t>
  </si>
  <si>
    <t>3Q 2023</t>
  </si>
  <si>
    <t>FY 2023</t>
    <phoneticPr fontId="23" type="noConversion"/>
  </si>
  <si>
    <t>4Q 2023</t>
  </si>
  <si>
    <t>FY 2024</t>
    <phoneticPr fontId="23" type="noConversion"/>
  </si>
  <si>
    <t>FY 2025</t>
  </si>
  <si>
    <t>1Q 2026</t>
  </si>
  <si>
    <t>2Q 2026</t>
  </si>
  <si>
    <t>3Q 2026</t>
  </si>
  <si>
    <t>4Q 2026</t>
  </si>
  <si>
    <t>1Q 2027</t>
  </si>
  <si>
    <t>2Q 2027</t>
  </si>
  <si>
    <t>3Q 2027</t>
  </si>
  <si>
    <t>4Q 2027</t>
  </si>
  <si>
    <t>1Q 2028</t>
  </si>
  <si>
    <t>2Q 2028</t>
  </si>
  <si>
    <t>3Q 2028</t>
  </si>
  <si>
    <t>4Q 2028</t>
  </si>
  <si>
    <t>1Q 2029</t>
  </si>
  <si>
    <t>2Q 2029</t>
  </si>
  <si>
    <t>3Q 2029</t>
  </si>
  <si>
    <t>4Q 2029</t>
  </si>
  <si>
    <t>1Q 2030</t>
  </si>
  <si>
    <t>2Q 2030</t>
  </si>
  <si>
    <t>3Q 2030</t>
  </si>
  <si>
    <t>4Q 2030</t>
  </si>
  <si>
    <t>YBD</t>
    <phoneticPr fontId="23" type="noConversion"/>
  </si>
  <si>
    <t xml:space="preserve">                                  </t>
  </si>
  <si>
    <t>Seoul Grade A Office Building Rents</t>
    <phoneticPr fontId="23" type="noConversion"/>
  </si>
  <si>
    <t>Table: Major Submarket Rents</t>
  </si>
  <si>
    <t>Unit: KRW/pyeong/month</t>
    <phoneticPr fontId="23" type="noConversion"/>
  </si>
  <si>
    <t>Q1 2019</t>
  </si>
  <si>
    <t>Q2 2019</t>
  </si>
  <si>
    <t>Q3 2019</t>
  </si>
  <si>
    <t>Q4 2019</t>
  </si>
  <si>
    <t>Q1 2020</t>
  </si>
  <si>
    <t>Q2 2020</t>
  </si>
  <si>
    <t>Q3 2020</t>
  </si>
  <si>
    <t>Q4 2020</t>
  </si>
  <si>
    <t>Q1 2021</t>
  </si>
  <si>
    <t>Q2 2021</t>
  </si>
  <si>
    <t>Q3 2021</t>
  </si>
  <si>
    <t>Q4 2021</t>
  </si>
  <si>
    <t>Q1 2022</t>
  </si>
  <si>
    <t>Q2 2022</t>
  </si>
  <si>
    <t>Q3 2022</t>
  </si>
  <si>
    <t>Q4 2022</t>
    <phoneticPr fontId="23" type="noConversion"/>
  </si>
  <si>
    <t>Q1 2023</t>
    <phoneticPr fontId="23" type="noConversion"/>
  </si>
  <si>
    <t>Q2 2023</t>
    <phoneticPr fontId="23" type="noConversion"/>
  </si>
  <si>
    <t>Q3 2023</t>
    <phoneticPr fontId="23" type="noConversion"/>
  </si>
  <si>
    <t>Seoul Overall Rent</t>
    <phoneticPr fontId="23" type="noConversion"/>
  </si>
  <si>
    <t>CBD (QoQ)</t>
    <phoneticPr fontId="23" type="noConversion"/>
  </si>
  <si>
    <t>GBD (QoQ)</t>
    <phoneticPr fontId="23" type="noConversion"/>
  </si>
  <si>
    <t>YBD (QoQ)</t>
    <phoneticPr fontId="23" type="noConversion"/>
  </si>
  <si>
    <t>Seoul Overall (QoQ)</t>
    <phoneticPr fontId="23" type="noConversion"/>
  </si>
  <si>
    <t>CBD (YoY)</t>
    <phoneticPr fontId="23" type="noConversion"/>
  </si>
  <si>
    <t>GBD (YoY)</t>
    <phoneticPr fontId="23" type="noConversion"/>
  </si>
  <si>
    <t>YBD (YoY)</t>
    <phoneticPr fontId="23" type="noConversion"/>
  </si>
  <si>
    <t>Seoul Overall (YoY)</t>
    <phoneticPr fontId="23" type="noConversion"/>
  </si>
  <si>
    <t>Q4 2023</t>
    <phoneticPr fontId="23" type="noConversion"/>
  </si>
  <si>
    <t>Q1 2024</t>
  </si>
  <si>
    <t>Q2 2024</t>
  </si>
  <si>
    <t>Q3 2024</t>
  </si>
  <si>
    <t>Q4 2024</t>
  </si>
  <si>
    <t>Q1 2025</t>
  </si>
  <si>
    <t>Q2 2025</t>
  </si>
  <si>
    <t>Q3 2025</t>
    <phoneticPr fontId="23" type="noConversion"/>
  </si>
  <si>
    <t>Q4 2025</t>
    <phoneticPr fontId="23" type="noConversion"/>
  </si>
  <si>
    <t>[Overall Summary]</t>
    <phoneticPr fontId="23" type="noConversion"/>
  </si>
  <si>
    <t>In Q4 2025, Seoul’s overall Grade A office rent rose to KRW 129,273 per pyeong per month, marking a 1.2% quarter-on-quarter increase and a 5.9% year-on-year growth. Compared to the steady momentum observed in Q3, rental growth in Q4 reflected a year-end consolidation of leasing demand, with limited new Grade A supply entering the market and occupier decisions increasingly focused on securing long-term space ahead of anticipated cost pressures. Landlords of prime assets were therefore able to translate tight availability into incremental rental uplifts, particularly in well-located, institutionally managed buildings. While macroeconomic uncertainty continued to temper broader office demand, the imbalance between constrained supply and sustained demand for core Grade A space supported rental stability and reinforced the market’s defensive characteristics entering 2026.</t>
    <phoneticPr fontId="23" type="noConversion"/>
  </si>
  <si>
    <t>[GBD]</t>
    <phoneticPr fontId="23" type="noConversion"/>
  </si>
  <si>
    <t>In Q4 2025, GBD headline office rents increased to KRW 136,979 per pyeong per month, maintaining the highest rental level among Seoul’s major business districts. Rents rose by 1.4% quarter-on-quarter, while year-on-year growth moderated to 6.3%, reflecting a normalization of leasing activity toward year-end. Despite this moderation, GBD continued to outperform the broader Seoul market, supported by limited Grade A supply, high tenant retention, and sustained demand from technology and multinational occupiers, reinforcing its position as Seoul’s leading office submarket heading into 2026.</t>
    <phoneticPr fontId="23" type="noConversion"/>
  </si>
  <si>
    <t>Q3 2025</t>
  </si>
  <si>
    <t>Q4 2025</t>
  </si>
  <si>
    <t>Q1 2026</t>
  </si>
  <si>
    <t>Q2 2026</t>
  </si>
  <si>
    <t>Q3 2026</t>
  </si>
  <si>
    <t>Q4 2026</t>
  </si>
  <si>
    <t>Seoul Vacancy Rate</t>
    <phoneticPr fontId="23" type="noConversion"/>
  </si>
  <si>
    <t>▼</t>
    <phoneticPr fontId="23" type="noConversion"/>
  </si>
  <si>
    <t>Table: Major Submarket Vacancy Rates</t>
    <phoneticPr fontId="23" type="noConversion"/>
  </si>
  <si>
    <t>[Vacancy Rate]</t>
    <phoneticPr fontId="23" type="noConversion"/>
  </si>
  <si>
    <t>Q1 2011</t>
  </si>
  <si>
    <t>Q2 2011</t>
  </si>
  <si>
    <t>Q3 2011</t>
  </si>
  <si>
    <t>Q4 2011</t>
  </si>
  <si>
    <t>Q1 2012</t>
  </si>
  <si>
    <t>In Q2 2025, the office absorption rate turned positive, indicating a recovery in demand compared to the negative absorption recorded in the previous quarter. Leasing demand increased primarily in newly completed buildings, with several relocations and expansions by firms in finance, law, and tax services across major business districts. In the CBD, the newly completed '107 Building' saw SK Telecom’s task force lease three floors and Samsung Fire &amp; Marine Insurance lease 2.5 floors, contributing to the uptick. In YBD, Fubon Bank opened its first branch in IFC 2, and Kakao Pay Securities relocated its office from Pangyo to Yeouido Finance Center.</t>
    <phoneticPr fontId="23" type="noConversion"/>
  </si>
  <si>
    <t>Q3 2012</t>
  </si>
  <si>
    <t>Q4 2012</t>
  </si>
  <si>
    <t>Q1 2013</t>
  </si>
  <si>
    <t>Q2 2013</t>
  </si>
  <si>
    <t>Q3 2013</t>
  </si>
  <si>
    <t>Q4 2013</t>
  </si>
  <si>
    <t>Q1 2014</t>
  </si>
  <si>
    <t>Q2 2014</t>
  </si>
  <si>
    <t>Q3 2014</t>
  </si>
  <si>
    <t>Q4 2014</t>
  </si>
  <si>
    <t>Q1 2015</t>
  </si>
  <si>
    <t>Q2 2015</t>
  </si>
  <si>
    <t>Q3 2015</t>
  </si>
  <si>
    <t>Q4 2015</t>
  </si>
  <si>
    <t>Seoul Overall Vacancy</t>
    <phoneticPr fontId="23" type="noConversion"/>
  </si>
  <si>
    <t>QoQ Change</t>
    <phoneticPr fontId="23" type="noConversion"/>
  </si>
  <si>
    <t>Q2 2012</t>
  </si>
  <si>
    <t>YoY Change</t>
    <phoneticPr fontId="23" type="noConversion"/>
  </si>
  <si>
    <t xml:space="preserve"> In the GBD, the newly completed OPUS 459 (Baekam Building) secured leases from multiple companies, including tech firms. Additionally, Viva Republica and its affiliate Toss Income signed leases in Gangnam Finance Center and POSCO Tower Yeoksam, demonstrating stable demand for Grade A office space in the GBD.</t>
    <phoneticPr fontId="23" type="noConversion"/>
  </si>
  <si>
    <t>Q1 2023</t>
  </si>
  <si>
    <t>Q2 2023</t>
  </si>
  <si>
    <t>https://www.segye.com/newsView/20250929511083?OutUrl=naver</t>
    <phoneticPr fontId="28" type="noConversion"/>
  </si>
  <si>
    <t>In Q4 2025, Seoul’s overall Grade A office vacancy rate edged up to 3.3% (+0.3pp QoQ), reflecting mild normalization after Q3’s tightening. The CBD vacancy increased to 4.8%, while the GBD and YBD remained tight at 1.8% and 2.7%, respectively, supported by limited near-term supply. Looking ahead, vacancy pressure is expected to rise from 2026, with concentrated supply in the CBD and other submarkets potentially pushing vacancy rates above 10% by 2029, subject to absorption and project delivery timing.</t>
    <phoneticPr fontId="23" type="noConversion"/>
  </si>
  <si>
    <t>In Q4 2025, GBD vacancy remained tight at 1.8%, reflecting strong tenant retention and sustained demand for prime Grade A offices. With limited near-term supply, vacancy is expected to remain structurally low in the short term, reinforcing GBD’s resilience despite rising citywide vacancy pressures expected from 2026 onward.</t>
    <phoneticPr fontId="23" type="noConversion"/>
  </si>
  <si>
    <t>Seoul Grade A Office Building Capital Values &amp; Yields</t>
    <phoneticPr fontId="23" type="noConversion"/>
  </si>
  <si>
    <t>Table: Overall Capital Values and Yields</t>
  </si>
  <si>
    <t>Overall</t>
  </si>
  <si>
    <t>Q1</t>
  </si>
  <si>
    <t>Q2</t>
  </si>
  <si>
    <t>Q3</t>
  </si>
  <si>
    <t>Q4</t>
    <phoneticPr fontId="23" type="noConversion"/>
  </si>
  <si>
    <t>Q4</t>
  </si>
  <si>
    <t>In Q4 2025, Seoul’s Grade A office investment market recorded a quarter-on-quarter increase in transaction value, led by the CBD and GBD as investor confidence improved. Share deals accounted for 4 of 9 transactions, reflecting continued preference for equity-based structures. However, the higher share of share deals—around 50% of activity—placed downward pressure on capital values, as these transactions are typically priced below asset deals due to their exemption from the 4.6% acquisition tax. Despite this, cap rates remained broadly stable, indicating sustained demand for prime, income-secure assets.</t>
  </si>
  <si>
    <t>Capital Value (KRW/pyeong (GFA))</t>
    <phoneticPr fontId="23" type="noConversion"/>
  </si>
  <si>
    <t>Quarterly</t>
  </si>
  <si>
    <t>Yearly</t>
  </si>
  <si>
    <t>Net Yield (%)</t>
    <phoneticPr fontId="23" type="noConversion"/>
  </si>
  <si>
    <t xml:space="preserve"> </t>
    <phoneticPr fontId="23" type="noConversion"/>
  </si>
  <si>
    <t>In Q4 2025, GBD recorded a quarter-on-quarter increase in Grade A office transaction value, driven by renewed investor activity in prime, stabilized assets. Share deals formed a notable portion of transactions, reflecting continued use of flexible acquisition structures. Despite higher activity, cap rates remained broadly stable, reinforcing GBD’s position as a defensive and liquid office investment market heading into 2026.</t>
  </si>
  <si>
    <t>Table: Capital Values KRW/pyeong (GFA) by Submarkets</t>
    <phoneticPr fontId="23" type="noConversion"/>
  </si>
  <si>
    <t>Capital Value KRW/pyeong (GFA)</t>
    <phoneticPr fontId="23" type="noConversion"/>
  </si>
  <si>
    <t>Table: Net Yields (%) by Submarkets</t>
    <phoneticPr fontId="23" type="noConversion"/>
  </si>
  <si>
    <t>Q3</t>
    <phoneticPr fontId="23" type="noConversion"/>
  </si>
  <si>
    <t>Seoul Selected Transactions</t>
    <phoneticPr fontId="0" type="noConversion"/>
  </si>
  <si>
    <t>Table: Major Grade A Office Building Rents</t>
    <phoneticPr fontId="0" type="noConversion"/>
  </si>
  <si>
    <t>Details</t>
  </si>
  <si>
    <t>Property</t>
  </si>
  <si>
    <t>Location &amp; Submarket</t>
  </si>
  <si>
    <t>Completion Date</t>
    <phoneticPr fontId="0" type="noConversion"/>
  </si>
  <si>
    <t>Age</t>
    <phoneticPr fontId="0" type="noConversion"/>
  </si>
  <si>
    <t>NLA (pyeong)</t>
    <phoneticPr fontId="0" type="noConversion"/>
  </si>
  <si>
    <t>NLA (sqm)</t>
    <phoneticPr fontId="0" type="noConversion"/>
  </si>
  <si>
    <t>sq. m. / py</t>
  </si>
  <si>
    <t>NLA (sf)</t>
    <phoneticPr fontId="0" type="noConversion"/>
  </si>
  <si>
    <t>Transaction Price (USD)</t>
    <phoneticPr fontId="0" type="noConversion"/>
  </si>
  <si>
    <t>Transaction Price (Billion KRW)</t>
    <phoneticPr fontId="0" type="noConversion"/>
  </si>
  <si>
    <t>Transaction Price (Million SGD)</t>
  </si>
  <si>
    <t>Unit Rate (USD/pyeong)</t>
    <phoneticPr fontId="0" type="noConversion"/>
  </si>
  <si>
    <t>Unit Rate (KRW/pyeong)</t>
    <phoneticPr fontId="0" type="noConversion"/>
  </si>
  <si>
    <t>Unit Rate (KRW/sqm)</t>
    <phoneticPr fontId="0" type="noConversion"/>
  </si>
  <si>
    <t>Unit Rate (KRW Million/pyeong)</t>
    <phoneticPr fontId="0" type="noConversion"/>
  </si>
  <si>
    <t>Unit Rate (USD/sqm)</t>
    <phoneticPr fontId="0" type="noConversion"/>
  </si>
  <si>
    <t>Unit Rate (USD/sf)</t>
    <phoneticPr fontId="0" type="noConversion"/>
  </si>
  <si>
    <t>Net Yield</t>
  </si>
  <si>
    <t>Date</t>
    <phoneticPr fontId="0" type="noConversion"/>
  </si>
  <si>
    <t>Type</t>
  </si>
  <si>
    <t>Tenure</t>
  </si>
  <si>
    <t>Occupancy</t>
  </si>
  <si>
    <t>Buyer</t>
  </si>
  <si>
    <t>Seller</t>
  </si>
  <si>
    <t>Remarks</t>
  </si>
  <si>
    <t>Source</t>
    <phoneticPr fontId="28" type="noConversion"/>
  </si>
  <si>
    <t>SK Seorin Building</t>
  </si>
  <si>
    <t>Jongro</t>
  </si>
  <si>
    <t>na</t>
  </si>
  <si>
    <t>07 2022</t>
  </si>
  <si>
    <t>Office</t>
  </si>
  <si>
    <t>Freehold</t>
  </si>
  <si>
    <t>SK REITs</t>
  </si>
  <si>
    <t>Hana AIM</t>
  </si>
  <si>
    <t>SK REITs acquired the Seorin Building in a similar fashion it acquired Jongro Tower in CBD. SK REITs will become one the largest domestic public REITs with acquiring the building.</t>
  </si>
  <si>
    <t>Alpharium Tower 1, 2</t>
  </si>
  <si>
    <t>Pangyo</t>
  </si>
  <si>
    <t>Others (BBD)</t>
  </si>
  <si>
    <t>02 2022</t>
  </si>
  <si>
    <t>ARA Korea, KB Securities &amp; Esk Veritas AM</t>
  </si>
  <si>
    <t>Alpharium Tower was sold at the highest value per area in the Bundang area. Alpharium Tower earned KRW 500 Billion in 5 years by selling the Alpharium Tower. It was sold at KRW 1,068 / Mn sqf.</t>
  </si>
  <si>
    <t>Emart Seongsu-dong HQ</t>
  </si>
  <si>
    <t>Seongsu</t>
  </si>
  <si>
    <t>Others</t>
  </si>
  <si>
    <t>03 2022</t>
  </si>
  <si>
    <t>Mirae Asset &amp; Krafton</t>
  </si>
  <si>
    <t>E-mart (Shinsege)</t>
  </si>
  <si>
    <t>E-mart (Shinsege) sold its E-mart Seoungdu-dong HQ building and acquired more than KRW 1Trillion. E-mart (Shinsege) is currently liquidating its assets to increase its investments in e-commerce.</t>
  </si>
  <si>
    <t>SK U Tower (SK Hynix HQ)</t>
  </si>
  <si>
    <t>Bundang</t>
  </si>
  <si>
    <t>06 2022</t>
  </si>
  <si>
    <t>SK Hynix</t>
  </si>
  <si>
    <t>SK REITs is a sponsor REITs of SK Group which liquidates real estates owned by SK Group. SK REITs acquired the SK U Tower, landmark of Bundang, to expand its REITs portfolio.</t>
  </si>
  <si>
    <t>Shinhan Investment Building</t>
  </si>
  <si>
    <t>Yeoido</t>
  </si>
  <si>
    <t>09 2022</t>
  </si>
  <si>
    <t>IGIS &amp; KKR</t>
  </si>
  <si>
    <t>Shinhan Asset Management</t>
  </si>
  <si>
    <t>Shinhan Asset Management decided to sell its building at the peak of the real estate market. Shinhan Asset Management earned more than KRW 400 Billion with this deal, and the capital gain will be booked in Q3's earnings. Shinhan Investment, the existing tenant for the building, will stay for the next two years and move to  TP Tower (YBD).</t>
  </si>
  <si>
    <t>Jongro Tower</t>
  </si>
  <si>
    <t>10 2022</t>
  </si>
  <si>
    <t>KB Asset Management</t>
  </si>
  <si>
    <t>SK REITs acquired the Jongro Tower to build its 'Green Campus' in CBD. The acquired value was KRW 100 Billion higher than the market projection. Jongro Tower will be filled out with SK subsidiaries such as SK E&amp;S, SK Energy, SK On, SK Geocentric, SK Forestry, and SK Ecoplant.</t>
  </si>
  <si>
    <t>Samhwan Building</t>
  </si>
  <si>
    <t>12 2022</t>
  </si>
  <si>
    <t>Keppel Asset Management</t>
  </si>
  <si>
    <t>Samsung Life Insurance Daechi Tower</t>
  </si>
  <si>
    <t>Daechi</t>
  </si>
  <si>
    <t>11 2022</t>
  </si>
  <si>
    <t>Samsung SRA</t>
  </si>
  <si>
    <t>Samsung Life Insurance</t>
  </si>
  <si>
    <t>Samsung FN REITs (Samsung Life Insurance &amp; Samsung General Insurance) acquired 'Samsung Life Insurance Daechi Tower', and is looking forward to launch its first dividend product. The 'Samsung Life Insurance Daechi Tower' was sold at a 'Sales and Lease Back' method. Samsung Life Insurance has signed a contract for 5 years with a yearly rent of KRW 12.6 billion. Samsung FN REITs is expected to go public in 1H 2023.</t>
  </si>
  <si>
    <t>Hanhwa General Insurance Building</t>
  </si>
  <si>
    <t>Hanhwa Asset Management</t>
  </si>
  <si>
    <t>Hanhwa General Insurance</t>
  </si>
  <si>
    <t>Hanhwa General Insurance Building was sold and acquired by Hanhwa REITs. Hanhwa REITs is founded upon real estate assets owned by Hanhwa group and is the sponsor REITs of the group. Institutions showed much interest in Hanhwa REITs as it appointed neutral and capable board members. Hanhwa REITs is expected to go public in February 2023.</t>
  </si>
  <si>
    <t>Samsung Life Insurance S1 Building</t>
  </si>
  <si>
    <t>Sunhwa</t>
  </si>
  <si>
    <t>Samsung FN REITs (Samsung Life Insurance &amp; Samsung General Insurance) acquired 'Samsung Life Insurance S1 Building', and is looking forward to launch its first dividend product. Unlike 'Samsung Life Insurance Daechi Building' the existing tenant Samsung S1 terminated its leasing contract. Samsung Life Insurance has lent KRW 150 billion to Samsung FN REITs at 5.09% (Senior Loan). Samsung FN REITs is expected to go public in 1H 2023.</t>
  </si>
  <si>
    <t>Samsung Daese Building</t>
    <phoneticPr fontId="0" type="noConversion"/>
  </si>
  <si>
    <t>GBD</t>
    <phoneticPr fontId="0" type="noConversion"/>
  </si>
  <si>
    <t>01 2023</t>
    <phoneticPr fontId="0" type="noConversion"/>
  </si>
  <si>
    <t>Bithumb Korea</t>
  </si>
  <si>
    <t>Individual</t>
    <phoneticPr fontId="0" type="noConversion"/>
  </si>
  <si>
    <t>The building is located in the center of GBD. Across the building is Hyundai department store and COEX. Morover, the building is right next to the 'Glass Tower' which is located in the Samsung subway station crossroad. The building was completed in year 1995 and total of 42 parking spaces are available.</t>
    <phoneticPr fontId="0" type="noConversion"/>
  </si>
  <si>
    <t>Seosomun J&amp;M Building</t>
    <phoneticPr fontId="0" type="noConversion"/>
  </si>
  <si>
    <t>Junggu</t>
    <phoneticPr fontId="0" type="noConversion"/>
  </si>
  <si>
    <t>CBD</t>
    <phoneticPr fontId="0" type="noConversion"/>
  </si>
  <si>
    <t>Civic Center PFV</t>
    <phoneticPr fontId="0" type="noConversion"/>
  </si>
  <si>
    <t>Joongang Holdings</t>
    <phoneticPr fontId="0" type="noConversion"/>
  </si>
  <si>
    <t>The property was sold in year 2020 but due to license issues, land purpose conversion issues, and financing issues the title transfer was occurred in January 2nd 2023.The all-in financing cost for the property was near 10% and the building will be redeveloped. The property is one of many redevelopment project near the Seoul station area.</t>
    <phoneticPr fontId="0" type="noConversion"/>
  </si>
  <si>
    <t>Gangnam Building</t>
    <phoneticPr fontId="0" type="noConversion"/>
  </si>
  <si>
    <t>Pending</t>
    <phoneticPr fontId="0" type="noConversion"/>
  </si>
  <si>
    <t>IB Networks Co Ltd</t>
  </si>
  <si>
    <t>The building is currently on sale (Starting from 2023-02-27). The building will be redeveloped under the project called 'Project EFC Office Development'. The expected completion date of the proejct is 1Q 2027. The magnitude of the development is estimated at 24-Storey (GFA: 65,719.31 sqm) office building. Bidding has begun on 7th of March 2023. Mirae Asset Capital is the preferred negotiator.</t>
    <phoneticPr fontId="0" type="noConversion"/>
  </si>
  <si>
    <t>Autoway Tower</t>
    <phoneticPr fontId="0" type="noConversion"/>
  </si>
  <si>
    <t>Daechi</t>
    <phoneticPr fontId="0" type="noConversion"/>
  </si>
  <si>
    <t>na</t>
    <phoneticPr fontId="0" type="noConversion"/>
  </si>
  <si>
    <t>Nexon</t>
    <phoneticPr fontId="0" type="noConversion"/>
  </si>
  <si>
    <t>KTCU's 50% share</t>
    <phoneticPr fontId="0" type="noConversion"/>
  </si>
  <si>
    <t>The buiilding is located in the prime area of the GBD close to Samsung station and Taehaeran-ro. It has achieved LEED 'Platinum' grade and GRESB '5-Star'.
KCTU decided to sell the property due to lack of liquidity by KCTU members.</t>
    <phoneticPr fontId="0" type="noConversion"/>
  </si>
  <si>
    <t>Concordian Building</t>
    <phoneticPr fontId="0" type="noConversion"/>
  </si>
  <si>
    <t>Jongro</t>
    <phoneticPr fontId="0" type="noConversion"/>
  </si>
  <si>
    <t>04 2023</t>
    <phoneticPr fontId="0" type="noConversion"/>
  </si>
  <si>
    <t>Mastern</t>
    <phoneticPr fontId="0" type="noConversion"/>
  </si>
  <si>
    <t>DWS</t>
    <phoneticPr fontId="0" type="noConversion"/>
  </si>
  <si>
    <t>The building is located in the center of the CBD, and major tenants including Lotte card, Serveone (LG), and Binggrae are residing in the building. The building was initially offered at KRW 37 million per pyeong but lowered to KRW 34 million per pyeong due to increasing financing cost.</t>
    <phoneticPr fontId="0" type="noConversion"/>
  </si>
  <si>
    <t>Hyundai Card Building 1BL</t>
    <phoneticPr fontId="0" type="noConversion"/>
  </si>
  <si>
    <t>Yeongdeungpo</t>
    <phoneticPr fontId="0" type="noConversion"/>
  </si>
  <si>
    <t>YBD</t>
    <phoneticPr fontId="0" type="noConversion"/>
  </si>
  <si>
    <t>Hyundai Card Inc.</t>
    <phoneticPr fontId="0" type="noConversion"/>
  </si>
  <si>
    <t>NH Amundi</t>
    <phoneticPr fontId="0" type="noConversion"/>
  </si>
  <si>
    <t>The property is a Grade A office building in the YBD. Hyundai card had sold its property to enhance financial soundness according to the new accounting principles. The building offers high accessibility to public transportation and landmarks such as the National Assembly.</t>
    <phoneticPr fontId="0" type="noConversion"/>
  </si>
  <si>
    <t>Namsan Green Building</t>
    <phoneticPr fontId="0" type="noConversion"/>
  </si>
  <si>
    <t>05 2023</t>
    <phoneticPr fontId="0" type="noConversion"/>
  </si>
  <si>
    <t>KKR</t>
    <phoneticPr fontId="0" type="noConversion"/>
  </si>
  <si>
    <t>IGIS</t>
    <phoneticPr fontId="0" type="noConversion"/>
  </si>
  <si>
    <t>The building is located in the CBD, and major tenants including SK Telecom and SK Broadband are residing in the building. The buyer plans to renovate the building and re-lease the property like the case of Samhwan building.</t>
    <phoneticPr fontId="0" type="noConversion"/>
  </si>
  <si>
    <t>BOK Sogong Ancilliary Building</t>
    <phoneticPr fontId="0" type="noConversion"/>
  </si>
  <si>
    <t>06 2023</t>
    <phoneticPr fontId="0" type="noConversion"/>
  </si>
  <si>
    <t>Keppel</t>
    <phoneticPr fontId="0" type="noConversion"/>
  </si>
  <si>
    <t>Bank of Korea</t>
    <phoneticPr fontId="0" type="noConversion"/>
  </si>
  <si>
    <t>The CBD located building was  sold by BOK as it became obsolete after the completion of its new HQ building. The increasing financing cost has decreased the transaction value by KRW 7 billion when compared to the initial offering price. The transaction includes not only the main building but also a nearby 3 storey parking lot building and land.</t>
    <phoneticPr fontId="0" type="noConversion"/>
  </si>
  <si>
    <t>Scale Tower (Tiger 318)</t>
    <phoneticPr fontId="0" type="noConversion"/>
  </si>
  <si>
    <t>Gangnam</t>
    <phoneticPr fontId="0" type="noConversion"/>
  </si>
  <si>
    <t>Hyundai Motors Group</t>
    <phoneticPr fontId="0" type="noConversion"/>
  </si>
  <si>
    <t>SK D&amp;D (Tiger Alternative General Real Estate Trust Fund 318: 50%)</t>
    <phoneticPr fontId="0" type="noConversion"/>
  </si>
  <si>
    <t>The building is located in the prime GBD area with a GFA over 15,000 pyeong (Grade A). Hyundai Motors Group was searching for an office building after selling the shares of 'Autoway Tower' to Nexon, and acquired the 'Scale Building' in a share deal for its domestic sales team.</t>
    <phoneticPr fontId="0" type="noConversion"/>
  </si>
  <si>
    <t>Asterium Yongsan</t>
  </si>
  <si>
    <t>Yongsan</t>
    <phoneticPr fontId="0" type="noConversion"/>
  </si>
  <si>
    <t>Shinhan Alpha REITs</t>
  </si>
  <si>
    <t>M PLUS AMC</t>
  </si>
  <si>
    <t>The building is located in the CBD and is masterleased to 'LS Networks' until July 2025. Shinhan REITs acquired the asset with its blind fund established in 2022. The value of the asset is expected to increase with the construction of the new subway 'GTX-B Shinnbundang line' and the redevelopment of the Yongsan maintenance depot area.</t>
    <phoneticPr fontId="0" type="noConversion"/>
  </si>
  <si>
    <t>Sambu Building</t>
  </si>
  <si>
    <t>IGIS</t>
  </si>
  <si>
    <t xml:space="preserve">The building is located in the CBD and was acquired by SK D&amp;D for Co-Living coversion purpose. In 2022, the office building was offered a selling price of  KRW 170 billion but unsuccessful closing a deal due to surging construction and financing cost. The building was originally acquired by IGIS AMC in year 2021 from Samik Instruments. </t>
    <phoneticPr fontId="0" type="noConversion"/>
  </si>
  <si>
    <t>Lotte Homeshoping Yangpyeong-dong HQ</t>
  </si>
  <si>
    <t>Yeongdeungpogu</t>
    <phoneticPr fontId="0" type="noConversion"/>
  </si>
  <si>
    <t>Woori Home Shopping (Lotte Home Shopping)</t>
    <phoneticPr fontId="0" type="noConversion"/>
  </si>
  <si>
    <t>Lotte Corportation (64.6%), Lotte Well Food (35.4%)</t>
  </si>
  <si>
    <t>The building is located in the YBD and 'Woori Home Shopping (Lotte Home Shopping)' made an public announcement that it will acquire the office building at KRW 203.9 billion. 'Woori Home Shopping (Lotte Home Shopping)' decided to acquire the asset in order to save rent and enhance the workplace environment. Lotte Group is exepected to make a capital gain worth KRW 130 billion via this deal.</t>
    <phoneticPr fontId="0" type="noConversion"/>
  </si>
  <si>
    <t>HJ Heavy Industry Seoul HQ Building</t>
  </si>
  <si>
    <t>KOREIT</t>
  </si>
  <si>
    <t>KORAMCO TRUST</t>
  </si>
  <si>
    <t>The building is located in the CBD and was a 'Sale and Leaseback' transaction. HJ Heavy Industry, the anchor tenant and the previous owner of the asset, had delegated its 'Buy Back Option' to KOREIT.  KOREIT is exepected to add the asset into its REITs.</t>
    <phoneticPr fontId="0" type="noConversion"/>
  </si>
  <si>
    <t>Yongsan The Prime Tower</t>
  </si>
  <si>
    <t>IGIS AMC</t>
  </si>
  <si>
    <t>The building is located in the CBD and Shinhan Alpha REITs made an capital gain of KRW 73 billion through this deal. The asset was acquired at KRW 14 million/pyeong five years ago and was sold at KRW 20 million/ peyong. For the past five years the asset maintained an average occupancy rate of 99%.</t>
    <phoneticPr fontId="0" type="noConversion"/>
  </si>
  <si>
    <t>Posco Tower Yeoksam</t>
  </si>
  <si>
    <t>*4.9% (estimated)</t>
    <phoneticPr fontId="0" type="noConversion"/>
  </si>
  <si>
    <t>Posco Holdings</t>
  </si>
  <si>
    <t>Q Sone</t>
  </si>
  <si>
    <t>The building is located in the center of the GBD. Posco Holdings acquired the building by buying 'Q Sone' who owned the asset. Major tenants include Tesla Korea and Mugunghwa Trust .</t>
    <phoneticPr fontId="0" type="noConversion"/>
  </si>
  <si>
    <t>Tower 8</t>
  </si>
  <si>
    <t>Credit Union,  Mirae Asset</t>
  </si>
  <si>
    <t>DWS</t>
  </si>
  <si>
    <t>The building is located in the CBD and recorded an higher value than the 'Concordian Building' deal at KRW 35 million/pyeong. Tenants include Pan Ocean (Halim Group), Expedia Korea, HIS Korea, and CJ Daehantongeun. DWS had acquired the asset at KRW 325 billion in 2015 and expected to make a capital gain over KRW 220 billion.</t>
    <phoneticPr fontId="0" type="noConversion"/>
  </si>
  <si>
    <t>Citi Bank Center Korea</t>
  </si>
  <si>
    <t>Jongro-gu</t>
    <phoneticPr fontId="0" type="noConversion"/>
  </si>
  <si>
    <t>Keppel</t>
  </si>
  <si>
    <t>Capitaland</t>
  </si>
  <si>
    <t>The building is located in the CBD and is 100% occupied by Citi Bank until Feb 17th 2029. There is a value-up opportunity regarding FAR as it has additional room of 246% FAR.</t>
    <phoneticPr fontId="0" type="noConversion"/>
  </si>
  <si>
    <t>Majestar Tower 1</t>
  </si>
  <si>
    <t>Seocho-gu</t>
    <phoneticPr fontId="0" type="noConversion"/>
  </si>
  <si>
    <t>KORAMCO Asset Trust &amp; NH Investment Securities</t>
  </si>
  <si>
    <t>IGIS (Invesco)</t>
  </si>
  <si>
    <t>The building is located in the GBD and acquired the highest LEED Grade by the USGBC: Platinum. The buyer KORAMCO Asset Trust is now the owner of both 'Majestar Tower 1' and 'Majestar Tower 2' which they have acquired in 2017 and managed since.</t>
    <phoneticPr fontId="0" type="noConversion"/>
  </si>
  <si>
    <t>Musinsa Campus E1</t>
  </si>
  <si>
    <t>Seongdong-gu</t>
    <phoneticPr fontId="0" type="noConversion"/>
  </si>
  <si>
    <t>Others</t>
    <phoneticPr fontId="0" type="noConversion"/>
  </si>
  <si>
    <t>Musinsa</t>
  </si>
  <si>
    <t>The building is located in Seongdong-gu which is the uprising business disctricts for tech and startups. The property in particular is situated in the 'Seongsu IT district unit planning zone' which will be the center of the newly constructed office building zone. This was a 'Sale and Leaseback' deal where 'Musinsa' will lease the area for 15 years.</t>
    <phoneticPr fontId="0" type="noConversion"/>
  </si>
  <si>
    <t>Samsung SDS Tower</t>
  </si>
  <si>
    <t>Songpa-gu</t>
    <phoneticPr fontId="0" type="noConversion"/>
  </si>
  <si>
    <t>KB AMC</t>
  </si>
  <si>
    <t>Ryukyung PSG</t>
    <phoneticPr fontId="0" type="noConversion"/>
  </si>
  <si>
    <t>The building is located in the GBD and is occupied by 'Samsung SDS' (Headquarters) until the end of June 2034. The transaction recorded the highest value in 2023 surpassing the previous record holder 'Pangyo Alphadom' by KRW122 billion.</t>
    <phoneticPr fontId="0" type="noConversion"/>
  </si>
  <si>
    <t>HSBC Building</t>
  </si>
  <si>
    <t>Jung-gu</t>
    <phoneticPr fontId="0" type="noConversion"/>
  </si>
  <si>
    <t>KCLAVIS AMC (Prain Global)</t>
  </si>
  <si>
    <t>The building is located in the CBD and was a strata deal: B1F, 8F-18F, GFA 24,812.07sq. m. (66%). The property had a 100% occupancy rate with anchor tenants including IBK, Prain Global, and S-Oil. The HSBC buiilding transaction was the benificiary of the nearby development cases around the Seoul Station and was sold at a higher value than the seller's expectation.</t>
    <phoneticPr fontId="0" type="noConversion"/>
  </si>
  <si>
    <t>Bundang Seohyun Building</t>
  </si>
  <si>
    <t>Bundang-gu</t>
    <phoneticPr fontId="0" type="noConversion"/>
  </si>
  <si>
    <t>BBD</t>
    <phoneticPr fontId="0" type="noConversion"/>
  </si>
  <si>
    <t>Vestas AMC</t>
  </si>
  <si>
    <t>Kyobo Asset Trust</t>
  </si>
  <si>
    <t>The building is located in the prime business and retail are of the BBD. The property had a 100% occupancy rate with anchor tenants including Keyence, AK S&amp;D, and Danal. The property inherits a value-add opportunity of an additional GFA of 4,347 sq. m. when newly constructed.</t>
    <phoneticPr fontId="0" type="noConversion"/>
  </si>
  <si>
    <t>Centerpoint Gangnam</t>
  </si>
  <si>
    <t>Gangnam-gu</t>
    <phoneticPr fontId="0" type="noConversion"/>
  </si>
  <si>
    <t>F&amp;F</t>
    <phoneticPr fontId="0" type="noConversion"/>
  </si>
  <si>
    <t>The building is located in GBD and is a forward purchase deal acquired by the strategic investor (SI) 'F&amp;F'. 'F&amp;F' was the preferred bidder for 'Majestar 1' in 2023. The building will be used as the new headquarters for 'F&amp;F'.</t>
    <phoneticPr fontId="0" type="noConversion"/>
  </si>
  <si>
    <t>Gwanghwamun G Tower</t>
  </si>
  <si>
    <t>Shinhan REITs</t>
  </si>
  <si>
    <t>IGIS (KB Bank)</t>
  </si>
  <si>
    <t>The building is located in the CBD and is comprised of accomodation (hotel), office, and retail. Major tenants include Shilla Stay, BRK, Starbucks, etc. The occupancy rate at the acquisition period was recorded at 97.1%.</t>
    <phoneticPr fontId="0" type="noConversion"/>
  </si>
  <si>
    <t>Jamsil Sigma Tower</t>
  </si>
  <si>
    <t>RIFA AMC (Aberdeen)</t>
  </si>
  <si>
    <t>Together AMC</t>
  </si>
  <si>
    <t>The building is located in the GBD and is a residential and office mixed property. The deal was a strata deal and was limited to the entire office proportion of the building (1F-2F, 4F-11F) and excluding the apartment area.</t>
    <phoneticPr fontId="0" type="noConversion"/>
  </si>
  <si>
    <t>T412</t>
  </si>
  <si>
    <t xml:space="preserve">Allerman </t>
  </si>
  <si>
    <t>Hanhwa AMC</t>
  </si>
  <si>
    <t>The building is located in the prime loaction in the GBD near to the Hyundai Motors Group HQ project GBC. The property was acquired by Allerman, bedding product manufacturing company, and will be used as its headquarter. The building has an high accessibility to public transportation and the nearest subway is 2 minutes by walk: Seolleung Station (Line 2).</t>
  </si>
  <si>
    <t>Arc Place</t>
  </si>
  <si>
    <t>Gangnam-gu</t>
  </si>
  <si>
    <t>KORAMCO (KTCU)</t>
  </si>
  <si>
    <t>Blackstone</t>
  </si>
  <si>
    <t>The building is located in the prime location in the GBD and was acquired by KORAMCO Asset Trust. The communal areas including the lobby were renovated in year 2018 and the occupancy rate at the point of acquisition was recorded at 100%. Notable tenants include Warner Bros Korea, Dyson, Ebay, and Lotte Capital.</t>
  </si>
  <si>
    <t>*K Square City</t>
  </si>
  <si>
    <t>Pacific AMC (Dongyang Iife Insurance)</t>
  </si>
  <si>
    <t>KORAMCO Asset Trust REITs (KTCU, POBA, NH)</t>
  </si>
  <si>
    <t>The building is located in the CBD near to the Cheonggyecheon. This was a strata deal involving 66% of the total GFA: B2-13F, 19F-20F. This was one of the value-add projects of the KORAMCO Asset Trust where building was fully renovated in July 2021 with floor extensions and machinery/electricity equipment changes. The seller was able to save value from the strata deal by adding the management right of the entire building in the deal.</t>
  </si>
  <si>
    <t>Icon Yeoksam</t>
  </si>
  <si>
    <t>Capstone AMC (Shinsegae Property, Korea Post)</t>
  </si>
  <si>
    <t>Capitaland (M&amp;G)</t>
  </si>
  <si>
    <t>Seoulleung WeWork Tower</t>
  </si>
  <si>
    <t>Hyunjin Group</t>
  </si>
  <si>
    <t>Shinhan REITs AMC</t>
  </si>
  <si>
    <t>The building is located in the prime location in the GBD and is within 700m to two subway stations: Seolleung Station Line 2 and Sooinbundang Line. Moreover, it is near to the HMG GBC project and the new GTX which are valuable factors for additional future capital gain. The building is currently 100% master leased to We Work.</t>
  </si>
  <si>
    <t>Golden Tower</t>
  </si>
  <si>
    <t>Capitaland (50%) + KB Bank (50%)</t>
  </si>
  <si>
    <t>KORAMCO REITs (NPS: 100%)</t>
  </si>
  <si>
    <t>The building is located in the prime location in the GBD and was acquired by Capitaland. Anchor tenants include, Koramco Trust, Acuon Capital, Ford, and Simmons. Golden Tower was first negotiated around the KRW40 million per pyeong level with the preferred bidder Daeshin Asset Trust but dropped out in the process and was acquired at KRW 36 million per pyeong with the second highest bidder.</t>
  </si>
  <si>
    <t>City Square Building</t>
  </si>
  <si>
    <t>Shinhan REITs (Hyundai Corporation)</t>
  </si>
  <si>
    <t>Hangang AMC</t>
  </si>
  <si>
    <t>The building is located in the CBD and was acquired by Shinhan REITs. The property is a LEED Platinum certiified builing and has a average floor height of 2.8 meters. In terms of tenancy, the Seoul Metropolitan Government is occupying more than 80% of the GLA and will lease the area until December 2029. The occupancy rate was recorded at 100% at the point of acquisition.</t>
  </si>
  <si>
    <t>**Hanhwa HQ (Block 1: Office)</t>
  </si>
  <si>
    <t>Hanhwa REITs</t>
  </si>
  <si>
    <t>Hanhwa Life Insurance</t>
  </si>
  <si>
    <t>The building is located in the prime location in the CBD and was acquired by Hanhwa REITS which is the specially related legal entity to the seller: Hanhwa Life Insurance. The building was renovated in November 2019 and tenants include the majority of the Hanhwa Group subsidiaries including Hanhwa Impact, E&amp;C, System, Energy, ICT, Global etc. With a 100% occupancy rate at the point of transaction, the seller sold the building to enhance financial solvency and acquire cash.</t>
  </si>
  <si>
    <t>Myeongdong N Buidling</t>
  </si>
  <si>
    <t>D&amp;D Platform REITs</t>
  </si>
  <si>
    <t>The building is located in the prime retail and office location in the CBD, and was acquired by D&amp;D Platform REITs which is the specially related legal entity to the seller: SK D&amp;D. The building was developed by SK D&amp;D and is the mother company of the DDI Platform REITs. The SK Group aimed to bring capital gain to the SK D&amp;D and help boost the stock value of the DDI Platform REITs by acquiring a prime asset in the CBD area. SK D&amp;D has invested in common shares worth KRW13 billion in the transaction due to lack of liquidity in the market.</t>
  </si>
  <si>
    <t>Fastfive Tower</t>
  </si>
  <si>
    <t>KR Dadong</t>
  </si>
  <si>
    <t>The building is located in the CBD property and was acquired by Shinhan REITs AMC via auction. The property was in a troubled situation in a debtor-controlled sale. The acquisition price was at the 72.7% level of the appraised value. The buyer is planning a value-add project including redevelopment and adding extra space.</t>
  </si>
  <si>
    <t>***Taeyoung HQ</t>
  </si>
  <si>
    <t>TY number 1 CR REITs (DDI)</t>
  </si>
  <si>
    <t>Taeyoung Construction</t>
  </si>
  <si>
    <t>The building is located in the YBD and was acquired by a TY number 1 Corporate Restructuring REITs established by DDI. The property was sold in the workout process of the Taeyoung Group in a sale and lease back acquisition form. Taeyoung group sold the property to enhance financial insolvency issues and acquire cash.</t>
  </si>
  <si>
    <t>The Asset Gangnam</t>
  </si>
  <si>
    <t>Seocho-gu</t>
  </si>
  <si>
    <t>KORAMCO Asset Trust</t>
  </si>
  <si>
    <t>The building is located in the GBD and is directly connected to the Gangnam subway station. As of January 2024, there were 13 tenants including Samsung Fire &amp; Insurance and the occupancy rate was recorded at 100% in 1Q 2024.</t>
  </si>
  <si>
    <t>The Exchange Seoul + The Exchange Seoul Mall</t>
  </si>
  <si>
    <t xml:space="preserve"> CBD</t>
  </si>
  <si>
    <t>44 years (Built in 1980)</t>
  </si>
  <si>
    <t>31,021 sq. m. (9,384 py)</t>
  </si>
  <si>
    <t>Office + Mall</t>
  </si>
  <si>
    <t>Asset Deal</t>
  </si>
  <si>
    <t>N/A</t>
  </si>
  <si>
    <t>GIC</t>
  </si>
  <si>
    <t>The building is located in the prime CBD location and was completed in 1980. The property is a subject to a possible redevelopment deal as it is included in the Seoul City renovation and development district number 4. The buyer is planning to redevelop the property.</t>
  </si>
  <si>
    <t>Mirae Asset Yeouido HQ</t>
  </si>
  <si>
    <t xml:space="preserve"> YBD</t>
  </si>
  <si>
    <t>40 years (Built in 1984)</t>
  </si>
  <si>
    <t>39,087 sq. m. (11,824 py)</t>
  </si>
  <si>
    <t>Woori AMC</t>
  </si>
  <si>
    <t>Mirae Asset Securities</t>
  </si>
  <si>
    <t>The building is located in the YBD and was acquired by the Woori AMC to to demolish the existing building and construct the headquarter building of the Woori Group. Subsidiaries of the Woori Group including Woori Investment Securities, Woori Card, and Woori Bank are expected to move into the new HQ building.</t>
  </si>
  <si>
    <t>Jeongdong Building</t>
  </si>
  <si>
    <t>46 years (Built in 1978)</t>
  </si>
  <si>
    <t>39,343 sq. m. (11,901 py)</t>
  </si>
  <si>
    <t>Share Deal</t>
  </si>
  <si>
    <t>Nuveen Real Estate</t>
  </si>
  <si>
    <t>IGIS (Samsung Fire Insurance, NH Insurance, Met Life)</t>
  </si>
  <si>
    <t>The building is located in the CBD and is near to the Seoul History Museum. Notable tenants include GGGI, Opus PE, Embassy of New Zealand, and Kim &amp; Chang. The Jeongdong Building is also know for its high efficiency rate at approximately 57%.
This transaction was a share deal.</t>
  </si>
  <si>
    <t>D Tower Donuimun</t>
  </si>
  <si>
    <t>Jongro-gu</t>
  </si>
  <si>
    <t>5 years (Built in 2020)</t>
  </si>
  <si>
    <t>86,224 sq. m. (26,083 py)</t>
  </si>
  <si>
    <t>NH Nonghyup REITs</t>
  </si>
  <si>
    <t>Mastern AMC</t>
  </si>
  <si>
    <t xml:space="preserve">The building is located in the Seosomun area of the CBD and the owner Mastern is trying to dispose to asset as its fund will expire in January 2025. Tenants include DL, DL E&amp;C, DL Chemical, DL Energy. The asset is LEED (O+M) Platinum certified building, </t>
  </si>
  <si>
    <t>NH Nonghyup Capital Building</t>
  </si>
  <si>
    <t xml:space="preserve">Yeongdeungpo-gu </t>
  </si>
  <si>
    <t>30 years (Built in 1995)</t>
  </si>
  <si>
    <t>20,701 sq. m. (6,262 py)</t>
  </si>
  <si>
    <t>KREITS</t>
  </si>
  <si>
    <t>The building is located in the YBD area and is deemed to have a value up opportunity via rent rent increase with the WALE of 2.1 years.
The current BAR is at 566.31% and there is a room for an additional renovation to increase the office area.
Orchestro, a cloud computing company invested in fund for acquiring the building and is expected to use the building for its headquarter building.</t>
  </si>
  <si>
    <t>KOREIT Tower</t>
  </si>
  <si>
    <t xml:space="preserve"> GBD</t>
  </si>
  <si>
    <t>23 years (Built in 2001)</t>
  </si>
  <si>
    <t>34,984 sq. m. (10,583 py)</t>
  </si>
  <si>
    <t>Office + Data Centre</t>
  </si>
  <si>
    <t>KORAMCO AMC</t>
  </si>
  <si>
    <t>KOREIT REITS</t>
  </si>
  <si>
    <t>The building is located in the prime GBD area where most of the are is leased to KOREIT and its related company Dongbu Construction. 
The building comprises of a data center area,  8,145.43㎡ in GFA, which accounts for more than 14% of the overall GFA of the building.
This transaction was a share deal.</t>
  </si>
  <si>
    <t>*K Square City: Strata Deal (GFA: 66%)</t>
  </si>
  <si>
    <t>**Hanhwa HQ Building: Strata Deal (GFA: 48.6%)</t>
  </si>
  <si>
    <t>***Taeyoung HQ Building: Strata Deal (GFA: 97.3%)</t>
  </si>
  <si>
    <t>Source: Colliers Database, Market News</t>
  </si>
  <si>
    <t>Crystal Square</t>
  </si>
  <si>
    <t>4 years (Built in 2021)</t>
  </si>
  <si>
    <t>18,423 sq. m. (5,573 py)</t>
  </si>
  <si>
    <t>Capitaland AMC(Aberdeen)</t>
  </si>
  <si>
    <t>Sillajen, Leedcorp</t>
  </si>
  <si>
    <t>The building is located in the Supyo area in the CBD and the buyer, Leadcorp is a strategic investor. The building recorded a 100% occupancy rate at the point of acquisition and major tenants include KB Card 90% of GLA), Starbucks, 7-Eleven.</t>
  </si>
  <si>
    <t>Gangnam Finance Plaza</t>
  </si>
  <si>
    <t>30 years (Built in 1994)</t>
  </si>
  <si>
    <t>24,179 sq. m. (7,314 py)</t>
  </si>
  <si>
    <t>Gravity AMC</t>
  </si>
  <si>
    <t>The building is located in the prime GBD area and was acquired by a Gravity AMC backed by ISU Group (Strategic Investor). Mastern Investment Management has decided to sell the property five years after acquiring it from Pebblestone Asset Management in August 2018 for approximately KRW 183 billion. The generous ceiling height of 4.5 meters provides a sense of openness and enhances spatial efficiency and buyer is planning further renovations in the building.</t>
  </si>
  <si>
    <t>Namsan Square Building</t>
  </si>
  <si>
    <t>43 years (Built in 1978, Renovated in 2011)</t>
  </si>
  <si>
    <t>75,252 sq. m. (22,764 py)</t>
  </si>
  <si>
    <t>IGIS (KKR)</t>
  </si>
  <si>
    <t>HDC AMC</t>
  </si>
  <si>
    <t>The building is located in the outskirts of the CBD. An additional annex for office use can be constructed, allowing for potential value-add strategies in the future. Major public institutions and large corporations, such as the Korea Healthy Family Support Center, Korea Workers’ Compensation &amp; Welfare Service, and Xi S&amp;D, are current tenants of Namsan Square. The vacancy rate remains at approximately 1%</t>
  </si>
  <si>
    <t>Jeongan Building</t>
  </si>
  <si>
    <t>29 years (Built in 1996)</t>
    <phoneticPr fontId="28" type="noConversion"/>
  </si>
  <si>
    <t>15,755 sq. m. (4,766 py)</t>
    <phoneticPr fontId="28" type="noConversion"/>
  </si>
  <si>
    <t>4.3% (*Estimated)</t>
  </si>
  <si>
    <t>United Asset Management Company (UAMCO)</t>
    <phoneticPr fontId="28" type="noConversion"/>
  </si>
  <si>
    <t>Eden AMC</t>
  </si>
  <si>
    <t>The building is located in the Seosomun area of the CBD. The acquirer is planning the execute a 'Value-add' strategy post acquisition.</t>
  </si>
  <si>
    <t>https://news.nate.com/view/20250326n46250</t>
    <phoneticPr fontId="28" type="noConversion"/>
  </si>
  <si>
    <t>Yeouido Hyundai Motors Securities Building</t>
    <phoneticPr fontId="28" type="noConversion"/>
  </si>
  <si>
    <t>Yeongdeungpo-gu</t>
    <phoneticPr fontId="28" type="noConversion"/>
  </si>
  <si>
    <t>31 years (Built in 1994)</t>
    <phoneticPr fontId="28" type="noConversion"/>
  </si>
  <si>
    <t>40,440 sq. m. (12,233 py)</t>
    <phoneticPr fontId="28" type="noConversion"/>
  </si>
  <si>
    <t>4.2% (*Estimated)</t>
  </si>
  <si>
    <t>Share Deal</t>
    <phoneticPr fontId="28" type="noConversion"/>
  </si>
  <si>
    <t>Hyundai Automobile Securities</t>
  </si>
  <si>
    <t>The Hyundai Motor Securities Building, currently leased by tenants including Hyundai Motor Securities and Shinhan Fund Partners, was sold by KB Asset Management to Koramco in October 2020 for KRW 266.6 billion. With the Yeouido Financial District Master Plan allowing FAR increases up to 1,600%, the property presents redevelopment potential if reconstruction proceeds.</t>
  </si>
  <si>
    <t>https://dealbook.co.kr/yeoyido-hyeondaecajeunggweonbilding-koramkounyong-pumeuro-doedolaon-sayeon/</t>
    <phoneticPr fontId="28" type="noConversion"/>
  </si>
  <si>
    <t>Gangnam Taegwang Tower</t>
  </si>
  <si>
    <t>9 years (Built in 2016)</t>
    <phoneticPr fontId="28" type="noConversion"/>
  </si>
  <si>
    <t>17,396 sq. m. (5,262 py)</t>
    <phoneticPr fontId="28" type="noConversion"/>
  </si>
  <si>
    <t>3.9% (*Quoted)</t>
  </si>
  <si>
    <t>Hana Asset Trust</t>
  </si>
  <si>
    <t>Taegwang Development</t>
  </si>
  <si>
    <t>The property serves as the headquarters for Taekwang Development and its affiliates, including Taekwang Asset and AMPM. It is currently occupied by several tenants such as Min &amp; Je, Hecto Innovation, and Hecto Financial.</t>
  </si>
  <si>
    <t>https://dealbook.co.kr/hanaopiseuyeogsamriceu-taegwangtaweo-maeibjageum-1940eog-jodal-bagca/</t>
    <phoneticPr fontId="28" type="noConversion"/>
  </si>
  <si>
    <t>Crescendo Building</t>
  </si>
  <si>
    <t>Jongro-gu</t>
    <phoneticPr fontId="28" type="noConversion"/>
  </si>
  <si>
    <t>25 years (Built in 2000)</t>
    <phoneticPr fontId="28" type="noConversion"/>
  </si>
  <si>
    <t>54,672 sq. m. (16,538 py)</t>
    <phoneticPr fontId="28" type="noConversion"/>
  </si>
  <si>
    <t>4.1% (*Quoted)</t>
  </si>
  <si>
    <t>DWS AMC</t>
  </si>
  <si>
    <t>The asset is fully leased to Kim &amp; Chang, Korea’s largest law firm, under a single-tenant agreement through November 2029. While the seller aimed for a price in line with the nearby Concordian Building (KRW 34.5 million per pyeong, transacted last year), market uncertainties led to the selection of a preferred bidder at a lower price. The subdued pricing of the SFC building also appears to have influenced the valuation of the Crescendo Building.</t>
  </si>
  <si>
    <t>https://www.mk.co.kr/news/stock/11295367</t>
    <phoneticPr fontId="28" type="noConversion"/>
  </si>
  <si>
    <t>KDB Life Tower</t>
  </si>
  <si>
    <t>Yongsan-gu</t>
    <phoneticPr fontId="28" type="noConversion"/>
  </si>
  <si>
    <t>12 years (Built in 2013)</t>
    <phoneticPr fontId="28" type="noConversion"/>
  </si>
  <si>
    <t>82,435 sq. m. (24,936 py)</t>
    <phoneticPr fontId="28" type="noConversion"/>
  </si>
  <si>
    <t>CJ Oliveyoung</t>
  </si>
  <si>
    <t>The asset comprises an office property with street-level retail components and was acquired for occupancy purposes. The primary tenants include KDB Life Insurance, which operates its headquarters at the site, and CJ Olive Young. The property was previously transacted in June 2018 at a consideration of KRW 422.3 billion. The fund associated with the asset is scheduled to mature in June 2025.</t>
  </si>
  <si>
    <t>https://www.hankyung.com/article/2025051685761</t>
    <phoneticPr fontId="28" type="noConversion"/>
  </si>
  <si>
    <t>BNK Digital Tower</t>
    <phoneticPr fontId="28" type="noConversion"/>
  </si>
  <si>
    <t>28 years (Built in 1997)</t>
    <phoneticPr fontId="28" type="noConversion"/>
  </si>
  <si>
    <t>37,182 sq. m. (11,248 py)</t>
    <phoneticPr fontId="28" type="noConversion"/>
  </si>
  <si>
    <t>3.6% (*Estimated)</t>
  </si>
  <si>
    <t>BNK AMC</t>
  </si>
  <si>
    <t>The BNK Digital Tower, with a gross floor area of around 10,000 pyeong, is one of the most sought-after office assets in the Gangnam Business District. Its 228 parking spaces—about 1.5 times the norm—make it ideal for firms with large sales teams. The building underwent major renovations in 2011 and 2022, enhancing its value, and holds a LEED O+M Gold certification for sustainable operations. It is currently leased to high-quality tenants in finance, professional services, and IT, with a stable occupancy rate above 95%.</t>
  </si>
  <si>
    <t>https://www.chosun.com/economy/money/2025/06/26/DES4ZPYHXI477M43BCKNL2XKPY/</t>
    <phoneticPr fontId="28" type="noConversion"/>
  </si>
  <si>
    <t>Seoul International (SI) Tower (ex ING Tower)</t>
  </si>
  <si>
    <t>26 years (Built in 1999)</t>
    <phoneticPr fontId="28" type="noConversion"/>
  </si>
  <si>
    <t>66,202 sq. m. (20,026 py)</t>
    <phoneticPr fontId="28" type="noConversion"/>
  </si>
  <si>
    <t>The SI Tower, serving as Hyundai Mobis’s headquarters, was acquired by Hyundai Motor Group through a share deal after a planned public sale was withdrawn. Samsung Fire &amp; Marine Insurance holds a major beneficiary interest in the asset. Around 70% of the building is leased long-term to Hyundai Mobis, ensuring stable rental income. Other tenants include Nokia, Santen Pharmaceutical Korea, and Seoul Guarantee Insurance. With only minor vacancies on the 15th and 24th floors, the property maintains a strong occupancy and stable cash flow.</t>
  </si>
  <si>
    <t>https://www.mk.co.kr/economy/view.php?sc=50000001&amp;year=2025&amp;no=202364</t>
    <phoneticPr fontId="28" type="noConversion"/>
  </si>
  <si>
    <t>Gangnam N Tower</t>
  </si>
  <si>
    <t>Gangnam-gu - GBD</t>
  </si>
  <si>
    <t>7 years (Built in 2018)</t>
    <phoneticPr fontId="28" type="noConversion"/>
  </si>
  <si>
    <t>Bitthumb</t>
  </si>
  <si>
    <t>The Gangnam N Tower, a prime office completed six years ago, benefits from its Teheran-ro frontage and “double station” location between Gangnam and Yeoksam Stations. The 31-story building (7 basement, 24 above-ground) is about 97% occupied. KB Real Estate Trust, its former headquarters tenant, is relocating to the new Yangjae KB Life Tower.</t>
    <phoneticPr fontId="28" type="noConversion"/>
  </si>
  <si>
    <t>https://biz.chosun.com/real_estate/real_estate_general/2025/05/23/CJDAE3WR7BHVVNAXK2FRP3THKI/</t>
    <phoneticPr fontId="28" type="noConversion"/>
  </si>
  <si>
    <t>Hyundai Group Yeonji-dong HQ</t>
  </si>
  <si>
    <t>Jongno-gu</t>
    <phoneticPr fontId="28" type="noConversion"/>
  </si>
  <si>
    <t>Jongno-gu - CBD</t>
  </si>
  <si>
    <t>33 years (Built in 1992)</t>
    <phoneticPr fontId="28" type="noConversion"/>
  </si>
  <si>
    <t>Vault AMC</t>
  </si>
  <si>
    <t>Hyundai Group</t>
  </si>
  <si>
    <t>Hyundai Group plans to divest its Yeonji-dong headquarters through a sale-and-leaseback transaction, ensuring that Hyundai Elevator and other key affiliates will continue to occupy and operate from the premises after the sale.</t>
    <phoneticPr fontId="28" type="noConversion"/>
  </si>
  <si>
    <t>https://www.digitaltoday.co.kr/news/articleView.html?idxno=593874</t>
    <phoneticPr fontId="28" type="noConversion"/>
  </si>
  <si>
    <t>Pacific Tower</t>
  </si>
  <si>
    <t>Jung-gu - CBD</t>
  </si>
  <si>
    <t>23 years (Built in 2002)</t>
    <phoneticPr fontId="28" type="noConversion"/>
  </si>
  <si>
    <t>Abrdeen</t>
  </si>
  <si>
    <t>Pebblestone</t>
  </si>
  <si>
    <t>After refinancing and extending fund maturity in March, Pebblestone Asset Management relaunched the Pacific Tower sale, drawing interest from Aberdeen, another foreign investor, and IGIS. Fully occupied by 15 tenants such as Chanel, Huawei, and Kyobo Life, the tower’s below-market rents offer clear upside for future growth.</t>
    <phoneticPr fontId="28" type="noConversion"/>
  </si>
  <si>
    <t>https://biz.chosun.com/stock/stock_general/2025/07/28/PVUFE5EMCJAOJA3SFCPR24ZZQE/</t>
    <phoneticPr fontId="28" type="noConversion"/>
  </si>
  <si>
    <t>NC Tower 1</t>
  </si>
  <si>
    <t>18 years (Built in 2008)</t>
    <phoneticPr fontId="28" type="noConversion"/>
  </si>
  <si>
    <t>Pacific AMC (SEMA)</t>
  </si>
  <si>
    <t>NC Soft</t>
  </si>
  <si>
    <t>111Percent, still targeting a Gangnam HQ after last year’s failed Koreit Tower bid, joined Mirae Asset in the process. Other bidders included Kiwoom, Hana Alternative, Korea Investment &amp; Real Asset, HL REITs, Pacific, Keppel, and the Hyunsong Foundation.</t>
    <phoneticPr fontId="28" type="noConversion"/>
  </si>
  <si>
    <t>https://www.investchosun.com/site/data/html_dir/2025/02/05/2025020580208.html</t>
    <phoneticPr fontId="28" type="noConversion"/>
  </si>
  <si>
    <t>Ferrum Tower</t>
  </si>
  <si>
    <t>15 years (Built in 2010)</t>
    <phoneticPr fontId="28" type="noConversion"/>
  </si>
  <si>
    <t>Dongkuk Steel</t>
  </si>
  <si>
    <t>Samsung Life Insurance  Co., Ltd.</t>
  </si>
  <si>
    <t>The subject CBD office with ground-floor retail last traded in May 2015 for KRW 420.0 billion. The current sale is via a pre-agreed purchase option under a negotiated contract, not a competitive bid.</t>
    <phoneticPr fontId="28" type="noConversion"/>
  </si>
  <si>
    <t>https://www.chosun.com/economy/industry-company/2025/07/25/UIXMB6RG4ZEHXGQPGCYBANGBPE/</t>
    <phoneticPr fontId="28" type="noConversion"/>
  </si>
  <si>
    <t>WeWork Building</t>
  </si>
  <si>
    <t>32 years (Built in 1993)</t>
    <phoneticPr fontId="28" type="noConversion"/>
  </si>
  <si>
    <t>Asia Property</t>
    <phoneticPr fontId="28" type="noConversion"/>
  </si>
  <si>
    <t>Hana Alternative Asset Management Co., Ltd.</t>
    <phoneticPr fontId="28" type="noConversion"/>
  </si>
  <si>
    <t>Asia Property and its affiliate Urban Asset Management have completed the acquisition of the WeWork Building in Samseong-dong, Seoul. After deliberation between asset deal (transfer of property ownership) and share deal (transfer of equity), the transaction was finalized as an asset deal.</t>
    <phoneticPr fontId="28" type="noConversion"/>
  </si>
  <si>
    <t>https://www.mk.co.kr/news/stock/11281840</t>
    <phoneticPr fontId="28" type="noConversion"/>
  </si>
  <si>
    <t>Namsan N Tower</t>
  </si>
  <si>
    <t>*Under construction</t>
    <phoneticPr fontId="28" type="noConversion"/>
  </si>
  <si>
    <t>Samyang Foods</t>
  </si>
  <si>
    <t>Namsan PFV Co</t>
  </si>
  <si>
    <r>
      <t>Samyang Foods is acquiring Namsan N Tower in Jung-gu, Seoul for about KRW 227 billion (KRW 36m per 3.3</t>
    </r>
    <r>
      <rPr>
        <sz val="16"/>
        <rFont val="Microsoft YaHei"/>
        <family val="2"/>
        <charset val="134"/>
      </rPr>
      <t>㎡</t>
    </r>
    <r>
      <rPr>
        <sz val="16"/>
        <rFont val="Open Sans"/>
        <family val="2"/>
      </rPr>
      <t>). Developed by Namsan PFV with 6 basement and 15 above-ground floors (GFA 20,867</t>
    </r>
    <r>
      <rPr>
        <sz val="16"/>
        <rFont val="Microsoft YaHei"/>
        <family val="2"/>
        <charset val="134"/>
      </rPr>
      <t>㎡</t>
    </r>
    <r>
      <rPr>
        <sz val="16"/>
        <rFont val="Open Sans"/>
        <family val="2"/>
      </rPr>
      <t>), the building will complete in August and serve as Samyang’s new headquarters.</t>
    </r>
    <phoneticPr fontId="28" type="noConversion"/>
  </si>
  <si>
    <t>https://www.corebeat.co.kr/article/816</t>
    <phoneticPr fontId="28" type="noConversion"/>
  </si>
  <si>
    <t>Centerpoint Gwanghwamun</t>
    <phoneticPr fontId="28" type="noConversion"/>
  </si>
  <si>
    <t>Jongno-gu - CBD</t>
    <phoneticPr fontId="28" type="noConversion"/>
  </si>
  <si>
    <t>38,947 sq. m. (11,781 py)</t>
    <phoneticPr fontId="28" type="noConversion"/>
  </si>
  <si>
    <t>Kyobo AIM Asset Management Co., Ltd.</t>
    <phoneticPr fontId="28" type="noConversion"/>
  </si>
  <si>
    <t>Koramco Asset Trust Co., Ltd.</t>
    <phoneticPr fontId="28" type="noConversion"/>
  </si>
  <si>
    <t>Centerpoint Gwanghwamun, held via KOCREF No.36 REIT, was sold to Kyobo AIM Asset Management at KRW 36.7 million per pyeong, implying a total value of KRW 432.0 billion. The transaction achieved a record-low 3.7% cap rate, among the strongest pricing in the Seoul CBD office market. Structured as a share deal, the sale involved a change in REIT shareholders rather than a direct asset transfer. The property is a prime CBD office building, largely leased (c.80%) to Kim &amp; Chang under a long-term lease, providing highly stable cash flows despite a challenging transaction environment.</t>
    <phoneticPr fontId="28" type="noConversion"/>
  </si>
  <si>
    <t>https://news.einfomax.co.kr/news/articleView.html?idxno=4377351</t>
    <phoneticPr fontId="28" type="noConversion"/>
  </si>
  <si>
    <t>Samsung Dong Building (Interpark Building)</t>
    <phoneticPr fontId="28" type="noConversion"/>
  </si>
  <si>
    <t>16 years (Built in 2010)</t>
    <phoneticPr fontId="28" type="noConversion"/>
  </si>
  <si>
    <t>30,676 sq. m. (9,279 py)</t>
    <phoneticPr fontId="28" type="noConversion"/>
  </si>
  <si>
    <t>KITRUST</t>
    <phoneticPr fontId="28" type="noConversion"/>
  </si>
  <si>
    <t>Kyobo Asset Trust</t>
    <phoneticPr fontId="28" type="noConversion"/>
  </si>
  <si>
    <t>The property offers an immediately available exclusive area of 1,400 pyeong, which is expected to draw strong interest from companies seeking a new headquarters in Gangnam. Currently, more than half of the space is occupied by high-quality tenants such as Kolon Industries and iMarketKorea. The transaction was structured as a share deal, involving both a capital reduction (repurchase of existing shareholders’ stakes) and a capital increase (issuance of new shares to incoming investors), effectively transferring control of the REIT.</t>
    <phoneticPr fontId="28" type="noConversion"/>
  </si>
  <si>
    <t>https://dealsite.co.kr/articles/151289</t>
    <phoneticPr fontId="28" type="noConversion"/>
  </si>
  <si>
    <t>Signature Tower</t>
    <phoneticPr fontId="28" type="noConversion"/>
  </si>
  <si>
    <t>14 years (Built in 2011)</t>
    <phoneticPr fontId="28" type="noConversion"/>
  </si>
  <si>
    <t>99,997 sq. m. (30,249 py)</t>
    <phoneticPr fontId="28" type="noConversion"/>
  </si>
  <si>
    <t>KB Asset Management, Kumho Petrochemical, KB Securities Co Ltd</t>
    <phoneticPr fontId="28" type="noConversion"/>
  </si>
  <si>
    <t>IGIS, NPS</t>
  </si>
  <si>
    <t>Signature Tower, a prime Seoul CBD office, was sold for KRW 1.035 trillion in a structured share deal led by KB Asset Management, combining beneficiary interest transfers and refinancing, including ABCP-backed debt. The asset is nearly 100,000 sq.m., fully leased with long-term tenants, supporting stable cash flows. Acquired by IGIS in 2017 for KRW 720 billion, the sale delivered a gain of over KRW 300 billion, highlighting continued demand for core CBD offices.</t>
    <phoneticPr fontId="28" type="noConversion"/>
  </si>
  <si>
    <t>https://dealsite.co.kr/articles/152050</t>
    <phoneticPr fontId="28" type="noConversion"/>
  </si>
  <si>
    <t>Premier Place</t>
    <phoneticPr fontId="28" type="noConversion"/>
  </si>
  <si>
    <t>16,444 sq. m. (4,974 py)</t>
    <phoneticPr fontId="28" type="noConversion"/>
  </si>
  <si>
    <t>Money Today</t>
    <phoneticPr fontId="28" type="noConversion"/>
  </si>
  <si>
    <t>Premier Place is a mid-sized office building at 8 Cheonggyecheon-ro, Jung-gu, Seoul, completed in 1992 and adjacent to Gwanghwamun Station (Line 5). About two-thirds is leased to the Seoul Metropolitan Government, with the balance occupied by private tenants. The seller, GIC, which built its Gwanghwamun office portfolio post-1997, is accelerating divestments in the area following the sale of The Exchange Seoul.</t>
    <phoneticPr fontId="28" type="noConversion"/>
  </si>
  <si>
    <t>https://www.investchosun.com/site/data/html_dir/2025/09/26/2025092680169.html</t>
    <phoneticPr fontId="28" type="noConversion"/>
  </si>
  <si>
    <t>S1310 Building</t>
  </si>
  <si>
    <t>Seocho-gu</t>
    <phoneticPr fontId="28" type="noConversion"/>
  </si>
  <si>
    <t>Seocho-gu - GBD</t>
  </si>
  <si>
    <t>0.2 years (Built in 2025)</t>
    <phoneticPr fontId="28" type="noConversion"/>
  </si>
  <si>
    <t>13,753 sq. m. (4,160 py)</t>
    <phoneticPr fontId="28" type="noConversion"/>
  </si>
  <si>
    <t>Shinhan Investment &amp; Securities, HAIM Asset Management</t>
    <phoneticPr fontId="28" type="noConversion"/>
  </si>
  <si>
    <t>Edn Investment Management, KT&amp;G, Korea D&amp;I Co</t>
    <phoneticPr fontId="28" type="noConversion"/>
  </si>
  <si>
    <t>Hyundai Alternative Asset Management acquired a Gangnam Station office from KT&amp;G for KRW 179.3 billion. Gamechanger ShiftUp invested as an SI and signed a 10-year master lease to use the building as its headquarters. The newly completed office is located in Seocho-dong, Gangnam area.</t>
    <phoneticPr fontId="28" type="noConversion"/>
  </si>
  <si>
    <t>https://www.corebeat.co.kr/article/1576</t>
    <phoneticPr fontId="28" type="noConversion"/>
  </si>
  <si>
    <t>LG Gwanghwamun Building</t>
  </si>
  <si>
    <t>51,312 sq. m. (15,522 py)</t>
    <phoneticPr fontId="28" type="noConversion"/>
  </si>
  <si>
    <t>LX Holdings</t>
    <phoneticPr fontId="28" type="noConversion"/>
  </si>
  <si>
    <t>LG Corp.</t>
    <phoneticPr fontId="28" type="noConversion"/>
  </si>
  <si>
    <t>The building is occupied by LX Holdings and key affiliates, which had been paying about KRW 17.7 billion annually in rent. Owner-occupation will eliminate this cost and improve financial efficiency. The transaction is seen not as a non-core asset sale by LG, but as a symbolic step finalizing the groups’ independent management structures.</t>
    <phoneticPr fontId="28" type="noConversion"/>
  </si>
  <si>
    <t>https://www.chosun.com/economy/industry-company/2025/10/24/FK42GVDBQVEOBAGRBGFALBDAWA/#:~:text=%EC%A7%80%EC%A3%BC%EC%82%AC%EC%9D%B8%20LX%ED%99%80%EB%94%A9%EC%8A%A4%EC%99%80,12%EC%9B%94%2031%EC%9D%BC%EC%9E%85%EB%8B%88%EB%8B%A4.</t>
    <phoneticPr fontId="28" type="noConversion"/>
  </si>
  <si>
    <t>Seoul Key Government Policies</t>
    <phoneticPr fontId="28" type="noConversion"/>
  </si>
  <si>
    <r>
      <t xml:space="preserve">
According to the Seoul City's recent announcement ('Seoul City Planning 2040') on 3rd March 2022, deregulation in CBD, GBD, and YBD were planned.
(*'Seoul City Planning 2040' is the highest legal order regarding city planning and is legally binding)
:Seoul Metropolitan Government made an announcement in th 5th of January that the ratio of non-residential facilities in commercial and semi-residential areas will be abolished and eased. In the case of commercial areas, the urban planning ordinance will be revised in the first half of this year to lower the ratio from 20 percent of total floor area to 10 percent, and the 10 percent floor area ratio regulation for semi-residential areas that are not affected by the ordinance will be immediately abolished by revising the city district unit planning standard this month. When introducing rental housing or public dormitories in general and neighboring commercial areas, the government will also allow single apartment houses with 100 percent housing, not residential and commercial complexes.
:The Seoul Metropolitan Government has initiated an organizational reform to enhance the expertise of its real estate policies. This measure comes in response to confusion caused by the recent lifting and subsequent expansion of land transaction permit zones. On March 27, the city announced that it is in the process of formulating an improvement plan aimed at strengthening the pre-assessment system for major real estate policies—such as the designation and cancellation of land transaction permit zones—that could significantly impact the lives and economy of Seoul citizens. As part of this initiative, the city plans to reorganize and expand its existing department into a dedicated unit focused on analyzing real estate policies and market trends. (2025 Q1)
</t>
    </r>
    <r>
      <rPr>
        <b/>
        <u/>
        <sz val="12"/>
        <color rgb="FFFF0000"/>
        <rFont val="Open Sans"/>
        <family val="2"/>
      </rPr>
      <t>: No particular updates in 2025 Q4</t>
    </r>
    <r>
      <rPr>
        <u/>
        <sz val="12"/>
        <rFont val="Open Sans"/>
        <family val="2"/>
      </rPr>
      <t xml:space="preserve">
</t>
    </r>
    <r>
      <rPr>
        <sz val="12"/>
        <rFont val="Open Sans"/>
        <family val="2"/>
      </rPr>
      <t xml:space="preserve">
CBD
: Seoul City is planning to ease floor-height regulations, floor area ratio, and development methods.
: The Seoul Mayor announced the 'Yongsan International Business District Development Plan' on February 5th 2024. The plan is composed of three zones: International Business Zone, Office Complex Zone,and Business Support Zone. A landmark tower the height of a 100 floor is planned in the International Business Zone, and hotels, terminals, parks and officetels are planned for the other two zones.
GBD
: The Seoul Metropolitan government has announced that it will introduce the time limit system for the apartment development plan to include the construction of the day care center for seniors  in the Apgujeong district 2 -5 and Daechi apartment and Mido apartment. </t>
    </r>
    <r>
      <rPr>
        <b/>
        <u/>
        <sz val="12"/>
        <color rgb="FF00B050"/>
        <rFont val="Open Sans"/>
        <family val="2"/>
      </rPr>
      <t xml:space="preserve">
</t>
    </r>
    <r>
      <rPr>
        <sz val="12"/>
        <rFont val="Open Sans"/>
        <family val="2"/>
      </rPr>
      <t>:Gangnam-gu, Seoul announced on the 17th that it has designated Garosu-gil (Sinsa-dong 667-13, 82,887</t>
    </r>
    <r>
      <rPr>
        <sz val="12"/>
        <rFont val="맑은 고딕"/>
        <family val="3"/>
        <charset val="129"/>
      </rPr>
      <t>㎡</t>
    </r>
    <r>
      <rPr>
        <sz val="12"/>
        <rFont val="Open Sans"/>
        <family val="2"/>
      </rPr>
      <t xml:space="preserve">) as a special street area that has eased regulations on the right to sunlight. As a result, regulations on building height and right to sunlight will be eased or excluded, and existing buildings can be expanded or remodeled.
YBD:
: The Seoul Metropolitan government has announced that apartment development plan included in the Yeondeungpo district must construct a day care center for seniors and when excluded the development plan will be canceled.  </t>
    </r>
    <phoneticPr fontId="28" type="noConversion"/>
  </si>
  <si>
    <t xml:space="preserve"> </t>
    <phoneticPr fontId="2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</si>
</sst>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7">
    <numFmt numFmtId="42" formatCode="_(&quot;$&quot;* #,##0_);_(&quot;$&quot;* \(#,##0\);_(&quot;$&quot;* &quot;-&quot;_);_(@_)"/>
    <numFmt numFmtId="43" formatCode="_(* #,##0.00_);_(* \(#,##0.00\);_(* &quot;-&quot;??_);_(@_)"/>
    <numFmt numFmtId="164" formatCode="_-&quot;₩&quot;* #,##0_-;\-&quot;₩&quot;* #,##0_-;_-&quot;₩&quot;* &quot;-&quot;_-;_-@_-"/>
    <numFmt numFmtId="165" formatCode="_-* #,##0_-;\-* #,##0_-;_-* &quot;-&quot;_-;_-@_-"/>
    <numFmt numFmtId="166" formatCode="_-* #,##0.00_-;\-* #,##0.00_-;_-* &quot;-&quot;??_-;_-@_-"/>
    <numFmt numFmtId="167" formatCode="_-&quot;$&quot;* #,##0_-;\-&quot;$&quot;* #,##0_-;_-&quot;$&quot;* &quot;-&quot;_-;_-@_-"/>
    <numFmt numFmtId="168" formatCode="0.0"/>
    <numFmt numFmtId="169" formatCode="_-* #,##0_-;\-* #,##0_-;_-* &quot;-&quot;??_-;_-@_-"/>
    <numFmt numFmtId="170" formatCode="0.0%"/>
    <numFmt numFmtId="171" formatCode="_ * #,##0_ ;_ * \-#,##0_ ;_ * &quot;-&quot;??_ ;_ @_ "/>
    <numFmt numFmtId="172" formatCode="_ * #,##0.00_ ;_ * \-#,##0.00_ ;_ * &quot;-&quot;??_ ;_ @_ "/>
    <numFmt numFmtId="173" formatCode="&quot;$&quot;#,##0.00"/>
    <numFmt numFmtId="174" formatCode="_-* #,##0.0_-;\-* #,##0.0_-;_-* &quot;-&quot;_-;_-@_-"/>
    <numFmt numFmtId="175" formatCode="0.0%&quot;p&quot;"/>
    <numFmt numFmtId="176" formatCode="[$-409]mmm\-yy;@"/>
    <numFmt numFmtId="177" formatCode="_-* #,##0.0_-;\-* #,##0.0_-;_-* &quot;-&quot;??_-;_-@_-"/>
    <numFmt numFmtId="178" formatCode="&quot;KRW&quot;\ #,###\ &quot;psm&quot;"/>
    <numFmt numFmtId="179" formatCode="yyyy/mm/dd;@"/>
    <numFmt numFmtId="180" formatCode="_-* #,##0.00_-;\-* #,##0.00_-;_-* &quot;-&quot;_-;_-@_-"/>
    <numFmt numFmtId="181" formatCode="&quot;KRW&quot;\ 0.0\ &quot;mil py&quot;"/>
    <numFmt numFmtId="182" formatCode="#,##0\ &quot;py&quot;"/>
    <numFmt numFmtId="183" formatCode="#,##0\ &quot;sq. m.&quot;"/>
    <numFmt numFmtId="184" formatCode="#,##0\ &quot;sf&quot;"/>
    <numFmt numFmtId="185" formatCode="&quot;USD&quot;\ #,##0"/>
    <numFmt numFmtId="186" formatCode="&quot;KRW&quot;\ #,##0.0\ &quot;billion&quot;"/>
    <numFmt numFmtId="187" formatCode="&quot;(~SGD&quot;\ #,##0.00\ &quot;million)&quot;"/>
    <numFmt numFmtId="188" formatCode="0.000%"/>
  </numFmts>
  <fonts count="139">
    <font>
      <sz val="11"/>
      <color theme="1"/>
      <name val="Calibri"/>
      <family val="2"/>
      <scheme val="minor"/>
    </font>
    <font>
      <sz val="11"/>
      <color theme="1"/>
      <name val="Calibri"/>
      <family val="2"/>
      <charset val="129"/>
      <scheme val="minor"/>
    </font>
    <font>
      <sz val="11"/>
      <color theme="1"/>
      <name val="Calibri"/>
      <family val="2"/>
      <scheme val="minor"/>
    </font>
    <font>
      <sz val="10"/>
      <name val="Arial"/>
      <family val="2"/>
    </font>
    <font>
      <sz val="11"/>
      <color theme="1"/>
      <name val="Open Sans"/>
      <family val="2"/>
    </font>
    <font>
      <sz val="10"/>
      <color theme="0"/>
      <name val="Open Sans"/>
      <family val="2"/>
    </font>
    <font>
      <sz val="10"/>
      <name val="Open Sans"/>
      <family val="2"/>
    </font>
    <font>
      <sz val="10"/>
      <color theme="1"/>
      <name val="Open Sans"/>
      <family val="2"/>
    </font>
    <font>
      <b/>
      <sz val="18"/>
      <color theme="1"/>
      <name val="Open Sans"/>
      <family val="2"/>
    </font>
    <font>
      <b/>
      <sz val="10"/>
      <color theme="0"/>
      <name val="Open Sans"/>
      <family val="2"/>
    </font>
    <font>
      <b/>
      <sz val="22"/>
      <color theme="0"/>
      <name val="Open Sans"/>
      <family val="2"/>
    </font>
    <font>
      <sz val="11"/>
      <color theme="0"/>
      <name val="Open Sans"/>
      <family val="2"/>
    </font>
    <font>
      <b/>
      <sz val="14"/>
      <color theme="0"/>
      <name val="Open Sans"/>
      <family val="2"/>
    </font>
    <font>
      <b/>
      <sz val="26"/>
      <color theme="1"/>
      <name val="Calibri"/>
      <family val="2"/>
      <scheme val="minor"/>
    </font>
    <font>
      <b/>
      <sz val="10"/>
      <color theme="1"/>
      <name val="Open Sans"/>
      <family val="2"/>
    </font>
    <font>
      <b/>
      <sz val="11"/>
      <color theme="1"/>
      <name val="Open Sans"/>
      <family val="2"/>
    </font>
    <font>
      <b/>
      <sz val="22"/>
      <color theme="1"/>
      <name val="Open Sans"/>
      <family val="2"/>
    </font>
    <font>
      <sz val="12"/>
      <name val="Times New Roman"/>
      <family val="1"/>
    </font>
    <font>
      <sz val="11"/>
      <color theme="1"/>
      <name val="Calibri"/>
      <family val="2"/>
      <charset val="134"/>
      <scheme val="minor"/>
    </font>
    <font>
      <sz val="12"/>
      <name val="宋体"/>
      <family val="3"/>
      <charset val="134"/>
    </font>
    <font>
      <b/>
      <sz val="11"/>
      <color theme="0"/>
      <name val="Open Sans"/>
      <family val="2"/>
    </font>
    <font>
      <sz val="12"/>
      <color theme="1"/>
      <name val="Calibri"/>
      <family val="1"/>
      <charset val="136"/>
      <scheme val="minor"/>
    </font>
    <font>
      <sz val="12"/>
      <name val="新細明體"/>
      <family val="1"/>
      <charset val="136"/>
    </font>
    <font>
      <sz val="8"/>
      <name val="Calibri"/>
      <family val="2"/>
      <scheme val="minor"/>
    </font>
    <font>
      <sz val="18"/>
      <color theme="1"/>
      <name val="Open Sans"/>
      <family val="2"/>
    </font>
    <font>
      <sz val="11"/>
      <color rgb="FFFF0000"/>
      <name val="Open Sans"/>
      <family val="2"/>
    </font>
    <font>
      <sz val="8"/>
      <color theme="1"/>
      <name val="Open Sans"/>
      <family val="2"/>
    </font>
    <font>
      <b/>
      <sz val="11"/>
      <color rgb="FF25408F"/>
      <name val="Open Sans"/>
      <family val="2"/>
    </font>
    <font>
      <sz val="8"/>
      <name val="Calibri"/>
      <family val="3"/>
      <charset val="129"/>
      <scheme val="minor"/>
    </font>
    <font>
      <sz val="11"/>
      <name val="돋움"/>
      <family val="3"/>
      <charset val="129"/>
    </font>
    <font>
      <sz val="8"/>
      <name val="Arial"/>
      <family val="2"/>
    </font>
    <font>
      <sz val="10"/>
      <color theme="1"/>
      <name val="Gill Sans"/>
      <family val="2"/>
    </font>
    <font>
      <sz val="11"/>
      <color theme="1"/>
      <name val="Calibri"/>
      <family val="3"/>
      <charset val="129"/>
      <scheme val="minor"/>
    </font>
    <font>
      <sz val="10"/>
      <color theme="1"/>
      <name val="Gill Sans for CW"/>
      <family val="2"/>
    </font>
    <font>
      <sz val="11"/>
      <color indexed="8"/>
      <name val="맑은 고딕"/>
      <family val="3"/>
      <charset val="129"/>
    </font>
    <font>
      <sz val="10"/>
      <color indexed="9"/>
      <name val="Arial"/>
      <family val="2"/>
    </font>
    <font>
      <i/>
      <sz val="10"/>
      <color indexed="13"/>
      <name val="Arial"/>
      <family val="2"/>
    </font>
    <font>
      <sz val="10"/>
      <color indexed="13"/>
      <name val="Arial"/>
      <family val="2"/>
    </font>
    <font>
      <b/>
      <i/>
      <sz val="9"/>
      <name val="Arial"/>
      <family val="2"/>
    </font>
    <font>
      <b/>
      <sz val="9"/>
      <name val="Arial"/>
      <family val="2"/>
    </font>
    <font>
      <i/>
      <sz val="10"/>
      <name val="Arial"/>
      <family val="2"/>
    </font>
    <font>
      <sz val="6"/>
      <color indexed="8"/>
      <name val="굴림"/>
      <family val="3"/>
      <charset val="129"/>
    </font>
    <font>
      <sz val="12"/>
      <name val="바탕체"/>
      <family val="1"/>
      <charset val="129"/>
    </font>
    <font>
      <sz val="10"/>
      <name val="돋움체"/>
      <family val="3"/>
      <charset val="129"/>
    </font>
    <font>
      <u/>
      <sz val="11"/>
      <color theme="10"/>
      <name val="Calibri"/>
      <family val="3"/>
      <charset val="129"/>
      <scheme val="minor"/>
    </font>
    <font>
      <sz val="9"/>
      <color theme="1"/>
      <name val="Open Sans"/>
      <family val="2"/>
    </font>
    <font>
      <sz val="11"/>
      <name val="Open Sans"/>
      <family val="2"/>
    </font>
    <font>
      <sz val="8"/>
      <color theme="1"/>
      <name val="Calibri"/>
      <family val="3"/>
      <charset val="129"/>
      <scheme val="minor"/>
    </font>
    <font>
      <sz val="11"/>
      <color rgb="FF000000"/>
      <name val="Calibri"/>
      <family val="2"/>
    </font>
    <font>
      <sz val="8"/>
      <color theme="1"/>
      <name val="Calibri"/>
      <family val="2"/>
      <scheme val="minor"/>
    </font>
    <font>
      <sz val="10"/>
      <color rgb="FFFF0000"/>
      <name val="Open Sans"/>
      <family val="2"/>
    </font>
    <font>
      <sz val="18"/>
      <color rgb="FFFF0000"/>
      <name val="Open Sans"/>
      <family val="2"/>
    </font>
    <font>
      <sz val="16"/>
      <color rgb="FFFF0000"/>
      <name val="Open Sans"/>
      <family val="2"/>
    </font>
    <font>
      <b/>
      <sz val="11"/>
      <color theme="1"/>
      <name val="Calibri"/>
      <family val="3"/>
      <charset val="129"/>
      <scheme val="minor"/>
    </font>
    <font>
      <sz val="18"/>
      <name val="Open Sans"/>
      <family val="2"/>
    </font>
    <font>
      <sz val="16"/>
      <name val="Open Sans"/>
      <family val="2"/>
    </font>
    <font>
      <sz val="24"/>
      <name val="Open Sans"/>
      <family val="2"/>
    </font>
    <font>
      <b/>
      <sz val="8"/>
      <color rgb="FFFFFFFF"/>
      <name val="Open Sans"/>
      <family val="2"/>
    </font>
    <font>
      <sz val="8"/>
      <color rgb="FF4A4A4D"/>
      <name val="Open Sans"/>
      <family val="2"/>
    </font>
    <font>
      <b/>
      <sz val="8"/>
      <color rgb="FF4A4A4D"/>
      <name val="Open Sans"/>
      <family val="2"/>
    </font>
    <font>
      <sz val="12"/>
      <color theme="1"/>
      <name val="Open Sans"/>
      <family val="2"/>
    </font>
    <font>
      <sz val="14"/>
      <color theme="1"/>
      <name val="Open Sans"/>
      <family val="2"/>
    </font>
    <font>
      <sz val="16"/>
      <color theme="1"/>
      <name val="Open Sans"/>
      <family val="2"/>
    </font>
    <font>
      <b/>
      <sz val="10"/>
      <name val="Open Sans"/>
      <family val="2"/>
    </font>
    <font>
      <sz val="11"/>
      <color rgb="FF00B050"/>
      <name val="Open Sans"/>
      <family val="2"/>
    </font>
    <font>
      <b/>
      <sz val="11"/>
      <color rgb="FF00B050"/>
      <name val="Open Sans"/>
      <family val="2"/>
    </font>
    <font>
      <sz val="11"/>
      <name val="Calibri"/>
      <family val="2"/>
      <scheme val="minor"/>
    </font>
    <font>
      <i/>
      <sz val="10"/>
      <color rgb="FFFF0000"/>
      <name val="Open Sans"/>
      <family val="2"/>
    </font>
    <font>
      <b/>
      <sz val="10"/>
      <color rgb="FFFF0000"/>
      <name val="Open Sans"/>
      <family val="2"/>
    </font>
    <font>
      <sz val="11"/>
      <name val="Calibri"/>
      <family val="3"/>
      <charset val="129"/>
      <scheme val="minor"/>
    </font>
    <font>
      <b/>
      <u/>
      <sz val="11"/>
      <color theme="1"/>
      <name val="Open Sans"/>
      <family val="2"/>
    </font>
    <font>
      <b/>
      <u/>
      <sz val="11"/>
      <name val="Open Sans"/>
      <family val="2"/>
    </font>
    <font>
      <sz val="10"/>
      <color theme="1"/>
      <name val="Open Sans"/>
      <family val="3"/>
    </font>
    <font>
      <sz val="14"/>
      <name val="Open Sans"/>
      <family val="2"/>
    </font>
    <font>
      <b/>
      <sz val="20"/>
      <color theme="1"/>
      <name val="Open Sans"/>
      <family val="2"/>
    </font>
    <font>
      <b/>
      <sz val="14"/>
      <color rgb="FF25408F"/>
      <name val="Open Sans"/>
      <family val="2"/>
    </font>
    <font>
      <b/>
      <sz val="14"/>
      <name val="Open Sans"/>
      <family val="2"/>
    </font>
    <font>
      <b/>
      <sz val="13"/>
      <color rgb="FF25408F"/>
      <name val="Open Sans"/>
      <family val="2"/>
    </font>
    <font>
      <b/>
      <sz val="14"/>
      <color theme="1"/>
      <name val="Open Sans"/>
      <family val="2"/>
    </font>
    <font>
      <b/>
      <sz val="13"/>
      <color theme="1"/>
      <name val="Open Sans"/>
      <family val="2"/>
    </font>
    <font>
      <sz val="14"/>
      <color theme="0"/>
      <name val="Open Sans"/>
      <family val="2"/>
    </font>
    <font>
      <b/>
      <sz val="16"/>
      <color rgb="FF25408F"/>
      <name val="Open Sans"/>
      <family val="2"/>
    </font>
    <font>
      <b/>
      <sz val="16"/>
      <color theme="1"/>
      <name val="Open Sans"/>
      <family val="2"/>
    </font>
    <font>
      <b/>
      <sz val="16"/>
      <color theme="0"/>
      <name val="Open Sans"/>
      <family val="2"/>
    </font>
    <font>
      <i/>
      <sz val="15"/>
      <color theme="1"/>
      <name val="Open Sans"/>
      <family val="2"/>
    </font>
    <font>
      <sz val="15"/>
      <color theme="1"/>
      <name val="Open Sans"/>
      <family val="2"/>
    </font>
    <font>
      <sz val="12"/>
      <name val="Open Sans"/>
      <family val="2"/>
    </font>
    <font>
      <b/>
      <sz val="12"/>
      <color theme="1"/>
      <name val="Open Sans"/>
      <family val="2"/>
    </font>
    <font>
      <sz val="13"/>
      <color theme="1"/>
      <name val="Open Sans"/>
      <family val="2"/>
    </font>
    <font>
      <sz val="13"/>
      <name val="Open Sans"/>
      <family val="2"/>
    </font>
    <font>
      <b/>
      <sz val="13"/>
      <name val="Open Sans"/>
      <family val="2"/>
    </font>
    <font>
      <b/>
      <sz val="14"/>
      <color rgb="FFFFFFFF"/>
      <name val="Open Sans"/>
      <family val="2"/>
    </font>
    <font>
      <i/>
      <sz val="14"/>
      <color theme="1"/>
      <name val="Open Sans"/>
      <family val="2"/>
    </font>
    <font>
      <sz val="14"/>
      <color theme="1" tint="4.9989318521683403E-2"/>
      <name val="Open Sans"/>
      <family val="2"/>
    </font>
    <font>
      <sz val="14"/>
      <color rgb="FF000000"/>
      <name val="Open Sans"/>
      <family val="2"/>
    </font>
    <font>
      <b/>
      <sz val="14"/>
      <color rgb="FF000000"/>
      <name val="Open Sans"/>
      <family val="2"/>
    </font>
    <font>
      <sz val="14"/>
      <color rgb="FF00B050"/>
      <name val="Open Sans"/>
      <family val="2"/>
    </font>
    <font>
      <b/>
      <sz val="13"/>
      <color theme="0"/>
      <name val="Open Sans"/>
      <family val="2"/>
    </font>
    <font>
      <b/>
      <sz val="13"/>
      <color rgb="FF00B050"/>
      <name val="Open Sans"/>
      <family val="2"/>
    </font>
    <font>
      <sz val="13"/>
      <color rgb="FF00B050"/>
      <name val="Open Sans"/>
      <family val="2"/>
    </font>
    <font>
      <b/>
      <u/>
      <sz val="13"/>
      <color theme="1"/>
      <name val="Open Sans"/>
      <family val="2"/>
    </font>
    <font>
      <b/>
      <u/>
      <sz val="13"/>
      <name val="Open Sans"/>
      <family val="2"/>
    </font>
    <font>
      <b/>
      <u/>
      <sz val="13"/>
      <color rgb="FF00B050"/>
      <name val="Open Sans"/>
      <family val="2"/>
    </font>
    <font>
      <sz val="13"/>
      <color theme="0"/>
      <name val="Open Sans"/>
      <family val="2"/>
    </font>
    <font>
      <sz val="10"/>
      <color rgb="FF00B050"/>
      <name val="Open Sans"/>
      <family val="2"/>
    </font>
    <font>
      <b/>
      <sz val="14"/>
      <color rgb="FF00B050"/>
      <name val="Open Sans"/>
      <family val="2"/>
    </font>
    <font>
      <sz val="24"/>
      <color rgb="FF00B050"/>
      <name val="Open Sans"/>
      <family val="2"/>
    </font>
    <font>
      <sz val="16"/>
      <color rgb="FF00B050"/>
      <name val="Open Sans"/>
      <family val="2"/>
    </font>
    <font>
      <b/>
      <sz val="12"/>
      <color theme="0"/>
      <name val="Open Sans"/>
      <family val="2"/>
    </font>
    <font>
      <sz val="18"/>
      <color rgb="FF00B050"/>
      <name val="Open Sans"/>
      <family val="2"/>
    </font>
    <font>
      <b/>
      <u/>
      <sz val="12"/>
      <color rgb="FF00B050"/>
      <name val="Open Sans"/>
      <family val="2"/>
    </font>
    <font>
      <b/>
      <u/>
      <sz val="12"/>
      <color rgb="FF3333FF"/>
      <name val="Arial"/>
      <family val="2"/>
    </font>
    <font>
      <b/>
      <u/>
      <sz val="12"/>
      <color theme="1"/>
      <name val="Calibri"/>
      <family val="2"/>
      <scheme val="minor"/>
    </font>
    <font>
      <b/>
      <i/>
      <sz val="8"/>
      <color rgb="FFFF0000"/>
      <name val="Calibri"/>
      <family val="2"/>
      <scheme val="minor"/>
    </font>
    <font>
      <b/>
      <sz val="11"/>
      <name val="Calibri"/>
      <family val="2"/>
      <scheme val="minor"/>
    </font>
    <font>
      <sz val="11"/>
      <color rgb="FF000000"/>
      <name val="Arial"/>
      <family val="2"/>
    </font>
    <font>
      <b/>
      <sz val="11"/>
      <color rgb="FF0070C0"/>
      <name val="Arial"/>
      <family val="2"/>
    </font>
    <font>
      <sz val="10"/>
      <color rgb="FF00B050"/>
      <name val="Arial"/>
      <family val="2"/>
    </font>
    <font>
      <sz val="11"/>
      <color rgb="FF00B050"/>
      <name val="Calibri"/>
      <family val="2"/>
      <scheme val="minor"/>
    </font>
    <font>
      <sz val="11"/>
      <name val="Wingdings"/>
      <charset val="2"/>
    </font>
    <font>
      <b/>
      <sz val="11"/>
      <name val="Arial"/>
      <family val="2"/>
    </font>
    <font>
      <sz val="11"/>
      <name val="Calibri"/>
      <family val="2"/>
    </font>
    <font>
      <sz val="11"/>
      <color rgb="FF00B050"/>
      <name val="Calibri"/>
      <family val="2"/>
    </font>
    <font>
      <sz val="10"/>
      <color rgb="FF000000"/>
      <name val="Arial"/>
      <family val="2"/>
    </font>
    <font>
      <sz val="12"/>
      <name val="맑은 고딕"/>
      <family val="3"/>
      <charset val="129"/>
    </font>
    <font>
      <u/>
      <sz val="11"/>
      <color theme="10"/>
      <name val="Calibri"/>
      <family val="2"/>
      <scheme val="minor"/>
    </font>
    <font>
      <sz val="13"/>
      <name val="맑은 고딕"/>
      <family val="2"/>
      <charset val="129"/>
    </font>
    <font>
      <sz val="12"/>
      <name val="Open Sans"/>
      <family val="2"/>
      <charset val="129"/>
    </font>
    <font>
      <sz val="17"/>
      <name val="Open Sans"/>
      <family val="2"/>
    </font>
    <font>
      <sz val="8"/>
      <color rgb="FF00B050"/>
      <name val="Open Sans"/>
      <family val="2"/>
    </font>
    <font>
      <b/>
      <sz val="8"/>
      <color rgb="FF00B050"/>
      <name val="Open Sans"/>
      <family val="2"/>
    </font>
    <font>
      <sz val="20"/>
      <name val="Open Sans"/>
      <family val="2"/>
    </font>
    <font>
      <sz val="14"/>
      <color rgb="FFFF0000"/>
      <name val="Open Sans"/>
      <family val="2"/>
    </font>
    <font>
      <b/>
      <u/>
      <sz val="12"/>
      <color rgb="FFFF0000"/>
      <name val="Open Sans"/>
      <family val="2"/>
    </font>
    <font>
      <u/>
      <sz val="12"/>
      <name val="Open Sans"/>
      <family val="2"/>
    </font>
    <font>
      <u/>
      <sz val="16"/>
      <name val="Open Sans"/>
      <family val="2"/>
    </font>
    <font>
      <sz val="16"/>
      <name val="Microsoft YaHei"/>
      <family val="2"/>
      <charset val="134"/>
    </font>
    <font>
      <sz val="16"/>
      <name val="Open Sans"/>
      <family val="3"/>
    </font>
    <font>
      <sz val="11"/>
      <color theme="1"/>
      <name val="Segoe UI Symbol"/>
      <family val="2"/>
    </font>
  </fonts>
  <fills count="24">
    <fill>
      <patternFill patternType="none"/>
    </fill>
    <fill>
      <patternFill patternType="gray125"/>
    </fill>
    <fill>
      <patternFill patternType="solid">
        <fgColor rgb="FF25408F"/>
        <bgColor indexed="64"/>
      </patternFill>
    </fill>
    <fill>
      <patternFill patternType="solid">
        <fgColor theme="4" tint="0.79998168889431442"/>
        <bgColor indexed="64"/>
      </patternFill>
    </fill>
    <fill>
      <patternFill patternType="solid">
        <fgColor theme="4" tint="-0.499984740745262"/>
        <bgColor indexed="64"/>
      </patternFill>
    </fill>
    <fill>
      <patternFill patternType="solid">
        <fgColor theme="4" tint="0.39997558519241921"/>
        <bgColor indexed="64"/>
      </patternFill>
    </fill>
    <fill>
      <patternFill patternType="solid">
        <fgColor rgb="FFB7E4F4"/>
        <bgColor indexed="64"/>
      </patternFill>
    </fill>
    <fill>
      <patternFill patternType="solid">
        <fgColor rgb="FF0C9ED9"/>
        <bgColor indexed="64"/>
      </patternFill>
    </fill>
    <fill>
      <patternFill patternType="solid">
        <fgColor theme="0"/>
        <bgColor indexed="64"/>
      </patternFill>
    </fill>
    <fill>
      <patternFill patternType="solid">
        <fgColor indexed="22"/>
        <bgColor indexed="64"/>
      </patternFill>
    </fill>
    <fill>
      <patternFill patternType="solid">
        <fgColor indexed="55"/>
        <bgColor indexed="64"/>
      </patternFill>
    </fill>
    <fill>
      <patternFill patternType="solid">
        <fgColor indexed="54"/>
        <bgColor indexed="64"/>
      </patternFill>
    </fill>
    <fill>
      <patternFill patternType="solid">
        <fgColor indexed="48"/>
        <bgColor indexed="64"/>
      </patternFill>
    </fill>
    <fill>
      <patternFill patternType="solid">
        <fgColor indexed="26"/>
        <bgColor indexed="64"/>
      </patternFill>
    </fill>
    <fill>
      <patternFill patternType="solid">
        <fgColor indexed="27"/>
        <bgColor indexed="64"/>
      </patternFill>
    </fill>
    <fill>
      <patternFill patternType="solid">
        <fgColor rgb="FFFF0000"/>
        <bgColor indexed="64"/>
      </patternFill>
    </fill>
    <fill>
      <patternFill patternType="solid">
        <fgColor rgb="FFFFC000"/>
        <bgColor indexed="64"/>
      </patternFill>
    </fill>
    <fill>
      <patternFill patternType="solid">
        <fgColor theme="4" tint="0.79998168889431442"/>
        <bgColor theme="4" tint="0.79998168889431442"/>
      </patternFill>
    </fill>
    <fill>
      <patternFill patternType="solid">
        <fgColor rgb="FFFFFF00"/>
        <bgColor indexed="64"/>
      </patternFill>
    </fill>
    <fill>
      <patternFill patternType="solid">
        <fgColor theme="0" tint="-0.14999847407452621"/>
        <bgColor indexed="64"/>
      </patternFill>
    </fill>
    <fill>
      <patternFill patternType="solid">
        <fgColor rgb="FF00B050"/>
        <bgColor indexed="64"/>
      </patternFill>
    </fill>
    <fill>
      <patternFill patternType="solid">
        <fgColor theme="0" tint="-4.9989318521683403E-2"/>
        <bgColor indexed="64"/>
      </patternFill>
    </fill>
    <fill>
      <patternFill patternType="solid">
        <fgColor rgb="FF339088"/>
        <bgColor indexed="64"/>
      </patternFill>
    </fill>
    <fill>
      <patternFill patternType="solid">
        <fgColor rgb="FFC00000"/>
        <bgColor indexed="64"/>
      </patternFill>
    </fill>
  </fills>
  <borders count="97">
    <border>
      <left/>
      <right/>
      <top/>
      <bottom/>
      <diagonal/>
    </border>
    <border>
      <left style="medium">
        <color rgb="FFFFFFFF"/>
      </left>
      <right/>
      <top style="medium">
        <color rgb="FFFFFFFF"/>
      </top>
      <bottom style="medium">
        <color rgb="FFFFFFFF"/>
      </bottom>
      <diagonal/>
    </border>
    <border>
      <left style="thin">
        <color indexed="64"/>
      </left>
      <right style="thin">
        <color indexed="64"/>
      </right>
      <top style="thin">
        <color indexed="64"/>
      </top>
      <bottom style="thin">
        <color indexed="64"/>
      </bottom>
      <diagonal/>
    </border>
    <border>
      <left/>
      <right/>
      <top style="medium">
        <color rgb="FFFFFFFF"/>
      </top>
      <bottom style="medium">
        <color rgb="FFFFFFFF"/>
      </bottom>
      <diagonal/>
    </border>
    <border>
      <left/>
      <right style="medium">
        <color rgb="FFFFFFFF"/>
      </right>
      <top style="medium">
        <color rgb="FFFFFFFF"/>
      </top>
      <bottom style="medium">
        <color rgb="FFFFFFFF"/>
      </bottom>
      <diagonal/>
    </border>
    <border>
      <left style="medium">
        <color rgb="FFFFFFFF"/>
      </left>
      <right style="medium">
        <color rgb="FFFFFFFF"/>
      </right>
      <top/>
      <bottom style="medium">
        <color rgb="FFFFFFFF"/>
      </bottom>
      <diagonal/>
    </border>
    <border>
      <left/>
      <right style="medium">
        <color rgb="FFFFFFFF"/>
      </right>
      <top/>
      <bottom style="medium">
        <color rgb="FFFFFFFF"/>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style="thin">
        <color indexed="64"/>
      </top>
      <bottom/>
      <diagonal/>
    </border>
    <border>
      <left style="thin">
        <color indexed="64"/>
      </left>
      <right/>
      <top/>
      <bottom/>
      <diagonal/>
    </border>
    <border>
      <left style="thin">
        <color indexed="64"/>
      </left>
      <right style="thin">
        <color indexed="64"/>
      </right>
      <top style="thin">
        <color indexed="64"/>
      </top>
      <bottom/>
      <diagonal/>
    </border>
    <border>
      <left style="thin">
        <color theme="4" tint="0.39997558519241921"/>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style="medium">
        <color indexed="64"/>
      </top>
      <bottom/>
      <diagonal/>
    </border>
    <border>
      <left/>
      <right/>
      <top/>
      <bottom style="medium">
        <color indexed="64"/>
      </bottom>
      <diagonal/>
    </border>
    <border>
      <left/>
      <right/>
      <top style="thin">
        <color indexed="64"/>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thin">
        <color theme="4" tint="0.39997558519241921"/>
      </top>
      <bottom/>
      <diagonal/>
    </border>
    <border>
      <left/>
      <right style="thin">
        <color theme="4" tint="0.39997558519241921"/>
      </right>
      <top style="thin">
        <color theme="4" tint="0.39997558519241921"/>
      </top>
      <bottom/>
      <diagonal/>
    </border>
    <border>
      <left/>
      <right style="thin">
        <color theme="4" tint="0.39997558519241921"/>
      </right>
      <top/>
      <bottom/>
      <diagonal/>
    </border>
    <border>
      <left/>
      <right/>
      <top/>
      <bottom style="thin">
        <color theme="4" tint="0.39997558519241921"/>
      </bottom>
      <diagonal/>
    </border>
    <border>
      <left/>
      <right style="thin">
        <color theme="4" tint="0.39997558519241921"/>
      </right>
      <top/>
      <bottom style="thin">
        <color theme="4" tint="0.39997558519241921"/>
      </bottom>
      <diagonal/>
    </border>
    <border>
      <left style="thin">
        <color indexed="8"/>
      </left>
      <right style="thin">
        <color indexed="8"/>
      </right>
      <top style="thin">
        <color indexed="8"/>
      </top>
      <bottom style="thin">
        <color indexed="8"/>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medium">
        <color theme="0"/>
      </left>
      <right style="medium">
        <color theme="0"/>
      </right>
      <top style="medium">
        <color theme="0"/>
      </top>
      <bottom style="medium">
        <color theme="0"/>
      </bottom>
      <diagonal/>
    </border>
    <border>
      <left style="medium">
        <color rgb="FFFFFFFF"/>
      </left>
      <right/>
      <top style="medium">
        <color rgb="FFFFFFFF"/>
      </top>
      <bottom/>
      <diagonal/>
    </border>
    <border>
      <left style="medium">
        <color theme="0"/>
      </left>
      <right style="medium">
        <color theme="0"/>
      </right>
      <top style="medium">
        <color theme="0"/>
      </top>
      <bottom style="double">
        <color indexed="64"/>
      </bottom>
      <diagonal/>
    </border>
    <border>
      <left style="medium">
        <color theme="0"/>
      </left>
      <right style="medium">
        <color theme="0"/>
      </right>
      <top/>
      <bottom style="medium">
        <color theme="0"/>
      </bottom>
      <diagonal/>
    </border>
    <border>
      <left style="thin">
        <color indexed="64"/>
      </left>
      <right style="thin">
        <color indexed="64"/>
      </right>
      <top style="thin">
        <color indexed="64"/>
      </top>
      <bottom style="double">
        <color indexed="64"/>
      </bottom>
      <diagonal/>
    </border>
    <border>
      <left style="thin">
        <color theme="0" tint="-0.249977111117893"/>
      </left>
      <right style="thin">
        <color theme="0" tint="-0.249977111117893"/>
      </right>
      <top style="thin">
        <color theme="0" tint="-0.249977111117893"/>
      </top>
      <bottom/>
      <diagonal/>
    </border>
    <border>
      <left style="thin">
        <color theme="4" tint="0.39997558519241921"/>
      </left>
      <right style="thin">
        <color theme="4" tint="0.39994506668294322"/>
      </right>
      <top style="thin">
        <color theme="4" tint="0.39997558519241921"/>
      </top>
      <bottom style="thin">
        <color theme="4" tint="0.39994506668294322"/>
      </bottom>
      <diagonal/>
    </border>
    <border>
      <left style="thin">
        <color theme="4" tint="0.39994506668294322"/>
      </left>
      <right style="thin">
        <color theme="4" tint="0.39994506668294322"/>
      </right>
      <top style="thin">
        <color theme="4" tint="0.39997558519241921"/>
      </top>
      <bottom style="thin">
        <color theme="4" tint="0.39994506668294322"/>
      </bottom>
      <diagonal/>
    </border>
    <border>
      <left style="thin">
        <color theme="4" tint="0.39994506668294322"/>
      </left>
      <right style="thin">
        <color indexed="64"/>
      </right>
      <top style="thin">
        <color theme="4" tint="0.39997558519241921"/>
      </top>
      <bottom style="thin">
        <color theme="4" tint="0.39994506668294322"/>
      </bottom>
      <diagonal/>
    </border>
    <border>
      <left style="thin">
        <color theme="4" tint="0.39997558519241921"/>
      </left>
      <right style="thin">
        <color theme="4" tint="0.39994506668294322"/>
      </right>
      <top style="thin">
        <color theme="4" tint="0.39994506668294322"/>
      </top>
      <bottom style="thin">
        <color theme="4" tint="0.39994506668294322"/>
      </bottom>
      <diagonal/>
    </border>
    <border>
      <left style="thin">
        <color theme="4" tint="0.39994506668294322"/>
      </left>
      <right style="thin">
        <color theme="4" tint="0.39994506668294322"/>
      </right>
      <top style="thin">
        <color theme="4" tint="0.39994506668294322"/>
      </top>
      <bottom style="thin">
        <color theme="4" tint="0.39994506668294322"/>
      </bottom>
      <diagonal/>
    </border>
    <border>
      <left style="thin">
        <color theme="4" tint="0.39994506668294322"/>
      </left>
      <right style="thin">
        <color indexed="64"/>
      </right>
      <top style="thin">
        <color theme="4" tint="0.39994506668294322"/>
      </top>
      <bottom style="thin">
        <color theme="4" tint="0.39994506668294322"/>
      </bottom>
      <diagonal/>
    </border>
    <border>
      <left style="thin">
        <color theme="4" tint="0.39997558519241921"/>
      </left>
      <right style="thin">
        <color theme="4" tint="0.39994506668294322"/>
      </right>
      <top/>
      <bottom style="thin">
        <color theme="4" tint="0.39997558519241921"/>
      </bottom>
      <diagonal/>
    </border>
    <border>
      <left style="thin">
        <color theme="4" tint="0.39994506668294322"/>
      </left>
      <right style="thin">
        <color theme="4" tint="0.39994506668294322"/>
      </right>
      <top/>
      <bottom style="thin">
        <color theme="4" tint="0.39997558519241921"/>
      </bottom>
      <diagonal/>
    </border>
    <border>
      <left style="thin">
        <color theme="4" tint="0.39997558519241921"/>
      </left>
      <right style="thin">
        <color theme="4" tint="0.39994506668294322"/>
      </right>
      <top style="thin">
        <color theme="4" tint="0.39994506668294322"/>
      </top>
      <bottom style="double">
        <color theme="4" tint="0.39994506668294322"/>
      </bottom>
      <diagonal/>
    </border>
    <border>
      <left style="thin">
        <color theme="4" tint="0.39994506668294322"/>
      </left>
      <right style="thin">
        <color theme="4" tint="0.39994506668294322"/>
      </right>
      <top style="thin">
        <color theme="4" tint="0.39994506668294322"/>
      </top>
      <bottom style="double">
        <color theme="4" tint="0.39994506668294322"/>
      </bottom>
      <diagonal/>
    </border>
    <border>
      <left style="thin">
        <color theme="4" tint="0.39994506668294322"/>
      </left>
      <right style="thin">
        <color indexed="64"/>
      </right>
      <top style="thin">
        <color theme="4" tint="0.39994506668294322"/>
      </top>
      <bottom style="double">
        <color theme="4" tint="0.39994506668294322"/>
      </bottom>
      <diagonal/>
    </border>
    <border>
      <left/>
      <right style="thin">
        <color theme="4" tint="0.39997558519241921"/>
      </right>
      <top style="thin">
        <color theme="4" tint="0.39997558519241921"/>
      </top>
      <bottom style="thin">
        <color indexed="64"/>
      </bottom>
      <diagonal/>
    </border>
    <border>
      <left/>
      <right style="thin">
        <color theme="4" tint="0.39997558519241921"/>
      </right>
      <top style="double">
        <color theme="4"/>
      </top>
      <bottom style="thin">
        <color indexed="64"/>
      </bottom>
      <diagonal/>
    </border>
    <border>
      <left style="thin">
        <color theme="0" tint="-0.249977111117893"/>
      </left>
      <right style="thin">
        <color theme="0" tint="-0.249977111117893"/>
      </right>
      <top/>
      <bottom style="thin">
        <color theme="0" tint="-0.249977111117893"/>
      </bottom>
      <diagonal/>
    </border>
    <border>
      <left style="thin">
        <color theme="0" tint="-0.249977111117893"/>
      </left>
      <right style="thin">
        <color theme="0" tint="-0.249977111117893"/>
      </right>
      <top style="thin">
        <color theme="0" tint="-0.249977111117893"/>
      </top>
      <bottom style="double">
        <color theme="0" tint="-0.249977111117893"/>
      </bottom>
      <diagonal/>
    </border>
    <border>
      <left style="thin">
        <color theme="4" tint="0.39994506668294322"/>
      </left>
      <right style="thin">
        <color indexed="64"/>
      </right>
      <top style="double">
        <color theme="4" tint="0.39994506668294322"/>
      </top>
      <bottom style="thin">
        <color theme="4" tint="0.39997558519241921"/>
      </bottom>
      <diagonal/>
    </border>
    <border>
      <left style="thin">
        <color theme="4" tint="0.39997558519241921"/>
      </left>
      <right style="thin">
        <color theme="4" tint="0.39997558519241921"/>
      </right>
      <top style="thin">
        <color theme="4" tint="0.39997558519241921"/>
      </top>
      <bottom style="thin">
        <color theme="4" tint="0.39997558519241921"/>
      </bottom>
      <diagonal/>
    </border>
    <border>
      <left style="thin">
        <color theme="4" tint="0.39997558519241921"/>
      </left>
      <right style="thin">
        <color theme="4" tint="0.39997558519241921"/>
      </right>
      <top style="thin">
        <color theme="4" tint="0.39997558519241921"/>
      </top>
      <bottom style="thin">
        <color indexed="64"/>
      </bottom>
      <diagonal/>
    </border>
    <border>
      <left style="thin">
        <color theme="4" tint="0.39997558519241921"/>
      </left>
      <right style="thin">
        <color theme="4" tint="0.39997558519241921"/>
      </right>
      <top style="double">
        <color theme="4"/>
      </top>
      <bottom style="thin">
        <color indexed="64"/>
      </bottom>
      <diagonal/>
    </border>
    <border>
      <left style="medium">
        <color theme="0"/>
      </left>
      <right style="medium">
        <color theme="0"/>
      </right>
      <top style="medium">
        <color theme="0"/>
      </top>
      <bottom/>
      <diagonal/>
    </border>
    <border>
      <left style="thin">
        <color theme="0" tint="-0.249977111117893"/>
      </left>
      <right/>
      <top style="thin">
        <color theme="0" tint="-0.249977111117893"/>
      </top>
      <bottom style="thin">
        <color theme="0" tint="-0.249977111117893"/>
      </bottom>
      <diagonal/>
    </border>
    <border>
      <left/>
      <right style="thin">
        <color theme="0" tint="-0.249977111117893"/>
      </right>
      <top style="thin">
        <color theme="0" tint="-0.249977111117893"/>
      </top>
      <bottom style="thin">
        <color theme="0" tint="-0.249977111117893"/>
      </bottom>
      <diagonal/>
    </border>
    <border>
      <left/>
      <right/>
      <top/>
      <bottom style="medium">
        <color rgb="FFFFFFFF"/>
      </bottom>
      <diagonal/>
    </border>
    <border>
      <left style="medium">
        <color theme="0"/>
      </left>
      <right style="medium">
        <color theme="0"/>
      </right>
      <top/>
      <bottom/>
      <diagonal/>
    </border>
    <border>
      <left style="thin">
        <color theme="4" tint="0.39994506668294322"/>
      </left>
      <right/>
      <top style="thin">
        <color theme="4" tint="0.39997558519241921"/>
      </top>
      <bottom/>
      <diagonal/>
    </border>
    <border>
      <left/>
      <right style="thin">
        <color theme="4" tint="0.39994506668294322"/>
      </right>
      <top style="thin">
        <color theme="4" tint="0.39997558519241921"/>
      </top>
      <bottom style="thin">
        <color theme="4" tint="0.39997558519241921"/>
      </bottom>
      <diagonal/>
    </border>
    <border>
      <left style="thin">
        <color theme="4" tint="0.39994506668294322"/>
      </left>
      <right/>
      <top style="thin">
        <color theme="4" tint="0.39997558519241921"/>
      </top>
      <bottom style="thin">
        <color theme="4" tint="0.39994506668294322"/>
      </bottom>
      <diagonal/>
    </border>
    <border>
      <left/>
      <right style="thin">
        <color theme="4" tint="0.39994506668294322"/>
      </right>
      <top/>
      <bottom/>
      <diagonal/>
    </border>
    <border>
      <left style="thin">
        <color theme="4" tint="0.39994506668294322"/>
      </left>
      <right/>
      <top/>
      <bottom style="thin">
        <color theme="4" tint="0.39994506668294322"/>
      </bottom>
      <diagonal/>
    </border>
    <border>
      <left/>
      <right style="thin">
        <color theme="4" tint="0.39997558519241921"/>
      </right>
      <top/>
      <bottom style="thin">
        <color theme="4" tint="0.39994506668294322"/>
      </bottom>
      <diagonal/>
    </border>
    <border>
      <left/>
      <right style="thin">
        <color theme="4" tint="0.39994506668294322"/>
      </right>
      <top/>
      <bottom style="thin">
        <color theme="4" tint="0.39994506668294322"/>
      </bottom>
      <diagonal/>
    </border>
    <border>
      <left/>
      <right/>
      <top/>
      <bottom style="thin">
        <color theme="4" tint="0.39994506668294322"/>
      </bottom>
      <diagonal/>
    </border>
    <border>
      <left style="thin">
        <color theme="4" tint="0.39994506668294322"/>
      </left>
      <right/>
      <top/>
      <bottom style="thin">
        <color theme="4" tint="0.39991454817346722"/>
      </bottom>
      <diagonal/>
    </border>
    <border>
      <left/>
      <right style="thin">
        <color theme="4" tint="0.39997558519241921"/>
      </right>
      <top style="thin">
        <color theme="4" tint="0.39997558519241921"/>
      </top>
      <bottom style="thin">
        <color theme="4" tint="0.39991454817346722"/>
      </bottom>
      <diagonal/>
    </border>
    <border>
      <left/>
      <right style="thin">
        <color theme="4" tint="0.39994506668294322"/>
      </right>
      <top style="thin">
        <color theme="4" tint="0.39997558519241921"/>
      </top>
      <bottom style="thin">
        <color theme="4" tint="0.39991454817346722"/>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style="thin">
        <color theme="0" tint="-0.249977111117893"/>
      </left>
      <right style="thin">
        <color theme="0" tint="-0.249977111117893"/>
      </right>
      <top/>
      <bottom/>
      <diagonal/>
    </border>
    <border>
      <left style="thin">
        <color theme="0" tint="-0.249977111117893"/>
      </left>
      <right/>
      <top/>
      <bottom style="thin">
        <color theme="0" tint="-0.249977111117893"/>
      </bottom>
      <diagonal/>
    </border>
    <border>
      <left/>
      <right style="thin">
        <color theme="0" tint="-0.249977111117893"/>
      </right>
      <top/>
      <bottom style="thin">
        <color theme="0" tint="-0.249977111117893"/>
      </bottom>
      <diagonal/>
    </border>
    <border>
      <left style="thin">
        <color theme="0" tint="-0.249977111117893"/>
      </left>
      <right/>
      <top style="thin">
        <color theme="0" tint="-0.249977111117893"/>
      </top>
      <bottom/>
      <diagonal/>
    </border>
    <border>
      <left/>
      <right style="thin">
        <color theme="0" tint="-0.249977111117893"/>
      </right>
      <top style="thin">
        <color theme="0" tint="-0.249977111117893"/>
      </top>
      <bottom/>
      <diagonal/>
    </border>
    <border>
      <left style="thin">
        <color theme="0" tint="-0.14999847407452621"/>
      </left>
      <right style="thin">
        <color theme="0" tint="-0.14999847407452621"/>
      </right>
      <top/>
      <bottom style="thin">
        <color theme="0" tint="-0.14999847407452621"/>
      </bottom>
      <diagonal/>
    </border>
    <border>
      <left style="thin">
        <color theme="0" tint="-0.249977111117893"/>
      </left>
      <right/>
      <top/>
      <bottom/>
      <diagonal/>
    </border>
    <border>
      <left/>
      <right style="thin">
        <color theme="0" tint="-0.249977111117893"/>
      </right>
      <top/>
      <bottom/>
      <diagonal/>
    </border>
    <border>
      <left style="thin">
        <color theme="0" tint="-0.14999847407452621"/>
      </left>
      <right style="thin">
        <color theme="0" tint="-0.14999847407452621"/>
      </right>
      <top style="thin">
        <color theme="0" tint="-0.14999847407452621"/>
      </top>
      <bottom style="thin">
        <color indexed="64"/>
      </bottom>
      <diagonal/>
    </border>
    <border>
      <left style="thin">
        <color theme="0" tint="-0.249977111117893"/>
      </left>
      <right style="thin">
        <color theme="0" tint="-0.249977111117893"/>
      </right>
      <top style="thin">
        <color theme="0" tint="-0.249977111117893"/>
      </top>
      <bottom style="thin">
        <color indexed="64"/>
      </bottom>
      <diagonal/>
    </border>
    <border>
      <left style="thin">
        <color theme="0" tint="-0.249977111117893"/>
      </left>
      <right/>
      <top style="thin">
        <color theme="0" tint="-0.249977111117893"/>
      </top>
      <bottom style="thin">
        <color indexed="64"/>
      </bottom>
      <diagonal/>
    </border>
    <border>
      <left/>
      <right style="thin">
        <color theme="0" tint="-0.249977111117893"/>
      </right>
      <top style="thin">
        <color theme="0" tint="-0.249977111117893"/>
      </top>
      <bottom style="thin">
        <color indexed="64"/>
      </bottom>
      <diagonal/>
    </border>
    <border>
      <left/>
      <right/>
      <top/>
      <bottom style="thin">
        <color theme="0" tint="-0.249977111117893"/>
      </bottom>
      <diagonal/>
    </border>
    <border>
      <left style="thin">
        <color theme="0" tint="-0.14999847407452621"/>
      </left>
      <right style="thin">
        <color theme="0" tint="-0.14999847407452621"/>
      </right>
      <top style="thin">
        <color theme="0" tint="-0.14999847407452621"/>
      </top>
      <bottom style="medium">
        <color indexed="64"/>
      </bottom>
      <diagonal/>
    </border>
    <border>
      <left style="thin">
        <color theme="0" tint="-0.249977111117893"/>
      </left>
      <right style="thin">
        <color theme="0" tint="-0.249977111117893"/>
      </right>
      <top style="thin">
        <color theme="0" tint="-0.249977111117893"/>
      </top>
      <bottom style="medium">
        <color indexed="64"/>
      </bottom>
      <diagonal/>
    </border>
    <border>
      <left style="thin">
        <color theme="0" tint="-0.249977111117893"/>
      </left>
      <right/>
      <top style="thin">
        <color theme="0" tint="-0.249977111117893"/>
      </top>
      <bottom style="medium">
        <color indexed="64"/>
      </bottom>
      <diagonal/>
    </border>
    <border>
      <left/>
      <right style="thin">
        <color theme="0" tint="-0.249977111117893"/>
      </right>
      <top style="thin">
        <color theme="0" tint="-0.249977111117893"/>
      </top>
      <bottom style="medium">
        <color indexed="64"/>
      </bottom>
      <diagonal/>
    </border>
  </borders>
  <cellStyleXfs count="6549">
    <xf numFmtId="0" fontId="0" fillId="0" borderId="0"/>
    <xf numFmtId="9" fontId="2" fillId="0" borderId="0" applyFont="0" applyFill="0" applyBorder="0" applyAlignment="0" applyProtection="0"/>
    <xf numFmtId="0" fontId="3" fillId="0" borderId="0"/>
    <xf numFmtId="166" fontId="2" fillId="0" borderId="0" applyFont="0" applyFill="0" applyBorder="0" applyAlignment="0" applyProtection="0"/>
    <xf numFmtId="0" fontId="17" fillId="0" borderId="0"/>
    <xf numFmtId="172" fontId="18" fillId="0" borderId="0" applyFont="0" applyFill="0" applyBorder="0" applyAlignment="0" applyProtection="0">
      <alignment vertical="center"/>
    </xf>
    <xf numFmtId="9" fontId="19" fillId="0" borderId="0" applyFont="0" applyFill="0" applyBorder="0" applyAlignment="0" applyProtection="0"/>
    <xf numFmtId="0" fontId="21" fillId="0" borderId="0">
      <alignment vertical="center"/>
    </xf>
    <xf numFmtId="0" fontId="22" fillId="0" borderId="0"/>
    <xf numFmtId="0" fontId="21" fillId="0" borderId="0">
      <alignment vertical="center"/>
    </xf>
    <xf numFmtId="165" fontId="2" fillId="0" borderId="0" applyFont="0" applyFill="0" applyBorder="0" applyAlignment="0" applyProtection="0">
      <alignment vertical="center"/>
    </xf>
    <xf numFmtId="166" fontId="2" fillId="0" borderId="0" applyFont="0" applyFill="0" applyBorder="0" applyAlignment="0" applyProtection="0">
      <alignment vertical="center"/>
    </xf>
    <xf numFmtId="165" fontId="2" fillId="0" borderId="0" applyFont="0" applyFill="0" applyBorder="0" applyAlignment="0" applyProtection="0">
      <alignment vertical="center"/>
    </xf>
    <xf numFmtId="9" fontId="2" fillId="0" borderId="0" applyFont="0" applyFill="0" applyBorder="0" applyAlignment="0" applyProtection="0">
      <alignment vertical="center"/>
    </xf>
    <xf numFmtId="0" fontId="3" fillId="0" borderId="0" applyNumberFormat="0" applyFill="0" applyBorder="0" applyAlignment="0" applyProtection="0"/>
    <xf numFmtId="0" fontId="31" fillId="0" borderId="0"/>
    <xf numFmtId="9" fontId="31" fillId="0" borderId="0" applyFont="0" applyFill="0" applyBorder="0" applyAlignment="0" applyProtection="0"/>
    <xf numFmtId="165" fontId="32" fillId="0" borderId="0" applyFont="0" applyFill="0" applyBorder="0" applyAlignment="0" applyProtection="0">
      <alignment vertical="center"/>
    </xf>
    <xf numFmtId="0" fontId="32" fillId="0" borderId="0"/>
    <xf numFmtId="166" fontId="2" fillId="0" borderId="0" applyFont="0" applyFill="0" applyBorder="0" applyAlignment="0" applyProtection="0">
      <alignment vertical="center"/>
    </xf>
    <xf numFmtId="165" fontId="2" fillId="0" borderId="0" applyFont="0" applyFill="0" applyBorder="0" applyAlignment="0" applyProtection="0">
      <alignment vertical="center"/>
    </xf>
    <xf numFmtId="164" fontId="2" fillId="0" borderId="0" applyFont="0" applyFill="0" applyBorder="0" applyAlignment="0" applyProtection="0">
      <alignment vertical="center"/>
    </xf>
    <xf numFmtId="165" fontId="32" fillId="0" borderId="0" applyFont="0" applyFill="0" applyBorder="0" applyAlignment="0" applyProtection="0">
      <alignment vertical="center"/>
    </xf>
    <xf numFmtId="166" fontId="2" fillId="0" borderId="0" applyFont="0" applyFill="0" applyBorder="0" applyAlignment="0" applyProtection="0">
      <alignment vertical="center"/>
    </xf>
    <xf numFmtId="165" fontId="2" fillId="0" borderId="0" applyFont="0" applyFill="0" applyBorder="0" applyAlignment="0" applyProtection="0">
      <alignment vertical="center"/>
    </xf>
    <xf numFmtId="164" fontId="2" fillId="0" borderId="0" applyFont="0" applyFill="0" applyBorder="0" applyAlignment="0" applyProtection="0">
      <alignment vertical="center"/>
    </xf>
    <xf numFmtId="165" fontId="32" fillId="0" borderId="0" applyFont="0" applyFill="0" applyBorder="0" applyAlignment="0" applyProtection="0">
      <alignment vertical="center"/>
    </xf>
    <xf numFmtId="166" fontId="2" fillId="0" borderId="0" applyFont="0" applyFill="0" applyBorder="0" applyAlignment="0" applyProtection="0">
      <alignment vertical="center"/>
    </xf>
    <xf numFmtId="165" fontId="2" fillId="0" borderId="0" applyFont="0" applyFill="0" applyBorder="0" applyAlignment="0" applyProtection="0">
      <alignment vertical="center"/>
    </xf>
    <xf numFmtId="164" fontId="2" fillId="0" borderId="0" applyFont="0" applyFill="0" applyBorder="0" applyAlignment="0" applyProtection="0">
      <alignment vertical="center"/>
    </xf>
    <xf numFmtId="165" fontId="32" fillId="0" borderId="0" applyFont="0" applyFill="0" applyBorder="0" applyAlignment="0" applyProtection="0">
      <alignment vertical="center"/>
    </xf>
    <xf numFmtId="166" fontId="2" fillId="0" borderId="0" applyFont="0" applyFill="0" applyBorder="0" applyAlignment="0" applyProtection="0">
      <alignment vertical="center"/>
    </xf>
    <xf numFmtId="165" fontId="2" fillId="0" borderId="0" applyFont="0" applyFill="0" applyBorder="0" applyAlignment="0" applyProtection="0">
      <alignment vertical="center"/>
    </xf>
    <xf numFmtId="164" fontId="2" fillId="0" borderId="0" applyFont="0" applyFill="0" applyBorder="0" applyAlignment="0" applyProtection="0">
      <alignment vertical="center"/>
    </xf>
    <xf numFmtId="165" fontId="32" fillId="0" borderId="0" applyFont="0" applyFill="0" applyBorder="0" applyAlignment="0" applyProtection="0">
      <alignment vertical="center"/>
    </xf>
    <xf numFmtId="0" fontId="1" fillId="0" borderId="0"/>
    <xf numFmtId="166"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9" fontId="1" fillId="0" borderId="0" applyFont="0" applyFill="0" applyBorder="0" applyAlignment="0" applyProtection="0"/>
    <xf numFmtId="165" fontId="32" fillId="0" borderId="0" applyFont="0" applyFill="0" applyBorder="0" applyAlignment="0" applyProtection="0">
      <alignment vertical="center"/>
    </xf>
    <xf numFmtId="0" fontId="1" fillId="0" borderId="0"/>
    <xf numFmtId="166"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9" fontId="1" fillId="0" borderId="0" applyFont="0" applyFill="0" applyBorder="0" applyAlignment="0" applyProtection="0"/>
    <xf numFmtId="165" fontId="32" fillId="0" borderId="0" applyFont="0" applyFill="0" applyBorder="0" applyAlignment="0" applyProtection="0">
      <alignment vertical="center"/>
    </xf>
    <xf numFmtId="0" fontId="1" fillId="0" borderId="0"/>
    <xf numFmtId="166"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9" fontId="1" fillId="0" borderId="0" applyFont="0" applyFill="0" applyBorder="0" applyAlignment="0" applyProtection="0"/>
    <xf numFmtId="165" fontId="32" fillId="0" borderId="0" applyFont="0" applyFill="0" applyBorder="0" applyAlignment="0" applyProtection="0">
      <alignment vertical="center"/>
    </xf>
    <xf numFmtId="0" fontId="1" fillId="0" borderId="0"/>
    <xf numFmtId="166"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9" fontId="1" fillId="0" borderId="0" applyFont="0" applyFill="0" applyBorder="0" applyAlignment="0" applyProtection="0"/>
    <xf numFmtId="165" fontId="32" fillId="0" borderId="0" applyFont="0" applyFill="0" applyBorder="0" applyAlignment="0" applyProtection="0">
      <alignment vertical="center"/>
    </xf>
    <xf numFmtId="0" fontId="1" fillId="0" borderId="0"/>
    <xf numFmtId="166"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9" fontId="1" fillId="0" borderId="0" applyFont="0" applyFill="0" applyBorder="0" applyAlignment="0" applyProtection="0"/>
    <xf numFmtId="165" fontId="32" fillId="0" borderId="0" applyFont="0" applyFill="0" applyBorder="0" applyAlignment="0" applyProtection="0">
      <alignment vertical="center"/>
    </xf>
    <xf numFmtId="0" fontId="1" fillId="0" borderId="0"/>
    <xf numFmtId="166"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9" fontId="1" fillId="0" borderId="0" applyFont="0" applyFill="0" applyBorder="0" applyAlignment="0" applyProtection="0"/>
    <xf numFmtId="165" fontId="32" fillId="0" borderId="0" applyFont="0" applyFill="0" applyBorder="0" applyAlignment="0" applyProtection="0">
      <alignment vertical="center"/>
    </xf>
    <xf numFmtId="0" fontId="1" fillId="0" borderId="0"/>
    <xf numFmtId="166"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9" fontId="1" fillId="0" borderId="0" applyFont="0" applyFill="0" applyBorder="0" applyAlignment="0" applyProtection="0"/>
    <xf numFmtId="165" fontId="32" fillId="0" borderId="0" applyFont="0" applyFill="0" applyBorder="0" applyAlignment="0" applyProtection="0">
      <alignment vertical="center"/>
    </xf>
    <xf numFmtId="0" fontId="1" fillId="0" borderId="0">
      <alignment vertical="center"/>
    </xf>
    <xf numFmtId="0" fontId="29" fillId="0" borderId="0">
      <alignment vertical="center"/>
    </xf>
    <xf numFmtId="0" fontId="3" fillId="9" borderId="0"/>
    <xf numFmtId="0" fontId="35" fillId="10" borderId="0"/>
    <xf numFmtId="0" fontId="36" fillId="11" borderId="0"/>
    <xf numFmtId="0" fontId="37" fillId="12" borderId="0"/>
    <xf numFmtId="0" fontId="38" fillId="0" borderId="0"/>
    <xf numFmtId="0" fontId="39" fillId="0" borderId="0"/>
    <xf numFmtId="0" fontId="30" fillId="0" borderId="0"/>
    <xf numFmtId="3" fontId="3" fillId="13" borderId="0"/>
    <xf numFmtId="4" fontId="3" fillId="13" borderId="0"/>
    <xf numFmtId="4" fontId="3" fillId="13" borderId="0"/>
    <xf numFmtId="4" fontId="3" fillId="13" borderId="0"/>
    <xf numFmtId="4" fontId="3" fillId="13" borderId="0"/>
    <xf numFmtId="4" fontId="3" fillId="13" borderId="0"/>
    <xf numFmtId="4" fontId="3" fillId="13" borderId="0"/>
    <xf numFmtId="4" fontId="3" fillId="13" borderId="0"/>
    <xf numFmtId="4" fontId="3" fillId="13" borderId="0"/>
    <xf numFmtId="4" fontId="3" fillId="13" borderId="0"/>
    <xf numFmtId="4" fontId="3" fillId="13" borderId="0"/>
    <xf numFmtId="4" fontId="3" fillId="13" borderId="0"/>
    <xf numFmtId="4" fontId="3" fillId="13" borderId="0"/>
    <xf numFmtId="4" fontId="3" fillId="13" borderId="0"/>
    <xf numFmtId="4" fontId="3" fillId="13" borderId="0"/>
    <xf numFmtId="4" fontId="3" fillId="13" borderId="0"/>
    <xf numFmtId="4" fontId="3" fillId="13" borderId="0"/>
    <xf numFmtId="4" fontId="3" fillId="13" borderId="0"/>
    <xf numFmtId="4" fontId="3" fillId="13" borderId="0"/>
    <xf numFmtId="4" fontId="3" fillId="13" borderId="0"/>
    <xf numFmtId="4" fontId="3" fillId="13" borderId="0"/>
    <xf numFmtId="4" fontId="3" fillId="13" borderId="0"/>
    <xf numFmtId="4" fontId="3" fillId="13" borderId="0"/>
    <xf numFmtId="4" fontId="3" fillId="13" borderId="0"/>
    <xf numFmtId="4" fontId="3" fillId="13" borderId="0"/>
    <xf numFmtId="4" fontId="3" fillId="13" borderId="0"/>
    <xf numFmtId="0" fontId="40" fillId="14" borderId="0"/>
    <xf numFmtId="0" fontId="40" fillId="14" borderId="0"/>
    <xf numFmtId="0" fontId="40" fillId="14" borderId="0"/>
    <xf numFmtId="0" fontId="40" fillId="14" borderId="0"/>
    <xf numFmtId="0" fontId="40" fillId="14" borderId="0"/>
    <xf numFmtId="0" fontId="40" fillId="14" borderId="0"/>
    <xf numFmtId="0" fontId="3" fillId="9" borderId="0"/>
    <xf numFmtId="0" fontId="35" fillId="10" borderId="0"/>
    <xf numFmtId="0" fontId="36" fillId="11" borderId="0"/>
    <xf numFmtId="0" fontId="37" fillId="12" borderId="0"/>
    <xf numFmtId="0" fontId="38" fillId="0" borderId="0"/>
    <xf numFmtId="0" fontId="39" fillId="0" borderId="0"/>
    <xf numFmtId="0" fontId="30" fillId="0" borderId="0"/>
    <xf numFmtId="165" fontId="34" fillId="0" borderId="0" applyFont="0" applyFill="0" applyBorder="0" applyAlignment="0" applyProtection="0"/>
    <xf numFmtId="165" fontId="34" fillId="0" borderId="0" applyFont="0" applyFill="0" applyBorder="0" applyAlignment="0" applyProtection="0"/>
    <xf numFmtId="165" fontId="34" fillId="0" borderId="0" applyFont="0" applyFill="0" applyBorder="0" applyAlignment="0" applyProtection="0"/>
    <xf numFmtId="165" fontId="34" fillId="0" borderId="0" applyFont="0" applyFill="0" applyBorder="0" applyAlignment="0" applyProtection="0"/>
    <xf numFmtId="165" fontId="34" fillId="0" borderId="0" applyFont="0" applyFill="0" applyBorder="0" applyAlignment="0" applyProtection="0"/>
    <xf numFmtId="165" fontId="34" fillId="0" borderId="0" applyFont="0" applyFill="0" applyBorder="0" applyAlignment="0" applyProtection="0"/>
    <xf numFmtId="165" fontId="34" fillId="0" borderId="0" applyFont="0" applyFill="0" applyBorder="0" applyAlignment="0" applyProtection="0"/>
    <xf numFmtId="165" fontId="34" fillId="0" borderId="0" applyFont="0" applyFill="0" applyBorder="0" applyAlignment="0" applyProtection="0"/>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32" fillId="0" borderId="0" applyFont="0" applyFill="0" applyBorder="0" applyAlignment="0" applyProtection="0">
      <alignment vertical="center"/>
    </xf>
    <xf numFmtId="165" fontId="32" fillId="0" borderId="0" applyFont="0" applyFill="0" applyBorder="0" applyAlignment="0" applyProtection="0">
      <alignment vertical="center"/>
    </xf>
    <xf numFmtId="165" fontId="32" fillId="0" borderId="0" applyFont="0" applyFill="0" applyBorder="0" applyAlignment="0" applyProtection="0">
      <alignment vertical="center"/>
    </xf>
    <xf numFmtId="165" fontId="32" fillId="0" borderId="0" applyFont="0" applyFill="0" applyBorder="0" applyAlignment="0" applyProtection="0">
      <alignment vertical="center"/>
    </xf>
    <xf numFmtId="165" fontId="32" fillId="0" borderId="0" applyFont="0" applyFill="0" applyBorder="0" applyAlignment="0" applyProtection="0">
      <alignment vertical="center"/>
    </xf>
    <xf numFmtId="165" fontId="32" fillId="0" borderId="0" applyFont="0" applyFill="0" applyBorder="0" applyAlignment="0" applyProtection="0">
      <alignment vertical="center"/>
    </xf>
    <xf numFmtId="165" fontId="32" fillId="0" borderId="0" applyFont="0" applyFill="0" applyBorder="0" applyAlignment="0" applyProtection="0">
      <alignment vertical="center"/>
    </xf>
    <xf numFmtId="165" fontId="32"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0" fontId="32" fillId="0" borderId="0"/>
    <xf numFmtId="0" fontId="29" fillId="0" borderId="0">
      <alignment vertical="center"/>
    </xf>
    <xf numFmtId="0" fontId="32" fillId="0" borderId="0">
      <alignment vertical="center"/>
    </xf>
    <xf numFmtId="0" fontId="29" fillId="0" borderId="0">
      <alignment vertical="center"/>
    </xf>
    <xf numFmtId="0" fontId="31" fillId="0" borderId="0"/>
    <xf numFmtId="0" fontId="31" fillId="0" borderId="0"/>
    <xf numFmtId="0" fontId="32" fillId="0" borderId="0">
      <alignment vertical="center"/>
    </xf>
    <xf numFmtId="0" fontId="29" fillId="0" borderId="0">
      <alignment vertical="center"/>
    </xf>
    <xf numFmtId="0" fontId="33" fillId="0" borderId="0">
      <alignment vertical="center"/>
    </xf>
    <xf numFmtId="9" fontId="29" fillId="0" borderId="0" applyFont="0" applyFill="0" applyBorder="0" applyAlignment="0" applyProtection="0"/>
    <xf numFmtId="9" fontId="29" fillId="0" borderId="0" applyFont="0" applyFill="0" applyBorder="0" applyAlignment="0" applyProtection="0">
      <alignment vertical="center"/>
    </xf>
    <xf numFmtId="9" fontId="32" fillId="0" borderId="0" applyFont="0" applyFill="0" applyBorder="0" applyAlignment="0" applyProtection="0">
      <alignment vertical="center"/>
    </xf>
    <xf numFmtId="9" fontId="29" fillId="0" borderId="0" applyFont="0" applyFill="0" applyBorder="0" applyAlignment="0" applyProtection="0">
      <alignment vertical="center"/>
    </xf>
    <xf numFmtId="9" fontId="29" fillId="0" borderId="0" applyFont="0" applyFill="0" applyBorder="0" applyAlignment="0" applyProtection="0">
      <alignment vertical="center"/>
    </xf>
    <xf numFmtId="49" fontId="41" fillId="9" borderId="36" applyProtection="0">
      <alignment horizontal="center" vertical="center" wrapText="1"/>
    </xf>
    <xf numFmtId="9" fontId="29" fillId="0" borderId="0" applyFont="0" applyFill="0" applyBorder="0" applyAlignment="0" applyProtection="0">
      <alignment vertical="center"/>
    </xf>
    <xf numFmtId="9" fontId="29" fillId="0" borderId="0" applyFont="0" applyFill="0" applyBorder="0" applyAlignment="0" applyProtection="0">
      <alignment vertical="center"/>
    </xf>
    <xf numFmtId="9" fontId="29" fillId="0" borderId="0" applyFont="0" applyFill="0" applyBorder="0" applyAlignment="0" applyProtection="0"/>
    <xf numFmtId="9" fontId="32" fillId="0" borderId="0" applyFont="0" applyFill="0" applyBorder="0" applyAlignment="0" applyProtection="0">
      <alignment vertical="center"/>
    </xf>
    <xf numFmtId="166" fontId="32" fillId="0" borderId="0" applyFont="0" applyFill="0" applyBorder="0" applyAlignment="0" applyProtection="0">
      <alignment vertical="center"/>
    </xf>
    <xf numFmtId="165" fontId="29" fillId="0" borderId="0" applyFont="0" applyFill="0" applyBorder="0" applyAlignment="0" applyProtection="0">
      <alignment vertical="center"/>
    </xf>
    <xf numFmtId="165" fontId="32" fillId="0" borderId="0" applyFont="0" applyFill="0" applyBorder="0" applyAlignment="0" applyProtection="0"/>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32" fillId="0" borderId="0" applyFont="0" applyFill="0" applyBorder="0" applyAlignment="0" applyProtection="0"/>
    <xf numFmtId="165" fontId="32" fillId="0" borderId="0" applyFont="0" applyFill="0" applyBorder="0" applyAlignment="0" applyProtection="0"/>
    <xf numFmtId="165" fontId="32" fillId="0" borderId="0" applyFont="0" applyFill="0" applyBorder="0" applyAlignment="0" applyProtection="0"/>
    <xf numFmtId="165" fontId="32" fillId="0" borderId="0" applyFont="0" applyFill="0" applyBorder="0" applyAlignment="0" applyProtection="0"/>
    <xf numFmtId="165" fontId="32" fillId="0" borderId="0" applyFont="0" applyFill="0" applyBorder="0" applyAlignment="0" applyProtection="0"/>
    <xf numFmtId="165" fontId="32" fillId="0" borderId="0" applyFont="0" applyFill="0" applyBorder="0" applyAlignment="0" applyProtection="0"/>
    <xf numFmtId="165" fontId="32" fillId="0" borderId="0" applyFont="0" applyFill="0" applyBorder="0" applyAlignment="0" applyProtection="0"/>
    <xf numFmtId="165" fontId="33" fillId="0" borderId="0" applyFont="0" applyFill="0" applyBorder="0" applyAlignment="0" applyProtection="0">
      <alignment vertical="center"/>
    </xf>
    <xf numFmtId="165" fontId="34" fillId="0" borderId="0" applyFont="0" applyFill="0" applyBorder="0" applyAlignment="0" applyProtection="0">
      <alignment vertical="center"/>
    </xf>
    <xf numFmtId="165" fontId="34" fillId="0" borderId="0" applyFont="0" applyFill="0" applyBorder="0" applyAlignment="0" applyProtection="0">
      <alignment vertical="center"/>
    </xf>
    <xf numFmtId="165" fontId="34" fillId="0" borderId="0" applyFont="0" applyFill="0" applyBorder="0" applyAlignment="0" applyProtection="0">
      <alignment vertical="center"/>
    </xf>
    <xf numFmtId="165" fontId="34" fillId="0" borderId="0" applyFont="0" applyFill="0" applyBorder="0" applyAlignment="0" applyProtection="0">
      <alignment vertical="center"/>
    </xf>
    <xf numFmtId="165" fontId="34" fillId="0" borderId="0" applyFont="0" applyFill="0" applyBorder="0" applyAlignment="0" applyProtection="0">
      <alignment vertical="center"/>
    </xf>
    <xf numFmtId="165" fontId="34" fillId="0" borderId="0" applyFont="0" applyFill="0" applyBorder="0" applyAlignment="0" applyProtection="0">
      <alignment vertical="center"/>
    </xf>
    <xf numFmtId="165" fontId="34" fillId="0" borderId="0" applyFont="0" applyFill="0" applyBorder="0" applyAlignment="0" applyProtection="0">
      <alignment vertical="center"/>
    </xf>
    <xf numFmtId="165" fontId="34" fillId="0" borderId="0" applyFont="0" applyFill="0" applyBorder="0" applyAlignment="0" applyProtection="0">
      <alignment vertical="center"/>
    </xf>
    <xf numFmtId="165" fontId="32" fillId="0" borderId="0" applyFont="0" applyFill="0" applyBorder="0" applyAlignment="0" applyProtection="0"/>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6" fontId="32" fillId="0" borderId="0" applyFont="0" applyFill="0" applyBorder="0" applyAlignment="0" applyProtection="0"/>
    <xf numFmtId="166" fontId="32" fillId="0" borderId="0" applyFont="0" applyFill="0" applyBorder="0" applyAlignment="0" applyProtection="0"/>
    <xf numFmtId="166" fontId="32" fillId="0" borderId="0" applyFont="0" applyFill="0" applyBorder="0" applyAlignment="0" applyProtection="0"/>
    <xf numFmtId="0" fontId="3" fillId="0" borderId="0"/>
    <xf numFmtId="0" fontId="42" fillId="0" borderId="0"/>
    <xf numFmtId="0" fontId="43" fillId="0" borderId="0" applyFont="0" applyFill="0" applyBorder="0" applyAlignment="0" applyProtection="0"/>
    <xf numFmtId="0" fontId="42" fillId="0" borderId="0" applyFont="0" applyFill="0" applyBorder="0" applyAlignment="0" applyProtection="0"/>
    <xf numFmtId="164" fontId="32" fillId="0" borderId="0" applyFont="0" applyFill="0" applyBorder="0" applyAlignment="0" applyProtection="0">
      <alignment vertical="center"/>
    </xf>
    <xf numFmtId="0" fontId="32" fillId="0" borderId="0"/>
    <xf numFmtId="0" fontId="32" fillId="0" borderId="0"/>
    <xf numFmtId="0" fontId="29" fillId="0" borderId="0">
      <alignment vertical="center"/>
    </xf>
    <xf numFmtId="0" fontId="29" fillId="0" borderId="0">
      <alignment vertical="center"/>
    </xf>
    <xf numFmtId="0" fontId="32" fillId="0" borderId="0">
      <alignment vertical="center"/>
    </xf>
    <xf numFmtId="0" fontId="34" fillId="0" borderId="0">
      <alignment vertical="center"/>
    </xf>
    <xf numFmtId="0" fontId="32" fillId="0" borderId="0"/>
    <xf numFmtId="0" fontId="29" fillId="0" borderId="0">
      <alignment vertical="center"/>
    </xf>
    <xf numFmtId="0" fontId="29" fillId="0" borderId="0">
      <alignment vertical="center"/>
    </xf>
    <xf numFmtId="0" fontId="32" fillId="0" borderId="0">
      <alignment vertical="center"/>
    </xf>
    <xf numFmtId="0" fontId="33" fillId="0" borderId="0">
      <alignment vertical="center"/>
    </xf>
    <xf numFmtId="0" fontId="33" fillId="0" borderId="0">
      <alignment vertical="center"/>
    </xf>
    <xf numFmtId="0" fontId="32" fillId="0" borderId="0">
      <alignment vertical="center"/>
    </xf>
    <xf numFmtId="0" fontId="33" fillId="0" borderId="0">
      <alignment vertical="center"/>
    </xf>
    <xf numFmtId="0" fontId="33" fillId="0" borderId="0">
      <alignment vertical="center"/>
    </xf>
    <xf numFmtId="0" fontId="33" fillId="0" borderId="0">
      <alignment vertical="center"/>
    </xf>
    <xf numFmtId="0" fontId="44" fillId="0" borderId="0" applyNumberFormat="0" applyFill="0" applyBorder="0" applyAlignment="0" applyProtection="0"/>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5" fontId="34" fillId="0" borderId="0" applyFont="0" applyFill="0" applyBorder="0" applyAlignment="0" applyProtection="0"/>
    <xf numFmtId="165" fontId="34" fillId="0" borderId="0" applyFont="0" applyFill="0" applyBorder="0" applyAlignment="0" applyProtection="0"/>
    <xf numFmtId="165" fontId="34" fillId="0" borderId="0" applyFont="0" applyFill="0" applyBorder="0" applyAlignment="0" applyProtection="0"/>
    <xf numFmtId="165" fontId="34" fillId="0" borderId="0" applyFont="0" applyFill="0" applyBorder="0" applyAlignment="0" applyProtection="0"/>
    <xf numFmtId="165" fontId="34" fillId="0" borderId="0" applyFont="0" applyFill="0" applyBorder="0" applyAlignment="0" applyProtection="0"/>
    <xf numFmtId="165" fontId="34" fillId="0" borderId="0" applyFont="0" applyFill="0" applyBorder="0" applyAlignment="0" applyProtection="0"/>
    <xf numFmtId="165" fontId="34" fillId="0" borderId="0" applyFont="0" applyFill="0" applyBorder="0" applyAlignment="0" applyProtection="0"/>
    <xf numFmtId="165" fontId="34" fillId="0" borderId="0" applyFont="0" applyFill="0" applyBorder="0" applyAlignment="0" applyProtection="0"/>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32" fillId="0" borderId="0" applyFont="0" applyFill="0" applyBorder="0" applyAlignment="0" applyProtection="0">
      <alignment vertical="center"/>
    </xf>
    <xf numFmtId="165" fontId="32" fillId="0" borderId="0" applyFont="0" applyFill="0" applyBorder="0" applyAlignment="0" applyProtection="0">
      <alignment vertical="center"/>
    </xf>
    <xf numFmtId="165" fontId="32" fillId="0" borderId="0" applyFont="0" applyFill="0" applyBorder="0" applyAlignment="0" applyProtection="0">
      <alignment vertical="center"/>
    </xf>
    <xf numFmtId="165" fontId="32" fillId="0" borderId="0" applyFont="0" applyFill="0" applyBorder="0" applyAlignment="0" applyProtection="0">
      <alignment vertical="center"/>
    </xf>
    <xf numFmtId="165" fontId="32" fillId="0" borderId="0" applyFont="0" applyFill="0" applyBorder="0" applyAlignment="0" applyProtection="0">
      <alignment vertical="center"/>
    </xf>
    <xf numFmtId="165" fontId="32" fillId="0" borderId="0" applyFont="0" applyFill="0" applyBorder="0" applyAlignment="0" applyProtection="0">
      <alignment vertical="center"/>
    </xf>
    <xf numFmtId="165" fontId="32" fillId="0" borderId="0" applyFont="0" applyFill="0" applyBorder="0" applyAlignment="0" applyProtection="0">
      <alignment vertical="center"/>
    </xf>
    <xf numFmtId="165" fontId="32"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5" fontId="29" fillId="0" borderId="0" applyFont="0" applyFill="0" applyBorder="0" applyAlignment="0" applyProtection="0">
      <alignment vertical="center"/>
    </xf>
    <xf numFmtId="165" fontId="32" fillId="0" borderId="0" applyFont="0" applyFill="0" applyBorder="0" applyAlignment="0" applyProtection="0"/>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32" fillId="0" borderId="0" applyFont="0" applyFill="0" applyBorder="0" applyAlignment="0" applyProtection="0"/>
    <xf numFmtId="165" fontId="32" fillId="0" borderId="0" applyFont="0" applyFill="0" applyBorder="0" applyAlignment="0" applyProtection="0"/>
    <xf numFmtId="165" fontId="32" fillId="0" borderId="0" applyFont="0" applyFill="0" applyBorder="0" applyAlignment="0" applyProtection="0"/>
    <xf numFmtId="165" fontId="32" fillId="0" borderId="0" applyFont="0" applyFill="0" applyBorder="0" applyAlignment="0" applyProtection="0"/>
    <xf numFmtId="165" fontId="32" fillId="0" borderId="0" applyFont="0" applyFill="0" applyBorder="0" applyAlignment="0" applyProtection="0"/>
    <xf numFmtId="165" fontId="32" fillId="0" borderId="0" applyFont="0" applyFill="0" applyBorder="0" applyAlignment="0" applyProtection="0"/>
    <xf numFmtId="165" fontId="32" fillId="0" borderId="0" applyFont="0" applyFill="0" applyBorder="0" applyAlignment="0" applyProtection="0"/>
    <xf numFmtId="165" fontId="33" fillId="0" borderId="0" applyFont="0" applyFill="0" applyBorder="0" applyAlignment="0" applyProtection="0">
      <alignment vertical="center"/>
    </xf>
    <xf numFmtId="165" fontId="34" fillId="0" borderId="0" applyFont="0" applyFill="0" applyBorder="0" applyAlignment="0" applyProtection="0">
      <alignment vertical="center"/>
    </xf>
    <xf numFmtId="165" fontId="34" fillId="0" borderId="0" applyFont="0" applyFill="0" applyBorder="0" applyAlignment="0" applyProtection="0">
      <alignment vertical="center"/>
    </xf>
    <xf numFmtId="165" fontId="34" fillId="0" borderId="0" applyFont="0" applyFill="0" applyBorder="0" applyAlignment="0" applyProtection="0">
      <alignment vertical="center"/>
    </xf>
    <xf numFmtId="165" fontId="34" fillId="0" borderId="0" applyFont="0" applyFill="0" applyBorder="0" applyAlignment="0" applyProtection="0">
      <alignment vertical="center"/>
    </xf>
    <xf numFmtId="165" fontId="34" fillId="0" borderId="0" applyFont="0" applyFill="0" applyBorder="0" applyAlignment="0" applyProtection="0">
      <alignment vertical="center"/>
    </xf>
    <xf numFmtId="165" fontId="34" fillId="0" borderId="0" applyFont="0" applyFill="0" applyBorder="0" applyAlignment="0" applyProtection="0">
      <alignment vertical="center"/>
    </xf>
    <xf numFmtId="165" fontId="34" fillId="0" borderId="0" applyFont="0" applyFill="0" applyBorder="0" applyAlignment="0" applyProtection="0">
      <alignment vertical="center"/>
    </xf>
    <xf numFmtId="165" fontId="34" fillId="0" borderId="0" applyFont="0" applyFill="0" applyBorder="0" applyAlignment="0" applyProtection="0">
      <alignment vertical="center"/>
    </xf>
    <xf numFmtId="165" fontId="32" fillId="0" borderId="0" applyFont="0" applyFill="0" applyBorder="0" applyAlignment="0" applyProtection="0"/>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6" fontId="32" fillId="0" borderId="0" applyFont="0" applyFill="0" applyBorder="0" applyAlignment="0" applyProtection="0"/>
    <xf numFmtId="166" fontId="32" fillId="0" borderId="0" applyFont="0" applyFill="0" applyBorder="0" applyAlignment="0" applyProtection="0"/>
    <xf numFmtId="166" fontId="32" fillId="0" borderId="0" applyFont="0" applyFill="0" applyBorder="0" applyAlignment="0" applyProtection="0"/>
    <xf numFmtId="164" fontId="32" fillId="0" borderId="0" applyFont="0" applyFill="0" applyBorder="0" applyAlignment="0" applyProtection="0">
      <alignment vertical="center"/>
    </xf>
    <xf numFmtId="0" fontId="1" fillId="0" borderId="0"/>
    <xf numFmtId="166"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9" fontId="1" fillId="0" borderId="0" applyFont="0" applyFill="0" applyBorder="0" applyAlignment="0" applyProtection="0"/>
    <xf numFmtId="165" fontId="32" fillId="0" borderId="0" applyFont="0" applyFill="0" applyBorder="0" applyAlignment="0" applyProtection="0">
      <alignment vertical="center"/>
    </xf>
    <xf numFmtId="0" fontId="1" fillId="0" borderId="0">
      <alignment vertical="center"/>
    </xf>
    <xf numFmtId="165" fontId="34" fillId="0" borderId="0" applyFont="0" applyFill="0" applyBorder="0" applyAlignment="0" applyProtection="0"/>
    <xf numFmtId="165" fontId="34" fillId="0" borderId="0" applyFont="0" applyFill="0" applyBorder="0" applyAlignment="0" applyProtection="0"/>
    <xf numFmtId="165" fontId="34" fillId="0" borderId="0" applyFont="0" applyFill="0" applyBorder="0" applyAlignment="0" applyProtection="0"/>
    <xf numFmtId="165" fontId="34" fillId="0" borderId="0" applyFont="0" applyFill="0" applyBorder="0" applyAlignment="0" applyProtection="0"/>
    <xf numFmtId="165" fontId="34" fillId="0" borderId="0" applyFont="0" applyFill="0" applyBorder="0" applyAlignment="0" applyProtection="0"/>
    <xf numFmtId="165" fontId="34" fillId="0" borderId="0" applyFont="0" applyFill="0" applyBorder="0" applyAlignment="0" applyProtection="0"/>
    <xf numFmtId="165" fontId="34" fillId="0" borderId="0" applyFont="0" applyFill="0" applyBorder="0" applyAlignment="0" applyProtection="0"/>
    <xf numFmtId="165" fontId="34" fillId="0" borderId="0" applyFont="0" applyFill="0" applyBorder="0" applyAlignment="0" applyProtection="0"/>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32" fillId="0" borderId="0" applyFont="0" applyFill="0" applyBorder="0" applyAlignment="0" applyProtection="0">
      <alignment vertical="center"/>
    </xf>
    <xf numFmtId="165" fontId="32" fillId="0" borderId="0" applyFont="0" applyFill="0" applyBorder="0" applyAlignment="0" applyProtection="0">
      <alignment vertical="center"/>
    </xf>
    <xf numFmtId="165" fontId="32" fillId="0" borderId="0" applyFont="0" applyFill="0" applyBorder="0" applyAlignment="0" applyProtection="0">
      <alignment vertical="center"/>
    </xf>
    <xf numFmtId="165" fontId="32" fillId="0" borderId="0" applyFont="0" applyFill="0" applyBorder="0" applyAlignment="0" applyProtection="0">
      <alignment vertical="center"/>
    </xf>
    <xf numFmtId="165" fontId="32" fillId="0" borderId="0" applyFont="0" applyFill="0" applyBorder="0" applyAlignment="0" applyProtection="0">
      <alignment vertical="center"/>
    </xf>
    <xf numFmtId="165" fontId="32" fillId="0" borderId="0" applyFont="0" applyFill="0" applyBorder="0" applyAlignment="0" applyProtection="0">
      <alignment vertical="center"/>
    </xf>
    <xf numFmtId="165" fontId="32" fillId="0" borderId="0" applyFont="0" applyFill="0" applyBorder="0" applyAlignment="0" applyProtection="0">
      <alignment vertical="center"/>
    </xf>
    <xf numFmtId="165" fontId="32"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5" fontId="29" fillId="0" borderId="0" applyFont="0" applyFill="0" applyBorder="0" applyAlignment="0" applyProtection="0">
      <alignment vertical="center"/>
    </xf>
    <xf numFmtId="165" fontId="32" fillId="0" borderId="0" applyFont="0" applyFill="0" applyBorder="0" applyAlignment="0" applyProtection="0"/>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32" fillId="0" borderId="0" applyFont="0" applyFill="0" applyBorder="0" applyAlignment="0" applyProtection="0"/>
    <xf numFmtId="165" fontId="32" fillId="0" borderId="0" applyFont="0" applyFill="0" applyBorder="0" applyAlignment="0" applyProtection="0"/>
    <xf numFmtId="165" fontId="32" fillId="0" borderId="0" applyFont="0" applyFill="0" applyBorder="0" applyAlignment="0" applyProtection="0"/>
    <xf numFmtId="165" fontId="32" fillId="0" borderId="0" applyFont="0" applyFill="0" applyBorder="0" applyAlignment="0" applyProtection="0"/>
    <xf numFmtId="165" fontId="32" fillId="0" borderId="0" applyFont="0" applyFill="0" applyBorder="0" applyAlignment="0" applyProtection="0"/>
    <xf numFmtId="165" fontId="32" fillId="0" borderId="0" applyFont="0" applyFill="0" applyBorder="0" applyAlignment="0" applyProtection="0"/>
    <xf numFmtId="165" fontId="32" fillId="0" borderId="0" applyFont="0" applyFill="0" applyBorder="0" applyAlignment="0" applyProtection="0"/>
    <xf numFmtId="165" fontId="33" fillId="0" borderId="0" applyFont="0" applyFill="0" applyBorder="0" applyAlignment="0" applyProtection="0">
      <alignment vertical="center"/>
    </xf>
    <xf numFmtId="165" fontId="34" fillId="0" borderId="0" applyFont="0" applyFill="0" applyBorder="0" applyAlignment="0" applyProtection="0">
      <alignment vertical="center"/>
    </xf>
    <xf numFmtId="165" fontId="34" fillId="0" borderId="0" applyFont="0" applyFill="0" applyBorder="0" applyAlignment="0" applyProtection="0">
      <alignment vertical="center"/>
    </xf>
    <xf numFmtId="165" fontId="34" fillId="0" borderId="0" applyFont="0" applyFill="0" applyBorder="0" applyAlignment="0" applyProtection="0">
      <alignment vertical="center"/>
    </xf>
    <xf numFmtId="165" fontId="34" fillId="0" borderId="0" applyFont="0" applyFill="0" applyBorder="0" applyAlignment="0" applyProtection="0">
      <alignment vertical="center"/>
    </xf>
    <xf numFmtId="165" fontId="34" fillId="0" borderId="0" applyFont="0" applyFill="0" applyBorder="0" applyAlignment="0" applyProtection="0">
      <alignment vertical="center"/>
    </xf>
    <xf numFmtId="165" fontId="34" fillId="0" borderId="0" applyFont="0" applyFill="0" applyBorder="0" applyAlignment="0" applyProtection="0">
      <alignment vertical="center"/>
    </xf>
    <xf numFmtId="165" fontId="34" fillId="0" borderId="0" applyFont="0" applyFill="0" applyBorder="0" applyAlignment="0" applyProtection="0">
      <alignment vertical="center"/>
    </xf>
    <xf numFmtId="165" fontId="34" fillId="0" borderId="0" applyFont="0" applyFill="0" applyBorder="0" applyAlignment="0" applyProtection="0">
      <alignment vertical="center"/>
    </xf>
    <xf numFmtId="165" fontId="32" fillId="0" borderId="0" applyFont="0" applyFill="0" applyBorder="0" applyAlignment="0" applyProtection="0"/>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6" fontId="32" fillId="0" borderId="0" applyFont="0" applyFill="0" applyBorder="0" applyAlignment="0" applyProtection="0"/>
    <xf numFmtId="166" fontId="32" fillId="0" borderId="0" applyFont="0" applyFill="0" applyBorder="0" applyAlignment="0" applyProtection="0"/>
    <xf numFmtId="166" fontId="32" fillId="0" borderId="0" applyFont="0" applyFill="0" applyBorder="0" applyAlignment="0" applyProtection="0"/>
    <xf numFmtId="164" fontId="32" fillId="0" borderId="0" applyFont="0" applyFill="0" applyBorder="0" applyAlignment="0" applyProtection="0">
      <alignment vertical="center"/>
    </xf>
    <xf numFmtId="0" fontId="32" fillId="0" borderId="0"/>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5" fontId="34" fillId="0" borderId="0" applyFont="0" applyFill="0" applyBorder="0" applyAlignment="0" applyProtection="0"/>
    <xf numFmtId="165" fontId="34" fillId="0" borderId="0" applyFont="0" applyFill="0" applyBorder="0" applyAlignment="0" applyProtection="0"/>
    <xf numFmtId="165" fontId="34" fillId="0" borderId="0" applyFont="0" applyFill="0" applyBorder="0" applyAlignment="0" applyProtection="0"/>
    <xf numFmtId="165" fontId="34" fillId="0" borderId="0" applyFont="0" applyFill="0" applyBorder="0" applyAlignment="0" applyProtection="0"/>
    <xf numFmtId="165" fontId="34" fillId="0" borderId="0" applyFont="0" applyFill="0" applyBorder="0" applyAlignment="0" applyProtection="0"/>
    <xf numFmtId="165" fontId="34" fillId="0" borderId="0" applyFont="0" applyFill="0" applyBorder="0" applyAlignment="0" applyProtection="0"/>
    <xf numFmtId="165" fontId="34" fillId="0" borderId="0" applyFont="0" applyFill="0" applyBorder="0" applyAlignment="0" applyProtection="0"/>
    <xf numFmtId="165" fontId="34" fillId="0" borderId="0" applyFont="0" applyFill="0" applyBorder="0" applyAlignment="0" applyProtection="0"/>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32" fillId="0" borderId="0" applyFont="0" applyFill="0" applyBorder="0" applyAlignment="0" applyProtection="0">
      <alignment vertical="center"/>
    </xf>
    <xf numFmtId="165" fontId="32" fillId="0" borderId="0" applyFont="0" applyFill="0" applyBorder="0" applyAlignment="0" applyProtection="0">
      <alignment vertical="center"/>
    </xf>
    <xf numFmtId="165" fontId="32" fillId="0" borderId="0" applyFont="0" applyFill="0" applyBorder="0" applyAlignment="0" applyProtection="0">
      <alignment vertical="center"/>
    </xf>
    <xf numFmtId="165" fontId="32" fillId="0" borderId="0" applyFont="0" applyFill="0" applyBorder="0" applyAlignment="0" applyProtection="0">
      <alignment vertical="center"/>
    </xf>
    <xf numFmtId="165" fontId="32" fillId="0" borderId="0" applyFont="0" applyFill="0" applyBorder="0" applyAlignment="0" applyProtection="0">
      <alignment vertical="center"/>
    </xf>
    <xf numFmtId="165" fontId="32" fillId="0" borderId="0" applyFont="0" applyFill="0" applyBorder="0" applyAlignment="0" applyProtection="0">
      <alignment vertical="center"/>
    </xf>
    <xf numFmtId="165" fontId="32" fillId="0" borderId="0" applyFont="0" applyFill="0" applyBorder="0" applyAlignment="0" applyProtection="0">
      <alignment vertical="center"/>
    </xf>
    <xf numFmtId="165" fontId="32"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5" fontId="29" fillId="0" borderId="0" applyFont="0" applyFill="0" applyBorder="0" applyAlignment="0" applyProtection="0">
      <alignment vertical="center"/>
    </xf>
    <xf numFmtId="165" fontId="32" fillId="0" borderId="0" applyFont="0" applyFill="0" applyBorder="0" applyAlignment="0" applyProtection="0"/>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32" fillId="0" borderId="0" applyFont="0" applyFill="0" applyBorder="0" applyAlignment="0" applyProtection="0"/>
    <xf numFmtId="165" fontId="32" fillId="0" borderId="0" applyFont="0" applyFill="0" applyBorder="0" applyAlignment="0" applyProtection="0"/>
    <xf numFmtId="165" fontId="32" fillId="0" borderId="0" applyFont="0" applyFill="0" applyBorder="0" applyAlignment="0" applyProtection="0"/>
    <xf numFmtId="165" fontId="32" fillId="0" borderId="0" applyFont="0" applyFill="0" applyBorder="0" applyAlignment="0" applyProtection="0"/>
    <xf numFmtId="165" fontId="32" fillId="0" borderId="0" applyFont="0" applyFill="0" applyBorder="0" applyAlignment="0" applyProtection="0"/>
    <xf numFmtId="165" fontId="32" fillId="0" borderId="0" applyFont="0" applyFill="0" applyBorder="0" applyAlignment="0" applyProtection="0"/>
    <xf numFmtId="165" fontId="32" fillId="0" borderId="0" applyFont="0" applyFill="0" applyBorder="0" applyAlignment="0" applyProtection="0"/>
    <xf numFmtId="165" fontId="33" fillId="0" borderId="0" applyFont="0" applyFill="0" applyBorder="0" applyAlignment="0" applyProtection="0">
      <alignment vertical="center"/>
    </xf>
    <xf numFmtId="165" fontId="34" fillId="0" borderId="0" applyFont="0" applyFill="0" applyBorder="0" applyAlignment="0" applyProtection="0">
      <alignment vertical="center"/>
    </xf>
    <xf numFmtId="165" fontId="34" fillId="0" borderId="0" applyFont="0" applyFill="0" applyBorder="0" applyAlignment="0" applyProtection="0">
      <alignment vertical="center"/>
    </xf>
    <xf numFmtId="165" fontId="34" fillId="0" borderId="0" applyFont="0" applyFill="0" applyBorder="0" applyAlignment="0" applyProtection="0">
      <alignment vertical="center"/>
    </xf>
    <xf numFmtId="165" fontId="34" fillId="0" borderId="0" applyFont="0" applyFill="0" applyBorder="0" applyAlignment="0" applyProtection="0">
      <alignment vertical="center"/>
    </xf>
    <xf numFmtId="165" fontId="34" fillId="0" borderId="0" applyFont="0" applyFill="0" applyBorder="0" applyAlignment="0" applyProtection="0">
      <alignment vertical="center"/>
    </xf>
    <xf numFmtId="165" fontId="34" fillId="0" borderId="0" applyFont="0" applyFill="0" applyBorder="0" applyAlignment="0" applyProtection="0">
      <alignment vertical="center"/>
    </xf>
    <xf numFmtId="165" fontId="34" fillId="0" borderId="0" applyFont="0" applyFill="0" applyBorder="0" applyAlignment="0" applyProtection="0">
      <alignment vertical="center"/>
    </xf>
    <xf numFmtId="165" fontId="34" fillId="0" borderId="0" applyFont="0" applyFill="0" applyBorder="0" applyAlignment="0" applyProtection="0">
      <alignment vertical="center"/>
    </xf>
    <xf numFmtId="165" fontId="32" fillId="0" borderId="0" applyFont="0" applyFill="0" applyBorder="0" applyAlignment="0" applyProtection="0"/>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6" fontId="32" fillId="0" borderId="0" applyFont="0" applyFill="0" applyBorder="0" applyAlignment="0" applyProtection="0"/>
    <xf numFmtId="166" fontId="32" fillId="0" borderId="0" applyFont="0" applyFill="0" applyBorder="0" applyAlignment="0" applyProtection="0"/>
    <xf numFmtId="166" fontId="32" fillId="0" borderId="0" applyFont="0" applyFill="0" applyBorder="0" applyAlignment="0" applyProtection="0"/>
    <xf numFmtId="164" fontId="32" fillId="0" borderId="0" applyFont="0" applyFill="0" applyBorder="0" applyAlignment="0" applyProtection="0">
      <alignment vertical="center"/>
    </xf>
    <xf numFmtId="0" fontId="1" fillId="0" borderId="0"/>
    <xf numFmtId="166"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9" fontId="1" fillId="0" borderId="0" applyFont="0" applyFill="0" applyBorder="0" applyAlignment="0" applyProtection="0"/>
    <xf numFmtId="165" fontId="32" fillId="0" borderId="0" applyFont="0" applyFill="0" applyBorder="0" applyAlignment="0" applyProtection="0">
      <alignment vertical="center"/>
    </xf>
    <xf numFmtId="0" fontId="1" fillId="0" borderId="0">
      <alignment vertical="center"/>
    </xf>
    <xf numFmtId="165" fontId="34" fillId="0" borderId="0" applyFont="0" applyFill="0" applyBorder="0" applyAlignment="0" applyProtection="0"/>
    <xf numFmtId="165" fontId="34" fillId="0" borderId="0" applyFont="0" applyFill="0" applyBorder="0" applyAlignment="0" applyProtection="0"/>
    <xf numFmtId="165" fontId="34" fillId="0" borderId="0" applyFont="0" applyFill="0" applyBorder="0" applyAlignment="0" applyProtection="0"/>
    <xf numFmtId="165" fontId="34" fillId="0" borderId="0" applyFont="0" applyFill="0" applyBorder="0" applyAlignment="0" applyProtection="0"/>
    <xf numFmtId="165" fontId="34" fillId="0" borderId="0" applyFont="0" applyFill="0" applyBorder="0" applyAlignment="0" applyProtection="0"/>
    <xf numFmtId="165" fontId="34" fillId="0" borderId="0" applyFont="0" applyFill="0" applyBorder="0" applyAlignment="0" applyProtection="0"/>
    <xf numFmtId="165" fontId="34" fillId="0" borderId="0" applyFont="0" applyFill="0" applyBorder="0" applyAlignment="0" applyProtection="0"/>
    <xf numFmtId="165" fontId="34" fillId="0" borderId="0" applyFont="0" applyFill="0" applyBorder="0" applyAlignment="0" applyProtection="0"/>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32" fillId="0" borderId="0" applyFont="0" applyFill="0" applyBorder="0" applyAlignment="0" applyProtection="0">
      <alignment vertical="center"/>
    </xf>
    <xf numFmtId="165" fontId="32" fillId="0" borderId="0" applyFont="0" applyFill="0" applyBorder="0" applyAlignment="0" applyProtection="0">
      <alignment vertical="center"/>
    </xf>
    <xf numFmtId="165" fontId="32" fillId="0" borderId="0" applyFont="0" applyFill="0" applyBorder="0" applyAlignment="0" applyProtection="0">
      <alignment vertical="center"/>
    </xf>
    <xf numFmtId="165" fontId="32" fillId="0" borderId="0" applyFont="0" applyFill="0" applyBorder="0" applyAlignment="0" applyProtection="0">
      <alignment vertical="center"/>
    </xf>
    <xf numFmtId="165" fontId="32" fillId="0" borderId="0" applyFont="0" applyFill="0" applyBorder="0" applyAlignment="0" applyProtection="0">
      <alignment vertical="center"/>
    </xf>
    <xf numFmtId="165" fontId="32" fillId="0" borderId="0" applyFont="0" applyFill="0" applyBorder="0" applyAlignment="0" applyProtection="0">
      <alignment vertical="center"/>
    </xf>
    <xf numFmtId="165" fontId="32" fillId="0" borderId="0" applyFont="0" applyFill="0" applyBorder="0" applyAlignment="0" applyProtection="0">
      <alignment vertical="center"/>
    </xf>
    <xf numFmtId="165" fontId="32"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5" fontId="29" fillId="0" borderId="0" applyFont="0" applyFill="0" applyBorder="0" applyAlignment="0" applyProtection="0">
      <alignment vertical="center"/>
    </xf>
    <xf numFmtId="165" fontId="32" fillId="0" borderId="0" applyFont="0" applyFill="0" applyBorder="0" applyAlignment="0" applyProtection="0"/>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32" fillId="0" borderId="0" applyFont="0" applyFill="0" applyBorder="0" applyAlignment="0" applyProtection="0"/>
    <xf numFmtId="165" fontId="32" fillId="0" borderId="0" applyFont="0" applyFill="0" applyBorder="0" applyAlignment="0" applyProtection="0"/>
    <xf numFmtId="165" fontId="32" fillId="0" borderId="0" applyFont="0" applyFill="0" applyBorder="0" applyAlignment="0" applyProtection="0"/>
    <xf numFmtId="165" fontId="32" fillId="0" borderId="0" applyFont="0" applyFill="0" applyBorder="0" applyAlignment="0" applyProtection="0"/>
    <xf numFmtId="165" fontId="32" fillId="0" borderId="0" applyFont="0" applyFill="0" applyBorder="0" applyAlignment="0" applyProtection="0"/>
    <xf numFmtId="165" fontId="32" fillId="0" borderId="0" applyFont="0" applyFill="0" applyBorder="0" applyAlignment="0" applyProtection="0"/>
    <xf numFmtId="165" fontId="32" fillId="0" borderId="0" applyFont="0" applyFill="0" applyBorder="0" applyAlignment="0" applyProtection="0"/>
    <xf numFmtId="165" fontId="33" fillId="0" borderId="0" applyFont="0" applyFill="0" applyBorder="0" applyAlignment="0" applyProtection="0">
      <alignment vertical="center"/>
    </xf>
    <xf numFmtId="165" fontId="34" fillId="0" borderId="0" applyFont="0" applyFill="0" applyBorder="0" applyAlignment="0" applyProtection="0">
      <alignment vertical="center"/>
    </xf>
    <xf numFmtId="165" fontId="34" fillId="0" borderId="0" applyFont="0" applyFill="0" applyBorder="0" applyAlignment="0" applyProtection="0">
      <alignment vertical="center"/>
    </xf>
    <xf numFmtId="165" fontId="34" fillId="0" borderId="0" applyFont="0" applyFill="0" applyBorder="0" applyAlignment="0" applyProtection="0">
      <alignment vertical="center"/>
    </xf>
    <xf numFmtId="165" fontId="34" fillId="0" borderId="0" applyFont="0" applyFill="0" applyBorder="0" applyAlignment="0" applyProtection="0">
      <alignment vertical="center"/>
    </xf>
    <xf numFmtId="165" fontId="34" fillId="0" borderId="0" applyFont="0" applyFill="0" applyBorder="0" applyAlignment="0" applyProtection="0">
      <alignment vertical="center"/>
    </xf>
    <xf numFmtId="165" fontId="34" fillId="0" borderId="0" applyFont="0" applyFill="0" applyBorder="0" applyAlignment="0" applyProtection="0">
      <alignment vertical="center"/>
    </xf>
    <xf numFmtId="165" fontId="34" fillId="0" borderId="0" applyFont="0" applyFill="0" applyBorder="0" applyAlignment="0" applyProtection="0">
      <alignment vertical="center"/>
    </xf>
    <xf numFmtId="165" fontId="34" fillId="0" borderId="0" applyFont="0" applyFill="0" applyBorder="0" applyAlignment="0" applyProtection="0">
      <alignment vertical="center"/>
    </xf>
    <xf numFmtId="165" fontId="32" fillId="0" borderId="0" applyFont="0" applyFill="0" applyBorder="0" applyAlignment="0" applyProtection="0"/>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6" fontId="32" fillId="0" borderId="0" applyFont="0" applyFill="0" applyBorder="0" applyAlignment="0" applyProtection="0"/>
    <xf numFmtId="166" fontId="32" fillId="0" borderId="0" applyFont="0" applyFill="0" applyBorder="0" applyAlignment="0" applyProtection="0"/>
    <xf numFmtId="166" fontId="32" fillId="0" borderId="0" applyFont="0" applyFill="0" applyBorder="0" applyAlignment="0" applyProtection="0"/>
    <xf numFmtId="164" fontId="32" fillId="0" borderId="0" applyFont="0" applyFill="0" applyBorder="0" applyAlignment="0" applyProtection="0">
      <alignment vertical="center"/>
    </xf>
    <xf numFmtId="0" fontId="32" fillId="0" borderId="0"/>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5" fontId="34" fillId="0" borderId="0" applyFont="0" applyFill="0" applyBorder="0" applyAlignment="0" applyProtection="0"/>
    <xf numFmtId="165" fontId="34" fillId="0" borderId="0" applyFont="0" applyFill="0" applyBorder="0" applyAlignment="0" applyProtection="0"/>
    <xf numFmtId="165" fontId="34" fillId="0" borderId="0" applyFont="0" applyFill="0" applyBorder="0" applyAlignment="0" applyProtection="0"/>
    <xf numFmtId="165" fontId="34" fillId="0" borderId="0" applyFont="0" applyFill="0" applyBorder="0" applyAlignment="0" applyProtection="0"/>
    <xf numFmtId="165" fontId="34" fillId="0" borderId="0" applyFont="0" applyFill="0" applyBorder="0" applyAlignment="0" applyProtection="0"/>
    <xf numFmtId="165" fontId="34" fillId="0" borderId="0" applyFont="0" applyFill="0" applyBorder="0" applyAlignment="0" applyProtection="0"/>
    <xf numFmtId="165" fontId="34" fillId="0" borderId="0" applyFont="0" applyFill="0" applyBorder="0" applyAlignment="0" applyProtection="0"/>
    <xf numFmtId="165" fontId="34" fillId="0" borderId="0" applyFont="0" applyFill="0" applyBorder="0" applyAlignment="0" applyProtection="0"/>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32" fillId="0" borderId="0" applyFont="0" applyFill="0" applyBorder="0" applyAlignment="0" applyProtection="0">
      <alignment vertical="center"/>
    </xf>
    <xf numFmtId="165" fontId="32" fillId="0" borderId="0" applyFont="0" applyFill="0" applyBorder="0" applyAlignment="0" applyProtection="0">
      <alignment vertical="center"/>
    </xf>
    <xf numFmtId="165" fontId="32" fillId="0" borderId="0" applyFont="0" applyFill="0" applyBorder="0" applyAlignment="0" applyProtection="0">
      <alignment vertical="center"/>
    </xf>
    <xf numFmtId="165" fontId="32" fillId="0" borderId="0" applyFont="0" applyFill="0" applyBorder="0" applyAlignment="0" applyProtection="0">
      <alignment vertical="center"/>
    </xf>
    <xf numFmtId="165" fontId="32" fillId="0" borderId="0" applyFont="0" applyFill="0" applyBorder="0" applyAlignment="0" applyProtection="0">
      <alignment vertical="center"/>
    </xf>
    <xf numFmtId="165" fontId="32" fillId="0" borderId="0" applyFont="0" applyFill="0" applyBorder="0" applyAlignment="0" applyProtection="0">
      <alignment vertical="center"/>
    </xf>
    <xf numFmtId="165" fontId="32" fillId="0" borderId="0" applyFont="0" applyFill="0" applyBorder="0" applyAlignment="0" applyProtection="0">
      <alignment vertical="center"/>
    </xf>
    <xf numFmtId="165" fontId="32"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5" fontId="29" fillId="0" borderId="0" applyFont="0" applyFill="0" applyBorder="0" applyAlignment="0" applyProtection="0">
      <alignment vertical="center"/>
    </xf>
    <xf numFmtId="165" fontId="32" fillId="0" borderId="0" applyFont="0" applyFill="0" applyBorder="0" applyAlignment="0" applyProtection="0"/>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32" fillId="0" borderId="0" applyFont="0" applyFill="0" applyBorder="0" applyAlignment="0" applyProtection="0"/>
    <xf numFmtId="165" fontId="32" fillId="0" borderId="0" applyFont="0" applyFill="0" applyBorder="0" applyAlignment="0" applyProtection="0"/>
    <xf numFmtId="165" fontId="32" fillId="0" borderId="0" applyFont="0" applyFill="0" applyBorder="0" applyAlignment="0" applyProtection="0"/>
    <xf numFmtId="165" fontId="32" fillId="0" borderId="0" applyFont="0" applyFill="0" applyBorder="0" applyAlignment="0" applyProtection="0"/>
    <xf numFmtId="165" fontId="32" fillId="0" borderId="0" applyFont="0" applyFill="0" applyBorder="0" applyAlignment="0" applyProtection="0"/>
    <xf numFmtId="165" fontId="32" fillId="0" borderId="0" applyFont="0" applyFill="0" applyBorder="0" applyAlignment="0" applyProtection="0"/>
    <xf numFmtId="165" fontId="32" fillId="0" borderId="0" applyFont="0" applyFill="0" applyBorder="0" applyAlignment="0" applyProtection="0"/>
    <xf numFmtId="165" fontId="33" fillId="0" borderId="0" applyFont="0" applyFill="0" applyBorder="0" applyAlignment="0" applyProtection="0">
      <alignment vertical="center"/>
    </xf>
    <xf numFmtId="165" fontId="34" fillId="0" borderId="0" applyFont="0" applyFill="0" applyBorder="0" applyAlignment="0" applyProtection="0">
      <alignment vertical="center"/>
    </xf>
    <xf numFmtId="165" fontId="34" fillId="0" borderId="0" applyFont="0" applyFill="0" applyBorder="0" applyAlignment="0" applyProtection="0">
      <alignment vertical="center"/>
    </xf>
    <xf numFmtId="165" fontId="34" fillId="0" borderId="0" applyFont="0" applyFill="0" applyBorder="0" applyAlignment="0" applyProtection="0">
      <alignment vertical="center"/>
    </xf>
    <xf numFmtId="165" fontId="34" fillId="0" borderId="0" applyFont="0" applyFill="0" applyBorder="0" applyAlignment="0" applyProtection="0">
      <alignment vertical="center"/>
    </xf>
    <xf numFmtId="165" fontId="34" fillId="0" borderId="0" applyFont="0" applyFill="0" applyBorder="0" applyAlignment="0" applyProtection="0">
      <alignment vertical="center"/>
    </xf>
    <xf numFmtId="165" fontId="34" fillId="0" borderId="0" applyFont="0" applyFill="0" applyBorder="0" applyAlignment="0" applyProtection="0">
      <alignment vertical="center"/>
    </xf>
    <xf numFmtId="165" fontId="34" fillId="0" borderId="0" applyFont="0" applyFill="0" applyBorder="0" applyAlignment="0" applyProtection="0">
      <alignment vertical="center"/>
    </xf>
    <xf numFmtId="165" fontId="34" fillId="0" borderId="0" applyFont="0" applyFill="0" applyBorder="0" applyAlignment="0" applyProtection="0">
      <alignment vertical="center"/>
    </xf>
    <xf numFmtId="165" fontId="32" fillId="0" borderId="0" applyFont="0" applyFill="0" applyBorder="0" applyAlignment="0" applyProtection="0"/>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6" fontId="32" fillId="0" borderId="0" applyFont="0" applyFill="0" applyBorder="0" applyAlignment="0" applyProtection="0"/>
    <xf numFmtId="166" fontId="32" fillId="0" borderId="0" applyFont="0" applyFill="0" applyBorder="0" applyAlignment="0" applyProtection="0"/>
    <xf numFmtId="166" fontId="32" fillId="0" borderId="0" applyFont="0" applyFill="0" applyBorder="0" applyAlignment="0" applyProtection="0"/>
    <xf numFmtId="164" fontId="32" fillId="0" borderId="0" applyFont="0" applyFill="0" applyBorder="0" applyAlignment="0" applyProtection="0">
      <alignment vertical="center"/>
    </xf>
    <xf numFmtId="0" fontId="1" fillId="0" borderId="0"/>
    <xf numFmtId="166"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9" fontId="1" fillId="0" borderId="0" applyFont="0" applyFill="0" applyBorder="0" applyAlignment="0" applyProtection="0"/>
    <xf numFmtId="165" fontId="32" fillId="0" borderId="0" applyFont="0" applyFill="0" applyBorder="0" applyAlignment="0" applyProtection="0">
      <alignment vertical="center"/>
    </xf>
    <xf numFmtId="0" fontId="1" fillId="0" borderId="0">
      <alignment vertical="center"/>
    </xf>
    <xf numFmtId="165" fontId="34" fillId="0" borderId="0" applyFont="0" applyFill="0" applyBorder="0" applyAlignment="0" applyProtection="0"/>
    <xf numFmtId="165" fontId="34" fillId="0" borderId="0" applyFont="0" applyFill="0" applyBorder="0" applyAlignment="0" applyProtection="0"/>
    <xf numFmtId="165" fontId="34" fillId="0" borderId="0" applyFont="0" applyFill="0" applyBorder="0" applyAlignment="0" applyProtection="0"/>
    <xf numFmtId="165" fontId="34" fillId="0" borderId="0" applyFont="0" applyFill="0" applyBorder="0" applyAlignment="0" applyProtection="0"/>
    <xf numFmtId="165" fontId="34" fillId="0" borderId="0" applyFont="0" applyFill="0" applyBorder="0" applyAlignment="0" applyProtection="0"/>
    <xf numFmtId="165" fontId="34" fillId="0" borderId="0" applyFont="0" applyFill="0" applyBorder="0" applyAlignment="0" applyProtection="0"/>
    <xf numFmtId="165" fontId="34" fillId="0" borderId="0" applyFont="0" applyFill="0" applyBorder="0" applyAlignment="0" applyProtection="0"/>
    <xf numFmtId="165" fontId="34" fillId="0" borderId="0" applyFont="0" applyFill="0" applyBorder="0" applyAlignment="0" applyProtection="0"/>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32" fillId="0" borderId="0" applyFont="0" applyFill="0" applyBorder="0" applyAlignment="0" applyProtection="0">
      <alignment vertical="center"/>
    </xf>
    <xf numFmtId="165" fontId="32" fillId="0" borderId="0" applyFont="0" applyFill="0" applyBorder="0" applyAlignment="0" applyProtection="0">
      <alignment vertical="center"/>
    </xf>
    <xf numFmtId="165" fontId="32" fillId="0" borderId="0" applyFont="0" applyFill="0" applyBorder="0" applyAlignment="0" applyProtection="0">
      <alignment vertical="center"/>
    </xf>
    <xf numFmtId="165" fontId="32" fillId="0" borderId="0" applyFont="0" applyFill="0" applyBorder="0" applyAlignment="0" applyProtection="0">
      <alignment vertical="center"/>
    </xf>
    <xf numFmtId="165" fontId="32" fillId="0" borderId="0" applyFont="0" applyFill="0" applyBorder="0" applyAlignment="0" applyProtection="0">
      <alignment vertical="center"/>
    </xf>
    <xf numFmtId="165" fontId="32" fillId="0" borderId="0" applyFont="0" applyFill="0" applyBorder="0" applyAlignment="0" applyProtection="0">
      <alignment vertical="center"/>
    </xf>
    <xf numFmtId="165" fontId="32" fillId="0" borderId="0" applyFont="0" applyFill="0" applyBorder="0" applyAlignment="0" applyProtection="0">
      <alignment vertical="center"/>
    </xf>
    <xf numFmtId="165" fontId="32"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5" fontId="29" fillId="0" borderId="0" applyFont="0" applyFill="0" applyBorder="0" applyAlignment="0" applyProtection="0">
      <alignment vertical="center"/>
    </xf>
    <xf numFmtId="165" fontId="32" fillId="0" borderId="0" applyFont="0" applyFill="0" applyBorder="0" applyAlignment="0" applyProtection="0"/>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32" fillId="0" borderId="0" applyFont="0" applyFill="0" applyBorder="0" applyAlignment="0" applyProtection="0"/>
    <xf numFmtId="165" fontId="32" fillId="0" borderId="0" applyFont="0" applyFill="0" applyBorder="0" applyAlignment="0" applyProtection="0"/>
    <xf numFmtId="165" fontId="32" fillId="0" borderId="0" applyFont="0" applyFill="0" applyBorder="0" applyAlignment="0" applyProtection="0"/>
    <xf numFmtId="165" fontId="32" fillId="0" borderId="0" applyFont="0" applyFill="0" applyBorder="0" applyAlignment="0" applyProtection="0"/>
    <xf numFmtId="165" fontId="32" fillId="0" borderId="0" applyFont="0" applyFill="0" applyBorder="0" applyAlignment="0" applyProtection="0"/>
    <xf numFmtId="165" fontId="32" fillId="0" borderId="0" applyFont="0" applyFill="0" applyBorder="0" applyAlignment="0" applyProtection="0"/>
    <xf numFmtId="165" fontId="32" fillId="0" borderId="0" applyFont="0" applyFill="0" applyBorder="0" applyAlignment="0" applyProtection="0"/>
    <xf numFmtId="165" fontId="33" fillId="0" borderId="0" applyFont="0" applyFill="0" applyBorder="0" applyAlignment="0" applyProtection="0">
      <alignment vertical="center"/>
    </xf>
    <xf numFmtId="165" fontId="34" fillId="0" borderId="0" applyFont="0" applyFill="0" applyBorder="0" applyAlignment="0" applyProtection="0">
      <alignment vertical="center"/>
    </xf>
    <xf numFmtId="165" fontId="34" fillId="0" borderId="0" applyFont="0" applyFill="0" applyBorder="0" applyAlignment="0" applyProtection="0">
      <alignment vertical="center"/>
    </xf>
    <xf numFmtId="165" fontId="34" fillId="0" borderId="0" applyFont="0" applyFill="0" applyBorder="0" applyAlignment="0" applyProtection="0">
      <alignment vertical="center"/>
    </xf>
    <xf numFmtId="165" fontId="34" fillId="0" borderId="0" applyFont="0" applyFill="0" applyBorder="0" applyAlignment="0" applyProtection="0">
      <alignment vertical="center"/>
    </xf>
    <xf numFmtId="165" fontId="34" fillId="0" borderId="0" applyFont="0" applyFill="0" applyBorder="0" applyAlignment="0" applyProtection="0">
      <alignment vertical="center"/>
    </xf>
    <xf numFmtId="165" fontId="34" fillId="0" borderId="0" applyFont="0" applyFill="0" applyBorder="0" applyAlignment="0" applyProtection="0">
      <alignment vertical="center"/>
    </xf>
    <xf numFmtId="165" fontId="34" fillId="0" borderId="0" applyFont="0" applyFill="0" applyBorder="0" applyAlignment="0" applyProtection="0">
      <alignment vertical="center"/>
    </xf>
    <xf numFmtId="165" fontId="34" fillId="0" borderId="0" applyFont="0" applyFill="0" applyBorder="0" applyAlignment="0" applyProtection="0">
      <alignment vertical="center"/>
    </xf>
    <xf numFmtId="165" fontId="32" fillId="0" borderId="0" applyFont="0" applyFill="0" applyBorder="0" applyAlignment="0" applyProtection="0"/>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6" fontId="32" fillId="0" borderId="0" applyFont="0" applyFill="0" applyBorder="0" applyAlignment="0" applyProtection="0"/>
    <xf numFmtId="166" fontId="32" fillId="0" borderId="0" applyFont="0" applyFill="0" applyBorder="0" applyAlignment="0" applyProtection="0"/>
    <xf numFmtId="166" fontId="32" fillId="0" borderId="0" applyFont="0" applyFill="0" applyBorder="0" applyAlignment="0" applyProtection="0"/>
    <xf numFmtId="164" fontId="32" fillId="0" borderId="0" applyFont="0" applyFill="0" applyBorder="0" applyAlignment="0" applyProtection="0">
      <alignment vertical="center"/>
    </xf>
    <xf numFmtId="0" fontId="32" fillId="0" borderId="0"/>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5" fontId="34" fillId="0" borderId="0" applyFont="0" applyFill="0" applyBorder="0" applyAlignment="0" applyProtection="0"/>
    <xf numFmtId="165" fontId="34" fillId="0" borderId="0" applyFont="0" applyFill="0" applyBorder="0" applyAlignment="0" applyProtection="0"/>
    <xf numFmtId="165" fontId="34" fillId="0" borderId="0" applyFont="0" applyFill="0" applyBorder="0" applyAlignment="0" applyProtection="0"/>
    <xf numFmtId="165" fontId="34" fillId="0" borderId="0" applyFont="0" applyFill="0" applyBorder="0" applyAlignment="0" applyProtection="0"/>
    <xf numFmtId="165" fontId="34" fillId="0" borderId="0" applyFont="0" applyFill="0" applyBorder="0" applyAlignment="0" applyProtection="0"/>
    <xf numFmtId="165" fontId="34" fillId="0" borderId="0" applyFont="0" applyFill="0" applyBorder="0" applyAlignment="0" applyProtection="0"/>
    <xf numFmtId="165" fontId="34" fillId="0" borderId="0" applyFont="0" applyFill="0" applyBorder="0" applyAlignment="0" applyProtection="0"/>
    <xf numFmtId="165" fontId="34" fillId="0" borderId="0" applyFont="0" applyFill="0" applyBorder="0" applyAlignment="0" applyProtection="0"/>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32" fillId="0" borderId="0" applyFont="0" applyFill="0" applyBorder="0" applyAlignment="0" applyProtection="0">
      <alignment vertical="center"/>
    </xf>
    <xf numFmtId="165" fontId="32" fillId="0" borderId="0" applyFont="0" applyFill="0" applyBorder="0" applyAlignment="0" applyProtection="0">
      <alignment vertical="center"/>
    </xf>
    <xf numFmtId="165" fontId="32" fillId="0" borderId="0" applyFont="0" applyFill="0" applyBorder="0" applyAlignment="0" applyProtection="0">
      <alignment vertical="center"/>
    </xf>
    <xf numFmtId="165" fontId="32" fillId="0" borderId="0" applyFont="0" applyFill="0" applyBorder="0" applyAlignment="0" applyProtection="0">
      <alignment vertical="center"/>
    </xf>
    <xf numFmtId="165" fontId="32" fillId="0" borderId="0" applyFont="0" applyFill="0" applyBorder="0" applyAlignment="0" applyProtection="0">
      <alignment vertical="center"/>
    </xf>
    <xf numFmtId="165" fontId="32" fillId="0" borderId="0" applyFont="0" applyFill="0" applyBorder="0" applyAlignment="0" applyProtection="0">
      <alignment vertical="center"/>
    </xf>
    <xf numFmtId="165" fontId="32" fillId="0" borderId="0" applyFont="0" applyFill="0" applyBorder="0" applyAlignment="0" applyProtection="0">
      <alignment vertical="center"/>
    </xf>
    <xf numFmtId="165" fontId="32"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5" fontId="29" fillId="0" borderId="0" applyFont="0" applyFill="0" applyBorder="0" applyAlignment="0" applyProtection="0">
      <alignment vertical="center"/>
    </xf>
    <xf numFmtId="165" fontId="32" fillId="0" borderId="0" applyFont="0" applyFill="0" applyBorder="0" applyAlignment="0" applyProtection="0"/>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32" fillId="0" borderId="0" applyFont="0" applyFill="0" applyBorder="0" applyAlignment="0" applyProtection="0"/>
    <xf numFmtId="165" fontId="32" fillId="0" borderId="0" applyFont="0" applyFill="0" applyBorder="0" applyAlignment="0" applyProtection="0"/>
    <xf numFmtId="165" fontId="32" fillId="0" borderId="0" applyFont="0" applyFill="0" applyBorder="0" applyAlignment="0" applyProtection="0"/>
    <xf numFmtId="165" fontId="32" fillId="0" borderId="0" applyFont="0" applyFill="0" applyBorder="0" applyAlignment="0" applyProtection="0"/>
    <xf numFmtId="165" fontId="32" fillId="0" borderId="0" applyFont="0" applyFill="0" applyBorder="0" applyAlignment="0" applyProtection="0"/>
    <xf numFmtId="165" fontId="32" fillId="0" borderId="0" applyFont="0" applyFill="0" applyBorder="0" applyAlignment="0" applyProtection="0"/>
    <xf numFmtId="165" fontId="32" fillId="0" borderId="0" applyFont="0" applyFill="0" applyBorder="0" applyAlignment="0" applyProtection="0"/>
    <xf numFmtId="165" fontId="33" fillId="0" borderId="0" applyFont="0" applyFill="0" applyBorder="0" applyAlignment="0" applyProtection="0">
      <alignment vertical="center"/>
    </xf>
    <xf numFmtId="165" fontId="34" fillId="0" borderId="0" applyFont="0" applyFill="0" applyBorder="0" applyAlignment="0" applyProtection="0">
      <alignment vertical="center"/>
    </xf>
    <xf numFmtId="165" fontId="34" fillId="0" borderId="0" applyFont="0" applyFill="0" applyBorder="0" applyAlignment="0" applyProtection="0">
      <alignment vertical="center"/>
    </xf>
    <xf numFmtId="165" fontId="34" fillId="0" borderId="0" applyFont="0" applyFill="0" applyBorder="0" applyAlignment="0" applyProtection="0">
      <alignment vertical="center"/>
    </xf>
    <xf numFmtId="165" fontId="34" fillId="0" borderId="0" applyFont="0" applyFill="0" applyBorder="0" applyAlignment="0" applyProtection="0">
      <alignment vertical="center"/>
    </xf>
    <xf numFmtId="165" fontId="34" fillId="0" borderId="0" applyFont="0" applyFill="0" applyBorder="0" applyAlignment="0" applyProtection="0">
      <alignment vertical="center"/>
    </xf>
    <xf numFmtId="165" fontId="34" fillId="0" borderId="0" applyFont="0" applyFill="0" applyBorder="0" applyAlignment="0" applyProtection="0">
      <alignment vertical="center"/>
    </xf>
    <xf numFmtId="165" fontId="34" fillId="0" borderId="0" applyFont="0" applyFill="0" applyBorder="0" applyAlignment="0" applyProtection="0">
      <alignment vertical="center"/>
    </xf>
    <xf numFmtId="165" fontId="34" fillId="0" borderId="0" applyFont="0" applyFill="0" applyBorder="0" applyAlignment="0" applyProtection="0">
      <alignment vertical="center"/>
    </xf>
    <xf numFmtId="165" fontId="32" fillId="0" borderId="0" applyFont="0" applyFill="0" applyBorder="0" applyAlignment="0" applyProtection="0"/>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6" fontId="32" fillId="0" borderId="0" applyFont="0" applyFill="0" applyBorder="0" applyAlignment="0" applyProtection="0"/>
    <xf numFmtId="166" fontId="32" fillId="0" borderId="0" applyFont="0" applyFill="0" applyBorder="0" applyAlignment="0" applyProtection="0"/>
    <xf numFmtId="166" fontId="32" fillId="0" borderId="0" applyFont="0" applyFill="0" applyBorder="0" applyAlignment="0" applyProtection="0"/>
    <xf numFmtId="164" fontId="32" fillId="0" borderId="0" applyFont="0" applyFill="0" applyBorder="0" applyAlignment="0" applyProtection="0">
      <alignment vertical="center"/>
    </xf>
    <xf numFmtId="0" fontId="1" fillId="0" borderId="0"/>
    <xf numFmtId="166"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9" fontId="1" fillId="0" borderId="0" applyFont="0" applyFill="0" applyBorder="0" applyAlignment="0" applyProtection="0"/>
    <xf numFmtId="165" fontId="32" fillId="0" borderId="0" applyFont="0" applyFill="0" applyBorder="0" applyAlignment="0" applyProtection="0">
      <alignment vertical="center"/>
    </xf>
    <xf numFmtId="0" fontId="1" fillId="0" borderId="0">
      <alignment vertical="center"/>
    </xf>
    <xf numFmtId="165" fontId="34" fillId="0" borderId="0" applyFont="0" applyFill="0" applyBorder="0" applyAlignment="0" applyProtection="0"/>
    <xf numFmtId="165" fontId="34" fillId="0" borderId="0" applyFont="0" applyFill="0" applyBorder="0" applyAlignment="0" applyProtection="0"/>
    <xf numFmtId="165" fontId="34" fillId="0" borderId="0" applyFont="0" applyFill="0" applyBorder="0" applyAlignment="0" applyProtection="0"/>
    <xf numFmtId="165" fontId="34" fillId="0" borderId="0" applyFont="0" applyFill="0" applyBorder="0" applyAlignment="0" applyProtection="0"/>
    <xf numFmtId="165" fontId="34" fillId="0" borderId="0" applyFont="0" applyFill="0" applyBorder="0" applyAlignment="0" applyProtection="0"/>
    <xf numFmtId="165" fontId="34" fillId="0" borderId="0" applyFont="0" applyFill="0" applyBorder="0" applyAlignment="0" applyProtection="0"/>
    <xf numFmtId="165" fontId="34" fillId="0" borderId="0" applyFont="0" applyFill="0" applyBorder="0" applyAlignment="0" applyProtection="0"/>
    <xf numFmtId="165" fontId="34" fillId="0" borderId="0" applyFont="0" applyFill="0" applyBorder="0" applyAlignment="0" applyProtection="0"/>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32" fillId="0" borderId="0" applyFont="0" applyFill="0" applyBorder="0" applyAlignment="0" applyProtection="0">
      <alignment vertical="center"/>
    </xf>
    <xf numFmtId="165" fontId="32" fillId="0" borderId="0" applyFont="0" applyFill="0" applyBorder="0" applyAlignment="0" applyProtection="0">
      <alignment vertical="center"/>
    </xf>
    <xf numFmtId="165" fontId="32" fillId="0" borderId="0" applyFont="0" applyFill="0" applyBorder="0" applyAlignment="0" applyProtection="0">
      <alignment vertical="center"/>
    </xf>
    <xf numFmtId="165" fontId="32" fillId="0" borderId="0" applyFont="0" applyFill="0" applyBorder="0" applyAlignment="0" applyProtection="0">
      <alignment vertical="center"/>
    </xf>
    <xf numFmtId="165" fontId="32" fillId="0" borderId="0" applyFont="0" applyFill="0" applyBorder="0" applyAlignment="0" applyProtection="0">
      <alignment vertical="center"/>
    </xf>
    <xf numFmtId="165" fontId="32" fillId="0" borderId="0" applyFont="0" applyFill="0" applyBorder="0" applyAlignment="0" applyProtection="0">
      <alignment vertical="center"/>
    </xf>
    <xf numFmtId="165" fontId="32" fillId="0" borderId="0" applyFont="0" applyFill="0" applyBorder="0" applyAlignment="0" applyProtection="0">
      <alignment vertical="center"/>
    </xf>
    <xf numFmtId="165" fontId="32"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5" fontId="29" fillId="0" borderId="0" applyFont="0" applyFill="0" applyBorder="0" applyAlignment="0" applyProtection="0">
      <alignment vertical="center"/>
    </xf>
    <xf numFmtId="165" fontId="32" fillId="0" borderId="0" applyFont="0" applyFill="0" applyBorder="0" applyAlignment="0" applyProtection="0"/>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32" fillId="0" borderId="0" applyFont="0" applyFill="0" applyBorder="0" applyAlignment="0" applyProtection="0"/>
    <xf numFmtId="165" fontId="32" fillId="0" borderId="0" applyFont="0" applyFill="0" applyBorder="0" applyAlignment="0" applyProtection="0"/>
    <xf numFmtId="165" fontId="32" fillId="0" borderId="0" applyFont="0" applyFill="0" applyBorder="0" applyAlignment="0" applyProtection="0"/>
    <xf numFmtId="165" fontId="32" fillId="0" borderId="0" applyFont="0" applyFill="0" applyBorder="0" applyAlignment="0" applyProtection="0"/>
    <xf numFmtId="165" fontId="32" fillId="0" borderId="0" applyFont="0" applyFill="0" applyBorder="0" applyAlignment="0" applyProtection="0"/>
    <xf numFmtId="165" fontId="32" fillId="0" borderId="0" applyFont="0" applyFill="0" applyBorder="0" applyAlignment="0" applyProtection="0"/>
    <xf numFmtId="165" fontId="32" fillId="0" borderId="0" applyFont="0" applyFill="0" applyBorder="0" applyAlignment="0" applyProtection="0"/>
    <xf numFmtId="165" fontId="33" fillId="0" borderId="0" applyFont="0" applyFill="0" applyBorder="0" applyAlignment="0" applyProtection="0">
      <alignment vertical="center"/>
    </xf>
    <xf numFmtId="165" fontId="34" fillId="0" borderId="0" applyFont="0" applyFill="0" applyBorder="0" applyAlignment="0" applyProtection="0">
      <alignment vertical="center"/>
    </xf>
    <xf numFmtId="165" fontId="34" fillId="0" borderId="0" applyFont="0" applyFill="0" applyBorder="0" applyAlignment="0" applyProtection="0">
      <alignment vertical="center"/>
    </xf>
    <xf numFmtId="165" fontId="34" fillId="0" borderId="0" applyFont="0" applyFill="0" applyBorder="0" applyAlignment="0" applyProtection="0">
      <alignment vertical="center"/>
    </xf>
    <xf numFmtId="165" fontId="34" fillId="0" borderId="0" applyFont="0" applyFill="0" applyBorder="0" applyAlignment="0" applyProtection="0">
      <alignment vertical="center"/>
    </xf>
    <xf numFmtId="165" fontId="34" fillId="0" borderId="0" applyFont="0" applyFill="0" applyBorder="0" applyAlignment="0" applyProtection="0">
      <alignment vertical="center"/>
    </xf>
    <xf numFmtId="165" fontId="34" fillId="0" borderId="0" applyFont="0" applyFill="0" applyBorder="0" applyAlignment="0" applyProtection="0">
      <alignment vertical="center"/>
    </xf>
    <xf numFmtId="165" fontId="34" fillId="0" borderId="0" applyFont="0" applyFill="0" applyBorder="0" applyAlignment="0" applyProtection="0">
      <alignment vertical="center"/>
    </xf>
    <xf numFmtId="165" fontId="34" fillId="0" borderId="0" applyFont="0" applyFill="0" applyBorder="0" applyAlignment="0" applyProtection="0">
      <alignment vertical="center"/>
    </xf>
    <xf numFmtId="165" fontId="32" fillId="0" borderId="0" applyFont="0" applyFill="0" applyBorder="0" applyAlignment="0" applyProtection="0"/>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6" fontId="32" fillId="0" borderId="0" applyFont="0" applyFill="0" applyBorder="0" applyAlignment="0" applyProtection="0"/>
    <xf numFmtId="166" fontId="32" fillId="0" borderId="0" applyFont="0" applyFill="0" applyBorder="0" applyAlignment="0" applyProtection="0"/>
    <xf numFmtId="166" fontId="32" fillId="0" borderId="0" applyFont="0" applyFill="0" applyBorder="0" applyAlignment="0" applyProtection="0"/>
    <xf numFmtId="164" fontId="32" fillId="0" borderId="0" applyFont="0" applyFill="0" applyBorder="0" applyAlignment="0" applyProtection="0">
      <alignment vertical="center"/>
    </xf>
    <xf numFmtId="0" fontId="32" fillId="0" borderId="0"/>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5" fontId="34" fillId="0" borderId="0" applyFont="0" applyFill="0" applyBorder="0" applyAlignment="0" applyProtection="0"/>
    <xf numFmtId="165" fontId="34" fillId="0" borderId="0" applyFont="0" applyFill="0" applyBorder="0" applyAlignment="0" applyProtection="0"/>
    <xf numFmtId="165" fontId="34" fillId="0" borderId="0" applyFont="0" applyFill="0" applyBorder="0" applyAlignment="0" applyProtection="0"/>
    <xf numFmtId="165" fontId="34" fillId="0" borderId="0" applyFont="0" applyFill="0" applyBorder="0" applyAlignment="0" applyProtection="0"/>
    <xf numFmtId="165" fontId="34" fillId="0" borderId="0" applyFont="0" applyFill="0" applyBorder="0" applyAlignment="0" applyProtection="0"/>
    <xf numFmtId="165" fontId="34" fillId="0" borderId="0" applyFont="0" applyFill="0" applyBorder="0" applyAlignment="0" applyProtection="0"/>
    <xf numFmtId="165" fontId="34" fillId="0" borderId="0" applyFont="0" applyFill="0" applyBorder="0" applyAlignment="0" applyProtection="0"/>
    <xf numFmtId="165" fontId="34" fillId="0" borderId="0" applyFont="0" applyFill="0" applyBorder="0" applyAlignment="0" applyProtection="0"/>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32" fillId="0" borderId="0" applyFont="0" applyFill="0" applyBorder="0" applyAlignment="0" applyProtection="0">
      <alignment vertical="center"/>
    </xf>
    <xf numFmtId="165" fontId="32" fillId="0" borderId="0" applyFont="0" applyFill="0" applyBorder="0" applyAlignment="0" applyProtection="0">
      <alignment vertical="center"/>
    </xf>
    <xf numFmtId="165" fontId="32" fillId="0" borderId="0" applyFont="0" applyFill="0" applyBorder="0" applyAlignment="0" applyProtection="0">
      <alignment vertical="center"/>
    </xf>
    <xf numFmtId="165" fontId="32" fillId="0" borderId="0" applyFont="0" applyFill="0" applyBorder="0" applyAlignment="0" applyProtection="0">
      <alignment vertical="center"/>
    </xf>
    <xf numFmtId="165" fontId="32" fillId="0" borderId="0" applyFont="0" applyFill="0" applyBorder="0" applyAlignment="0" applyProtection="0">
      <alignment vertical="center"/>
    </xf>
    <xf numFmtId="165" fontId="32" fillId="0" borderId="0" applyFont="0" applyFill="0" applyBorder="0" applyAlignment="0" applyProtection="0">
      <alignment vertical="center"/>
    </xf>
    <xf numFmtId="165" fontId="32" fillId="0" borderId="0" applyFont="0" applyFill="0" applyBorder="0" applyAlignment="0" applyProtection="0">
      <alignment vertical="center"/>
    </xf>
    <xf numFmtId="165" fontId="32"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5" fontId="29" fillId="0" borderId="0" applyFont="0" applyFill="0" applyBorder="0" applyAlignment="0" applyProtection="0">
      <alignment vertical="center"/>
    </xf>
    <xf numFmtId="165" fontId="32" fillId="0" borderId="0" applyFont="0" applyFill="0" applyBorder="0" applyAlignment="0" applyProtection="0"/>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32" fillId="0" borderId="0" applyFont="0" applyFill="0" applyBorder="0" applyAlignment="0" applyProtection="0"/>
    <xf numFmtId="165" fontId="32" fillId="0" borderId="0" applyFont="0" applyFill="0" applyBorder="0" applyAlignment="0" applyProtection="0"/>
    <xf numFmtId="165" fontId="32" fillId="0" borderId="0" applyFont="0" applyFill="0" applyBorder="0" applyAlignment="0" applyProtection="0"/>
    <xf numFmtId="165" fontId="32" fillId="0" borderId="0" applyFont="0" applyFill="0" applyBorder="0" applyAlignment="0" applyProtection="0"/>
    <xf numFmtId="165" fontId="32" fillId="0" borderId="0" applyFont="0" applyFill="0" applyBorder="0" applyAlignment="0" applyProtection="0"/>
    <xf numFmtId="165" fontId="32" fillId="0" borderId="0" applyFont="0" applyFill="0" applyBorder="0" applyAlignment="0" applyProtection="0"/>
    <xf numFmtId="165" fontId="32" fillId="0" borderId="0" applyFont="0" applyFill="0" applyBorder="0" applyAlignment="0" applyProtection="0"/>
    <xf numFmtId="165" fontId="33" fillId="0" borderId="0" applyFont="0" applyFill="0" applyBorder="0" applyAlignment="0" applyProtection="0">
      <alignment vertical="center"/>
    </xf>
    <xf numFmtId="165" fontId="34" fillId="0" borderId="0" applyFont="0" applyFill="0" applyBorder="0" applyAlignment="0" applyProtection="0">
      <alignment vertical="center"/>
    </xf>
    <xf numFmtId="165" fontId="34" fillId="0" borderId="0" applyFont="0" applyFill="0" applyBorder="0" applyAlignment="0" applyProtection="0">
      <alignment vertical="center"/>
    </xf>
    <xf numFmtId="165" fontId="34" fillId="0" borderId="0" applyFont="0" applyFill="0" applyBorder="0" applyAlignment="0" applyProtection="0">
      <alignment vertical="center"/>
    </xf>
    <xf numFmtId="165" fontId="34" fillId="0" borderId="0" applyFont="0" applyFill="0" applyBorder="0" applyAlignment="0" applyProtection="0">
      <alignment vertical="center"/>
    </xf>
    <xf numFmtId="165" fontId="34" fillId="0" borderId="0" applyFont="0" applyFill="0" applyBorder="0" applyAlignment="0" applyProtection="0">
      <alignment vertical="center"/>
    </xf>
    <xf numFmtId="165" fontId="34" fillId="0" borderId="0" applyFont="0" applyFill="0" applyBorder="0" applyAlignment="0" applyProtection="0">
      <alignment vertical="center"/>
    </xf>
    <xf numFmtId="165" fontId="34" fillId="0" borderId="0" applyFont="0" applyFill="0" applyBorder="0" applyAlignment="0" applyProtection="0">
      <alignment vertical="center"/>
    </xf>
    <xf numFmtId="165" fontId="34" fillId="0" borderId="0" applyFont="0" applyFill="0" applyBorder="0" applyAlignment="0" applyProtection="0">
      <alignment vertical="center"/>
    </xf>
    <xf numFmtId="165" fontId="32" fillId="0" borderId="0" applyFont="0" applyFill="0" applyBorder="0" applyAlignment="0" applyProtection="0"/>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6" fontId="32" fillId="0" borderId="0" applyFont="0" applyFill="0" applyBorder="0" applyAlignment="0" applyProtection="0"/>
    <xf numFmtId="166" fontId="32" fillId="0" borderId="0" applyFont="0" applyFill="0" applyBorder="0" applyAlignment="0" applyProtection="0"/>
    <xf numFmtId="166" fontId="32" fillId="0" borderId="0" applyFont="0" applyFill="0" applyBorder="0" applyAlignment="0" applyProtection="0"/>
    <xf numFmtId="164" fontId="32" fillId="0" borderId="0" applyFont="0" applyFill="0" applyBorder="0" applyAlignment="0" applyProtection="0">
      <alignment vertical="center"/>
    </xf>
    <xf numFmtId="0" fontId="1" fillId="0" borderId="0"/>
    <xf numFmtId="166"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9" fontId="1" fillId="0" borderId="0" applyFont="0" applyFill="0" applyBorder="0" applyAlignment="0" applyProtection="0"/>
    <xf numFmtId="165" fontId="32" fillId="0" borderId="0" applyFont="0" applyFill="0" applyBorder="0" applyAlignment="0" applyProtection="0">
      <alignment vertical="center"/>
    </xf>
    <xf numFmtId="0" fontId="1" fillId="0" borderId="0">
      <alignment vertical="center"/>
    </xf>
    <xf numFmtId="165" fontId="34" fillId="0" borderId="0" applyFont="0" applyFill="0" applyBorder="0" applyAlignment="0" applyProtection="0"/>
    <xf numFmtId="165" fontId="34" fillId="0" borderId="0" applyFont="0" applyFill="0" applyBorder="0" applyAlignment="0" applyProtection="0"/>
    <xf numFmtId="165" fontId="34" fillId="0" borderId="0" applyFont="0" applyFill="0" applyBorder="0" applyAlignment="0" applyProtection="0"/>
    <xf numFmtId="165" fontId="34" fillId="0" borderId="0" applyFont="0" applyFill="0" applyBorder="0" applyAlignment="0" applyProtection="0"/>
    <xf numFmtId="165" fontId="34" fillId="0" borderId="0" applyFont="0" applyFill="0" applyBorder="0" applyAlignment="0" applyProtection="0"/>
    <xf numFmtId="165" fontId="34" fillId="0" borderId="0" applyFont="0" applyFill="0" applyBorder="0" applyAlignment="0" applyProtection="0"/>
    <xf numFmtId="165" fontId="34" fillId="0" borderId="0" applyFont="0" applyFill="0" applyBorder="0" applyAlignment="0" applyProtection="0"/>
    <xf numFmtId="165" fontId="34" fillId="0" borderId="0" applyFont="0" applyFill="0" applyBorder="0" applyAlignment="0" applyProtection="0"/>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32" fillId="0" borderId="0" applyFont="0" applyFill="0" applyBorder="0" applyAlignment="0" applyProtection="0">
      <alignment vertical="center"/>
    </xf>
    <xf numFmtId="165" fontId="32" fillId="0" borderId="0" applyFont="0" applyFill="0" applyBorder="0" applyAlignment="0" applyProtection="0">
      <alignment vertical="center"/>
    </xf>
    <xf numFmtId="165" fontId="32" fillId="0" borderId="0" applyFont="0" applyFill="0" applyBorder="0" applyAlignment="0" applyProtection="0">
      <alignment vertical="center"/>
    </xf>
    <xf numFmtId="165" fontId="32" fillId="0" borderId="0" applyFont="0" applyFill="0" applyBorder="0" applyAlignment="0" applyProtection="0">
      <alignment vertical="center"/>
    </xf>
    <xf numFmtId="165" fontId="32" fillId="0" borderId="0" applyFont="0" applyFill="0" applyBorder="0" applyAlignment="0" applyProtection="0">
      <alignment vertical="center"/>
    </xf>
    <xf numFmtId="165" fontId="32" fillId="0" borderId="0" applyFont="0" applyFill="0" applyBorder="0" applyAlignment="0" applyProtection="0">
      <alignment vertical="center"/>
    </xf>
    <xf numFmtId="165" fontId="32" fillId="0" borderId="0" applyFont="0" applyFill="0" applyBorder="0" applyAlignment="0" applyProtection="0">
      <alignment vertical="center"/>
    </xf>
    <xf numFmtId="165" fontId="32"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5" fontId="29" fillId="0" borderId="0" applyFont="0" applyFill="0" applyBorder="0" applyAlignment="0" applyProtection="0">
      <alignment vertical="center"/>
    </xf>
    <xf numFmtId="165" fontId="32" fillId="0" borderId="0" applyFont="0" applyFill="0" applyBorder="0" applyAlignment="0" applyProtection="0"/>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32" fillId="0" borderId="0" applyFont="0" applyFill="0" applyBorder="0" applyAlignment="0" applyProtection="0"/>
    <xf numFmtId="165" fontId="32" fillId="0" borderId="0" applyFont="0" applyFill="0" applyBorder="0" applyAlignment="0" applyProtection="0"/>
    <xf numFmtId="165" fontId="32" fillId="0" borderId="0" applyFont="0" applyFill="0" applyBorder="0" applyAlignment="0" applyProtection="0"/>
    <xf numFmtId="165" fontId="32" fillId="0" borderId="0" applyFont="0" applyFill="0" applyBorder="0" applyAlignment="0" applyProtection="0"/>
    <xf numFmtId="165" fontId="32" fillId="0" borderId="0" applyFont="0" applyFill="0" applyBorder="0" applyAlignment="0" applyProtection="0"/>
    <xf numFmtId="165" fontId="32" fillId="0" borderId="0" applyFont="0" applyFill="0" applyBorder="0" applyAlignment="0" applyProtection="0"/>
    <xf numFmtId="165" fontId="32" fillId="0" borderId="0" applyFont="0" applyFill="0" applyBorder="0" applyAlignment="0" applyProtection="0"/>
    <xf numFmtId="165" fontId="33" fillId="0" borderId="0" applyFont="0" applyFill="0" applyBorder="0" applyAlignment="0" applyProtection="0">
      <alignment vertical="center"/>
    </xf>
    <xf numFmtId="165" fontId="34" fillId="0" borderId="0" applyFont="0" applyFill="0" applyBorder="0" applyAlignment="0" applyProtection="0">
      <alignment vertical="center"/>
    </xf>
    <xf numFmtId="165" fontId="34" fillId="0" borderId="0" applyFont="0" applyFill="0" applyBorder="0" applyAlignment="0" applyProtection="0">
      <alignment vertical="center"/>
    </xf>
    <xf numFmtId="165" fontId="34" fillId="0" borderId="0" applyFont="0" applyFill="0" applyBorder="0" applyAlignment="0" applyProtection="0">
      <alignment vertical="center"/>
    </xf>
    <xf numFmtId="165" fontId="34" fillId="0" borderId="0" applyFont="0" applyFill="0" applyBorder="0" applyAlignment="0" applyProtection="0">
      <alignment vertical="center"/>
    </xf>
    <xf numFmtId="165" fontId="34" fillId="0" borderId="0" applyFont="0" applyFill="0" applyBorder="0" applyAlignment="0" applyProtection="0">
      <alignment vertical="center"/>
    </xf>
    <xf numFmtId="165" fontId="34" fillId="0" borderId="0" applyFont="0" applyFill="0" applyBorder="0" applyAlignment="0" applyProtection="0">
      <alignment vertical="center"/>
    </xf>
    <xf numFmtId="165" fontId="34" fillId="0" borderId="0" applyFont="0" applyFill="0" applyBorder="0" applyAlignment="0" applyProtection="0">
      <alignment vertical="center"/>
    </xf>
    <xf numFmtId="165" fontId="34" fillId="0" borderId="0" applyFont="0" applyFill="0" applyBorder="0" applyAlignment="0" applyProtection="0">
      <alignment vertical="center"/>
    </xf>
    <xf numFmtId="165" fontId="32" fillId="0" borderId="0" applyFont="0" applyFill="0" applyBorder="0" applyAlignment="0" applyProtection="0"/>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6" fontId="32" fillId="0" borderId="0" applyFont="0" applyFill="0" applyBorder="0" applyAlignment="0" applyProtection="0"/>
    <xf numFmtId="166" fontId="32" fillId="0" borderId="0" applyFont="0" applyFill="0" applyBorder="0" applyAlignment="0" applyProtection="0"/>
    <xf numFmtId="166" fontId="32" fillId="0" borderId="0" applyFont="0" applyFill="0" applyBorder="0" applyAlignment="0" applyProtection="0"/>
    <xf numFmtId="164" fontId="32" fillId="0" borderId="0" applyFont="0" applyFill="0" applyBorder="0" applyAlignment="0" applyProtection="0">
      <alignment vertical="center"/>
    </xf>
    <xf numFmtId="0" fontId="32" fillId="0" borderId="0"/>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5" fontId="34" fillId="0" borderId="0" applyFont="0" applyFill="0" applyBorder="0" applyAlignment="0" applyProtection="0"/>
    <xf numFmtId="165" fontId="34" fillId="0" borderId="0" applyFont="0" applyFill="0" applyBorder="0" applyAlignment="0" applyProtection="0"/>
    <xf numFmtId="165" fontId="34" fillId="0" borderId="0" applyFont="0" applyFill="0" applyBorder="0" applyAlignment="0" applyProtection="0"/>
    <xf numFmtId="165" fontId="34" fillId="0" borderId="0" applyFont="0" applyFill="0" applyBorder="0" applyAlignment="0" applyProtection="0"/>
    <xf numFmtId="165" fontId="34" fillId="0" borderId="0" applyFont="0" applyFill="0" applyBorder="0" applyAlignment="0" applyProtection="0"/>
    <xf numFmtId="165" fontId="34" fillId="0" borderId="0" applyFont="0" applyFill="0" applyBorder="0" applyAlignment="0" applyProtection="0"/>
    <xf numFmtId="165" fontId="34" fillId="0" borderId="0" applyFont="0" applyFill="0" applyBorder="0" applyAlignment="0" applyProtection="0"/>
    <xf numFmtId="165" fontId="34" fillId="0" borderId="0" applyFont="0" applyFill="0" applyBorder="0" applyAlignment="0" applyProtection="0"/>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32" fillId="0" borderId="0" applyFont="0" applyFill="0" applyBorder="0" applyAlignment="0" applyProtection="0">
      <alignment vertical="center"/>
    </xf>
    <xf numFmtId="165" fontId="32" fillId="0" borderId="0" applyFont="0" applyFill="0" applyBorder="0" applyAlignment="0" applyProtection="0">
      <alignment vertical="center"/>
    </xf>
    <xf numFmtId="165" fontId="32" fillId="0" borderId="0" applyFont="0" applyFill="0" applyBorder="0" applyAlignment="0" applyProtection="0">
      <alignment vertical="center"/>
    </xf>
    <xf numFmtId="165" fontId="32" fillId="0" borderId="0" applyFont="0" applyFill="0" applyBorder="0" applyAlignment="0" applyProtection="0">
      <alignment vertical="center"/>
    </xf>
    <xf numFmtId="165" fontId="32" fillId="0" borderId="0" applyFont="0" applyFill="0" applyBorder="0" applyAlignment="0" applyProtection="0">
      <alignment vertical="center"/>
    </xf>
    <xf numFmtId="165" fontId="32" fillId="0" borderId="0" applyFont="0" applyFill="0" applyBorder="0" applyAlignment="0" applyProtection="0">
      <alignment vertical="center"/>
    </xf>
    <xf numFmtId="165" fontId="32" fillId="0" borderId="0" applyFont="0" applyFill="0" applyBorder="0" applyAlignment="0" applyProtection="0">
      <alignment vertical="center"/>
    </xf>
    <xf numFmtId="165" fontId="32"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5" fontId="29" fillId="0" borderId="0" applyFont="0" applyFill="0" applyBorder="0" applyAlignment="0" applyProtection="0">
      <alignment vertical="center"/>
    </xf>
    <xf numFmtId="165" fontId="32" fillId="0" borderId="0" applyFont="0" applyFill="0" applyBorder="0" applyAlignment="0" applyProtection="0"/>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32" fillId="0" borderId="0" applyFont="0" applyFill="0" applyBorder="0" applyAlignment="0" applyProtection="0"/>
    <xf numFmtId="165" fontId="32" fillId="0" borderId="0" applyFont="0" applyFill="0" applyBorder="0" applyAlignment="0" applyProtection="0"/>
    <xf numFmtId="165" fontId="32" fillId="0" borderId="0" applyFont="0" applyFill="0" applyBorder="0" applyAlignment="0" applyProtection="0"/>
    <xf numFmtId="165" fontId="32" fillId="0" borderId="0" applyFont="0" applyFill="0" applyBorder="0" applyAlignment="0" applyProtection="0"/>
    <xf numFmtId="165" fontId="32" fillId="0" borderId="0" applyFont="0" applyFill="0" applyBorder="0" applyAlignment="0" applyProtection="0"/>
    <xf numFmtId="165" fontId="32" fillId="0" borderId="0" applyFont="0" applyFill="0" applyBorder="0" applyAlignment="0" applyProtection="0"/>
    <xf numFmtId="165" fontId="32" fillId="0" borderId="0" applyFont="0" applyFill="0" applyBorder="0" applyAlignment="0" applyProtection="0"/>
    <xf numFmtId="165" fontId="33" fillId="0" borderId="0" applyFont="0" applyFill="0" applyBorder="0" applyAlignment="0" applyProtection="0">
      <alignment vertical="center"/>
    </xf>
    <xf numFmtId="165" fontId="34" fillId="0" borderId="0" applyFont="0" applyFill="0" applyBorder="0" applyAlignment="0" applyProtection="0">
      <alignment vertical="center"/>
    </xf>
    <xf numFmtId="165" fontId="34" fillId="0" borderId="0" applyFont="0" applyFill="0" applyBorder="0" applyAlignment="0" applyProtection="0">
      <alignment vertical="center"/>
    </xf>
    <xf numFmtId="165" fontId="34" fillId="0" borderId="0" applyFont="0" applyFill="0" applyBorder="0" applyAlignment="0" applyProtection="0">
      <alignment vertical="center"/>
    </xf>
    <xf numFmtId="165" fontId="34" fillId="0" borderId="0" applyFont="0" applyFill="0" applyBorder="0" applyAlignment="0" applyProtection="0">
      <alignment vertical="center"/>
    </xf>
    <xf numFmtId="165" fontId="34" fillId="0" borderId="0" applyFont="0" applyFill="0" applyBorder="0" applyAlignment="0" applyProtection="0">
      <alignment vertical="center"/>
    </xf>
    <xf numFmtId="165" fontId="34" fillId="0" borderId="0" applyFont="0" applyFill="0" applyBorder="0" applyAlignment="0" applyProtection="0">
      <alignment vertical="center"/>
    </xf>
    <xf numFmtId="165" fontId="34" fillId="0" borderId="0" applyFont="0" applyFill="0" applyBorder="0" applyAlignment="0" applyProtection="0">
      <alignment vertical="center"/>
    </xf>
    <xf numFmtId="165" fontId="34" fillId="0" borderId="0" applyFont="0" applyFill="0" applyBorder="0" applyAlignment="0" applyProtection="0">
      <alignment vertical="center"/>
    </xf>
    <xf numFmtId="165" fontId="32" fillId="0" borderId="0" applyFont="0" applyFill="0" applyBorder="0" applyAlignment="0" applyProtection="0"/>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6" fontId="32" fillId="0" borderId="0" applyFont="0" applyFill="0" applyBorder="0" applyAlignment="0" applyProtection="0"/>
    <xf numFmtId="166" fontId="32" fillId="0" borderId="0" applyFont="0" applyFill="0" applyBorder="0" applyAlignment="0" applyProtection="0"/>
    <xf numFmtId="166" fontId="32" fillId="0" borderId="0" applyFont="0" applyFill="0" applyBorder="0" applyAlignment="0" applyProtection="0"/>
    <xf numFmtId="164" fontId="32" fillId="0" borderId="0" applyFont="0" applyFill="0" applyBorder="0" applyAlignment="0" applyProtection="0">
      <alignment vertical="center"/>
    </xf>
    <xf numFmtId="0" fontId="1" fillId="0" borderId="0"/>
    <xf numFmtId="166"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9" fontId="1" fillId="0" borderId="0" applyFont="0" applyFill="0" applyBorder="0" applyAlignment="0" applyProtection="0"/>
    <xf numFmtId="165" fontId="32" fillId="0" borderId="0" applyFont="0" applyFill="0" applyBorder="0" applyAlignment="0" applyProtection="0">
      <alignment vertical="center"/>
    </xf>
    <xf numFmtId="0" fontId="1" fillId="0" borderId="0">
      <alignment vertical="center"/>
    </xf>
    <xf numFmtId="165" fontId="34" fillId="0" borderId="0" applyFont="0" applyFill="0" applyBorder="0" applyAlignment="0" applyProtection="0"/>
    <xf numFmtId="165" fontId="34" fillId="0" borderId="0" applyFont="0" applyFill="0" applyBorder="0" applyAlignment="0" applyProtection="0"/>
    <xf numFmtId="165" fontId="34" fillId="0" borderId="0" applyFont="0" applyFill="0" applyBorder="0" applyAlignment="0" applyProtection="0"/>
    <xf numFmtId="165" fontId="34" fillId="0" borderId="0" applyFont="0" applyFill="0" applyBorder="0" applyAlignment="0" applyProtection="0"/>
    <xf numFmtId="165" fontId="34" fillId="0" borderId="0" applyFont="0" applyFill="0" applyBorder="0" applyAlignment="0" applyProtection="0"/>
    <xf numFmtId="165" fontId="34" fillId="0" borderId="0" applyFont="0" applyFill="0" applyBorder="0" applyAlignment="0" applyProtection="0"/>
    <xf numFmtId="165" fontId="34" fillId="0" borderId="0" applyFont="0" applyFill="0" applyBorder="0" applyAlignment="0" applyProtection="0"/>
    <xf numFmtId="165" fontId="34" fillId="0" borderId="0" applyFont="0" applyFill="0" applyBorder="0" applyAlignment="0" applyProtection="0"/>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32" fillId="0" borderId="0" applyFont="0" applyFill="0" applyBorder="0" applyAlignment="0" applyProtection="0">
      <alignment vertical="center"/>
    </xf>
    <xf numFmtId="165" fontId="32" fillId="0" borderId="0" applyFont="0" applyFill="0" applyBorder="0" applyAlignment="0" applyProtection="0">
      <alignment vertical="center"/>
    </xf>
    <xf numFmtId="165" fontId="32" fillId="0" borderId="0" applyFont="0" applyFill="0" applyBorder="0" applyAlignment="0" applyProtection="0">
      <alignment vertical="center"/>
    </xf>
    <xf numFmtId="165" fontId="32" fillId="0" borderId="0" applyFont="0" applyFill="0" applyBorder="0" applyAlignment="0" applyProtection="0">
      <alignment vertical="center"/>
    </xf>
    <xf numFmtId="165" fontId="32" fillId="0" borderId="0" applyFont="0" applyFill="0" applyBorder="0" applyAlignment="0" applyProtection="0">
      <alignment vertical="center"/>
    </xf>
    <xf numFmtId="165" fontId="32" fillId="0" borderId="0" applyFont="0" applyFill="0" applyBorder="0" applyAlignment="0" applyProtection="0">
      <alignment vertical="center"/>
    </xf>
    <xf numFmtId="165" fontId="32" fillId="0" borderId="0" applyFont="0" applyFill="0" applyBorder="0" applyAlignment="0" applyProtection="0">
      <alignment vertical="center"/>
    </xf>
    <xf numFmtId="165" fontId="32"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5" fontId="29" fillId="0" borderId="0" applyFont="0" applyFill="0" applyBorder="0" applyAlignment="0" applyProtection="0">
      <alignment vertical="center"/>
    </xf>
    <xf numFmtId="165" fontId="32" fillId="0" borderId="0" applyFont="0" applyFill="0" applyBorder="0" applyAlignment="0" applyProtection="0"/>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32" fillId="0" borderId="0" applyFont="0" applyFill="0" applyBorder="0" applyAlignment="0" applyProtection="0"/>
    <xf numFmtId="165" fontId="32" fillId="0" borderId="0" applyFont="0" applyFill="0" applyBorder="0" applyAlignment="0" applyProtection="0"/>
    <xf numFmtId="165" fontId="32" fillId="0" borderId="0" applyFont="0" applyFill="0" applyBorder="0" applyAlignment="0" applyProtection="0"/>
    <xf numFmtId="165" fontId="32" fillId="0" borderId="0" applyFont="0" applyFill="0" applyBorder="0" applyAlignment="0" applyProtection="0"/>
    <xf numFmtId="165" fontId="32" fillId="0" borderId="0" applyFont="0" applyFill="0" applyBorder="0" applyAlignment="0" applyProtection="0"/>
    <xf numFmtId="165" fontId="32" fillId="0" borderId="0" applyFont="0" applyFill="0" applyBorder="0" applyAlignment="0" applyProtection="0"/>
    <xf numFmtId="165" fontId="32" fillId="0" borderId="0" applyFont="0" applyFill="0" applyBorder="0" applyAlignment="0" applyProtection="0"/>
    <xf numFmtId="165" fontId="33" fillId="0" borderId="0" applyFont="0" applyFill="0" applyBorder="0" applyAlignment="0" applyProtection="0">
      <alignment vertical="center"/>
    </xf>
    <xf numFmtId="165" fontId="34" fillId="0" borderId="0" applyFont="0" applyFill="0" applyBorder="0" applyAlignment="0" applyProtection="0">
      <alignment vertical="center"/>
    </xf>
    <xf numFmtId="165" fontId="34" fillId="0" borderId="0" applyFont="0" applyFill="0" applyBorder="0" applyAlignment="0" applyProtection="0">
      <alignment vertical="center"/>
    </xf>
    <xf numFmtId="165" fontId="34" fillId="0" borderId="0" applyFont="0" applyFill="0" applyBorder="0" applyAlignment="0" applyProtection="0">
      <alignment vertical="center"/>
    </xf>
    <xf numFmtId="165" fontId="34" fillId="0" borderId="0" applyFont="0" applyFill="0" applyBorder="0" applyAlignment="0" applyProtection="0">
      <alignment vertical="center"/>
    </xf>
    <xf numFmtId="165" fontId="34" fillId="0" borderId="0" applyFont="0" applyFill="0" applyBorder="0" applyAlignment="0" applyProtection="0">
      <alignment vertical="center"/>
    </xf>
    <xf numFmtId="165" fontId="34" fillId="0" borderId="0" applyFont="0" applyFill="0" applyBorder="0" applyAlignment="0" applyProtection="0">
      <alignment vertical="center"/>
    </xf>
    <xf numFmtId="165" fontId="34" fillId="0" borderId="0" applyFont="0" applyFill="0" applyBorder="0" applyAlignment="0" applyProtection="0">
      <alignment vertical="center"/>
    </xf>
    <xf numFmtId="165" fontId="34" fillId="0" borderId="0" applyFont="0" applyFill="0" applyBorder="0" applyAlignment="0" applyProtection="0">
      <alignment vertical="center"/>
    </xf>
    <xf numFmtId="165" fontId="32" fillId="0" borderId="0" applyFont="0" applyFill="0" applyBorder="0" applyAlignment="0" applyProtection="0"/>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6" fontId="32" fillId="0" borderId="0" applyFont="0" applyFill="0" applyBorder="0" applyAlignment="0" applyProtection="0"/>
    <xf numFmtId="166" fontId="32" fillId="0" borderId="0" applyFont="0" applyFill="0" applyBorder="0" applyAlignment="0" applyProtection="0"/>
    <xf numFmtId="166" fontId="32" fillId="0" borderId="0" applyFont="0" applyFill="0" applyBorder="0" applyAlignment="0" applyProtection="0"/>
    <xf numFmtId="164" fontId="32" fillId="0" borderId="0" applyFont="0" applyFill="0" applyBorder="0" applyAlignment="0" applyProtection="0">
      <alignment vertical="center"/>
    </xf>
    <xf numFmtId="0" fontId="32" fillId="0" borderId="0"/>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5" fontId="34" fillId="0" borderId="0" applyFont="0" applyFill="0" applyBorder="0" applyAlignment="0" applyProtection="0"/>
    <xf numFmtId="165" fontId="34" fillId="0" borderId="0" applyFont="0" applyFill="0" applyBorder="0" applyAlignment="0" applyProtection="0"/>
    <xf numFmtId="165" fontId="34" fillId="0" borderId="0" applyFont="0" applyFill="0" applyBorder="0" applyAlignment="0" applyProtection="0"/>
    <xf numFmtId="165" fontId="34" fillId="0" borderId="0" applyFont="0" applyFill="0" applyBorder="0" applyAlignment="0" applyProtection="0"/>
    <xf numFmtId="165" fontId="34" fillId="0" borderId="0" applyFont="0" applyFill="0" applyBorder="0" applyAlignment="0" applyProtection="0"/>
    <xf numFmtId="165" fontId="34" fillId="0" borderId="0" applyFont="0" applyFill="0" applyBorder="0" applyAlignment="0" applyProtection="0"/>
    <xf numFmtId="165" fontId="34" fillId="0" borderId="0" applyFont="0" applyFill="0" applyBorder="0" applyAlignment="0" applyProtection="0"/>
    <xf numFmtId="165" fontId="34" fillId="0" borderId="0" applyFont="0" applyFill="0" applyBorder="0" applyAlignment="0" applyProtection="0"/>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32" fillId="0" borderId="0" applyFont="0" applyFill="0" applyBorder="0" applyAlignment="0" applyProtection="0">
      <alignment vertical="center"/>
    </xf>
    <xf numFmtId="165" fontId="32" fillId="0" borderId="0" applyFont="0" applyFill="0" applyBorder="0" applyAlignment="0" applyProtection="0">
      <alignment vertical="center"/>
    </xf>
    <xf numFmtId="165" fontId="32" fillId="0" borderId="0" applyFont="0" applyFill="0" applyBorder="0" applyAlignment="0" applyProtection="0">
      <alignment vertical="center"/>
    </xf>
    <xf numFmtId="165" fontId="32" fillId="0" borderId="0" applyFont="0" applyFill="0" applyBorder="0" applyAlignment="0" applyProtection="0">
      <alignment vertical="center"/>
    </xf>
    <xf numFmtId="165" fontId="32" fillId="0" borderId="0" applyFont="0" applyFill="0" applyBorder="0" applyAlignment="0" applyProtection="0">
      <alignment vertical="center"/>
    </xf>
    <xf numFmtId="165" fontId="32" fillId="0" borderId="0" applyFont="0" applyFill="0" applyBorder="0" applyAlignment="0" applyProtection="0">
      <alignment vertical="center"/>
    </xf>
    <xf numFmtId="165" fontId="32" fillId="0" borderId="0" applyFont="0" applyFill="0" applyBorder="0" applyAlignment="0" applyProtection="0">
      <alignment vertical="center"/>
    </xf>
    <xf numFmtId="165" fontId="32"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5" fontId="29" fillId="0" borderId="0" applyFont="0" applyFill="0" applyBorder="0" applyAlignment="0" applyProtection="0">
      <alignment vertical="center"/>
    </xf>
    <xf numFmtId="165" fontId="32" fillId="0" borderId="0" applyFont="0" applyFill="0" applyBorder="0" applyAlignment="0" applyProtection="0"/>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32" fillId="0" borderId="0" applyFont="0" applyFill="0" applyBorder="0" applyAlignment="0" applyProtection="0"/>
    <xf numFmtId="165" fontId="32" fillId="0" borderId="0" applyFont="0" applyFill="0" applyBorder="0" applyAlignment="0" applyProtection="0"/>
    <xf numFmtId="165" fontId="32" fillId="0" borderId="0" applyFont="0" applyFill="0" applyBorder="0" applyAlignment="0" applyProtection="0"/>
    <xf numFmtId="165" fontId="32" fillId="0" borderId="0" applyFont="0" applyFill="0" applyBorder="0" applyAlignment="0" applyProtection="0"/>
    <xf numFmtId="165" fontId="32" fillId="0" borderId="0" applyFont="0" applyFill="0" applyBorder="0" applyAlignment="0" applyProtection="0"/>
    <xf numFmtId="165" fontId="32" fillId="0" borderId="0" applyFont="0" applyFill="0" applyBorder="0" applyAlignment="0" applyProtection="0"/>
    <xf numFmtId="165" fontId="32" fillId="0" borderId="0" applyFont="0" applyFill="0" applyBorder="0" applyAlignment="0" applyProtection="0"/>
    <xf numFmtId="165" fontId="33" fillId="0" borderId="0" applyFont="0" applyFill="0" applyBorder="0" applyAlignment="0" applyProtection="0">
      <alignment vertical="center"/>
    </xf>
    <xf numFmtId="165" fontId="34" fillId="0" borderId="0" applyFont="0" applyFill="0" applyBorder="0" applyAlignment="0" applyProtection="0">
      <alignment vertical="center"/>
    </xf>
    <xf numFmtId="165" fontId="34" fillId="0" borderId="0" applyFont="0" applyFill="0" applyBorder="0" applyAlignment="0" applyProtection="0">
      <alignment vertical="center"/>
    </xf>
    <xf numFmtId="165" fontId="34" fillId="0" borderId="0" applyFont="0" applyFill="0" applyBorder="0" applyAlignment="0" applyProtection="0">
      <alignment vertical="center"/>
    </xf>
    <xf numFmtId="165" fontId="34" fillId="0" borderId="0" applyFont="0" applyFill="0" applyBorder="0" applyAlignment="0" applyProtection="0">
      <alignment vertical="center"/>
    </xf>
    <xf numFmtId="165" fontId="34" fillId="0" borderId="0" applyFont="0" applyFill="0" applyBorder="0" applyAlignment="0" applyProtection="0">
      <alignment vertical="center"/>
    </xf>
    <xf numFmtId="165" fontId="34" fillId="0" borderId="0" applyFont="0" applyFill="0" applyBorder="0" applyAlignment="0" applyProtection="0">
      <alignment vertical="center"/>
    </xf>
    <xf numFmtId="165" fontId="34" fillId="0" borderId="0" applyFont="0" applyFill="0" applyBorder="0" applyAlignment="0" applyProtection="0">
      <alignment vertical="center"/>
    </xf>
    <xf numFmtId="165" fontId="34" fillId="0" borderId="0" applyFont="0" applyFill="0" applyBorder="0" applyAlignment="0" applyProtection="0">
      <alignment vertical="center"/>
    </xf>
    <xf numFmtId="165" fontId="32" fillId="0" borderId="0" applyFont="0" applyFill="0" applyBorder="0" applyAlignment="0" applyProtection="0"/>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6" fontId="32" fillId="0" borderId="0" applyFont="0" applyFill="0" applyBorder="0" applyAlignment="0" applyProtection="0"/>
    <xf numFmtId="166" fontId="32" fillId="0" borderId="0" applyFont="0" applyFill="0" applyBorder="0" applyAlignment="0" applyProtection="0"/>
    <xf numFmtId="166" fontId="32" fillId="0" borderId="0" applyFont="0" applyFill="0" applyBorder="0" applyAlignment="0" applyProtection="0"/>
    <xf numFmtId="164" fontId="32" fillId="0" borderId="0" applyFont="0" applyFill="0" applyBorder="0" applyAlignment="0" applyProtection="0">
      <alignment vertical="center"/>
    </xf>
    <xf numFmtId="165" fontId="32" fillId="0" borderId="0" applyFont="0" applyFill="0" applyBorder="0" applyAlignment="0" applyProtection="0"/>
    <xf numFmtId="165" fontId="32" fillId="0" borderId="0" applyFont="0" applyFill="0" applyBorder="0" applyAlignment="0" applyProtection="0"/>
    <xf numFmtId="165" fontId="32" fillId="0" borderId="0" applyFont="0" applyFill="0" applyBorder="0" applyAlignment="0" applyProtection="0"/>
    <xf numFmtId="165" fontId="32" fillId="0" borderId="0" applyFont="0" applyFill="0" applyBorder="0" applyAlignment="0" applyProtection="0">
      <alignment vertical="center"/>
    </xf>
    <xf numFmtId="165" fontId="32" fillId="0" borderId="0" applyFont="0" applyFill="0" applyBorder="0" applyAlignment="0" applyProtection="0">
      <alignment vertical="center"/>
    </xf>
    <xf numFmtId="9" fontId="32" fillId="0" borderId="0" applyFont="0" applyFill="0" applyBorder="0" applyAlignment="0" applyProtection="0"/>
    <xf numFmtId="42" fontId="32" fillId="0" borderId="0" applyFont="0" applyFill="0" applyBorder="0" applyAlignment="0" applyProtection="0"/>
    <xf numFmtId="0" fontId="2" fillId="0" borderId="0"/>
    <xf numFmtId="9" fontId="2" fillId="0" borderId="0" applyFont="0" applyFill="0" applyBorder="0" applyAlignment="0" applyProtection="0"/>
    <xf numFmtId="0" fontId="3" fillId="0" borderId="0"/>
    <xf numFmtId="0" fontId="48" fillId="0" borderId="0"/>
    <xf numFmtId="0" fontId="2" fillId="0" borderId="0"/>
    <xf numFmtId="166" fontId="2"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165" fontId="2" fillId="0" borderId="0" applyFont="0" applyFill="0" applyBorder="0" applyAlignment="0" applyProtection="0"/>
    <xf numFmtId="0" fontId="2" fillId="0" borderId="0"/>
    <xf numFmtId="166" fontId="3" fillId="0" borderId="0" applyFont="0" applyFill="0" applyBorder="0" applyAlignment="0" applyProtection="0"/>
    <xf numFmtId="165" fontId="32" fillId="0" borderId="0" applyFont="0" applyFill="0" applyBorder="0" applyAlignment="0" applyProtection="0"/>
    <xf numFmtId="165" fontId="32" fillId="0" borderId="0" applyFont="0" applyFill="0" applyBorder="0" applyAlignment="0" applyProtection="0"/>
    <xf numFmtId="165" fontId="32" fillId="0" borderId="0" applyFont="0" applyFill="0" applyBorder="0" applyAlignment="0" applyProtection="0"/>
    <xf numFmtId="165" fontId="32" fillId="0" borderId="0" applyFont="0" applyFill="0" applyBorder="0" applyAlignment="0" applyProtection="0">
      <alignment vertical="center"/>
    </xf>
    <xf numFmtId="165" fontId="32" fillId="0" borderId="0" applyFont="0" applyFill="0" applyBorder="0" applyAlignment="0" applyProtection="0">
      <alignment vertical="center"/>
    </xf>
    <xf numFmtId="0" fontId="32" fillId="0" borderId="0"/>
    <xf numFmtId="9" fontId="32" fillId="0" borderId="0" applyFont="0" applyFill="0" applyBorder="0" applyAlignment="0" applyProtection="0"/>
    <xf numFmtId="165" fontId="32" fillId="0" borderId="0" applyFont="0" applyFill="0" applyBorder="0" applyAlignment="0" applyProtection="0"/>
    <xf numFmtId="42" fontId="32" fillId="0" borderId="0" applyFont="0" applyFill="0" applyBorder="0" applyAlignment="0" applyProtection="0"/>
    <xf numFmtId="165" fontId="32" fillId="0" borderId="0" applyFont="0" applyFill="0" applyBorder="0" applyAlignment="0" applyProtection="0"/>
    <xf numFmtId="165" fontId="32" fillId="0" borderId="0" applyFont="0" applyFill="0" applyBorder="0" applyAlignment="0" applyProtection="0"/>
    <xf numFmtId="165" fontId="32" fillId="0" borderId="0" applyFont="0" applyFill="0" applyBorder="0" applyAlignment="0" applyProtection="0"/>
    <xf numFmtId="165" fontId="32" fillId="0" borderId="0" applyFont="0" applyFill="0" applyBorder="0" applyAlignment="0" applyProtection="0"/>
    <xf numFmtId="165" fontId="32" fillId="0" borderId="0" applyFont="0" applyFill="0" applyBorder="0" applyAlignment="0" applyProtection="0"/>
    <xf numFmtId="165" fontId="32" fillId="0" borderId="0" applyFont="0" applyFill="0" applyBorder="0" applyAlignment="0" applyProtection="0"/>
    <xf numFmtId="165" fontId="32" fillId="0" borderId="0" applyFont="0" applyFill="0" applyBorder="0" applyAlignment="0" applyProtection="0">
      <alignment vertical="center"/>
    </xf>
    <xf numFmtId="165" fontId="32" fillId="0" borderId="0" applyFont="0" applyFill="0" applyBorder="0" applyAlignment="0" applyProtection="0">
      <alignment vertical="center"/>
    </xf>
    <xf numFmtId="165" fontId="32" fillId="0" borderId="0" applyFont="0" applyFill="0" applyBorder="0" applyAlignment="0" applyProtection="0">
      <alignment vertical="center"/>
    </xf>
    <xf numFmtId="165" fontId="32" fillId="0" borderId="0" applyFont="0" applyFill="0" applyBorder="0" applyAlignment="0" applyProtection="0">
      <alignment vertical="center"/>
    </xf>
    <xf numFmtId="166" fontId="3" fillId="0" borderId="0" applyFont="0" applyFill="0" applyBorder="0" applyAlignment="0" applyProtection="0"/>
    <xf numFmtId="166" fontId="32" fillId="0" borderId="0" applyFont="0" applyFill="0" applyBorder="0" applyAlignment="0" applyProtection="0"/>
    <xf numFmtId="0" fontId="32" fillId="0" borderId="0"/>
    <xf numFmtId="0" fontId="32" fillId="0" borderId="0"/>
    <xf numFmtId="9" fontId="32" fillId="0" borderId="0" applyFont="0" applyFill="0" applyBorder="0" applyAlignment="0" applyProtection="0"/>
    <xf numFmtId="9" fontId="32" fillId="0" borderId="0" applyFont="0" applyFill="0" applyBorder="0" applyAlignment="0" applyProtection="0"/>
    <xf numFmtId="165" fontId="32" fillId="0" borderId="0" applyFont="0" applyFill="0" applyBorder="0" applyAlignment="0" applyProtection="0"/>
    <xf numFmtId="0" fontId="32" fillId="0" borderId="0"/>
    <xf numFmtId="0" fontId="32" fillId="0" borderId="0"/>
    <xf numFmtId="0" fontId="3" fillId="0" borderId="0"/>
    <xf numFmtId="166" fontId="2" fillId="0" borderId="0" applyFont="0" applyFill="0" applyBorder="0" applyAlignment="0" applyProtection="0"/>
    <xf numFmtId="165" fontId="2" fillId="0" borderId="0" applyFont="0" applyFill="0" applyBorder="0" applyAlignment="0" applyProtection="0">
      <alignment vertical="center"/>
    </xf>
    <xf numFmtId="166" fontId="2" fillId="0" borderId="0" applyFont="0" applyFill="0" applyBorder="0" applyAlignment="0" applyProtection="0">
      <alignment vertical="center"/>
    </xf>
    <xf numFmtId="165" fontId="2" fillId="0" borderId="0" applyFont="0" applyFill="0" applyBorder="0" applyAlignment="0" applyProtection="0">
      <alignment vertical="center"/>
    </xf>
    <xf numFmtId="165" fontId="32" fillId="0" borderId="0" applyFont="0" applyFill="0" applyBorder="0" applyAlignment="0" applyProtection="0">
      <alignment vertical="center"/>
    </xf>
    <xf numFmtId="166" fontId="2" fillId="0" borderId="0" applyFont="0" applyFill="0" applyBorder="0" applyAlignment="0" applyProtection="0">
      <alignment vertical="center"/>
    </xf>
    <xf numFmtId="165" fontId="2" fillId="0" borderId="0" applyFont="0" applyFill="0" applyBorder="0" applyAlignment="0" applyProtection="0">
      <alignment vertical="center"/>
    </xf>
    <xf numFmtId="165" fontId="32" fillId="0" borderId="0" applyFont="0" applyFill="0" applyBorder="0" applyAlignment="0" applyProtection="0">
      <alignment vertical="center"/>
    </xf>
    <xf numFmtId="166" fontId="2" fillId="0" borderId="0" applyFont="0" applyFill="0" applyBorder="0" applyAlignment="0" applyProtection="0">
      <alignment vertical="center"/>
    </xf>
    <xf numFmtId="165" fontId="2" fillId="0" borderId="0" applyFont="0" applyFill="0" applyBorder="0" applyAlignment="0" applyProtection="0">
      <alignment vertical="center"/>
    </xf>
    <xf numFmtId="165" fontId="32" fillId="0" borderId="0" applyFont="0" applyFill="0" applyBorder="0" applyAlignment="0" applyProtection="0">
      <alignment vertical="center"/>
    </xf>
    <xf numFmtId="166" fontId="2" fillId="0" borderId="0" applyFont="0" applyFill="0" applyBorder="0" applyAlignment="0" applyProtection="0">
      <alignment vertical="center"/>
    </xf>
    <xf numFmtId="165" fontId="2" fillId="0" borderId="0" applyFont="0" applyFill="0" applyBorder="0" applyAlignment="0" applyProtection="0">
      <alignment vertical="center"/>
    </xf>
    <xf numFmtId="165" fontId="32" fillId="0" borderId="0" applyFont="0" applyFill="0" applyBorder="0" applyAlignment="0" applyProtection="0">
      <alignment vertical="center"/>
    </xf>
    <xf numFmtId="166" fontId="2" fillId="0" borderId="0" applyFont="0" applyFill="0" applyBorder="0" applyAlignment="0" applyProtection="0">
      <alignment vertical="center"/>
    </xf>
    <xf numFmtId="165" fontId="2" fillId="0" borderId="0" applyFont="0" applyFill="0" applyBorder="0" applyAlignment="0" applyProtection="0">
      <alignment vertical="center"/>
    </xf>
    <xf numFmtId="165" fontId="32" fillId="0" borderId="0" applyFont="0" applyFill="0" applyBorder="0" applyAlignment="0" applyProtection="0">
      <alignment vertical="center"/>
    </xf>
    <xf numFmtId="166" fontId="1" fillId="0" borderId="0" applyFont="0" applyFill="0" applyBorder="0" applyAlignment="0" applyProtection="0"/>
    <xf numFmtId="165" fontId="1" fillId="0" borderId="0" applyFont="0" applyFill="0" applyBorder="0" applyAlignment="0" applyProtection="0"/>
    <xf numFmtId="165" fontId="32" fillId="0" borderId="0" applyFont="0" applyFill="0" applyBorder="0" applyAlignment="0" applyProtection="0">
      <alignment vertical="center"/>
    </xf>
    <xf numFmtId="166" fontId="1" fillId="0" borderId="0" applyFont="0" applyFill="0" applyBorder="0" applyAlignment="0" applyProtection="0"/>
    <xf numFmtId="165" fontId="1" fillId="0" borderId="0" applyFont="0" applyFill="0" applyBorder="0" applyAlignment="0" applyProtection="0"/>
    <xf numFmtId="165" fontId="32" fillId="0" borderId="0" applyFont="0" applyFill="0" applyBorder="0" applyAlignment="0" applyProtection="0">
      <alignment vertical="center"/>
    </xf>
    <xf numFmtId="166" fontId="1" fillId="0" borderId="0" applyFont="0" applyFill="0" applyBorder="0" applyAlignment="0" applyProtection="0"/>
    <xf numFmtId="165" fontId="1" fillId="0" borderId="0" applyFont="0" applyFill="0" applyBorder="0" applyAlignment="0" applyProtection="0"/>
    <xf numFmtId="165" fontId="32" fillId="0" borderId="0" applyFont="0" applyFill="0" applyBorder="0" applyAlignment="0" applyProtection="0">
      <alignment vertical="center"/>
    </xf>
    <xf numFmtId="166" fontId="1" fillId="0" borderId="0" applyFont="0" applyFill="0" applyBorder="0" applyAlignment="0" applyProtection="0"/>
    <xf numFmtId="165" fontId="1" fillId="0" borderId="0" applyFont="0" applyFill="0" applyBorder="0" applyAlignment="0" applyProtection="0"/>
    <xf numFmtId="165" fontId="32" fillId="0" borderId="0" applyFont="0" applyFill="0" applyBorder="0" applyAlignment="0" applyProtection="0">
      <alignment vertical="center"/>
    </xf>
    <xf numFmtId="166" fontId="1" fillId="0" borderId="0" applyFont="0" applyFill="0" applyBorder="0" applyAlignment="0" applyProtection="0"/>
    <xf numFmtId="165" fontId="1" fillId="0" borderId="0" applyFont="0" applyFill="0" applyBorder="0" applyAlignment="0" applyProtection="0"/>
    <xf numFmtId="165" fontId="32" fillId="0" borderId="0" applyFont="0" applyFill="0" applyBorder="0" applyAlignment="0" applyProtection="0">
      <alignment vertical="center"/>
    </xf>
    <xf numFmtId="166" fontId="1" fillId="0" borderId="0" applyFont="0" applyFill="0" applyBorder="0" applyAlignment="0" applyProtection="0"/>
    <xf numFmtId="165" fontId="1" fillId="0" borderId="0" applyFont="0" applyFill="0" applyBorder="0" applyAlignment="0" applyProtection="0"/>
    <xf numFmtId="165" fontId="32" fillId="0" borderId="0" applyFont="0" applyFill="0" applyBorder="0" applyAlignment="0" applyProtection="0">
      <alignment vertical="center"/>
    </xf>
    <xf numFmtId="166" fontId="1" fillId="0" borderId="0" applyFont="0" applyFill="0" applyBorder="0" applyAlignment="0" applyProtection="0"/>
    <xf numFmtId="165" fontId="1" fillId="0" borderId="0" applyFont="0" applyFill="0" applyBorder="0" applyAlignment="0" applyProtection="0"/>
    <xf numFmtId="165" fontId="32" fillId="0" borderId="0" applyFont="0" applyFill="0" applyBorder="0" applyAlignment="0" applyProtection="0">
      <alignment vertical="center"/>
    </xf>
    <xf numFmtId="165" fontId="34" fillId="0" borderId="0" applyFont="0" applyFill="0" applyBorder="0" applyAlignment="0" applyProtection="0"/>
    <xf numFmtId="165" fontId="34" fillId="0" borderId="0" applyFont="0" applyFill="0" applyBorder="0" applyAlignment="0" applyProtection="0"/>
    <xf numFmtId="165" fontId="34" fillId="0" borderId="0" applyFont="0" applyFill="0" applyBorder="0" applyAlignment="0" applyProtection="0"/>
    <xf numFmtId="165" fontId="34" fillId="0" borderId="0" applyFont="0" applyFill="0" applyBorder="0" applyAlignment="0" applyProtection="0"/>
    <xf numFmtId="165" fontId="34" fillId="0" borderId="0" applyFont="0" applyFill="0" applyBorder="0" applyAlignment="0" applyProtection="0"/>
    <xf numFmtId="165" fontId="34" fillId="0" borderId="0" applyFont="0" applyFill="0" applyBorder="0" applyAlignment="0" applyProtection="0"/>
    <xf numFmtId="165" fontId="34" fillId="0" borderId="0" applyFont="0" applyFill="0" applyBorder="0" applyAlignment="0" applyProtection="0"/>
    <xf numFmtId="165" fontId="34" fillId="0" borderId="0" applyFont="0" applyFill="0" applyBorder="0" applyAlignment="0" applyProtection="0"/>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32" fillId="0" borderId="0" applyFont="0" applyFill="0" applyBorder="0" applyAlignment="0" applyProtection="0">
      <alignment vertical="center"/>
    </xf>
    <xf numFmtId="165" fontId="32" fillId="0" borderId="0" applyFont="0" applyFill="0" applyBorder="0" applyAlignment="0" applyProtection="0">
      <alignment vertical="center"/>
    </xf>
    <xf numFmtId="165" fontId="32" fillId="0" borderId="0" applyFont="0" applyFill="0" applyBorder="0" applyAlignment="0" applyProtection="0">
      <alignment vertical="center"/>
    </xf>
    <xf numFmtId="165" fontId="32" fillId="0" borderId="0" applyFont="0" applyFill="0" applyBorder="0" applyAlignment="0" applyProtection="0">
      <alignment vertical="center"/>
    </xf>
    <xf numFmtId="165" fontId="32" fillId="0" borderId="0" applyFont="0" applyFill="0" applyBorder="0" applyAlignment="0" applyProtection="0">
      <alignment vertical="center"/>
    </xf>
    <xf numFmtId="165" fontId="32" fillId="0" borderId="0" applyFont="0" applyFill="0" applyBorder="0" applyAlignment="0" applyProtection="0">
      <alignment vertical="center"/>
    </xf>
    <xf numFmtId="165" fontId="32" fillId="0" borderId="0" applyFont="0" applyFill="0" applyBorder="0" applyAlignment="0" applyProtection="0">
      <alignment vertical="center"/>
    </xf>
    <xf numFmtId="165" fontId="32"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5" fontId="29" fillId="0" borderId="0" applyFont="0" applyFill="0" applyBorder="0" applyAlignment="0" applyProtection="0">
      <alignment vertical="center"/>
    </xf>
    <xf numFmtId="165" fontId="32" fillId="0" borderId="0" applyFont="0" applyFill="0" applyBorder="0" applyAlignment="0" applyProtection="0"/>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32" fillId="0" borderId="0" applyFont="0" applyFill="0" applyBorder="0" applyAlignment="0" applyProtection="0"/>
    <xf numFmtId="165" fontId="32" fillId="0" borderId="0" applyFont="0" applyFill="0" applyBorder="0" applyAlignment="0" applyProtection="0"/>
    <xf numFmtId="165" fontId="32" fillId="0" borderId="0" applyFont="0" applyFill="0" applyBorder="0" applyAlignment="0" applyProtection="0"/>
    <xf numFmtId="165" fontId="32" fillId="0" borderId="0" applyFont="0" applyFill="0" applyBorder="0" applyAlignment="0" applyProtection="0"/>
    <xf numFmtId="165" fontId="32" fillId="0" borderId="0" applyFont="0" applyFill="0" applyBorder="0" applyAlignment="0" applyProtection="0"/>
    <xf numFmtId="165" fontId="32" fillId="0" borderId="0" applyFont="0" applyFill="0" applyBorder="0" applyAlignment="0" applyProtection="0"/>
    <xf numFmtId="165" fontId="32" fillId="0" borderId="0" applyFont="0" applyFill="0" applyBorder="0" applyAlignment="0" applyProtection="0"/>
    <xf numFmtId="165" fontId="33" fillId="0" borderId="0" applyFont="0" applyFill="0" applyBorder="0" applyAlignment="0" applyProtection="0">
      <alignment vertical="center"/>
    </xf>
    <xf numFmtId="165" fontId="34" fillId="0" borderId="0" applyFont="0" applyFill="0" applyBorder="0" applyAlignment="0" applyProtection="0">
      <alignment vertical="center"/>
    </xf>
    <xf numFmtId="165" fontId="34" fillId="0" borderId="0" applyFont="0" applyFill="0" applyBorder="0" applyAlignment="0" applyProtection="0">
      <alignment vertical="center"/>
    </xf>
    <xf numFmtId="165" fontId="34" fillId="0" borderId="0" applyFont="0" applyFill="0" applyBorder="0" applyAlignment="0" applyProtection="0">
      <alignment vertical="center"/>
    </xf>
    <xf numFmtId="165" fontId="34" fillId="0" borderId="0" applyFont="0" applyFill="0" applyBorder="0" applyAlignment="0" applyProtection="0">
      <alignment vertical="center"/>
    </xf>
    <xf numFmtId="165" fontId="34" fillId="0" borderId="0" applyFont="0" applyFill="0" applyBorder="0" applyAlignment="0" applyProtection="0">
      <alignment vertical="center"/>
    </xf>
    <xf numFmtId="165" fontId="34" fillId="0" borderId="0" applyFont="0" applyFill="0" applyBorder="0" applyAlignment="0" applyProtection="0">
      <alignment vertical="center"/>
    </xf>
    <xf numFmtId="165" fontId="34" fillId="0" borderId="0" applyFont="0" applyFill="0" applyBorder="0" applyAlignment="0" applyProtection="0">
      <alignment vertical="center"/>
    </xf>
    <xf numFmtId="165" fontId="34" fillId="0" borderId="0" applyFont="0" applyFill="0" applyBorder="0" applyAlignment="0" applyProtection="0">
      <alignment vertical="center"/>
    </xf>
    <xf numFmtId="165" fontId="32" fillId="0" borderId="0" applyFont="0" applyFill="0" applyBorder="0" applyAlignment="0" applyProtection="0"/>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6" fontId="32" fillId="0" borderId="0" applyFont="0" applyFill="0" applyBorder="0" applyAlignment="0" applyProtection="0"/>
    <xf numFmtId="166" fontId="32" fillId="0" borderId="0" applyFont="0" applyFill="0" applyBorder="0" applyAlignment="0" applyProtection="0"/>
    <xf numFmtId="166" fontId="32" fillId="0" borderId="0" applyFont="0" applyFill="0" applyBorder="0" applyAlignment="0" applyProtection="0"/>
    <xf numFmtId="166" fontId="2" fillId="0" borderId="0" applyFont="0" applyFill="0" applyBorder="0" applyAlignment="0" applyProtection="0"/>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5" fontId="34" fillId="0" borderId="0" applyFont="0" applyFill="0" applyBorder="0" applyAlignment="0" applyProtection="0"/>
    <xf numFmtId="165" fontId="34" fillId="0" borderId="0" applyFont="0" applyFill="0" applyBorder="0" applyAlignment="0" applyProtection="0"/>
    <xf numFmtId="165" fontId="34" fillId="0" borderId="0" applyFont="0" applyFill="0" applyBorder="0" applyAlignment="0" applyProtection="0"/>
    <xf numFmtId="165" fontId="34" fillId="0" borderId="0" applyFont="0" applyFill="0" applyBorder="0" applyAlignment="0" applyProtection="0"/>
    <xf numFmtId="165" fontId="34" fillId="0" borderId="0" applyFont="0" applyFill="0" applyBorder="0" applyAlignment="0" applyProtection="0"/>
    <xf numFmtId="165" fontId="34" fillId="0" borderId="0" applyFont="0" applyFill="0" applyBorder="0" applyAlignment="0" applyProtection="0"/>
    <xf numFmtId="165" fontId="34" fillId="0" borderId="0" applyFont="0" applyFill="0" applyBorder="0" applyAlignment="0" applyProtection="0"/>
    <xf numFmtId="165" fontId="34" fillId="0" borderId="0" applyFont="0" applyFill="0" applyBorder="0" applyAlignment="0" applyProtection="0"/>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32" fillId="0" borderId="0" applyFont="0" applyFill="0" applyBorder="0" applyAlignment="0" applyProtection="0">
      <alignment vertical="center"/>
    </xf>
    <xf numFmtId="165" fontId="32" fillId="0" borderId="0" applyFont="0" applyFill="0" applyBorder="0" applyAlignment="0" applyProtection="0">
      <alignment vertical="center"/>
    </xf>
    <xf numFmtId="165" fontId="32" fillId="0" borderId="0" applyFont="0" applyFill="0" applyBorder="0" applyAlignment="0" applyProtection="0">
      <alignment vertical="center"/>
    </xf>
    <xf numFmtId="165" fontId="32" fillId="0" borderId="0" applyFont="0" applyFill="0" applyBorder="0" applyAlignment="0" applyProtection="0">
      <alignment vertical="center"/>
    </xf>
    <xf numFmtId="165" fontId="32" fillId="0" borderId="0" applyFont="0" applyFill="0" applyBorder="0" applyAlignment="0" applyProtection="0">
      <alignment vertical="center"/>
    </xf>
    <xf numFmtId="165" fontId="32" fillId="0" borderId="0" applyFont="0" applyFill="0" applyBorder="0" applyAlignment="0" applyProtection="0">
      <alignment vertical="center"/>
    </xf>
    <xf numFmtId="165" fontId="32" fillId="0" borderId="0" applyFont="0" applyFill="0" applyBorder="0" applyAlignment="0" applyProtection="0">
      <alignment vertical="center"/>
    </xf>
    <xf numFmtId="165" fontId="32"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5" fontId="29" fillId="0" borderId="0" applyFont="0" applyFill="0" applyBorder="0" applyAlignment="0" applyProtection="0">
      <alignment vertical="center"/>
    </xf>
    <xf numFmtId="165" fontId="32" fillId="0" borderId="0" applyFont="0" applyFill="0" applyBorder="0" applyAlignment="0" applyProtection="0"/>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32" fillId="0" borderId="0" applyFont="0" applyFill="0" applyBorder="0" applyAlignment="0" applyProtection="0"/>
    <xf numFmtId="165" fontId="32" fillId="0" borderId="0" applyFont="0" applyFill="0" applyBorder="0" applyAlignment="0" applyProtection="0"/>
    <xf numFmtId="165" fontId="32" fillId="0" borderId="0" applyFont="0" applyFill="0" applyBorder="0" applyAlignment="0" applyProtection="0"/>
    <xf numFmtId="165" fontId="32" fillId="0" borderId="0" applyFont="0" applyFill="0" applyBorder="0" applyAlignment="0" applyProtection="0"/>
    <xf numFmtId="165" fontId="32" fillId="0" borderId="0" applyFont="0" applyFill="0" applyBorder="0" applyAlignment="0" applyProtection="0"/>
    <xf numFmtId="165" fontId="32" fillId="0" borderId="0" applyFont="0" applyFill="0" applyBorder="0" applyAlignment="0" applyProtection="0"/>
    <xf numFmtId="165" fontId="32" fillId="0" borderId="0" applyFont="0" applyFill="0" applyBorder="0" applyAlignment="0" applyProtection="0"/>
    <xf numFmtId="165" fontId="33" fillId="0" borderId="0" applyFont="0" applyFill="0" applyBorder="0" applyAlignment="0" applyProtection="0">
      <alignment vertical="center"/>
    </xf>
    <xf numFmtId="165" fontId="34" fillId="0" borderId="0" applyFont="0" applyFill="0" applyBorder="0" applyAlignment="0" applyProtection="0">
      <alignment vertical="center"/>
    </xf>
    <xf numFmtId="165" fontId="34" fillId="0" borderId="0" applyFont="0" applyFill="0" applyBorder="0" applyAlignment="0" applyProtection="0">
      <alignment vertical="center"/>
    </xf>
    <xf numFmtId="165" fontId="34" fillId="0" borderId="0" applyFont="0" applyFill="0" applyBorder="0" applyAlignment="0" applyProtection="0">
      <alignment vertical="center"/>
    </xf>
    <xf numFmtId="165" fontId="34" fillId="0" borderId="0" applyFont="0" applyFill="0" applyBorder="0" applyAlignment="0" applyProtection="0">
      <alignment vertical="center"/>
    </xf>
    <xf numFmtId="165" fontId="34" fillId="0" borderId="0" applyFont="0" applyFill="0" applyBorder="0" applyAlignment="0" applyProtection="0">
      <alignment vertical="center"/>
    </xf>
    <xf numFmtId="165" fontId="34" fillId="0" borderId="0" applyFont="0" applyFill="0" applyBorder="0" applyAlignment="0" applyProtection="0">
      <alignment vertical="center"/>
    </xf>
    <xf numFmtId="165" fontId="34" fillId="0" borderId="0" applyFont="0" applyFill="0" applyBorder="0" applyAlignment="0" applyProtection="0">
      <alignment vertical="center"/>
    </xf>
    <xf numFmtId="165" fontId="34" fillId="0" borderId="0" applyFont="0" applyFill="0" applyBorder="0" applyAlignment="0" applyProtection="0">
      <alignment vertical="center"/>
    </xf>
    <xf numFmtId="165" fontId="32" fillId="0" borderId="0" applyFont="0" applyFill="0" applyBorder="0" applyAlignment="0" applyProtection="0"/>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6" fontId="32" fillId="0" borderId="0" applyFont="0" applyFill="0" applyBorder="0" applyAlignment="0" applyProtection="0"/>
    <xf numFmtId="166" fontId="32" fillId="0" borderId="0" applyFont="0" applyFill="0" applyBorder="0" applyAlignment="0" applyProtection="0"/>
    <xf numFmtId="166" fontId="32" fillId="0" borderId="0" applyFont="0" applyFill="0" applyBorder="0" applyAlignment="0" applyProtection="0"/>
    <xf numFmtId="166" fontId="1" fillId="0" borderId="0" applyFont="0" applyFill="0" applyBorder="0" applyAlignment="0" applyProtection="0"/>
    <xf numFmtId="165" fontId="1" fillId="0" borderId="0" applyFont="0" applyFill="0" applyBorder="0" applyAlignment="0" applyProtection="0"/>
    <xf numFmtId="165" fontId="32" fillId="0" borderId="0" applyFont="0" applyFill="0" applyBorder="0" applyAlignment="0" applyProtection="0">
      <alignment vertical="center"/>
    </xf>
    <xf numFmtId="165" fontId="34" fillId="0" borderId="0" applyFont="0" applyFill="0" applyBorder="0" applyAlignment="0" applyProtection="0"/>
    <xf numFmtId="165" fontId="34" fillId="0" borderId="0" applyFont="0" applyFill="0" applyBorder="0" applyAlignment="0" applyProtection="0"/>
    <xf numFmtId="165" fontId="34" fillId="0" borderId="0" applyFont="0" applyFill="0" applyBorder="0" applyAlignment="0" applyProtection="0"/>
    <xf numFmtId="165" fontId="34" fillId="0" borderId="0" applyFont="0" applyFill="0" applyBorder="0" applyAlignment="0" applyProtection="0"/>
    <xf numFmtId="165" fontId="34" fillId="0" borderId="0" applyFont="0" applyFill="0" applyBorder="0" applyAlignment="0" applyProtection="0"/>
    <xf numFmtId="165" fontId="34" fillId="0" borderId="0" applyFont="0" applyFill="0" applyBorder="0" applyAlignment="0" applyProtection="0"/>
    <xf numFmtId="165" fontId="34" fillId="0" borderId="0" applyFont="0" applyFill="0" applyBorder="0" applyAlignment="0" applyProtection="0"/>
    <xf numFmtId="165" fontId="34" fillId="0" borderId="0" applyFont="0" applyFill="0" applyBorder="0" applyAlignment="0" applyProtection="0"/>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32" fillId="0" borderId="0" applyFont="0" applyFill="0" applyBorder="0" applyAlignment="0" applyProtection="0">
      <alignment vertical="center"/>
    </xf>
    <xf numFmtId="165" fontId="32" fillId="0" borderId="0" applyFont="0" applyFill="0" applyBorder="0" applyAlignment="0" applyProtection="0">
      <alignment vertical="center"/>
    </xf>
    <xf numFmtId="165" fontId="32" fillId="0" borderId="0" applyFont="0" applyFill="0" applyBorder="0" applyAlignment="0" applyProtection="0">
      <alignment vertical="center"/>
    </xf>
    <xf numFmtId="165" fontId="32" fillId="0" borderId="0" applyFont="0" applyFill="0" applyBorder="0" applyAlignment="0" applyProtection="0">
      <alignment vertical="center"/>
    </xf>
    <xf numFmtId="165" fontId="32" fillId="0" borderId="0" applyFont="0" applyFill="0" applyBorder="0" applyAlignment="0" applyProtection="0">
      <alignment vertical="center"/>
    </xf>
    <xf numFmtId="165" fontId="32" fillId="0" borderId="0" applyFont="0" applyFill="0" applyBorder="0" applyAlignment="0" applyProtection="0">
      <alignment vertical="center"/>
    </xf>
    <xf numFmtId="165" fontId="32" fillId="0" borderId="0" applyFont="0" applyFill="0" applyBorder="0" applyAlignment="0" applyProtection="0">
      <alignment vertical="center"/>
    </xf>
    <xf numFmtId="165" fontId="32"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5" fontId="29" fillId="0" borderId="0" applyFont="0" applyFill="0" applyBorder="0" applyAlignment="0" applyProtection="0">
      <alignment vertical="center"/>
    </xf>
    <xf numFmtId="165" fontId="32" fillId="0" borderId="0" applyFont="0" applyFill="0" applyBorder="0" applyAlignment="0" applyProtection="0"/>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32" fillId="0" borderId="0" applyFont="0" applyFill="0" applyBorder="0" applyAlignment="0" applyProtection="0"/>
    <xf numFmtId="165" fontId="32" fillId="0" borderId="0" applyFont="0" applyFill="0" applyBorder="0" applyAlignment="0" applyProtection="0"/>
    <xf numFmtId="165" fontId="32" fillId="0" borderId="0" applyFont="0" applyFill="0" applyBorder="0" applyAlignment="0" applyProtection="0"/>
    <xf numFmtId="165" fontId="32" fillId="0" borderId="0" applyFont="0" applyFill="0" applyBorder="0" applyAlignment="0" applyProtection="0"/>
    <xf numFmtId="165" fontId="32" fillId="0" borderId="0" applyFont="0" applyFill="0" applyBorder="0" applyAlignment="0" applyProtection="0"/>
    <xf numFmtId="165" fontId="32" fillId="0" borderId="0" applyFont="0" applyFill="0" applyBorder="0" applyAlignment="0" applyProtection="0"/>
    <xf numFmtId="165" fontId="32" fillId="0" borderId="0" applyFont="0" applyFill="0" applyBorder="0" applyAlignment="0" applyProtection="0"/>
    <xf numFmtId="165" fontId="33" fillId="0" borderId="0" applyFont="0" applyFill="0" applyBorder="0" applyAlignment="0" applyProtection="0">
      <alignment vertical="center"/>
    </xf>
    <xf numFmtId="165" fontId="34" fillId="0" borderId="0" applyFont="0" applyFill="0" applyBorder="0" applyAlignment="0" applyProtection="0">
      <alignment vertical="center"/>
    </xf>
    <xf numFmtId="165" fontId="34" fillId="0" borderId="0" applyFont="0" applyFill="0" applyBorder="0" applyAlignment="0" applyProtection="0">
      <alignment vertical="center"/>
    </xf>
    <xf numFmtId="165" fontId="34" fillId="0" borderId="0" applyFont="0" applyFill="0" applyBorder="0" applyAlignment="0" applyProtection="0">
      <alignment vertical="center"/>
    </xf>
    <xf numFmtId="165" fontId="34" fillId="0" borderId="0" applyFont="0" applyFill="0" applyBorder="0" applyAlignment="0" applyProtection="0">
      <alignment vertical="center"/>
    </xf>
    <xf numFmtId="165" fontId="34" fillId="0" borderId="0" applyFont="0" applyFill="0" applyBorder="0" applyAlignment="0" applyProtection="0">
      <alignment vertical="center"/>
    </xf>
    <xf numFmtId="165" fontId="34" fillId="0" borderId="0" applyFont="0" applyFill="0" applyBorder="0" applyAlignment="0" applyProtection="0">
      <alignment vertical="center"/>
    </xf>
    <xf numFmtId="165" fontId="34" fillId="0" borderId="0" applyFont="0" applyFill="0" applyBorder="0" applyAlignment="0" applyProtection="0">
      <alignment vertical="center"/>
    </xf>
    <xf numFmtId="165" fontId="34" fillId="0" borderId="0" applyFont="0" applyFill="0" applyBorder="0" applyAlignment="0" applyProtection="0">
      <alignment vertical="center"/>
    </xf>
    <xf numFmtId="165" fontId="32" fillId="0" borderId="0" applyFont="0" applyFill="0" applyBorder="0" applyAlignment="0" applyProtection="0"/>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6" fontId="32" fillId="0" borderId="0" applyFont="0" applyFill="0" applyBorder="0" applyAlignment="0" applyProtection="0"/>
    <xf numFmtId="166" fontId="32" fillId="0" borderId="0" applyFont="0" applyFill="0" applyBorder="0" applyAlignment="0" applyProtection="0"/>
    <xf numFmtId="166" fontId="32" fillId="0" borderId="0" applyFont="0" applyFill="0" applyBorder="0" applyAlignment="0" applyProtection="0"/>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5" fontId="34" fillId="0" borderId="0" applyFont="0" applyFill="0" applyBorder="0" applyAlignment="0" applyProtection="0"/>
    <xf numFmtId="165" fontId="34" fillId="0" borderId="0" applyFont="0" applyFill="0" applyBorder="0" applyAlignment="0" applyProtection="0"/>
    <xf numFmtId="165" fontId="34" fillId="0" borderId="0" applyFont="0" applyFill="0" applyBorder="0" applyAlignment="0" applyProtection="0"/>
    <xf numFmtId="165" fontId="34" fillId="0" borderId="0" applyFont="0" applyFill="0" applyBorder="0" applyAlignment="0" applyProtection="0"/>
    <xf numFmtId="165" fontId="34" fillId="0" borderId="0" applyFont="0" applyFill="0" applyBorder="0" applyAlignment="0" applyProtection="0"/>
    <xf numFmtId="165" fontId="34" fillId="0" borderId="0" applyFont="0" applyFill="0" applyBorder="0" applyAlignment="0" applyProtection="0"/>
    <xf numFmtId="165" fontId="34" fillId="0" borderId="0" applyFont="0" applyFill="0" applyBorder="0" applyAlignment="0" applyProtection="0"/>
    <xf numFmtId="165" fontId="34" fillId="0" borderId="0" applyFont="0" applyFill="0" applyBorder="0" applyAlignment="0" applyProtection="0"/>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32" fillId="0" borderId="0" applyFont="0" applyFill="0" applyBorder="0" applyAlignment="0" applyProtection="0">
      <alignment vertical="center"/>
    </xf>
    <xf numFmtId="165" fontId="32" fillId="0" borderId="0" applyFont="0" applyFill="0" applyBorder="0" applyAlignment="0" applyProtection="0">
      <alignment vertical="center"/>
    </xf>
    <xf numFmtId="165" fontId="32" fillId="0" borderId="0" applyFont="0" applyFill="0" applyBorder="0" applyAlignment="0" applyProtection="0">
      <alignment vertical="center"/>
    </xf>
    <xf numFmtId="165" fontId="32" fillId="0" borderId="0" applyFont="0" applyFill="0" applyBorder="0" applyAlignment="0" applyProtection="0">
      <alignment vertical="center"/>
    </xf>
    <xf numFmtId="165" fontId="32" fillId="0" borderId="0" applyFont="0" applyFill="0" applyBorder="0" applyAlignment="0" applyProtection="0">
      <alignment vertical="center"/>
    </xf>
    <xf numFmtId="165" fontId="32" fillId="0" borderId="0" applyFont="0" applyFill="0" applyBorder="0" applyAlignment="0" applyProtection="0">
      <alignment vertical="center"/>
    </xf>
    <xf numFmtId="165" fontId="32" fillId="0" borderId="0" applyFont="0" applyFill="0" applyBorder="0" applyAlignment="0" applyProtection="0">
      <alignment vertical="center"/>
    </xf>
    <xf numFmtId="165" fontId="32"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5" fontId="29" fillId="0" borderId="0" applyFont="0" applyFill="0" applyBorder="0" applyAlignment="0" applyProtection="0">
      <alignment vertical="center"/>
    </xf>
    <xf numFmtId="165" fontId="32" fillId="0" borderId="0" applyFont="0" applyFill="0" applyBorder="0" applyAlignment="0" applyProtection="0"/>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32" fillId="0" borderId="0" applyFont="0" applyFill="0" applyBorder="0" applyAlignment="0" applyProtection="0"/>
    <xf numFmtId="165" fontId="32" fillId="0" borderId="0" applyFont="0" applyFill="0" applyBorder="0" applyAlignment="0" applyProtection="0"/>
    <xf numFmtId="165" fontId="32" fillId="0" borderId="0" applyFont="0" applyFill="0" applyBorder="0" applyAlignment="0" applyProtection="0"/>
    <xf numFmtId="165" fontId="32" fillId="0" borderId="0" applyFont="0" applyFill="0" applyBorder="0" applyAlignment="0" applyProtection="0"/>
    <xf numFmtId="165" fontId="32" fillId="0" borderId="0" applyFont="0" applyFill="0" applyBorder="0" applyAlignment="0" applyProtection="0"/>
    <xf numFmtId="165" fontId="32" fillId="0" borderId="0" applyFont="0" applyFill="0" applyBorder="0" applyAlignment="0" applyProtection="0"/>
    <xf numFmtId="165" fontId="32" fillId="0" borderId="0" applyFont="0" applyFill="0" applyBorder="0" applyAlignment="0" applyProtection="0"/>
    <xf numFmtId="165" fontId="33" fillId="0" borderId="0" applyFont="0" applyFill="0" applyBorder="0" applyAlignment="0" applyProtection="0">
      <alignment vertical="center"/>
    </xf>
    <xf numFmtId="165" fontId="34" fillId="0" borderId="0" applyFont="0" applyFill="0" applyBorder="0" applyAlignment="0" applyProtection="0">
      <alignment vertical="center"/>
    </xf>
    <xf numFmtId="165" fontId="34" fillId="0" borderId="0" applyFont="0" applyFill="0" applyBorder="0" applyAlignment="0" applyProtection="0">
      <alignment vertical="center"/>
    </xf>
    <xf numFmtId="165" fontId="34" fillId="0" borderId="0" applyFont="0" applyFill="0" applyBorder="0" applyAlignment="0" applyProtection="0">
      <alignment vertical="center"/>
    </xf>
    <xf numFmtId="165" fontId="34" fillId="0" borderId="0" applyFont="0" applyFill="0" applyBorder="0" applyAlignment="0" applyProtection="0">
      <alignment vertical="center"/>
    </xf>
    <xf numFmtId="165" fontId="34" fillId="0" borderId="0" applyFont="0" applyFill="0" applyBorder="0" applyAlignment="0" applyProtection="0">
      <alignment vertical="center"/>
    </xf>
    <xf numFmtId="165" fontId="34" fillId="0" borderId="0" applyFont="0" applyFill="0" applyBorder="0" applyAlignment="0" applyProtection="0">
      <alignment vertical="center"/>
    </xf>
    <xf numFmtId="165" fontId="34" fillId="0" borderId="0" applyFont="0" applyFill="0" applyBorder="0" applyAlignment="0" applyProtection="0">
      <alignment vertical="center"/>
    </xf>
    <xf numFmtId="165" fontId="34" fillId="0" borderId="0" applyFont="0" applyFill="0" applyBorder="0" applyAlignment="0" applyProtection="0">
      <alignment vertical="center"/>
    </xf>
    <xf numFmtId="165" fontId="32" fillId="0" borderId="0" applyFont="0" applyFill="0" applyBorder="0" applyAlignment="0" applyProtection="0"/>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6" fontId="32" fillId="0" borderId="0" applyFont="0" applyFill="0" applyBorder="0" applyAlignment="0" applyProtection="0"/>
    <xf numFmtId="166" fontId="32" fillId="0" borderId="0" applyFont="0" applyFill="0" applyBorder="0" applyAlignment="0" applyProtection="0"/>
    <xf numFmtId="166" fontId="32" fillId="0" borderId="0" applyFont="0" applyFill="0" applyBorder="0" applyAlignment="0" applyProtection="0"/>
    <xf numFmtId="166" fontId="1" fillId="0" borderId="0" applyFont="0" applyFill="0" applyBorder="0" applyAlignment="0" applyProtection="0"/>
    <xf numFmtId="165" fontId="1" fillId="0" borderId="0" applyFont="0" applyFill="0" applyBorder="0" applyAlignment="0" applyProtection="0"/>
    <xf numFmtId="165" fontId="32" fillId="0" borderId="0" applyFont="0" applyFill="0" applyBorder="0" applyAlignment="0" applyProtection="0">
      <alignment vertical="center"/>
    </xf>
    <xf numFmtId="165" fontId="34" fillId="0" borderId="0" applyFont="0" applyFill="0" applyBorder="0" applyAlignment="0" applyProtection="0"/>
    <xf numFmtId="165" fontId="34" fillId="0" borderId="0" applyFont="0" applyFill="0" applyBorder="0" applyAlignment="0" applyProtection="0"/>
    <xf numFmtId="165" fontId="34" fillId="0" borderId="0" applyFont="0" applyFill="0" applyBorder="0" applyAlignment="0" applyProtection="0"/>
    <xf numFmtId="165" fontId="34" fillId="0" borderId="0" applyFont="0" applyFill="0" applyBorder="0" applyAlignment="0" applyProtection="0"/>
    <xf numFmtId="165" fontId="34" fillId="0" borderId="0" applyFont="0" applyFill="0" applyBorder="0" applyAlignment="0" applyProtection="0"/>
    <xf numFmtId="165" fontId="34" fillId="0" borderId="0" applyFont="0" applyFill="0" applyBorder="0" applyAlignment="0" applyProtection="0"/>
    <xf numFmtId="165" fontId="34" fillId="0" borderId="0" applyFont="0" applyFill="0" applyBorder="0" applyAlignment="0" applyProtection="0"/>
    <xf numFmtId="165" fontId="34" fillId="0" borderId="0" applyFont="0" applyFill="0" applyBorder="0" applyAlignment="0" applyProtection="0"/>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32" fillId="0" borderId="0" applyFont="0" applyFill="0" applyBorder="0" applyAlignment="0" applyProtection="0">
      <alignment vertical="center"/>
    </xf>
    <xf numFmtId="165" fontId="32" fillId="0" borderId="0" applyFont="0" applyFill="0" applyBorder="0" applyAlignment="0" applyProtection="0">
      <alignment vertical="center"/>
    </xf>
    <xf numFmtId="165" fontId="32" fillId="0" borderId="0" applyFont="0" applyFill="0" applyBorder="0" applyAlignment="0" applyProtection="0">
      <alignment vertical="center"/>
    </xf>
    <xf numFmtId="165" fontId="32" fillId="0" borderId="0" applyFont="0" applyFill="0" applyBorder="0" applyAlignment="0" applyProtection="0">
      <alignment vertical="center"/>
    </xf>
    <xf numFmtId="165" fontId="32" fillId="0" borderId="0" applyFont="0" applyFill="0" applyBorder="0" applyAlignment="0" applyProtection="0">
      <alignment vertical="center"/>
    </xf>
    <xf numFmtId="165" fontId="32" fillId="0" borderId="0" applyFont="0" applyFill="0" applyBorder="0" applyAlignment="0" applyProtection="0">
      <alignment vertical="center"/>
    </xf>
    <xf numFmtId="165" fontId="32" fillId="0" borderId="0" applyFont="0" applyFill="0" applyBorder="0" applyAlignment="0" applyProtection="0">
      <alignment vertical="center"/>
    </xf>
    <xf numFmtId="165" fontId="32"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5" fontId="29" fillId="0" borderId="0" applyFont="0" applyFill="0" applyBorder="0" applyAlignment="0" applyProtection="0">
      <alignment vertical="center"/>
    </xf>
    <xf numFmtId="165" fontId="32" fillId="0" borderId="0" applyFont="0" applyFill="0" applyBorder="0" applyAlignment="0" applyProtection="0"/>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32" fillId="0" borderId="0" applyFont="0" applyFill="0" applyBorder="0" applyAlignment="0" applyProtection="0"/>
    <xf numFmtId="165" fontId="32" fillId="0" borderId="0" applyFont="0" applyFill="0" applyBorder="0" applyAlignment="0" applyProtection="0"/>
    <xf numFmtId="165" fontId="32" fillId="0" borderId="0" applyFont="0" applyFill="0" applyBorder="0" applyAlignment="0" applyProtection="0"/>
    <xf numFmtId="165" fontId="32" fillId="0" borderId="0" applyFont="0" applyFill="0" applyBorder="0" applyAlignment="0" applyProtection="0"/>
    <xf numFmtId="165" fontId="32" fillId="0" borderId="0" applyFont="0" applyFill="0" applyBorder="0" applyAlignment="0" applyProtection="0"/>
    <xf numFmtId="165" fontId="32" fillId="0" borderId="0" applyFont="0" applyFill="0" applyBorder="0" applyAlignment="0" applyProtection="0"/>
    <xf numFmtId="165" fontId="32" fillId="0" borderId="0" applyFont="0" applyFill="0" applyBorder="0" applyAlignment="0" applyProtection="0"/>
    <xf numFmtId="165" fontId="33" fillId="0" borderId="0" applyFont="0" applyFill="0" applyBorder="0" applyAlignment="0" applyProtection="0">
      <alignment vertical="center"/>
    </xf>
    <xf numFmtId="165" fontId="34" fillId="0" borderId="0" applyFont="0" applyFill="0" applyBorder="0" applyAlignment="0" applyProtection="0">
      <alignment vertical="center"/>
    </xf>
    <xf numFmtId="165" fontId="34" fillId="0" borderId="0" applyFont="0" applyFill="0" applyBorder="0" applyAlignment="0" applyProtection="0">
      <alignment vertical="center"/>
    </xf>
    <xf numFmtId="165" fontId="34" fillId="0" borderId="0" applyFont="0" applyFill="0" applyBorder="0" applyAlignment="0" applyProtection="0">
      <alignment vertical="center"/>
    </xf>
    <xf numFmtId="165" fontId="34" fillId="0" borderId="0" applyFont="0" applyFill="0" applyBorder="0" applyAlignment="0" applyProtection="0">
      <alignment vertical="center"/>
    </xf>
    <xf numFmtId="165" fontId="34" fillId="0" borderId="0" applyFont="0" applyFill="0" applyBorder="0" applyAlignment="0" applyProtection="0">
      <alignment vertical="center"/>
    </xf>
    <xf numFmtId="165" fontId="34" fillId="0" borderId="0" applyFont="0" applyFill="0" applyBorder="0" applyAlignment="0" applyProtection="0">
      <alignment vertical="center"/>
    </xf>
    <xf numFmtId="165" fontId="34" fillId="0" borderId="0" applyFont="0" applyFill="0" applyBorder="0" applyAlignment="0" applyProtection="0">
      <alignment vertical="center"/>
    </xf>
    <xf numFmtId="165" fontId="34" fillId="0" borderId="0" applyFont="0" applyFill="0" applyBorder="0" applyAlignment="0" applyProtection="0">
      <alignment vertical="center"/>
    </xf>
    <xf numFmtId="165" fontId="32" fillId="0" borderId="0" applyFont="0" applyFill="0" applyBorder="0" applyAlignment="0" applyProtection="0"/>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6" fontId="32" fillId="0" borderId="0" applyFont="0" applyFill="0" applyBorder="0" applyAlignment="0" applyProtection="0"/>
    <xf numFmtId="166" fontId="32" fillId="0" borderId="0" applyFont="0" applyFill="0" applyBorder="0" applyAlignment="0" applyProtection="0"/>
    <xf numFmtId="166" fontId="32" fillId="0" borderId="0" applyFont="0" applyFill="0" applyBorder="0" applyAlignment="0" applyProtection="0"/>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5" fontId="34" fillId="0" borderId="0" applyFont="0" applyFill="0" applyBorder="0" applyAlignment="0" applyProtection="0"/>
    <xf numFmtId="165" fontId="34" fillId="0" borderId="0" applyFont="0" applyFill="0" applyBorder="0" applyAlignment="0" applyProtection="0"/>
    <xf numFmtId="165" fontId="34" fillId="0" borderId="0" applyFont="0" applyFill="0" applyBorder="0" applyAlignment="0" applyProtection="0"/>
    <xf numFmtId="165" fontId="34" fillId="0" borderId="0" applyFont="0" applyFill="0" applyBorder="0" applyAlignment="0" applyProtection="0"/>
    <xf numFmtId="165" fontId="34" fillId="0" borderId="0" applyFont="0" applyFill="0" applyBorder="0" applyAlignment="0" applyProtection="0"/>
    <xf numFmtId="165" fontId="34" fillId="0" borderId="0" applyFont="0" applyFill="0" applyBorder="0" applyAlignment="0" applyProtection="0"/>
    <xf numFmtId="165" fontId="34" fillId="0" borderId="0" applyFont="0" applyFill="0" applyBorder="0" applyAlignment="0" applyProtection="0"/>
    <xf numFmtId="165" fontId="34" fillId="0" borderId="0" applyFont="0" applyFill="0" applyBorder="0" applyAlignment="0" applyProtection="0"/>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32" fillId="0" borderId="0" applyFont="0" applyFill="0" applyBorder="0" applyAlignment="0" applyProtection="0">
      <alignment vertical="center"/>
    </xf>
    <xf numFmtId="165" fontId="32" fillId="0" borderId="0" applyFont="0" applyFill="0" applyBorder="0" applyAlignment="0" applyProtection="0">
      <alignment vertical="center"/>
    </xf>
    <xf numFmtId="165" fontId="32" fillId="0" borderId="0" applyFont="0" applyFill="0" applyBorder="0" applyAlignment="0" applyProtection="0">
      <alignment vertical="center"/>
    </xf>
    <xf numFmtId="165" fontId="32" fillId="0" borderId="0" applyFont="0" applyFill="0" applyBorder="0" applyAlignment="0" applyProtection="0">
      <alignment vertical="center"/>
    </xf>
    <xf numFmtId="165" fontId="32" fillId="0" borderId="0" applyFont="0" applyFill="0" applyBorder="0" applyAlignment="0" applyProtection="0">
      <alignment vertical="center"/>
    </xf>
    <xf numFmtId="165" fontId="32" fillId="0" borderId="0" applyFont="0" applyFill="0" applyBorder="0" applyAlignment="0" applyProtection="0">
      <alignment vertical="center"/>
    </xf>
    <xf numFmtId="165" fontId="32" fillId="0" borderId="0" applyFont="0" applyFill="0" applyBorder="0" applyAlignment="0" applyProtection="0">
      <alignment vertical="center"/>
    </xf>
    <xf numFmtId="165" fontId="32"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5" fontId="29" fillId="0" borderId="0" applyFont="0" applyFill="0" applyBorder="0" applyAlignment="0" applyProtection="0">
      <alignment vertical="center"/>
    </xf>
    <xf numFmtId="165" fontId="32" fillId="0" borderId="0" applyFont="0" applyFill="0" applyBorder="0" applyAlignment="0" applyProtection="0"/>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32" fillId="0" borderId="0" applyFont="0" applyFill="0" applyBorder="0" applyAlignment="0" applyProtection="0"/>
    <xf numFmtId="165" fontId="32" fillId="0" borderId="0" applyFont="0" applyFill="0" applyBorder="0" applyAlignment="0" applyProtection="0"/>
    <xf numFmtId="165" fontId="32" fillId="0" borderId="0" applyFont="0" applyFill="0" applyBorder="0" applyAlignment="0" applyProtection="0"/>
    <xf numFmtId="165" fontId="32" fillId="0" borderId="0" applyFont="0" applyFill="0" applyBorder="0" applyAlignment="0" applyProtection="0"/>
    <xf numFmtId="165" fontId="32" fillId="0" borderId="0" applyFont="0" applyFill="0" applyBorder="0" applyAlignment="0" applyProtection="0"/>
    <xf numFmtId="165" fontId="32" fillId="0" borderId="0" applyFont="0" applyFill="0" applyBorder="0" applyAlignment="0" applyProtection="0"/>
    <xf numFmtId="165" fontId="32" fillId="0" borderId="0" applyFont="0" applyFill="0" applyBorder="0" applyAlignment="0" applyProtection="0"/>
    <xf numFmtId="165" fontId="33" fillId="0" borderId="0" applyFont="0" applyFill="0" applyBorder="0" applyAlignment="0" applyProtection="0">
      <alignment vertical="center"/>
    </xf>
    <xf numFmtId="165" fontId="34" fillId="0" borderId="0" applyFont="0" applyFill="0" applyBorder="0" applyAlignment="0" applyProtection="0">
      <alignment vertical="center"/>
    </xf>
    <xf numFmtId="165" fontId="34" fillId="0" borderId="0" applyFont="0" applyFill="0" applyBorder="0" applyAlignment="0" applyProtection="0">
      <alignment vertical="center"/>
    </xf>
    <xf numFmtId="165" fontId="34" fillId="0" borderId="0" applyFont="0" applyFill="0" applyBorder="0" applyAlignment="0" applyProtection="0">
      <alignment vertical="center"/>
    </xf>
    <xf numFmtId="165" fontId="34" fillId="0" borderId="0" applyFont="0" applyFill="0" applyBorder="0" applyAlignment="0" applyProtection="0">
      <alignment vertical="center"/>
    </xf>
    <xf numFmtId="165" fontId="34" fillId="0" borderId="0" applyFont="0" applyFill="0" applyBorder="0" applyAlignment="0" applyProtection="0">
      <alignment vertical="center"/>
    </xf>
    <xf numFmtId="165" fontId="34" fillId="0" borderId="0" applyFont="0" applyFill="0" applyBorder="0" applyAlignment="0" applyProtection="0">
      <alignment vertical="center"/>
    </xf>
    <xf numFmtId="165" fontId="34" fillId="0" borderId="0" applyFont="0" applyFill="0" applyBorder="0" applyAlignment="0" applyProtection="0">
      <alignment vertical="center"/>
    </xf>
    <xf numFmtId="165" fontId="34" fillId="0" borderId="0" applyFont="0" applyFill="0" applyBorder="0" applyAlignment="0" applyProtection="0">
      <alignment vertical="center"/>
    </xf>
    <xf numFmtId="165" fontId="32" fillId="0" borderId="0" applyFont="0" applyFill="0" applyBorder="0" applyAlignment="0" applyProtection="0"/>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6" fontId="32" fillId="0" borderId="0" applyFont="0" applyFill="0" applyBorder="0" applyAlignment="0" applyProtection="0"/>
    <xf numFmtId="166" fontId="32" fillId="0" borderId="0" applyFont="0" applyFill="0" applyBorder="0" applyAlignment="0" applyProtection="0"/>
    <xf numFmtId="166" fontId="32" fillId="0" borderId="0" applyFont="0" applyFill="0" applyBorder="0" applyAlignment="0" applyProtection="0"/>
    <xf numFmtId="166" fontId="1" fillId="0" borderId="0" applyFont="0" applyFill="0" applyBorder="0" applyAlignment="0" applyProtection="0"/>
    <xf numFmtId="165" fontId="1" fillId="0" borderId="0" applyFont="0" applyFill="0" applyBorder="0" applyAlignment="0" applyProtection="0"/>
    <xf numFmtId="165" fontId="32" fillId="0" borderId="0" applyFont="0" applyFill="0" applyBorder="0" applyAlignment="0" applyProtection="0">
      <alignment vertical="center"/>
    </xf>
    <xf numFmtId="165" fontId="34" fillId="0" borderId="0" applyFont="0" applyFill="0" applyBorder="0" applyAlignment="0" applyProtection="0"/>
    <xf numFmtId="165" fontId="34" fillId="0" borderId="0" applyFont="0" applyFill="0" applyBorder="0" applyAlignment="0" applyProtection="0"/>
    <xf numFmtId="165" fontId="34" fillId="0" borderId="0" applyFont="0" applyFill="0" applyBorder="0" applyAlignment="0" applyProtection="0"/>
    <xf numFmtId="165" fontId="34" fillId="0" borderId="0" applyFont="0" applyFill="0" applyBorder="0" applyAlignment="0" applyProtection="0"/>
    <xf numFmtId="165" fontId="34" fillId="0" borderId="0" applyFont="0" applyFill="0" applyBorder="0" applyAlignment="0" applyProtection="0"/>
    <xf numFmtId="165" fontId="34" fillId="0" borderId="0" applyFont="0" applyFill="0" applyBorder="0" applyAlignment="0" applyProtection="0"/>
    <xf numFmtId="165" fontId="34" fillId="0" borderId="0" applyFont="0" applyFill="0" applyBorder="0" applyAlignment="0" applyProtection="0"/>
    <xf numFmtId="165" fontId="34" fillId="0" borderId="0" applyFont="0" applyFill="0" applyBorder="0" applyAlignment="0" applyProtection="0"/>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32" fillId="0" borderId="0" applyFont="0" applyFill="0" applyBorder="0" applyAlignment="0" applyProtection="0">
      <alignment vertical="center"/>
    </xf>
    <xf numFmtId="165" fontId="32" fillId="0" borderId="0" applyFont="0" applyFill="0" applyBorder="0" applyAlignment="0" applyProtection="0">
      <alignment vertical="center"/>
    </xf>
    <xf numFmtId="165" fontId="32" fillId="0" borderId="0" applyFont="0" applyFill="0" applyBorder="0" applyAlignment="0" applyProtection="0">
      <alignment vertical="center"/>
    </xf>
    <xf numFmtId="165" fontId="32" fillId="0" borderId="0" applyFont="0" applyFill="0" applyBorder="0" applyAlignment="0" applyProtection="0">
      <alignment vertical="center"/>
    </xf>
    <xf numFmtId="165" fontId="32" fillId="0" borderId="0" applyFont="0" applyFill="0" applyBorder="0" applyAlignment="0" applyProtection="0">
      <alignment vertical="center"/>
    </xf>
    <xf numFmtId="165" fontId="32" fillId="0" borderId="0" applyFont="0" applyFill="0" applyBorder="0" applyAlignment="0" applyProtection="0">
      <alignment vertical="center"/>
    </xf>
    <xf numFmtId="165" fontId="32" fillId="0" borderId="0" applyFont="0" applyFill="0" applyBorder="0" applyAlignment="0" applyProtection="0">
      <alignment vertical="center"/>
    </xf>
    <xf numFmtId="165" fontId="32"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5" fontId="29" fillId="0" borderId="0" applyFont="0" applyFill="0" applyBorder="0" applyAlignment="0" applyProtection="0">
      <alignment vertical="center"/>
    </xf>
    <xf numFmtId="165" fontId="32" fillId="0" borderId="0" applyFont="0" applyFill="0" applyBorder="0" applyAlignment="0" applyProtection="0"/>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32" fillId="0" borderId="0" applyFont="0" applyFill="0" applyBorder="0" applyAlignment="0" applyProtection="0"/>
    <xf numFmtId="165" fontId="32" fillId="0" borderId="0" applyFont="0" applyFill="0" applyBorder="0" applyAlignment="0" applyProtection="0"/>
    <xf numFmtId="165" fontId="32" fillId="0" borderId="0" applyFont="0" applyFill="0" applyBorder="0" applyAlignment="0" applyProtection="0"/>
    <xf numFmtId="165" fontId="32" fillId="0" borderId="0" applyFont="0" applyFill="0" applyBorder="0" applyAlignment="0" applyProtection="0"/>
    <xf numFmtId="165" fontId="32" fillId="0" borderId="0" applyFont="0" applyFill="0" applyBorder="0" applyAlignment="0" applyProtection="0"/>
    <xf numFmtId="165" fontId="32" fillId="0" borderId="0" applyFont="0" applyFill="0" applyBorder="0" applyAlignment="0" applyProtection="0"/>
    <xf numFmtId="165" fontId="32" fillId="0" borderId="0" applyFont="0" applyFill="0" applyBorder="0" applyAlignment="0" applyProtection="0"/>
    <xf numFmtId="165" fontId="33" fillId="0" borderId="0" applyFont="0" applyFill="0" applyBorder="0" applyAlignment="0" applyProtection="0">
      <alignment vertical="center"/>
    </xf>
    <xf numFmtId="165" fontId="34" fillId="0" borderId="0" applyFont="0" applyFill="0" applyBorder="0" applyAlignment="0" applyProtection="0">
      <alignment vertical="center"/>
    </xf>
    <xf numFmtId="165" fontId="34" fillId="0" borderId="0" applyFont="0" applyFill="0" applyBorder="0" applyAlignment="0" applyProtection="0">
      <alignment vertical="center"/>
    </xf>
    <xf numFmtId="165" fontId="34" fillId="0" borderId="0" applyFont="0" applyFill="0" applyBorder="0" applyAlignment="0" applyProtection="0">
      <alignment vertical="center"/>
    </xf>
    <xf numFmtId="165" fontId="34" fillId="0" borderId="0" applyFont="0" applyFill="0" applyBorder="0" applyAlignment="0" applyProtection="0">
      <alignment vertical="center"/>
    </xf>
    <xf numFmtId="165" fontId="34" fillId="0" borderId="0" applyFont="0" applyFill="0" applyBorder="0" applyAlignment="0" applyProtection="0">
      <alignment vertical="center"/>
    </xf>
    <xf numFmtId="165" fontId="34" fillId="0" borderId="0" applyFont="0" applyFill="0" applyBorder="0" applyAlignment="0" applyProtection="0">
      <alignment vertical="center"/>
    </xf>
    <xf numFmtId="165" fontId="34" fillId="0" borderId="0" applyFont="0" applyFill="0" applyBorder="0" applyAlignment="0" applyProtection="0">
      <alignment vertical="center"/>
    </xf>
    <xf numFmtId="165" fontId="34" fillId="0" borderId="0" applyFont="0" applyFill="0" applyBorder="0" applyAlignment="0" applyProtection="0">
      <alignment vertical="center"/>
    </xf>
    <xf numFmtId="165" fontId="32" fillId="0" borderId="0" applyFont="0" applyFill="0" applyBorder="0" applyAlignment="0" applyProtection="0"/>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6" fontId="32" fillId="0" borderId="0" applyFont="0" applyFill="0" applyBorder="0" applyAlignment="0" applyProtection="0"/>
    <xf numFmtId="166" fontId="32" fillId="0" borderId="0" applyFont="0" applyFill="0" applyBorder="0" applyAlignment="0" applyProtection="0"/>
    <xf numFmtId="166" fontId="32" fillId="0" borderId="0" applyFont="0" applyFill="0" applyBorder="0" applyAlignment="0" applyProtection="0"/>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5" fontId="34" fillId="0" borderId="0" applyFont="0" applyFill="0" applyBorder="0" applyAlignment="0" applyProtection="0"/>
    <xf numFmtId="165" fontId="34" fillId="0" borderId="0" applyFont="0" applyFill="0" applyBorder="0" applyAlignment="0" applyProtection="0"/>
    <xf numFmtId="165" fontId="34" fillId="0" borderId="0" applyFont="0" applyFill="0" applyBorder="0" applyAlignment="0" applyProtection="0"/>
    <xf numFmtId="165" fontId="34" fillId="0" borderId="0" applyFont="0" applyFill="0" applyBorder="0" applyAlignment="0" applyProtection="0"/>
    <xf numFmtId="165" fontId="34" fillId="0" borderId="0" applyFont="0" applyFill="0" applyBorder="0" applyAlignment="0" applyProtection="0"/>
    <xf numFmtId="165" fontId="34" fillId="0" borderId="0" applyFont="0" applyFill="0" applyBorder="0" applyAlignment="0" applyProtection="0"/>
    <xf numFmtId="165" fontId="34" fillId="0" borderId="0" applyFont="0" applyFill="0" applyBorder="0" applyAlignment="0" applyProtection="0"/>
    <xf numFmtId="165" fontId="34" fillId="0" borderId="0" applyFont="0" applyFill="0" applyBorder="0" applyAlignment="0" applyProtection="0"/>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32" fillId="0" borderId="0" applyFont="0" applyFill="0" applyBorder="0" applyAlignment="0" applyProtection="0">
      <alignment vertical="center"/>
    </xf>
    <xf numFmtId="165" fontId="32" fillId="0" borderId="0" applyFont="0" applyFill="0" applyBorder="0" applyAlignment="0" applyProtection="0">
      <alignment vertical="center"/>
    </xf>
    <xf numFmtId="165" fontId="32" fillId="0" borderId="0" applyFont="0" applyFill="0" applyBorder="0" applyAlignment="0" applyProtection="0">
      <alignment vertical="center"/>
    </xf>
    <xf numFmtId="165" fontId="32" fillId="0" borderId="0" applyFont="0" applyFill="0" applyBorder="0" applyAlignment="0" applyProtection="0">
      <alignment vertical="center"/>
    </xf>
    <xf numFmtId="165" fontId="32" fillId="0" borderId="0" applyFont="0" applyFill="0" applyBorder="0" applyAlignment="0" applyProtection="0">
      <alignment vertical="center"/>
    </xf>
    <xf numFmtId="165" fontId="32" fillId="0" borderId="0" applyFont="0" applyFill="0" applyBorder="0" applyAlignment="0" applyProtection="0">
      <alignment vertical="center"/>
    </xf>
    <xf numFmtId="165" fontId="32" fillId="0" borderId="0" applyFont="0" applyFill="0" applyBorder="0" applyAlignment="0" applyProtection="0">
      <alignment vertical="center"/>
    </xf>
    <xf numFmtId="165" fontId="32"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5" fontId="29" fillId="0" borderId="0" applyFont="0" applyFill="0" applyBorder="0" applyAlignment="0" applyProtection="0">
      <alignment vertical="center"/>
    </xf>
    <xf numFmtId="165" fontId="32" fillId="0" borderId="0" applyFont="0" applyFill="0" applyBorder="0" applyAlignment="0" applyProtection="0"/>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32" fillId="0" borderId="0" applyFont="0" applyFill="0" applyBorder="0" applyAlignment="0" applyProtection="0"/>
    <xf numFmtId="165" fontId="32" fillId="0" borderId="0" applyFont="0" applyFill="0" applyBorder="0" applyAlignment="0" applyProtection="0"/>
    <xf numFmtId="165" fontId="32" fillId="0" borderId="0" applyFont="0" applyFill="0" applyBorder="0" applyAlignment="0" applyProtection="0"/>
    <xf numFmtId="165" fontId="32" fillId="0" borderId="0" applyFont="0" applyFill="0" applyBorder="0" applyAlignment="0" applyProtection="0"/>
    <xf numFmtId="165" fontId="32" fillId="0" borderId="0" applyFont="0" applyFill="0" applyBorder="0" applyAlignment="0" applyProtection="0"/>
    <xf numFmtId="165" fontId="32" fillId="0" borderId="0" applyFont="0" applyFill="0" applyBorder="0" applyAlignment="0" applyProtection="0"/>
    <xf numFmtId="165" fontId="32" fillId="0" borderId="0" applyFont="0" applyFill="0" applyBorder="0" applyAlignment="0" applyProtection="0"/>
    <xf numFmtId="165" fontId="33" fillId="0" borderId="0" applyFont="0" applyFill="0" applyBorder="0" applyAlignment="0" applyProtection="0">
      <alignment vertical="center"/>
    </xf>
    <xf numFmtId="165" fontId="34" fillId="0" borderId="0" applyFont="0" applyFill="0" applyBorder="0" applyAlignment="0" applyProtection="0">
      <alignment vertical="center"/>
    </xf>
    <xf numFmtId="165" fontId="34" fillId="0" borderId="0" applyFont="0" applyFill="0" applyBorder="0" applyAlignment="0" applyProtection="0">
      <alignment vertical="center"/>
    </xf>
    <xf numFmtId="165" fontId="34" fillId="0" borderId="0" applyFont="0" applyFill="0" applyBorder="0" applyAlignment="0" applyProtection="0">
      <alignment vertical="center"/>
    </xf>
    <xf numFmtId="165" fontId="34" fillId="0" borderId="0" applyFont="0" applyFill="0" applyBorder="0" applyAlignment="0" applyProtection="0">
      <alignment vertical="center"/>
    </xf>
    <xf numFmtId="165" fontId="34" fillId="0" borderId="0" applyFont="0" applyFill="0" applyBorder="0" applyAlignment="0" applyProtection="0">
      <alignment vertical="center"/>
    </xf>
    <xf numFmtId="165" fontId="34" fillId="0" borderId="0" applyFont="0" applyFill="0" applyBorder="0" applyAlignment="0" applyProtection="0">
      <alignment vertical="center"/>
    </xf>
    <xf numFmtId="165" fontId="34" fillId="0" borderId="0" applyFont="0" applyFill="0" applyBorder="0" applyAlignment="0" applyProtection="0">
      <alignment vertical="center"/>
    </xf>
    <xf numFmtId="165" fontId="34" fillId="0" borderId="0" applyFont="0" applyFill="0" applyBorder="0" applyAlignment="0" applyProtection="0">
      <alignment vertical="center"/>
    </xf>
    <xf numFmtId="165" fontId="32" fillId="0" borderId="0" applyFont="0" applyFill="0" applyBorder="0" applyAlignment="0" applyProtection="0"/>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6" fontId="32" fillId="0" borderId="0" applyFont="0" applyFill="0" applyBorder="0" applyAlignment="0" applyProtection="0"/>
    <xf numFmtId="166" fontId="32" fillId="0" borderId="0" applyFont="0" applyFill="0" applyBorder="0" applyAlignment="0" applyProtection="0"/>
    <xf numFmtId="166" fontId="32" fillId="0" borderId="0" applyFont="0" applyFill="0" applyBorder="0" applyAlignment="0" applyProtection="0"/>
    <xf numFmtId="166" fontId="1" fillId="0" borderId="0" applyFont="0" applyFill="0" applyBorder="0" applyAlignment="0" applyProtection="0"/>
    <xf numFmtId="165" fontId="1" fillId="0" borderId="0" applyFont="0" applyFill="0" applyBorder="0" applyAlignment="0" applyProtection="0"/>
    <xf numFmtId="165" fontId="32" fillId="0" borderId="0" applyFont="0" applyFill="0" applyBorder="0" applyAlignment="0" applyProtection="0">
      <alignment vertical="center"/>
    </xf>
    <xf numFmtId="165" fontId="34" fillId="0" borderId="0" applyFont="0" applyFill="0" applyBorder="0" applyAlignment="0" applyProtection="0"/>
    <xf numFmtId="165" fontId="34" fillId="0" borderId="0" applyFont="0" applyFill="0" applyBorder="0" applyAlignment="0" applyProtection="0"/>
    <xf numFmtId="165" fontId="34" fillId="0" borderId="0" applyFont="0" applyFill="0" applyBorder="0" applyAlignment="0" applyProtection="0"/>
    <xf numFmtId="165" fontId="34" fillId="0" borderId="0" applyFont="0" applyFill="0" applyBorder="0" applyAlignment="0" applyProtection="0"/>
    <xf numFmtId="165" fontId="34" fillId="0" borderId="0" applyFont="0" applyFill="0" applyBorder="0" applyAlignment="0" applyProtection="0"/>
    <xf numFmtId="165" fontId="34" fillId="0" borderId="0" applyFont="0" applyFill="0" applyBorder="0" applyAlignment="0" applyProtection="0"/>
    <xf numFmtId="165" fontId="34" fillId="0" borderId="0" applyFont="0" applyFill="0" applyBorder="0" applyAlignment="0" applyProtection="0"/>
    <xf numFmtId="165" fontId="34" fillId="0" borderId="0" applyFont="0" applyFill="0" applyBorder="0" applyAlignment="0" applyProtection="0"/>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32" fillId="0" borderId="0" applyFont="0" applyFill="0" applyBorder="0" applyAlignment="0" applyProtection="0">
      <alignment vertical="center"/>
    </xf>
    <xf numFmtId="165" fontId="32" fillId="0" borderId="0" applyFont="0" applyFill="0" applyBorder="0" applyAlignment="0" applyProtection="0">
      <alignment vertical="center"/>
    </xf>
    <xf numFmtId="165" fontId="32" fillId="0" borderId="0" applyFont="0" applyFill="0" applyBorder="0" applyAlignment="0" applyProtection="0">
      <alignment vertical="center"/>
    </xf>
    <xf numFmtId="165" fontId="32" fillId="0" borderId="0" applyFont="0" applyFill="0" applyBorder="0" applyAlignment="0" applyProtection="0">
      <alignment vertical="center"/>
    </xf>
    <xf numFmtId="165" fontId="32" fillId="0" borderId="0" applyFont="0" applyFill="0" applyBorder="0" applyAlignment="0" applyProtection="0">
      <alignment vertical="center"/>
    </xf>
    <xf numFmtId="165" fontId="32" fillId="0" borderId="0" applyFont="0" applyFill="0" applyBorder="0" applyAlignment="0" applyProtection="0">
      <alignment vertical="center"/>
    </xf>
    <xf numFmtId="165" fontId="32" fillId="0" borderId="0" applyFont="0" applyFill="0" applyBorder="0" applyAlignment="0" applyProtection="0">
      <alignment vertical="center"/>
    </xf>
    <xf numFmtId="165" fontId="32"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5" fontId="29" fillId="0" borderId="0" applyFont="0" applyFill="0" applyBorder="0" applyAlignment="0" applyProtection="0">
      <alignment vertical="center"/>
    </xf>
    <xf numFmtId="165" fontId="32" fillId="0" borderId="0" applyFont="0" applyFill="0" applyBorder="0" applyAlignment="0" applyProtection="0"/>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32" fillId="0" borderId="0" applyFont="0" applyFill="0" applyBorder="0" applyAlignment="0" applyProtection="0"/>
    <xf numFmtId="165" fontId="32" fillId="0" borderId="0" applyFont="0" applyFill="0" applyBorder="0" applyAlignment="0" applyProtection="0"/>
    <xf numFmtId="165" fontId="32" fillId="0" borderId="0" applyFont="0" applyFill="0" applyBorder="0" applyAlignment="0" applyProtection="0"/>
    <xf numFmtId="165" fontId="32" fillId="0" borderId="0" applyFont="0" applyFill="0" applyBorder="0" applyAlignment="0" applyProtection="0"/>
    <xf numFmtId="165" fontId="32" fillId="0" borderId="0" applyFont="0" applyFill="0" applyBorder="0" applyAlignment="0" applyProtection="0"/>
    <xf numFmtId="165" fontId="32" fillId="0" borderId="0" applyFont="0" applyFill="0" applyBorder="0" applyAlignment="0" applyProtection="0"/>
    <xf numFmtId="165" fontId="32" fillId="0" borderId="0" applyFont="0" applyFill="0" applyBorder="0" applyAlignment="0" applyProtection="0"/>
    <xf numFmtId="165" fontId="33" fillId="0" borderId="0" applyFont="0" applyFill="0" applyBorder="0" applyAlignment="0" applyProtection="0">
      <alignment vertical="center"/>
    </xf>
    <xf numFmtId="165" fontId="34" fillId="0" borderId="0" applyFont="0" applyFill="0" applyBorder="0" applyAlignment="0" applyProtection="0">
      <alignment vertical="center"/>
    </xf>
    <xf numFmtId="165" fontId="34" fillId="0" borderId="0" applyFont="0" applyFill="0" applyBorder="0" applyAlignment="0" applyProtection="0">
      <alignment vertical="center"/>
    </xf>
    <xf numFmtId="165" fontId="34" fillId="0" borderId="0" applyFont="0" applyFill="0" applyBorder="0" applyAlignment="0" applyProtection="0">
      <alignment vertical="center"/>
    </xf>
    <xf numFmtId="165" fontId="34" fillId="0" borderId="0" applyFont="0" applyFill="0" applyBorder="0" applyAlignment="0" applyProtection="0">
      <alignment vertical="center"/>
    </xf>
    <xf numFmtId="165" fontId="34" fillId="0" borderId="0" applyFont="0" applyFill="0" applyBorder="0" applyAlignment="0" applyProtection="0">
      <alignment vertical="center"/>
    </xf>
    <xf numFmtId="165" fontId="34" fillId="0" borderId="0" applyFont="0" applyFill="0" applyBorder="0" applyAlignment="0" applyProtection="0">
      <alignment vertical="center"/>
    </xf>
    <xf numFmtId="165" fontId="34" fillId="0" borderId="0" applyFont="0" applyFill="0" applyBorder="0" applyAlignment="0" applyProtection="0">
      <alignment vertical="center"/>
    </xf>
    <xf numFmtId="165" fontId="34" fillId="0" borderId="0" applyFont="0" applyFill="0" applyBorder="0" applyAlignment="0" applyProtection="0">
      <alignment vertical="center"/>
    </xf>
    <xf numFmtId="165" fontId="32" fillId="0" borderId="0" applyFont="0" applyFill="0" applyBorder="0" applyAlignment="0" applyProtection="0"/>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6" fontId="32" fillId="0" borderId="0" applyFont="0" applyFill="0" applyBorder="0" applyAlignment="0" applyProtection="0"/>
    <xf numFmtId="166" fontId="32" fillId="0" borderId="0" applyFont="0" applyFill="0" applyBorder="0" applyAlignment="0" applyProtection="0"/>
    <xf numFmtId="166" fontId="32" fillId="0" borderId="0" applyFont="0" applyFill="0" applyBorder="0" applyAlignment="0" applyProtection="0"/>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5" fontId="34" fillId="0" borderId="0" applyFont="0" applyFill="0" applyBorder="0" applyAlignment="0" applyProtection="0"/>
    <xf numFmtId="165" fontId="34" fillId="0" borderId="0" applyFont="0" applyFill="0" applyBorder="0" applyAlignment="0" applyProtection="0"/>
    <xf numFmtId="165" fontId="34" fillId="0" borderId="0" applyFont="0" applyFill="0" applyBorder="0" applyAlignment="0" applyProtection="0"/>
    <xf numFmtId="165" fontId="34" fillId="0" borderId="0" applyFont="0" applyFill="0" applyBorder="0" applyAlignment="0" applyProtection="0"/>
    <xf numFmtId="165" fontId="34" fillId="0" borderId="0" applyFont="0" applyFill="0" applyBorder="0" applyAlignment="0" applyProtection="0"/>
    <xf numFmtId="165" fontId="34" fillId="0" borderId="0" applyFont="0" applyFill="0" applyBorder="0" applyAlignment="0" applyProtection="0"/>
    <xf numFmtId="165" fontId="34" fillId="0" borderId="0" applyFont="0" applyFill="0" applyBorder="0" applyAlignment="0" applyProtection="0"/>
    <xf numFmtId="165" fontId="34" fillId="0" borderId="0" applyFont="0" applyFill="0" applyBorder="0" applyAlignment="0" applyProtection="0"/>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32" fillId="0" borderId="0" applyFont="0" applyFill="0" applyBorder="0" applyAlignment="0" applyProtection="0">
      <alignment vertical="center"/>
    </xf>
    <xf numFmtId="165" fontId="32" fillId="0" borderId="0" applyFont="0" applyFill="0" applyBorder="0" applyAlignment="0" applyProtection="0">
      <alignment vertical="center"/>
    </xf>
    <xf numFmtId="165" fontId="32" fillId="0" borderId="0" applyFont="0" applyFill="0" applyBorder="0" applyAlignment="0" applyProtection="0">
      <alignment vertical="center"/>
    </xf>
    <xf numFmtId="165" fontId="32" fillId="0" borderId="0" applyFont="0" applyFill="0" applyBorder="0" applyAlignment="0" applyProtection="0">
      <alignment vertical="center"/>
    </xf>
    <xf numFmtId="165" fontId="32" fillId="0" borderId="0" applyFont="0" applyFill="0" applyBorder="0" applyAlignment="0" applyProtection="0">
      <alignment vertical="center"/>
    </xf>
    <xf numFmtId="165" fontId="32" fillId="0" borderId="0" applyFont="0" applyFill="0" applyBorder="0" applyAlignment="0" applyProtection="0">
      <alignment vertical="center"/>
    </xf>
    <xf numFmtId="165" fontId="32" fillId="0" borderId="0" applyFont="0" applyFill="0" applyBorder="0" applyAlignment="0" applyProtection="0">
      <alignment vertical="center"/>
    </xf>
    <xf numFmtId="165" fontId="32"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5" fontId="29" fillId="0" borderId="0" applyFont="0" applyFill="0" applyBorder="0" applyAlignment="0" applyProtection="0">
      <alignment vertical="center"/>
    </xf>
    <xf numFmtId="165" fontId="32" fillId="0" borderId="0" applyFont="0" applyFill="0" applyBorder="0" applyAlignment="0" applyProtection="0"/>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32" fillId="0" borderId="0" applyFont="0" applyFill="0" applyBorder="0" applyAlignment="0" applyProtection="0"/>
    <xf numFmtId="165" fontId="32" fillId="0" borderId="0" applyFont="0" applyFill="0" applyBorder="0" applyAlignment="0" applyProtection="0"/>
    <xf numFmtId="165" fontId="32" fillId="0" borderId="0" applyFont="0" applyFill="0" applyBorder="0" applyAlignment="0" applyProtection="0"/>
    <xf numFmtId="165" fontId="32" fillId="0" borderId="0" applyFont="0" applyFill="0" applyBorder="0" applyAlignment="0" applyProtection="0"/>
    <xf numFmtId="165" fontId="32" fillId="0" borderId="0" applyFont="0" applyFill="0" applyBorder="0" applyAlignment="0" applyProtection="0"/>
    <xf numFmtId="165" fontId="32" fillId="0" borderId="0" applyFont="0" applyFill="0" applyBorder="0" applyAlignment="0" applyProtection="0"/>
    <xf numFmtId="165" fontId="32" fillId="0" borderId="0" applyFont="0" applyFill="0" applyBorder="0" applyAlignment="0" applyProtection="0"/>
    <xf numFmtId="165" fontId="33" fillId="0" borderId="0" applyFont="0" applyFill="0" applyBorder="0" applyAlignment="0" applyProtection="0">
      <alignment vertical="center"/>
    </xf>
    <xf numFmtId="165" fontId="34" fillId="0" borderId="0" applyFont="0" applyFill="0" applyBorder="0" applyAlignment="0" applyProtection="0">
      <alignment vertical="center"/>
    </xf>
    <xf numFmtId="165" fontId="34" fillId="0" borderId="0" applyFont="0" applyFill="0" applyBorder="0" applyAlignment="0" applyProtection="0">
      <alignment vertical="center"/>
    </xf>
    <xf numFmtId="165" fontId="34" fillId="0" borderId="0" applyFont="0" applyFill="0" applyBorder="0" applyAlignment="0" applyProtection="0">
      <alignment vertical="center"/>
    </xf>
    <xf numFmtId="165" fontId="34" fillId="0" borderId="0" applyFont="0" applyFill="0" applyBorder="0" applyAlignment="0" applyProtection="0">
      <alignment vertical="center"/>
    </xf>
    <xf numFmtId="165" fontId="34" fillId="0" borderId="0" applyFont="0" applyFill="0" applyBorder="0" applyAlignment="0" applyProtection="0">
      <alignment vertical="center"/>
    </xf>
    <xf numFmtId="165" fontId="34" fillId="0" borderId="0" applyFont="0" applyFill="0" applyBorder="0" applyAlignment="0" applyProtection="0">
      <alignment vertical="center"/>
    </xf>
    <xf numFmtId="165" fontId="34" fillId="0" borderId="0" applyFont="0" applyFill="0" applyBorder="0" applyAlignment="0" applyProtection="0">
      <alignment vertical="center"/>
    </xf>
    <xf numFmtId="165" fontId="34" fillId="0" borderId="0" applyFont="0" applyFill="0" applyBorder="0" applyAlignment="0" applyProtection="0">
      <alignment vertical="center"/>
    </xf>
    <xf numFmtId="165" fontId="32" fillId="0" borderId="0" applyFont="0" applyFill="0" applyBorder="0" applyAlignment="0" applyProtection="0"/>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6" fontId="32" fillId="0" borderId="0" applyFont="0" applyFill="0" applyBorder="0" applyAlignment="0" applyProtection="0"/>
    <xf numFmtId="166" fontId="32" fillId="0" borderId="0" applyFont="0" applyFill="0" applyBorder="0" applyAlignment="0" applyProtection="0"/>
    <xf numFmtId="166" fontId="32" fillId="0" borderId="0" applyFont="0" applyFill="0" applyBorder="0" applyAlignment="0" applyProtection="0"/>
    <xf numFmtId="166" fontId="1" fillId="0" borderId="0" applyFont="0" applyFill="0" applyBorder="0" applyAlignment="0" applyProtection="0"/>
    <xf numFmtId="165" fontId="1" fillId="0" borderId="0" applyFont="0" applyFill="0" applyBorder="0" applyAlignment="0" applyProtection="0"/>
    <xf numFmtId="165" fontId="32" fillId="0" borderId="0" applyFont="0" applyFill="0" applyBorder="0" applyAlignment="0" applyProtection="0">
      <alignment vertical="center"/>
    </xf>
    <xf numFmtId="165" fontId="34" fillId="0" borderId="0" applyFont="0" applyFill="0" applyBorder="0" applyAlignment="0" applyProtection="0"/>
    <xf numFmtId="165" fontId="34" fillId="0" borderId="0" applyFont="0" applyFill="0" applyBorder="0" applyAlignment="0" applyProtection="0"/>
    <xf numFmtId="165" fontId="34" fillId="0" borderId="0" applyFont="0" applyFill="0" applyBorder="0" applyAlignment="0" applyProtection="0"/>
    <xf numFmtId="165" fontId="34" fillId="0" borderId="0" applyFont="0" applyFill="0" applyBorder="0" applyAlignment="0" applyProtection="0"/>
    <xf numFmtId="165" fontId="34" fillId="0" borderId="0" applyFont="0" applyFill="0" applyBorder="0" applyAlignment="0" applyProtection="0"/>
    <xf numFmtId="165" fontId="34" fillId="0" borderId="0" applyFont="0" applyFill="0" applyBorder="0" applyAlignment="0" applyProtection="0"/>
    <xf numFmtId="165" fontId="34" fillId="0" borderId="0" applyFont="0" applyFill="0" applyBorder="0" applyAlignment="0" applyProtection="0"/>
    <xf numFmtId="165" fontId="34" fillId="0" borderId="0" applyFont="0" applyFill="0" applyBorder="0" applyAlignment="0" applyProtection="0"/>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32" fillId="0" borderId="0" applyFont="0" applyFill="0" applyBorder="0" applyAlignment="0" applyProtection="0">
      <alignment vertical="center"/>
    </xf>
    <xf numFmtId="165" fontId="32" fillId="0" borderId="0" applyFont="0" applyFill="0" applyBorder="0" applyAlignment="0" applyProtection="0">
      <alignment vertical="center"/>
    </xf>
    <xf numFmtId="165" fontId="32" fillId="0" borderId="0" applyFont="0" applyFill="0" applyBorder="0" applyAlignment="0" applyProtection="0">
      <alignment vertical="center"/>
    </xf>
    <xf numFmtId="165" fontId="32" fillId="0" borderId="0" applyFont="0" applyFill="0" applyBorder="0" applyAlignment="0" applyProtection="0">
      <alignment vertical="center"/>
    </xf>
    <xf numFmtId="165" fontId="32" fillId="0" borderId="0" applyFont="0" applyFill="0" applyBorder="0" applyAlignment="0" applyProtection="0">
      <alignment vertical="center"/>
    </xf>
    <xf numFmtId="165" fontId="32" fillId="0" borderId="0" applyFont="0" applyFill="0" applyBorder="0" applyAlignment="0" applyProtection="0">
      <alignment vertical="center"/>
    </xf>
    <xf numFmtId="165" fontId="32" fillId="0" borderId="0" applyFont="0" applyFill="0" applyBorder="0" applyAlignment="0" applyProtection="0">
      <alignment vertical="center"/>
    </xf>
    <xf numFmtId="165" fontId="32"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5" fontId="29" fillId="0" borderId="0" applyFont="0" applyFill="0" applyBorder="0" applyAlignment="0" applyProtection="0">
      <alignment vertical="center"/>
    </xf>
    <xf numFmtId="165" fontId="32" fillId="0" borderId="0" applyFont="0" applyFill="0" applyBorder="0" applyAlignment="0" applyProtection="0"/>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32" fillId="0" borderId="0" applyFont="0" applyFill="0" applyBorder="0" applyAlignment="0" applyProtection="0"/>
    <xf numFmtId="165" fontId="32" fillId="0" borderId="0" applyFont="0" applyFill="0" applyBorder="0" applyAlignment="0" applyProtection="0"/>
    <xf numFmtId="165" fontId="32" fillId="0" borderId="0" applyFont="0" applyFill="0" applyBorder="0" applyAlignment="0" applyProtection="0"/>
    <xf numFmtId="165" fontId="32" fillId="0" borderId="0" applyFont="0" applyFill="0" applyBorder="0" applyAlignment="0" applyProtection="0"/>
    <xf numFmtId="165" fontId="32" fillId="0" borderId="0" applyFont="0" applyFill="0" applyBorder="0" applyAlignment="0" applyProtection="0"/>
    <xf numFmtId="165" fontId="32" fillId="0" borderId="0" applyFont="0" applyFill="0" applyBorder="0" applyAlignment="0" applyProtection="0"/>
    <xf numFmtId="165" fontId="32" fillId="0" borderId="0" applyFont="0" applyFill="0" applyBorder="0" applyAlignment="0" applyProtection="0"/>
    <xf numFmtId="165" fontId="33" fillId="0" borderId="0" applyFont="0" applyFill="0" applyBorder="0" applyAlignment="0" applyProtection="0">
      <alignment vertical="center"/>
    </xf>
    <xf numFmtId="165" fontId="34" fillId="0" borderId="0" applyFont="0" applyFill="0" applyBorder="0" applyAlignment="0" applyProtection="0">
      <alignment vertical="center"/>
    </xf>
    <xf numFmtId="165" fontId="34" fillId="0" borderId="0" applyFont="0" applyFill="0" applyBorder="0" applyAlignment="0" applyProtection="0">
      <alignment vertical="center"/>
    </xf>
    <xf numFmtId="165" fontId="34" fillId="0" borderId="0" applyFont="0" applyFill="0" applyBorder="0" applyAlignment="0" applyProtection="0">
      <alignment vertical="center"/>
    </xf>
    <xf numFmtId="165" fontId="34" fillId="0" borderId="0" applyFont="0" applyFill="0" applyBorder="0" applyAlignment="0" applyProtection="0">
      <alignment vertical="center"/>
    </xf>
    <xf numFmtId="165" fontId="34" fillId="0" borderId="0" applyFont="0" applyFill="0" applyBorder="0" applyAlignment="0" applyProtection="0">
      <alignment vertical="center"/>
    </xf>
    <xf numFmtId="165" fontId="34" fillId="0" borderId="0" applyFont="0" applyFill="0" applyBorder="0" applyAlignment="0" applyProtection="0">
      <alignment vertical="center"/>
    </xf>
    <xf numFmtId="165" fontId="34" fillId="0" borderId="0" applyFont="0" applyFill="0" applyBorder="0" applyAlignment="0" applyProtection="0">
      <alignment vertical="center"/>
    </xf>
    <xf numFmtId="165" fontId="34" fillId="0" borderId="0" applyFont="0" applyFill="0" applyBorder="0" applyAlignment="0" applyProtection="0">
      <alignment vertical="center"/>
    </xf>
    <xf numFmtId="165" fontId="32" fillId="0" borderId="0" applyFont="0" applyFill="0" applyBorder="0" applyAlignment="0" applyProtection="0"/>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6" fontId="32" fillId="0" borderId="0" applyFont="0" applyFill="0" applyBorder="0" applyAlignment="0" applyProtection="0"/>
    <xf numFmtId="166" fontId="32" fillId="0" borderId="0" applyFont="0" applyFill="0" applyBorder="0" applyAlignment="0" applyProtection="0"/>
    <xf numFmtId="166" fontId="32" fillId="0" borderId="0" applyFont="0" applyFill="0" applyBorder="0" applyAlignment="0" applyProtection="0"/>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5" fontId="34" fillId="0" borderId="0" applyFont="0" applyFill="0" applyBorder="0" applyAlignment="0" applyProtection="0"/>
    <xf numFmtId="165" fontId="34" fillId="0" borderId="0" applyFont="0" applyFill="0" applyBorder="0" applyAlignment="0" applyProtection="0"/>
    <xf numFmtId="165" fontId="34" fillId="0" borderId="0" applyFont="0" applyFill="0" applyBorder="0" applyAlignment="0" applyProtection="0"/>
    <xf numFmtId="165" fontId="34" fillId="0" borderId="0" applyFont="0" applyFill="0" applyBorder="0" applyAlignment="0" applyProtection="0"/>
    <xf numFmtId="165" fontId="34" fillId="0" borderId="0" applyFont="0" applyFill="0" applyBorder="0" applyAlignment="0" applyProtection="0"/>
    <xf numFmtId="165" fontId="34" fillId="0" borderId="0" applyFont="0" applyFill="0" applyBorder="0" applyAlignment="0" applyProtection="0"/>
    <xf numFmtId="165" fontId="34" fillId="0" borderId="0" applyFont="0" applyFill="0" applyBorder="0" applyAlignment="0" applyProtection="0"/>
    <xf numFmtId="165" fontId="34" fillId="0" borderId="0" applyFont="0" applyFill="0" applyBorder="0" applyAlignment="0" applyProtection="0"/>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32" fillId="0" borderId="0" applyFont="0" applyFill="0" applyBorder="0" applyAlignment="0" applyProtection="0">
      <alignment vertical="center"/>
    </xf>
    <xf numFmtId="165" fontId="32" fillId="0" borderId="0" applyFont="0" applyFill="0" applyBorder="0" applyAlignment="0" applyProtection="0">
      <alignment vertical="center"/>
    </xf>
    <xf numFmtId="165" fontId="32" fillId="0" borderId="0" applyFont="0" applyFill="0" applyBorder="0" applyAlignment="0" applyProtection="0">
      <alignment vertical="center"/>
    </xf>
    <xf numFmtId="165" fontId="32" fillId="0" borderId="0" applyFont="0" applyFill="0" applyBorder="0" applyAlignment="0" applyProtection="0">
      <alignment vertical="center"/>
    </xf>
    <xf numFmtId="165" fontId="32" fillId="0" borderId="0" applyFont="0" applyFill="0" applyBorder="0" applyAlignment="0" applyProtection="0">
      <alignment vertical="center"/>
    </xf>
    <xf numFmtId="165" fontId="32" fillId="0" borderId="0" applyFont="0" applyFill="0" applyBorder="0" applyAlignment="0" applyProtection="0">
      <alignment vertical="center"/>
    </xf>
    <xf numFmtId="165" fontId="32" fillId="0" borderId="0" applyFont="0" applyFill="0" applyBorder="0" applyAlignment="0" applyProtection="0">
      <alignment vertical="center"/>
    </xf>
    <xf numFmtId="165" fontId="32"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5" fontId="29" fillId="0" borderId="0" applyFont="0" applyFill="0" applyBorder="0" applyAlignment="0" applyProtection="0">
      <alignment vertical="center"/>
    </xf>
    <xf numFmtId="165" fontId="32" fillId="0" borderId="0" applyFont="0" applyFill="0" applyBorder="0" applyAlignment="0" applyProtection="0"/>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32" fillId="0" borderId="0" applyFont="0" applyFill="0" applyBorder="0" applyAlignment="0" applyProtection="0"/>
    <xf numFmtId="165" fontId="32" fillId="0" borderId="0" applyFont="0" applyFill="0" applyBorder="0" applyAlignment="0" applyProtection="0"/>
    <xf numFmtId="165" fontId="32" fillId="0" borderId="0" applyFont="0" applyFill="0" applyBorder="0" applyAlignment="0" applyProtection="0"/>
    <xf numFmtId="165" fontId="32" fillId="0" borderId="0" applyFont="0" applyFill="0" applyBorder="0" applyAlignment="0" applyProtection="0"/>
    <xf numFmtId="165" fontId="32" fillId="0" borderId="0" applyFont="0" applyFill="0" applyBorder="0" applyAlignment="0" applyProtection="0"/>
    <xf numFmtId="165" fontId="32" fillId="0" borderId="0" applyFont="0" applyFill="0" applyBorder="0" applyAlignment="0" applyProtection="0"/>
    <xf numFmtId="165" fontId="32" fillId="0" borderId="0" applyFont="0" applyFill="0" applyBorder="0" applyAlignment="0" applyProtection="0"/>
    <xf numFmtId="165" fontId="33" fillId="0" borderId="0" applyFont="0" applyFill="0" applyBorder="0" applyAlignment="0" applyProtection="0">
      <alignment vertical="center"/>
    </xf>
    <xf numFmtId="165" fontId="34" fillId="0" borderId="0" applyFont="0" applyFill="0" applyBorder="0" applyAlignment="0" applyProtection="0">
      <alignment vertical="center"/>
    </xf>
    <xf numFmtId="165" fontId="34" fillId="0" borderId="0" applyFont="0" applyFill="0" applyBorder="0" applyAlignment="0" applyProtection="0">
      <alignment vertical="center"/>
    </xf>
    <xf numFmtId="165" fontId="34" fillId="0" borderId="0" applyFont="0" applyFill="0" applyBorder="0" applyAlignment="0" applyProtection="0">
      <alignment vertical="center"/>
    </xf>
    <xf numFmtId="165" fontId="34" fillId="0" borderId="0" applyFont="0" applyFill="0" applyBorder="0" applyAlignment="0" applyProtection="0">
      <alignment vertical="center"/>
    </xf>
    <xf numFmtId="165" fontId="34" fillId="0" borderId="0" applyFont="0" applyFill="0" applyBorder="0" applyAlignment="0" applyProtection="0">
      <alignment vertical="center"/>
    </xf>
    <xf numFmtId="165" fontId="34" fillId="0" borderId="0" applyFont="0" applyFill="0" applyBorder="0" applyAlignment="0" applyProtection="0">
      <alignment vertical="center"/>
    </xf>
    <xf numFmtId="165" fontId="34" fillId="0" borderId="0" applyFont="0" applyFill="0" applyBorder="0" applyAlignment="0" applyProtection="0">
      <alignment vertical="center"/>
    </xf>
    <xf numFmtId="165" fontId="34" fillId="0" borderId="0" applyFont="0" applyFill="0" applyBorder="0" applyAlignment="0" applyProtection="0">
      <alignment vertical="center"/>
    </xf>
    <xf numFmtId="165" fontId="32" fillId="0" borderId="0" applyFont="0" applyFill="0" applyBorder="0" applyAlignment="0" applyProtection="0"/>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6" fontId="32" fillId="0" borderId="0" applyFont="0" applyFill="0" applyBorder="0" applyAlignment="0" applyProtection="0"/>
    <xf numFmtId="166" fontId="32" fillId="0" borderId="0" applyFont="0" applyFill="0" applyBorder="0" applyAlignment="0" applyProtection="0"/>
    <xf numFmtId="166" fontId="32" fillId="0" borderId="0" applyFont="0" applyFill="0" applyBorder="0" applyAlignment="0" applyProtection="0"/>
    <xf numFmtId="166" fontId="1" fillId="0" borderId="0" applyFont="0" applyFill="0" applyBorder="0" applyAlignment="0" applyProtection="0"/>
    <xf numFmtId="165" fontId="1" fillId="0" borderId="0" applyFont="0" applyFill="0" applyBorder="0" applyAlignment="0" applyProtection="0"/>
    <xf numFmtId="165" fontId="32" fillId="0" borderId="0" applyFont="0" applyFill="0" applyBorder="0" applyAlignment="0" applyProtection="0">
      <alignment vertical="center"/>
    </xf>
    <xf numFmtId="165" fontId="34" fillId="0" borderId="0" applyFont="0" applyFill="0" applyBorder="0" applyAlignment="0" applyProtection="0"/>
    <xf numFmtId="165" fontId="34" fillId="0" borderId="0" applyFont="0" applyFill="0" applyBorder="0" applyAlignment="0" applyProtection="0"/>
    <xf numFmtId="165" fontId="34" fillId="0" borderId="0" applyFont="0" applyFill="0" applyBorder="0" applyAlignment="0" applyProtection="0"/>
    <xf numFmtId="165" fontId="34" fillId="0" borderId="0" applyFont="0" applyFill="0" applyBorder="0" applyAlignment="0" applyProtection="0"/>
    <xf numFmtId="165" fontId="34" fillId="0" borderId="0" applyFont="0" applyFill="0" applyBorder="0" applyAlignment="0" applyProtection="0"/>
    <xf numFmtId="165" fontId="34" fillId="0" borderId="0" applyFont="0" applyFill="0" applyBorder="0" applyAlignment="0" applyProtection="0"/>
    <xf numFmtId="165" fontId="34" fillId="0" borderId="0" applyFont="0" applyFill="0" applyBorder="0" applyAlignment="0" applyProtection="0"/>
    <xf numFmtId="165" fontId="34" fillId="0" borderId="0" applyFont="0" applyFill="0" applyBorder="0" applyAlignment="0" applyProtection="0"/>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32" fillId="0" borderId="0" applyFont="0" applyFill="0" applyBorder="0" applyAlignment="0" applyProtection="0">
      <alignment vertical="center"/>
    </xf>
    <xf numFmtId="165" fontId="32" fillId="0" borderId="0" applyFont="0" applyFill="0" applyBorder="0" applyAlignment="0" applyProtection="0">
      <alignment vertical="center"/>
    </xf>
    <xf numFmtId="165" fontId="32" fillId="0" borderId="0" applyFont="0" applyFill="0" applyBorder="0" applyAlignment="0" applyProtection="0">
      <alignment vertical="center"/>
    </xf>
    <xf numFmtId="165" fontId="32" fillId="0" borderId="0" applyFont="0" applyFill="0" applyBorder="0" applyAlignment="0" applyProtection="0">
      <alignment vertical="center"/>
    </xf>
    <xf numFmtId="165" fontId="32" fillId="0" borderId="0" applyFont="0" applyFill="0" applyBorder="0" applyAlignment="0" applyProtection="0">
      <alignment vertical="center"/>
    </xf>
    <xf numFmtId="165" fontId="32" fillId="0" borderId="0" applyFont="0" applyFill="0" applyBorder="0" applyAlignment="0" applyProtection="0">
      <alignment vertical="center"/>
    </xf>
    <xf numFmtId="165" fontId="32" fillId="0" borderId="0" applyFont="0" applyFill="0" applyBorder="0" applyAlignment="0" applyProtection="0">
      <alignment vertical="center"/>
    </xf>
    <xf numFmtId="165" fontId="32"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5" fontId="29" fillId="0" borderId="0" applyFont="0" applyFill="0" applyBorder="0" applyAlignment="0" applyProtection="0">
      <alignment vertical="center"/>
    </xf>
    <xf numFmtId="165" fontId="32" fillId="0" borderId="0" applyFont="0" applyFill="0" applyBorder="0" applyAlignment="0" applyProtection="0"/>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32" fillId="0" borderId="0" applyFont="0" applyFill="0" applyBorder="0" applyAlignment="0" applyProtection="0"/>
    <xf numFmtId="165" fontId="32" fillId="0" borderId="0" applyFont="0" applyFill="0" applyBorder="0" applyAlignment="0" applyProtection="0"/>
    <xf numFmtId="165" fontId="32" fillId="0" borderId="0" applyFont="0" applyFill="0" applyBorder="0" applyAlignment="0" applyProtection="0"/>
    <xf numFmtId="165" fontId="32" fillId="0" borderId="0" applyFont="0" applyFill="0" applyBorder="0" applyAlignment="0" applyProtection="0"/>
    <xf numFmtId="165" fontId="32" fillId="0" borderId="0" applyFont="0" applyFill="0" applyBorder="0" applyAlignment="0" applyProtection="0"/>
    <xf numFmtId="165" fontId="32" fillId="0" borderId="0" applyFont="0" applyFill="0" applyBorder="0" applyAlignment="0" applyProtection="0"/>
    <xf numFmtId="165" fontId="32" fillId="0" borderId="0" applyFont="0" applyFill="0" applyBorder="0" applyAlignment="0" applyProtection="0"/>
    <xf numFmtId="165" fontId="33" fillId="0" borderId="0" applyFont="0" applyFill="0" applyBorder="0" applyAlignment="0" applyProtection="0">
      <alignment vertical="center"/>
    </xf>
    <xf numFmtId="165" fontId="34" fillId="0" borderId="0" applyFont="0" applyFill="0" applyBorder="0" applyAlignment="0" applyProtection="0">
      <alignment vertical="center"/>
    </xf>
    <xf numFmtId="165" fontId="34" fillId="0" borderId="0" applyFont="0" applyFill="0" applyBorder="0" applyAlignment="0" applyProtection="0">
      <alignment vertical="center"/>
    </xf>
    <xf numFmtId="165" fontId="34" fillId="0" borderId="0" applyFont="0" applyFill="0" applyBorder="0" applyAlignment="0" applyProtection="0">
      <alignment vertical="center"/>
    </xf>
    <xf numFmtId="165" fontId="34" fillId="0" borderId="0" applyFont="0" applyFill="0" applyBorder="0" applyAlignment="0" applyProtection="0">
      <alignment vertical="center"/>
    </xf>
    <xf numFmtId="165" fontId="34" fillId="0" borderId="0" applyFont="0" applyFill="0" applyBorder="0" applyAlignment="0" applyProtection="0">
      <alignment vertical="center"/>
    </xf>
    <xf numFmtId="165" fontId="34" fillId="0" borderId="0" applyFont="0" applyFill="0" applyBorder="0" applyAlignment="0" applyProtection="0">
      <alignment vertical="center"/>
    </xf>
    <xf numFmtId="165" fontId="34" fillId="0" borderId="0" applyFont="0" applyFill="0" applyBorder="0" applyAlignment="0" applyProtection="0">
      <alignment vertical="center"/>
    </xf>
    <xf numFmtId="165" fontId="34" fillId="0" borderId="0" applyFont="0" applyFill="0" applyBorder="0" applyAlignment="0" applyProtection="0">
      <alignment vertical="center"/>
    </xf>
    <xf numFmtId="165" fontId="32" fillId="0" borderId="0" applyFont="0" applyFill="0" applyBorder="0" applyAlignment="0" applyProtection="0"/>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6" fontId="32" fillId="0" borderId="0" applyFont="0" applyFill="0" applyBorder="0" applyAlignment="0" applyProtection="0"/>
    <xf numFmtId="166" fontId="32" fillId="0" borderId="0" applyFont="0" applyFill="0" applyBorder="0" applyAlignment="0" applyProtection="0"/>
    <xf numFmtId="166" fontId="32" fillId="0" borderId="0" applyFont="0" applyFill="0" applyBorder="0" applyAlignment="0" applyProtection="0"/>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5" fontId="34" fillId="0" borderId="0" applyFont="0" applyFill="0" applyBorder="0" applyAlignment="0" applyProtection="0"/>
    <xf numFmtId="165" fontId="34" fillId="0" borderId="0" applyFont="0" applyFill="0" applyBorder="0" applyAlignment="0" applyProtection="0"/>
    <xf numFmtId="165" fontId="34" fillId="0" borderId="0" applyFont="0" applyFill="0" applyBorder="0" applyAlignment="0" applyProtection="0"/>
    <xf numFmtId="165" fontId="34" fillId="0" borderId="0" applyFont="0" applyFill="0" applyBorder="0" applyAlignment="0" applyProtection="0"/>
    <xf numFmtId="165" fontId="34" fillId="0" borderId="0" applyFont="0" applyFill="0" applyBorder="0" applyAlignment="0" applyProtection="0"/>
    <xf numFmtId="165" fontId="34" fillId="0" borderId="0" applyFont="0" applyFill="0" applyBorder="0" applyAlignment="0" applyProtection="0"/>
    <xf numFmtId="165" fontId="34" fillId="0" borderId="0" applyFont="0" applyFill="0" applyBorder="0" applyAlignment="0" applyProtection="0"/>
    <xf numFmtId="165" fontId="34" fillId="0" borderId="0" applyFont="0" applyFill="0" applyBorder="0" applyAlignment="0" applyProtection="0"/>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32" fillId="0" borderId="0" applyFont="0" applyFill="0" applyBorder="0" applyAlignment="0" applyProtection="0">
      <alignment vertical="center"/>
    </xf>
    <xf numFmtId="165" fontId="32" fillId="0" borderId="0" applyFont="0" applyFill="0" applyBorder="0" applyAlignment="0" applyProtection="0">
      <alignment vertical="center"/>
    </xf>
    <xf numFmtId="165" fontId="32" fillId="0" borderId="0" applyFont="0" applyFill="0" applyBorder="0" applyAlignment="0" applyProtection="0">
      <alignment vertical="center"/>
    </xf>
    <xf numFmtId="165" fontId="32" fillId="0" borderId="0" applyFont="0" applyFill="0" applyBorder="0" applyAlignment="0" applyProtection="0">
      <alignment vertical="center"/>
    </xf>
    <xf numFmtId="165" fontId="32" fillId="0" borderId="0" applyFont="0" applyFill="0" applyBorder="0" applyAlignment="0" applyProtection="0">
      <alignment vertical="center"/>
    </xf>
    <xf numFmtId="165" fontId="32" fillId="0" borderId="0" applyFont="0" applyFill="0" applyBorder="0" applyAlignment="0" applyProtection="0">
      <alignment vertical="center"/>
    </xf>
    <xf numFmtId="165" fontId="32" fillId="0" borderId="0" applyFont="0" applyFill="0" applyBorder="0" applyAlignment="0" applyProtection="0">
      <alignment vertical="center"/>
    </xf>
    <xf numFmtId="165" fontId="32"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6" fontId="32" fillId="0" borderId="0" applyFont="0" applyFill="0" applyBorder="0" applyAlignment="0" applyProtection="0">
      <alignment vertical="center"/>
    </xf>
    <xf numFmtId="165" fontId="29" fillId="0" borderId="0" applyFont="0" applyFill="0" applyBorder="0" applyAlignment="0" applyProtection="0">
      <alignment vertical="center"/>
    </xf>
    <xf numFmtId="165" fontId="32" fillId="0" borderId="0" applyFont="0" applyFill="0" applyBorder="0" applyAlignment="0" applyProtection="0"/>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32" fillId="0" borderId="0" applyFont="0" applyFill="0" applyBorder="0" applyAlignment="0" applyProtection="0"/>
    <xf numFmtId="165" fontId="32" fillId="0" borderId="0" applyFont="0" applyFill="0" applyBorder="0" applyAlignment="0" applyProtection="0"/>
    <xf numFmtId="165" fontId="32" fillId="0" borderId="0" applyFont="0" applyFill="0" applyBorder="0" applyAlignment="0" applyProtection="0"/>
    <xf numFmtId="165" fontId="32" fillId="0" borderId="0" applyFont="0" applyFill="0" applyBorder="0" applyAlignment="0" applyProtection="0"/>
    <xf numFmtId="165" fontId="32" fillId="0" borderId="0" applyFont="0" applyFill="0" applyBorder="0" applyAlignment="0" applyProtection="0"/>
    <xf numFmtId="165" fontId="32" fillId="0" borderId="0" applyFont="0" applyFill="0" applyBorder="0" applyAlignment="0" applyProtection="0"/>
    <xf numFmtId="165" fontId="32" fillId="0" borderId="0" applyFont="0" applyFill="0" applyBorder="0" applyAlignment="0" applyProtection="0"/>
    <xf numFmtId="165" fontId="33" fillId="0" borderId="0" applyFont="0" applyFill="0" applyBorder="0" applyAlignment="0" applyProtection="0">
      <alignment vertical="center"/>
    </xf>
    <xf numFmtId="165" fontId="34" fillId="0" borderId="0" applyFont="0" applyFill="0" applyBorder="0" applyAlignment="0" applyProtection="0">
      <alignment vertical="center"/>
    </xf>
    <xf numFmtId="165" fontId="34" fillId="0" borderId="0" applyFont="0" applyFill="0" applyBorder="0" applyAlignment="0" applyProtection="0">
      <alignment vertical="center"/>
    </xf>
    <xf numFmtId="165" fontId="34" fillId="0" borderId="0" applyFont="0" applyFill="0" applyBorder="0" applyAlignment="0" applyProtection="0">
      <alignment vertical="center"/>
    </xf>
    <xf numFmtId="165" fontId="34" fillId="0" borderId="0" applyFont="0" applyFill="0" applyBorder="0" applyAlignment="0" applyProtection="0">
      <alignment vertical="center"/>
    </xf>
    <xf numFmtId="165" fontId="34" fillId="0" borderId="0" applyFont="0" applyFill="0" applyBorder="0" applyAlignment="0" applyProtection="0">
      <alignment vertical="center"/>
    </xf>
    <xf numFmtId="165" fontId="34" fillId="0" borderId="0" applyFont="0" applyFill="0" applyBorder="0" applyAlignment="0" applyProtection="0">
      <alignment vertical="center"/>
    </xf>
    <xf numFmtId="165" fontId="34" fillId="0" borderId="0" applyFont="0" applyFill="0" applyBorder="0" applyAlignment="0" applyProtection="0">
      <alignment vertical="center"/>
    </xf>
    <xf numFmtId="165" fontId="34" fillId="0" borderId="0" applyFont="0" applyFill="0" applyBorder="0" applyAlignment="0" applyProtection="0">
      <alignment vertical="center"/>
    </xf>
    <xf numFmtId="165" fontId="32" fillId="0" borderId="0" applyFont="0" applyFill="0" applyBorder="0" applyAlignment="0" applyProtection="0"/>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5" fontId="29" fillId="0" borderId="0" applyFont="0" applyFill="0" applyBorder="0" applyAlignment="0" applyProtection="0">
      <alignment vertical="center"/>
    </xf>
    <xf numFmtId="166" fontId="32" fillId="0" borderId="0" applyFont="0" applyFill="0" applyBorder="0" applyAlignment="0" applyProtection="0"/>
    <xf numFmtId="166" fontId="32" fillId="0" borderId="0" applyFont="0" applyFill="0" applyBorder="0" applyAlignment="0" applyProtection="0"/>
    <xf numFmtId="166" fontId="32" fillId="0" borderId="0" applyFont="0" applyFill="0" applyBorder="0" applyAlignment="0" applyProtection="0"/>
    <xf numFmtId="165" fontId="32" fillId="0" borderId="0" applyFont="0" applyFill="0" applyBorder="0" applyAlignment="0" applyProtection="0"/>
    <xf numFmtId="165" fontId="32" fillId="0" borderId="0" applyFont="0" applyFill="0" applyBorder="0" applyAlignment="0" applyProtection="0"/>
    <xf numFmtId="165" fontId="32" fillId="0" borderId="0" applyFont="0" applyFill="0" applyBorder="0" applyAlignment="0" applyProtection="0"/>
    <xf numFmtId="165" fontId="32" fillId="0" borderId="0" applyFont="0" applyFill="0" applyBorder="0" applyAlignment="0" applyProtection="0">
      <alignment vertical="center"/>
    </xf>
    <xf numFmtId="165" fontId="32" fillId="0" borderId="0" applyFont="0" applyFill="0" applyBorder="0" applyAlignment="0" applyProtection="0">
      <alignment vertical="center"/>
    </xf>
    <xf numFmtId="167" fontId="32" fillId="0" borderId="0" applyFont="0" applyFill="0" applyBorder="0" applyAlignment="0" applyProtection="0"/>
    <xf numFmtId="166" fontId="2" fillId="0" borderId="0" applyFont="0" applyFill="0" applyBorder="0" applyAlignment="0" applyProtection="0"/>
    <xf numFmtId="165" fontId="2" fillId="0" borderId="0" applyFont="0" applyFill="0" applyBorder="0" applyAlignment="0" applyProtection="0"/>
    <xf numFmtId="166" fontId="3" fillId="0" borderId="0" applyFont="0" applyFill="0" applyBorder="0" applyAlignment="0" applyProtection="0"/>
    <xf numFmtId="165" fontId="32" fillId="0" borderId="0" applyFont="0" applyFill="0" applyBorder="0" applyAlignment="0" applyProtection="0"/>
    <xf numFmtId="165" fontId="32" fillId="0" borderId="0" applyFont="0" applyFill="0" applyBorder="0" applyAlignment="0" applyProtection="0"/>
    <xf numFmtId="165" fontId="32" fillId="0" borderId="0" applyFont="0" applyFill="0" applyBorder="0" applyAlignment="0" applyProtection="0"/>
    <xf numFmtId="165" fontId="32" fillId="0" borderId="0" applyFont="0" applyFill="0" applyBorder="0" applyAlignment="0" applyProtection="0">
      <alignment vertical="center"/>
    </xf>
    <xf numFmtId="165" fontId="32" fillId="0" borderId="0" applyFont="0" applyFill="0" applyBorder="0" applyAlignment="0" applyProtection="0">
      <alignment vertical="center"/>
    </xf>
    <xf numFmtId="165" fontId="32" fillId="0" borderId="0" applyFont="0" applyFill="0" applyBorder="0" applyAlignment="0" applyProtection="0"/>
    <xf numFmtId="167" fontId="32" fillId="0" borderId="0" applyFont="0" applyFill="0" applyBorder="0" applyAlignment="0" applyProtection="0"/>
    <xf numFmtId="165" fontId="32" fillId="0" borderId="0" applyFont="0" applyFill="0" applyBorder="0" applyAlignment="0" applyProtection="0"/>
    <xf numFmtId="165" fontId="32" fillId="0" borderId="0" applyFont="0" applyFill="0" applyBorder="0" applyAlignment="0" applyProtection="0"/>
    <xf numFmtId="165" fontId="32" fillId="0" borderId="0" applyFont="0" applyFill="0" applyBorder="0" applyAlignment="0" applyProtection="0"/>
    <xf numFmtId="165" fontId="32" fillId="0" borderId="0" applyFont="0" applyFill="0" applyBorder="0" applyAlignment="0" applyProtection="0"/>
    <xf numFmtId="165" fontId="32" fillId="0" borderId="0" applyFont="0" applyFill="0" applyBorder="0" applyAlignment="0" applyProtection="0"/>
    <xf numFmtId="165" fontId="32" fillId="0" borderId="0" applyFont="0" applyFill="0" applyBorder="0" applyAlignment="0" applyProtection="0"/>
    <xf numFmtId="165" fontId="32" fillId="0" borderId="0" applyFont="0" applyFill="0" applyBorder="0" applyAlignment="0" applyProtection="0">
      <alignment vertical="center"/>
    </xf>
    <xf numFmtId="165" fontId="32" fillId="0" borderId="0" applyFont="0" applyFill="0" applyBorder="0" applyAlignment="0" applyProtection="0">
      <alignment vertical="center"/>
    </xf>
    <xf numFmtId="165" fontId="32" fillId="0" borderId="0" applyFont="0" applyFill="0" applyBorder="0" applyAlignment="0" applyProtection="0">
      <alignment vertical="center"/>
    </xf>
    <xf numFmtId="165" fontId="32" fillId="0" borderId="0" applyFont="0" applyFill="0" applyBorder="0" applyAlignment="0" applyProtection="0">
      <alignment vertical="center"/>
    </xf>
    <xf numFmtId="166" fontId="3" fillId="0" borderId="0" applyFont="0" applyFill="0" applyBorder="0" applyAlignment="0" applyProtection="0"/>
    <xf numFmtId="166" fontId="32" fillId="0" borderId="0" applyFont="0" applyFill="0" applyBorder="0" applyAlignment="0" applyProtection="0"/>
    <xf numFmtId="165" fontId="32" fillId="0" borderId="0" applyFont="0" applyFill="0" applyBorder="0" applyAlignment="0" applyProtection="0"/>
    <xf numFmtId="0" fontId="125" fillId="0" borderId="0" applyNumberFormat="0" applyFill="0" applyBorder="0" applyAlignment="0" applyProtection="0"/>
  </cellStyleXfs>
  <cellXfs count="1222">
    <xf numFmtId="0" fontId="0" fillId="0" borderId="0" xfId="0"/>
    <xf numFmtId="0" fontId="4" fillId="0" borderId="0" xfId="0" applyFont="1"/>
    <xf numFmtId="0" fontId="7" fillId="0" borderId="0" xfId="0" applyFont="1"/>
    <xf numFmtId="10" fontId="7" fillId="0" borderId="0" xfId="1" applyNumberFormat="1" applyFont="1"/>
    <xf numFmtId="0" fontId="8" fillId="0" borderId="0" xfId="0" applyFont="1"/>
    <xf numFmtId="0" fontId="7" fillId="0" borderId="0" xfId="0" applyFont="1" applyAlignment="1">
      <alignment wrapText="1"/>
    </xf>
    <xf numFmtId="0" fontId="0" fillId="2" borderId="0" xfId="0" applyFill="1"/>
    <xf numFmtId="166" fontId="7" fillId="0" borderId="0" xfId="0" applyNumberFormat="1" applyFont="1"/>
    <xf numFmtId="0" fontId="14" fillId="0" borderId="0" xfId="0" applyFont="1"/>
    <xf numFmtId="166" fontId="14" fillId="0" borderId="0" xfId="0" applyNumberFormat="1" applyFont="1"/>
    <xf numFmtId="0" fontId="15" fillId="0" borderId="0" xfId="0" applyFont="1"/>
    <xf numFmtId="3" fontId="4" fillId="0" borderId="0" xfId="0" applyNumberFormat="1" applyFont="1"/>
    <xf numFmtId="9" fontId="4" fillId="0" borderId="0" xfId="1" applyFont="1"/>
    <xf numFmtId="0" fontId="16" fillId="0" borderId="0" xfId="0" applyFont="1"/>
    <xf numFmtId="10" fontId="4" fillId="0" borderId="0" xfId="1" applyNumberFormat="1" applyFont="1"/>
    <xf numFmtId="170" fontId="4" fillId="0" borderId="0" xfId="1" applyNumberFormat="1" applyFont="1"/>
    <xf numFmtId="0" fontId="7" fillId="0" borderId="0" xfId="0" applyFont="1" applyAlignment="1">
      <alignment vertical="center" wrapText="1"/>
    </xf>
    <xf numFmtId="0" fontId="7" fillId="0" borderId="0" xfId="0" applyFont="1" applyAlignment="1">
      <alignment vertical="center"/>
    </xf>
    <xf numFmtId="0" fontId="7" fillId="0" borderId="0" xfId="0" applyFont="1" applyAlignment="1">
      <alignment horizontal="center" vertical="center" wrapText="1"/>
    </xf>
    <xf numFmtId="4" fontId="7" fillId="0" borderId="0" xfId="0" applyNumberFormat="1" applyFont="1"/>
    <xf numFmtId="0" fontId="24" fillId="0" borderId="0" xfId="0" applyFont="1" applyAlignment="1">
      <alignment vertical="center"/>
    </xf>
    <xf numFmtId="0" fontId="4" fillId="0" borderId="0" xfId="0" applyFont="1" applyAlignment="1">
      <alignment horizontal="center" vertical="center" wrapText="1"/>
    </xf>
    <xf numFmtId="168" fontId="4" fillId="0" borderId="0" xfId="1" applyNumberFormat="1" applyFont="1" applyAlignment="1">
      <alignment horizontal="right"/>
    </xf>
    <xf numFmtId="0" fontId="25" fillId="0" borderId="0" xfId="0" applyFont="1" applyAlignment="1">
      <alignment horizontal="left" vertical="center"/>
    </xf>
    <xf numFmtId="0" fontId="26" fillId="0" borderId="0" xfId="0" applyFont="1"/>
    <xf numFmtId="0" fontId="27" fillId="0" borderId="0" xfId="0" applyFont="1"/>
    <xf numFmtId="0" fontId="26" fillId="0" borderId="0" xfId="0" applyFont="1" applyAlignment="1">
      <alignment vertical="center"/>
    </xf>
    <xf numFmtId="0" fontId="4" fillId="0" borderId="0" xfId="0" applyFont="1" applyAlignment="1">
      <alignment vertical="center"/>
    </xf>
    <xf numFmtId="0" fontId="46" fillId="0" borderId="0" xfId="0" applyFont="1"/>
    <xf numFmtId="165" fontId="4" fillId="0" borderId="0" xfId="10" applyFont="1" applyAlignment="1"/>
    <xf numFmtId="0" fontId="7" fillId="2" borderId="0" xfId="0" applyFont="1" applyFill="1" applyAlignment="1">
      <alignment horizontal="center" vertical="center"/>
    </xf>
    <xf numFmtId="0" fontId="7" fillId="0" borderId="0" xfId="0" applyFont="1" applyAlignment="1">
      <alignment horizontal="center"/>
    </xf>
    <xf numFmtId="165" fontId="4" fillId="0" borderId="0" xfId="10" applyFont="1" applyAlignment="1">
      <alignment vertical="center"/>
    </xf>
    <xf numFmtId="0" fontId="47" fillId="0" borderId="0" xfId="369" applyFont="1"/>
    <xf numFmtId="165" fontId="49" fillId="0" borderId="0" xfId="1695" applyFont="1" applyFill="1"/>
    <xf numFmtId="165" fontId="4" fillId="0" borderId="0" xfId="10" applyFont="1" applyAlignment="1">
      <alignment horizontal="right"/>
    </xf>
    <xf numFmtId="0" fontId="4" fillId="16" borderId="0" xfId="0" applyFont="1" applyFill="1"/>
    <xf numFmtId="0" fontId="5" fillId="2" borderId="0" xfId="3" applyNumberFormat="1" applyFont="1" applyFill="1" applyAlignment="1">
      <alignment horizontal="center" vertical="center"/>
    </xf>
    <xf numFmtId="0" fontId="4" fillId="0" borderId="0" xfId="0" applyFont="1" applyAlignment="1">
      <alignment horizontal="center"/>
    </xf>
    <xf numFmtId="165" fontId="4" fillId="0" borderId="0" xfId="0" applyNumberFormat="1" applyFont="1"/>
    <xf numFmtId="0" fontId="53" fillId="0" borderId="0" xfId="0" applyFont="1"/>
    <xf numFmtId="3" fontId="7" fillId="0" borderId="0" xfId="0" applyNumberFormat="1" applyFont="1"/>
    <xf numFmtId="0" fontId="52" fillId="0" borderId="0" xfId="0" applyFont="1" applyAlignment="1">
      <alignment horizontal="center" vertical="center" wrapText="1"/>
    </xf>
    <xf numFmtId="0" fontId="4" fillId="8" borderId="0" xfId="0" applyFont="1" applyFill="1"/>
    <xf numFmtId="170" fontId="4" fillId="0" borderId="0" xfId="1" applyNumberFormat="1" applyFont="1" applyAlignment="1">
      <alignment horizontal="right"/>
    </xf>
    <xf numFmtId="170" fontId="0" fillId="0" borderId="0" xfId="1" applyNumberFormat="1" applyFont="1" applyAlignment="1"/>
    <xf numFmtId="0" fontId="25" fillId="0" borderId="0" xfId="0" applyFont="1" applyAlignment="1">
      <alignment horizontal="center" vertical="center"/>
    </xf>
    <xf numFmtId="166" fontId="4" fillId="0" borderId="0" xfId="0" applyNumberFormat="1" applyFont="1"/>
    <xf numFmtId="0" fontId="61" fillId="0" borderId="0" xfId="0" applyFont="1"/>
    <xf numFmtId="0" fontId="60" fillId="0" borderId="0" xfId="0" applyFont="1"/>
    <xf numFmtId="0" fontId="58" fillId="0" borderId="0" xfId="0" applyFont="1" applyAlignment="1">
      <alignment horizontal="center" vertical="center" wrapText="1" readingOrder="1"/>
    </xf>
    <xf numFmtId="0" fontId="58" fillId="0" borderId="0" xfId="0" applyFont="1" applyAlignment="1">
      <alignment horizontal="left" vertical="center" wrapText="1" readingOrder="1"/>
    </xf>
    <xf numFmtId="3" fontId="58" fillId="0" borderId="0" xfId="0" applyNumberFormat="1" applyFont="1" applyAlignment="1">
      <alignment horizontal="right" vertical="center" wrapText="1" readingOrder="1"/>
    </xf>
    <xf numFmtId="0" fontId="59" fillId="0" borderId="0" xfId="0" applyFont="1" applyAlignment="1">
      <alignment horizontal="left" vertical="center" wrapText="1" readingOrder="1"/>
    </xf>
    <xf numFmtId="0" fontId="59" fillId="0" borderId="0" xfId="0" applyFont="1" applyAlignment="1">
      <alignment horizontal="right" vertical="center" wrapText="1" readingOrder="1"/>
    </xf>
    <xf numFmtId="0" fontId="59" fillId="0" borderId="0" xfId="0" applyFont="1" applyAlignment="1">
      <alignment horizontal="center" vertical="center" wrapText="1" readingOrder="1"/>
    </xf>
    <xf numFmtId="0" fontId="51" fillId="0" borderId="0" xfId="0" applyFont="1" applyAlignment="1">
      <alignment vertical="center" wrapText="1"/>
    </xf>
    <xf numFmtId="9" fontId="7" fillId="0" borderId="0" xfId="1" applyFont="1"/>
    <xf numFmtId="9" fontId="7" fillId="0" borderId="0" xfId="1" applyFont="1" applyAlignment="1">
      <alignment vertical="center" wrapText="1"/>
    </xf>
    <xf numFmtId="9" fontId="0" fillId="2" borderId="0" xfId="1" applyFont="1" applyFill="1"/>
    <xf numFmtId="0" fontId="25" fillId="0" borderId="0" xfId="0" applyFont="1"/>
    <xf numFmtId="170" fontId="7" fillId="0" borderId="0" xfId="0" applyNumberFormat="1" applyFont="1" applyAlignment="1">
      <alignment horizontal="center" vertical="center"/>
    </xf>
    <xf numFmtId="168" fontId="4" fillId="0" borderId="0" xfId="0" applyNumberFormat="1" applyFont="1"/>
    <xf numFmtId="174" fontId="4" fillId="0" borderId="0" xfId="10" applyNumberFormat="1" applyFont="1" applyAlignment="1"/>
    <xf numFmtId="0" fontId="4" fillId="0" borderId="0" xfId="0" applyFont="1" applyAlignment="1">
      <alignment horizontal="center" vertical="center"/>
    </xf>
    <xf numFmtId="0" fontId="56" fillId="8" borderId="0" xfId="0" applyFont="1" applyFill="1" applyAlignment="1">
      <alignment horizontal="center" vertical="center" wrapText="1"/>
    </xf>
    <xf numFmtId="170" fontId="64" fillId="0" borderId="0" xfId="1" applyNumberFormat="1" applyFont="1" applyAlignment="1">
      <alignment horizontal="right"/>
    </xf>
    <xf numFmtId="0" fontId="46" fillId="20" borderId="0" xfId="0" applyFont="1" applyFill="1"/>
    <xf numFmtId="175" fontId="6" fillId="8" borderId="0" xfId="1" applyNumberFormat="1" applyFont="1" applyFill="1" applyAlignment="1">
      <alignment horizontal="center" vertical="center"/>
    </xf>
    <xf numFmtId="0" fontId="7" fillId="0" borderId="0" xfId="0" applyFont="1" applyAlignment="1">
      <alignment horizontal="center" vertical="center"/>
    </xf>
    <xf numFmtId="0" fontId="24" fillId="0" borderId="0" xfId="0" applyFont="1" applyAlignment="1">
      <alignment horizontal="center" vertical="center"/>
    </xf>
    <xf numFmtId="168" fontId="46" fillId="0" borderId="0" xfId="1" applyNumberFormat="1" applyFont="1" applyAlignment="1">
      <alignment horizontal="right"/>
    </xf>
    <xf numFmtId="170" fontId="46" fillId="0" borderId="0" xfId="1" applyNumberFormat="1" applyFont="1" applyAlignment="1">
      <alignment horizontal="right"/>
    </xf>
    <xf numFmtId="0" fontId="24" fillId="8" borderId="0" xfId="0" applyFont="1" applyFill="1" applyAlignment="1">
      <alignment horizontal="center" vertical="center" wrapText="1"/>
    </xf>
    <xf numFmtId="0" fontId="67" fillId="0" borderId="0" xfId="0" applyFont="1"/>
    <xf numFmtId="168" fontId="15" fillId="0" borderId="0" xfId="1" applyNumberFormat="1" applyFont="1" applyAlignment="1">
      <alignment horizontal="right"/>
    </xf>
    <xf numFmtId="170" fontId="65" fillId="0" borderId="0" xfId="1" applyNumberFormat="1" applyFont="1" applyAlignment="1">
      <alignment horizontal="right"/>
    </xf>
    <xf numFmtId="170" fontId="0" fillId="21" borderId="37" xfId="1" applyNumberFormat="1" applyFont="1" applyFill="1" applyBorder="1"/>
    <xf numFmtId="170" fontId="46" fillId="21" borderId="37" xfId="1" applyNumberFormat="1" applyFont="1" applyFill="1" applyBorder="1" applyAlignment="1">
      <alignment horizontal="right"/>
    </xf>
    <xf numFmtId="170" fontId="4" fillId="21" borderId="37" xfId="1" applyNumberFormat="1" applyFont="1" applyFill="1" applyBorder="1" applyAlignment="1">
      <alignment horizontal="right"/>
    </xf>
    <xf numFmtId="0" fontId="20" fillId="2" borderId="37" xfId="0" applyFont="1" applyFill="1" applyBorder="1" applyAlignment="1">
      <alignment horizontal="center"/>
    </xf>
    <xf numFmtId="165" fontId="0" fillId="21" borderId="37" xfId="10" applyFont="1" applyFill="1" applyBorder="1" applyAlignment="1"/>
    <xf numFmtId="165" fontId="0" fillId="21" borderId="37" xfId="10" applyFont="1" applyFill="1" applyBorder="1" applyAlignment="1">
      <alignment horizontal="center"/>
    </xf>
    <xf numFmtId="165" fontId="66" fillId="21" borderId="37" xfId="10" applyFont="1" applyFill="1" applyBorder="1" applyAlignment="1">
      <alignment horizontal="center"/>
    </xf>
    <xf numFmtId="0" fontId="20" fillId="2" borderId="37" xfId="0" applyFont="1" applyFill="1" applyBorder="1"/>
    <xf numFmtId="0" fontId="20" fillId="2" borderId="37" xfId="0" applyFont="1" applyFill="1" applyBorder="1" applyAlignment="1">
      <alignment horizontal="center" vertical="center"/>
    </xf>
    <xf numFmtId="170" fontId="4" fillId="21" borderId="37" xfId="1" applyNumberFormat="1" applyFont="1" applyFill="1" applyBorder="1" applyAlignment="1">
      <alignment vertical="center"/>
    </xf>
    <xf numFmtId="170" fontId="4" fillId="21" borderId="37" xfId="0" applyNumberFormat="1" applyFont="1" applyFill="1" applyBorder="1" applyAlignment="1">
      <alignment vertical="center"/>
    </xf>
    <xf numFmtId="170" fontId="46" fillId="21" borderId="37" xfId="0" applyNumberFormat="1" applyFont="1" applyFill="1" applyBorder="1" applyAlignment="1">
      <alignment vertical="center"/>
    </xf>
    <xf numFmtId="175" fontId="4" fillId="21" borderId="37" xfId="0" applyNumberFormat="1" applyFont="1" applyFill="1" applyBorder="1"/>
    <xf numFmtId="175" fontId="46" fillId="21" borderId="37" xfId="0" applyNumberFormat="1" applyFont="1" applyFill="1" applyBorder="1"/>
    <xf numFmtId="165" fontId="4" fillId="21" borderId="37" xfId="10" applyFont="1" applyFill="1" applyBorder="1" applyAlignment="1">
      <alignment vertical="center"/>
    </xf>
    <xf numFmtId="165" fontId="46" fillId="21" borderId="37" xfId="10" applyFont="1" applyFill="1" applyBorder="1" applyAlignment="1">
      <alignment vertical="center"/>
    </xf>
    <xf numFmtId="165" fontId="11" fillId="15" borderId="37" xfId="10" applyFont="1" applyFill="1" applyBorder="1" applyAlignment="1">
      <alignment vertical="center"/>
    </xf>
    <xf numFmtId="0" fontId="46" fillId="8" borderId="0" xfId="0" applyFont="1" applyFill="1"/>
    <xf numFmtId="0" fontId="65" fillId="8" borderId="0" xfId="0" applyFont="1" applyFill="1"/>
    <xf numFmtId="0" fontId="65" fillId="0" borderId="0" xfId="0" applyFont="1"/>
    <xf numFmtId="0" fontId="20" fillId="2" borderId="37" xfId="0" applyFont="1" applyFill="1" applyBorder="1" applyAlignment="1">
      <alignment vertical="center"/>
    </xf>
    <xf numFmtId="9" fontId="20" fillId="2" borderId="37" xfId="1" applyFont="1" applyFill="1" applyBorder="1" applyAlignment="1">
      <alignment horizontal="center" vertical="center"/>
    </xf>
    <xf numFmtId="9" fontId="4" fillId="0" borderId="0" xfId="1" applyFont="1" applyBorder="1" applyAlignment="1">
      <alignment vertical="center"/>
    </xf>
    <xf numFmtId="165" fontId="4" fillId="0" borderId="0" xfId="10" applyFont="1" applyBorder="1" applyAlignment="1">
      <alignment vertical="center"/>
    </xf>
    <xf numFmtId="165" fontId="4" fillId="0" borderId="0" xfId="0" applyNumberFormat="1" applyFont="1" applyAlignment="1">
      <alignment vertical="center"/>
    </xf>
    <xf numFmtId="4" fontId="50" fillId="8" borderId="0" xfId="0" applyNumberFormat="1" applyFont="1" applyFill="1" applyAlignment="1">
      <alignment horizontal="center" vertical="center" wrapText="1"/>
    </xf>
    <xf numFmtId="0" fontId="68" fillId="8" borderId="0" xfId="0" applyFont="1" applyFill="1" applyAlignment="1">
      <alignment horizontal="center" vertical="center" wrapText="1"/>
    </xf>
    <xf numFmtId="0" fontId="50" fillId="8" borderId="0" xfId="0" applyFont="1" applyFill="1" applyAlignment="1">
      <alignment horizontal="center" vertical="center" wrapText="1"/>
    </xf>
    <xf numFmtId="0" fontId="50" fillId="8" borderId="0" xfId="0" applyFont="1" applyFill="1" applyAlignment="1">
      <alignment vertical="center" wrapText="1"/>
    </xf>
    <xf numFmtId="165" fontId="69" fillId="21" borderId="37" xfId="10" applyFont="1" applyFill="1" applyBorder="1" applyAlignment="1">
      <alignment horizontal="center"/>
    </xf>
    <xf numFmtId="165" fontId="7" fillId="0" borderId="0" xfId="10" applyFont="1" applyAlignment="1"/>
    <xf numFmtId="170" fontId="7" fillId="0" borderId="0" xfId="1" applyNumberFormat="1" applyFont="1"/>
    <xf numFmtId="0" fontId="7" fillId="8" borderId="0" xfId="0" applyFont="1" applyFill="1"/>
    <xf numFmtId="0" fontId="9" fillId="8" borderId="0" xfId="0" applyFont="1" applyFill="1" applyAlignment="1">
      <alignment horizontal="center" vertical="center" wrapText="1"/>
    </xf>
    <xf numFmtId="175" fontId="7" fillId="8" borderId="0" xfId="0" applyNumberFormat="1" applyFont="1" applyFill="1"/>
    <xf numFmtId="0" fontId="4" fillId="21" borderId="0" xfId="0" applyFont="1" applyFill="1"/>
    <xf numFmtId="0" fontId="27" fillId="8" borderId="0" xfId="0" applyFont="1" applyFill="1"/>
    <xf numFmtId="165" fontId="7" fillId="8" borderId="0" xfId="10" applyFont="1" applyFill="1" applyAlignment="1"/>
    <xf numFmtId="0" fontId="9" fillId="2" borderId="44" xfId="0" applyFont="1" applyFill="1" applyBorder="1"/>
    <xf numFmtId="0" fontId="9" fillId="2" borderId="45" xfId="0" applyFont="1" applyFill="1" applyBorder="1" applyAlignment="1">
      <alignment horizontal="center"/>
    </xf>
    <xf numFmtId="0" fontId="9" fillId="2" borderId="46" xfId="0" applyFont="1" applyFill="1" applyBorder="1" applyAlignment="1">
      <alignment horizontal="center"/>
    </xf>
    <xf numFmtId="0" fontId="7" fillId="0" borderId="47" xfId="0" applyFont="1" applyBorder="1"/>
    <xf numFmtId="165" fontId="7" fillId="0" borderId="48" xfId="10" applyFont="1" applyBorder="1" applyAlignment="1"/>
    <xf numFmtId="0" fontId="7" fillId="3" borderId="47" xfId="0" applyFont="1" applyFill="1" applyBorder="1"/>
    <xf numFmtId="165" fontId="7" fillId="3" borderId="48" xfId="10" applyFont="1" applyFill="1" applyBorder="1" applyAlignment="1"/>
    <xf numFmtId="0" fontId="14" fillId="0" borderId="50" xfId="0" applyFont="1" applyBorder="1"/>
    <xf numFmtId="165" fontId="63" fillId="0" borderId="51" xfId="10" applyFont="1" applyBorder="1" applyAlignment="1"/>
    <xf numFmtId="0" fontId="7" fillId="3" borderId="52" xfId="0" applyFont="1" applyFill="1" applyBorder="1" applyAlignment="1">
      <alignment wrapText="1"/>
    </xf>
    <xf numFmtId="169" fontId="7" fillId="3" borderId="53" xfId="3" applyNumberFormat="1" applyFont="1" applyFill="1" applyBorder="1" applyAlignment="1">
      <alignment vertical="center"/>
    </xf>
    <xf numFmtId="169" fontId="4" fillId="0" borderId="0" xfId="0" applyNumberFormat="1" applyFont="1"/>
    <xf numFmtId="0" fontId="20" fillId="2" borderId="57" xfId="0" applyFont="1" applyFill="1" applyBorder="1" applyAlignment="1">
      <alignment horizontal="center" vertical="center"/>
    </xf>
    <xf numFmtId="0" fontId="20" fillId="2" borderId="58" xfId="0" applyFont="1" applyFill="1" applyBorder="1" applyAlignment="1">
      <alignment horizontal="center" vertical="center"/>
    </xf>
    <xf numFmtId="175" fontId="4" fillId="21" borderId="58" xfId="0" applyNumberFormat="1" applyFont="1" applyFill="1" applyBorder="1"/>
    <xf numFmtId="175" fontId="46" fillId="21" borderId="58" xfId="0" applyNumberFormat="1" applyFont="1" applyFill="1" applyBorder="1"/>
    <xf numFmtId="170" fontId="4" fillId="21" borderId="58" xfId="1" applyNumberFormat="1" applyFont="1" applyFill="1" applyBorder="1" applyAlignment="1">
      <alignment vertical="center"/>
    </xf>
    <xf numFmtId="170" fontId="4" fillId="21" borderId="58" xfId="0" applyNumberFormat="1" applyFont="1" applyFill="1" applyBorder="1" applyAlignment="1">
      <alignment vertical="center"/>
    </xf>
    <xf numFmtId="170" fontId="46" fillId="21" borderId="58" xfId="0" applyNumberFormat="1" applyFont="1" applyFill="1" applyBorder="1" applyAlignment="1">
      <alignment vertical="center"/>
    </xf>
    <xf numFmtId="175" fontId="70" fillId="21" borderId="57" xfId="0" applyNumberFormat="1" applyFont="1" applyFill="1" applyBorder="1"/>
    <xf numFmtId="175" fontId="71" fillId="21" borderId="57" xfId="0" applyNumberFormat="1" applyFont="1" applyFill="1" applyBorder="1"/>
    <xf numFmtId="170" fontId="70" fillId="21" borderId="57" xfId="1" applyNumberFormat="1" applyFont="1" applyFill="1" applyBorder="1" applyAlignment="1">
      <alignment vertical="center"/>
    </xf>
    <xf numFmtId="170" fontId="70" fillId="21" borderId="57" xfId="0" applyNumberFormat="1" applyFont="1" applyFill="1" applyBorder="1" applyAlignment="1">
      <alignment vertical="center"/>
    </xf>
    <xf numFmtId="170" fontId="71" fillId="21" borderId="57" xfId="0" applyNumberFormat="1" applyFont="1" applyFill="1" applyBorder="1" applyAlignment="1">
      <alignment vertical="center"/>
    </xf>
    <xf numFmtId="0" fontId="20" fillId="2" borderId="57" xfId="0" applyFont="1" applyFill="1" applyBorder="1" applyAlignment="1">
      <alignment horizontal="center"/>
    </xf>
    <xf numFmtId="170" fontId="4" fillId="21" borderId="57" xfId="1" applyNumberFormat="1" applyFont="1" applyFill="1" applyBorder="1" applyAlignment="1">
      <alignment horizontal="right"/>
    </xf>
    <xf numFmtId="170" fontId="46" fillId="21" borderId="57" xfId="1" applyNumberFormat="1" applyFont="1" applyFill="1" applyBorder="1" applyAlignment="1">
      <alignment horizontal="right"/>
    </xf>
    <xf numFmtId="0" fontId="20" fillId="2" borderId="58" xfId="0" applyFont="1" applyFill="1" applyBorder="1" applyAlignment="1">
      <alignment horizontal="center"/>
    </xf>
    <xf numFmtId="170" fontId="4" fillId="21" borderId="58" xfId="1" applyNumberFormat="1" applyFont="1" applyFill="1" applyBorder="1" applyAlignment="1">
      <alignment horizontal="right"/>
    </xf>
    <xf numFmtId="170" fontId="46" fillId="21" borderId="58" xfId="1" applyNumberFormat="1" applyFont="1" applyFill="1" applyBorder="1" applyAlignment="1">
      <alignment horizontal="right"/>
    </xf>
    <xf numFmtId="165" fontId="0" fillId="21" borderId="57" xfId="10" applyFont="1" applyFill="1" applyBorder="1" applyAlignment="1"/>
    <xf numFmtId="165" fontId="0" fillId="21" borderId="57" xfId="10" applyFont="1" applyFill="1" applyBorder="1" applyAlignment="1">
      <alignment horizontal="center"/>
    </xf>
    <xf numFmtId="165" fontId="66" fillId="21" borderId="57" xfId="10" applyFont="1" applyFill="1" applyBorder="1" applyAlignment="1">
      <alignment horizontal="center"/>
    </xf>
    <xf numFmtId="165" fontId="69" fillId="21" borderId="57" xfId="10" applyFont="1" applyFill="1" applyBorder="1" applyAlignment="1">
      <alignment horizontal="center"/>
    </xf>
    <xf numFmtId="165" fontId="0" fillId="21" borderId="58" xfId="10" applyFont="1" applyFill="1" applyBorder="1" applyAlignment="1"/>
    <xf numFmtId="165" fontId="0" fillId="21" borderId="58" xfId="10" applyFont="1" applyFill="1" applyBorder="1" applyAlignment="1">
      <alignment horizontal="center"/>
    </xf>
    <xf numFmtId="165" fontId="66" fillId="21" borderId="58" xfId="10" applyFont="1" applyFill="1" applyBorder="1" applyAlignment="1">
      <alignment horizontal="center"/>
    </xf>
    <xf numFmtId="165" fontId="69" fillId="21" borderId="58" xfId="10" applyFont="1" applyFill="1" applyBorder="1" applyAlignment="1">
      <alignment horizontal="center"/>
    </xf>
    <xf numFmtId="170" fontId="0" fillId="21" borderId="57" xfId="1" applyNumberFormat="1" applyFont="1" applyFill="1" applyBorder="1"/>
    <xf numFmtId="170" fontId="0" fillId="21" borderId="58" xfId="1" applyNumberFormat="1" applyFont="1" applyFill="1" applyBorder="1"/>
    <xf numFmtId="0" fontId="9" fillId="22" borderId="45" xfId="0" applyFont="1" applyFill="1" applyBorder="1" applyAlignment="1">
      <alignment horizontal="center"/>
    </xf>
    <xf numFmtId="170" fontId="15" fillId="0" borderId="0" xfId="1" applyNumberFormat="1" applyFont="1" applyAlignment="1">
      <alignment horizontal="right"/>
    </xf>
    <xf numFmtId="165" fontId="7" fillId="0" borderId="0" xfId="10" applyFont="1" applyAlignment="1">
      <alignment vertical="center"/>
    </xf>
    <xf numFmtId="0" fontId="72" fillId="2" borderId="0" xfId="0" applyFont="1" applyFill="1" applyAlignment="1">
      <alignment horizontal="center" vertical="center"/>
    </xf>
    <xf numFmtId="0" fontId="62" fillId="0" borderId="0" xfId="0" applyFont="1" applyAlignment="1">
      <alignment vertical="center" wrapText="1"/>
    </xf>
    <xf numFmtId="0" fontId="4" fillId="0" borderId="0" xfId="0" applyFont="1" applyAlignment="1">
      <alignment horizontal="center" wrapText="1"/>
    </xf>
    <xf numFmtId="9" fontId="63" fillId="0" borderId="51" xfId="1" applyFont="1" applyBorder="1" applyAlignment="1"/>
    <xf numFmtId="0" fontId="57" fillId="0" borderId="0" xfId="0" applyFont="1" applyAlignment="1">
      <alignment vertical="center" wrapText="1" readingOrder="1"/>
    </xf>
    <xf numFmtId="0" fontId="27" fillId="0" borderId="0" xfId="0" applyFont="1" applyAlignment="1">
      <alignment horizontal="left" wrapText="1"/>
    </xf>
    <xf numFmtId="0" fontId="57" fillId="8" borderId="0" xfId="0" applyFont="1" applyFill="1" applyAlignment="1">
      <alignment horizontal="center" vertical="center" wrapText="1" readingOrder="1"/>
    </xf>
    <xf numFmtId="3" fontId="58" fillId="8" borderId="0" xfId="0" applyNumberFormat="1" applyFont="1" applyFill="1" applyAlignment="1">
      <alignment horizontal="right" vertical="center" wrapText="1" readingOrder="1"/>
    </xf>
    <xf numFmtId="9" fontId="7" fillId="3" borderId="48" xfId="1" applyFont="1" applyFill="1" applyBorder="1" applyAlignment="1"/>
    <xf numFmtId="9" fontId="7" fillId="0" borderId="48" xfId="1" applyFont="1" applyFill="1" applyBorder="1" applyAlignment="1"/>
    <xf numFmtId="170" fontId="46" fillId="21" borderId="37" xfId="1" applyNumberFormat="1" applyFont="1" applyFill="1" applyBorder="1" applyAlignment="1">
      <alignment vertical="center"/>
    </xf>
    <xf numFmtId="0" fontId="45" fillId="0" borderId="0" xfId="0" applyFont="1" applyAlignment="1">
      <alignment horizontal="center" vertical="center"/>
    </xf>
    <xf numFmtId="0" fontId="0" fillId="0" borderId="0" xfId="0" applyAlignment="1">
      <alignment horizontal="center" vertical="center"/>
    </xf>
    <xf numFmtId="0" fontId="63" fillId="0" borderId="0" xfId="0" applyFont="1" applyAlignment="1">
      <alignment vertical="center" wrapText="1"/>
    </xf>
    <xf numFmtId="165" fontId="63" fillId="0" borderId="0" xfId="10" applyFont="1" applyAlignment="1">
      <alignment vertical="center"/>
    </xf>
    <xf numFmtId="165" fontId="6" fillId="3" borderId="48" xfId="10" applyFont="1" applyFill="1" applyBorder="1" applyAlignment="1"/>
    <xf numFmtId="9" fontId="6" fillId="3" borderId="49" xfId="1" applyFont="1" applyFill="1" applyBorder="1" applyAlignment="1"/>
    <xf numFmtId="165" fontId="6" fillId="0" borderId="48" xfId="10" applyFont="1" applyBorder="1" applyAlignment="1"/>
    <xf numFmtId="9" fontId="6" fillId="0" borderId="49" xfId="1" applyFont="1" applyBorder="1" applyAlignment="1"/>
    <xf numFmtId="169" fontId="6" fillId="3" borderId="53" xfId="3" applyNumberFormat="1" applyFont="1" applyFill="1" applyBorder="1" applyAlignment="1">
      <alignment vertical="center"/>
    </xf>
    <xf numFmtId="9" fontId="6" fillId="3" borderId="54" xfId="1" applyFont="1" applyFill="1" applyBorder="1" applyAlignment="1">
      <alignment vertical="center"/>
    </xf>
    <xf numFmtId="9" fontId="63" fillId="0" borderId="59" xfId="1" applyFont="1" applyBorder="1"/>
    <xf numFmtId="0" fontId="74" fillId="0" borderId="0" xfId="0" applyFont="1"/>
    <xf numFmtId="0" fontId="75" fillId="0" borderId="0" xfId="0" applyFont="1"/>
    <xf numFmtId="0" fontId="61" fillId="21" borderId="0" xfId="0" applyFont="1" applyFill="1" applyAlignment="1">
      <alignment horizontal="center" vertical="center"/>
    </xf>
    <xf numFmtId="0" fontId="61" fillId="21" borderId="0" xfId="0" applyFont="1" applyFill="1" applyAlignment="1">
      <alignment vertical="center"/>
    </xf>
    <xf numFmtId="170" fontId="61" fillId="21" borderId="0" xfId="1" applyNumberFormat="1" applyFont="1" applyFill="1" applyAlignment="1">
      <alignment vertical="center"/>
    </xf>
    <xf numFmtId="0" fontId="61" fillId="21" borderId="0" xfId="0" applyFont="1" applyFill="1"/>
    <xf numFmtId="0" fontId="61" fillId="0" borderId="0" xfId="0" applyFont="1" applyAlignment="1">
      <alignment vertical="center"/>
    </xf>
    <xf numFmtId="0" fontId="61" fillId="0" borderId="0" xfId="0" applyFont="1" applyAlignment="1">
      <alignment horizontal="center" vertical="center"/>
    </xf>
    <xf numFmtId="0" fontId="77" fillId="0" borderId="0" xfId="0" applyFont="1"/>
    <xf numFmtId="0" fontId="61" fillId="0" borderId="0" xfId="0" applyFont="1" applyAlignment="1">
      <alignment horizontal="center"/>
    </xf>
    <xf numFmtId="0" fontId="12" fillId="4" borderId="18" xfId="0" applyFont="1" applyFill="1" applyBorder="1" applyAlignment="1">
      <alignment horizontal="center"/>
    </xf>
    <xf numFmtId="10" fontId="61" fillId="0" borderId="0" xfId="1" applyNumberFormat="1" applyFont="1"/>
    <xf numFmtId="0" fontId="78" fillId="3" borderId="2" xfId="0" applyFont="1" applyFill="1" applyBorder="1" applyAlignment="1">
      <alignment horizontal="center"/>
    </xf>
    <xf numFmtId="3" fontId="61" fillId="3" borderId="2" xfId="0" applyNumberFormat="1" applyFont="1" applyFill="1" applyBorder="1"/>
    <xf numFmtId="10" fontId="61" fillId="0" borderId="0" xfId="1" applyNumberFormat="1" applyFont="1" applyBorder="1"/>
    <xf numFmtId="10" fontId="61" fillId="0" borderId="9" xfId="1" applyNumberFormat="1" applyFont="1" applyBorder="1"/>
    <xf numFmtId="0" fontId="78" fillId="0" borderId="2" xfId="0" applyFont="1" applyBorder="1" applyAlignment="1">
      <alignment horizontal="center"/>
    </xf>
    <xf numFmtId="3" fontId="61" fillId="0" borderId="2" xfId="0" applyNumberFormat="1" applyFont="1" applyBorder="1"/>
    <xf numFmtId="10" fontId="61" fillId="0" borderId="11" xfId="1" applyNumberFormat="1" applyFont="1" applyBorder="1" applyAlignment="1">
      <alignment horizontal="center"/>
    </xf>
    <xf numFmtId="10" fontId="61" fillId="0" borderId="9" xfId="1" applyNumberFormat="1" applyFont="1" applyBorder="1" applyAlignment="1">
      <alignment horizontal="center"/>
    </xf>
    <xf numFmtId="0" fontId="78" fillId="8" borderId="2" xfId="0" applyFont="1" applyFill="1" applyBorder="1" applyAlignment="1">
      <alignment horizontal="center"/>
    </xf>
    <xf numFmtId="3" fontId="73" fillId="8" borderId="2" xfId="0" applyNumberFormat="1" applyFont="1" applyFill="1" applyBorder="1"/>
    <xf numFmtId="10" fontId="73" fillId="0" borderId="0" xfId="1" applyNumberFormat="1" applyFont="1" applyBorder="1"/>
    <xf numFmtId="3" fontId="61" fillId="8" borderId="2" xfId="0" applyNumberFormat="1" applyFont="1" applyFill="1" applyBorder="1"/>
    <xf numFmtId="0" fontId="79" fillId="0" borderId="0" xfId="0" applyFont="1"/>
    <xf numFmtId="0" fontId="12" fillId="4" borderId="18" xfId="0" applyFont="1" applyFill="1" applyBorder="1" applyAlignment="1">
      <alignment horizontal="center" wrapText="1"/>
    </xf>
    <xf numFmtId="0" fontId="78" fillId="3" borderId="2" xfId="0" applyFont="1" applyFill="1" applyBorder="1"/>
    <xf numFmtId="0" fontId="78" fillId="0" borderId="2" xfId="0" applyFont="1" applyBorder="1"/>
    <xf numFmtId="0" fontId="78" fillId="0" borderId="2" xfId="0" applyFont="1" applyBorder="1" applyAlignment="1">
      <alignment horizontal="right"/>
    </xf>
    <xf numFmtId="0" fontId="61" fillId="4" borderId="2" xfId="0" applyFont="1" applyFill="1" applyBorder="1"/>
    <xf numFmtId="0" fontId="12" fillId="4" borderId="12" xfId="0" applyFont="1" applyFill="1" applyBorder="1" applyAlignment="1">
      <alignment horizontal="center" vertical="center" wrapText="1"/>
    </xf>
    <xf numFmtId="0" fontId="78" fillId="5" borderId="12" xfId="0" applyFont="1" applyFill="1" applyBorder="1" applyAlignment="1">
      <alignment horizontal="center" vertical="center" wrapText="1"/>
    </xf>
    <xf numFmtId="0" fontId="80" fillId="0" borderId="24" xfId="0" applyFont="1" applyBorder="1" applyAlignment="1">
      <alignment horizontal="center" vertical="center" wrapText="1"/>
    </xf>
    <xf numFmtId="0" fontId="12" fillId="0" borderId="24" xfId="0" applyFont="1" applyBorder="1" applyAlignment="1">
      <alignment horizontal="center" vertical="center" wrapText="1"/>
    </xf>
    <xf numFmtId="0" fontId="61" fillId="0" borderId="0" xfId="0" applyFont="1" applyAlignment="1">
      <alignment horizontal="center" vertical="center" wrapText="1"/>
    </xf>
    <xf numFmtId="17" fontId="78" fillId="3" borderId="20" xfId="0" applyNumberFormat="1" applyFont="1" applyFill="1" applyBorder="1"/>
    <xf numFmtId="173" fontId="61" fillId="3" borderId="20" xfId="0" applyNumberFormat="1" applyFont="1" applyFill="1" applyBorder="1" applyAlignment="1">
      <alignment vertical="center"/>
    </xf>
    <xf numFmtId="173" fontId="61" fillId="3" borderId="18" xfId="0" applyNumberFormat="1" applyFont="1" applyFill="1" applyBorder="1" applyAlignment="1">
      <alignment vertical="center"/>
    </xf>
    <xf numFmtId="170" fontId="61" fillId="3" borderId="2" xfId="0" applyNumberFormat="1" applyFont="1" applyFill="1" applyBorder="1" applyAlignment="1">
      <alignment horizontal="center" vertical="center"/>
    </xf>
    <xf numFmtId="17" fontId="78" fillId="0" borderId="2" xfId="0" applyNumberFormat="1" applyFont="1" applyBorder="1"/>
    <xf numFmtId="173" fontId="61" fillId="0" borderId="2" xfId="0" applyNumberFormat="1" applyFont="1" applyBorder="1" applyAlignment="1">
      <alignment vertical="center"/>
    </xf>
    <xf numFmtId="173" fontId="61" fillId="0" borderId="16" xfId="0" applyNumberFormat="1" applyFont="1" applyBorder="1" applyAlignment="1">
      <alignment vertical="center"/>
    </xf>
    <xf numFmtId="170" fontId="61" fillId="0" borderId="2" xfId="0" applyNumberFormat="1" applyFont="1" applyBorder="1" applyAlignment="1">
      <alignment horizontal="center" vertical="center"/>
    </xf>
    <xf numFmtId="17" fontId="78" fillId="3" borderId="2" xfId="0" applyNumberFormat="1" applyFont="1" applyFill="1" applyBorder="1"/>
    <xf numFmtId="173" fontId="61" fillId="3" borderId="2" xfId="0" applyNumberFormat="1" applyFont="1" applyFill="1" applyBorder="1" applyAlignment="1">
      <alignment vertical="center"/>
    </xf>
    <xf numFmtId="173" fontId="61" fillId="3" borderId="16" xfId="0" applyNumberFormat="1" applyFont="1" applyFill="1" applyBorder="1" applyAlignment="1">
      <alignment vertical="center"/>
    </xf>
    <xf numFmtId="170" fontId="61" fillId="3" borderId="2" xfId="0" applyNumberFormat="1" applyFont="1" applyFill="1" applyBorder="1" applyAlignment="1">
      <alignment horizontal="center"/>
    </xf>
    <xf numFmtId="170" fontId="61" fillId="0" borderId="2" xfId="0" applyNumberFormat="1" applyFont="1" applyBorder="1" applyAlignment="1">
      <alignment horizontal="center"/>
    </xf>
    <xf numFmtId="17" fontId="78" fillId="8" borderId="2" xfId="0" applyNumberFormat="1" applyFont="1" applyFill="1" applyBorder="1"/>
    <xf numFmtId="17" fontId="76" fillId="8" borderId="2" xfId="0" applyNumberFormat="1" applyFont="1" applyFill="1" applyBorder="1"/>
    <xf numFmtId="173" fontId="73" fillId="0" borderId="2" xfId="0" applyNumberFormat="1" applyFont="1" applyBorder="1" applyAlignment="1">
      <alignment vertical="center"/>
    </xf>
    <xf numFmtId="173" fontId="73" fillId="0" borderId="16" xfId="0" applyNumberFormat="1" applyFont="1" applyBorder="1" applyAlignment="1">
      <alignment vertical="center"/>
    </xf>
    <xf numFmtId="170" fontId="73" fillId="0" borderId="2" xfId="0" applyNumberFormat="1" applyFont="1" applyBorder="1" applyAlignment="1">
      <alignment horizontal="center"/>
    </xf>
    <xf numFmtId="173" fontId="73" fillId="3" borderId="2" xfId="0" applyNumberFormat="1" applyFont="1" applyFill="1" applyBorder="1" applyAlignment="1">
      <alignment vertical="center"/>
    </xf>
    <xf numFmtId="173" fontId="73" fillId="3" borderId="16" xfId="0" applyNumberFormat="1" applyFont="1" applyFill="1" applyBorder="1" applyAlignment="1">
      <alignment vertical="center"/>
    </xf>
    <xf numFmtId="170" fontId="73" fillId="3" borderId="2" xfId="0" applyNumberFormat="1" applyFont="1" applyFill="1" applyBorder="1" applyAlignment="1">
      <alignment horizontal="center"/>
    </xf>
    <xf numFmtId="0" fontId="78" fillId="5" borderId="2" xfId="0" applyFont="1" applyFill="1" applyBorder="1" applyAlignment="1">
      <alignment horizontal="center" vertical="center" wrapText="1"/>
    </xf>
    <xf numFmtId="0" fontId="12" fillId="4" borderId="2" xfId="0" applyFont="1" applyFill="1" applyBorder="1" applyAlignment="1">
      <alignment horizontal="center" vertical="center" wrapText="1"/>
    </xf>
    <xf numFmtId="17" fontId="78" fillId="3" borderId="2" xfId="0" applyNumberFormat="1" applyFont="1" applyFill="1" applyBorder="1" applyAlignment="1">
      <alignment vertical="center"/>
    </xf>
    <xf numFmtId="170" fontId="61" fillId="3" borderId="2" xfId="1" applyNumberFormat="1" applyFont="1" applyFill="1" applyBorder="1" applyAlignment="1"/>
    <xf numFmtId="17" fontId="78" fillId="0" borderId="2" xfId="0" applyNumberFormat="1" applyFont="1" applyBorder="1" applyAlignment="1">
      <alignment vertical="center"/>
    </xf>
    <xf numFmtId="170" fontId="61" fillId="0" borderId="2" xfId="1" applyNumberFormat="1" applyFont="1" applyBorder="1" applyAlignment="1"/>
    <xf numFmtId="170" fontId="61" fillId="8" borderId="2" xfId="1" applyNumberFormat="1" applyFont="1" applyFill="1" applyBorder="1" applyAlignment="1"/>
    <xf numFmtId="17" fontId="76" fillId="0" borderId="2" xfId="0" applyNumberFormat="1" applyFont="1" applyBorder="1" applyAlignment="1">
      <alignment vertical="center"/>
    </xf>
    <xf numFmtId="170" fontId="73" fillId="8" borderId="2" xfId="1" applyNumberFormat="1" applyFont="1" applyFill="1" applyBorder="1" applyAlignment="1"/>
    <xf numFmtId="17" fontId="76" fillId="3" borderId="2" xfId="0" applyNumberFormat="1" applyFont="1" applyFill="1" applyBorder="1" applyAlignment="1">
      <alignment vertical="center"/>
    </xf>
    <xf numFmtId="170" fontId="73" fillId="3" borderId="2" xfId="1" applyNumberFormat="1" applyFont="1" applyFill="1" applyBorder="1" applyAlignment="1"/>
    <xf numFmtId="170" fontId="73" fillId="0" borderId="2" xfId="1" applyNumberFormat="1" applyFont="1" applyBorder="1" applyAlignment="1"/>
    <xf numFmtId="0" fontId="60" fillId="0" borderId="0" xfId="0" applyFont="1" applyAlignment="1">
      <alignment vertical="center"/>
    </xf>
    <xf numFmtId="0" fontId="81" fillId="0" borderId="0" xfId="0" applyFont="1"/>
    <xf numFmtId="0" fontId="62" fillId="0" borderId="0" xfId="0" applyFont="1" applyAlignment="1">
      <alignment horizontal="center"/>
    </xf>
    <xf numFmtId="0" fontId="62" fillId="0" borderId="0" xfId="0" applyFont="1"/>
    <xf numFmtId="14" fontId="62" fillId="0" borderId="0" xfId="0" applyNumberFormat="1" applyFont="1" applyAlignment="1">
      <alignment horizontal="center" vertical="center"/>
    </xf>
    <xf numFmtId="0" fontId="83" fillId="2" borderId="37" xfId="0" applyFont="1" applyFill="1" applyBorder="1" applyAlignment="1">
      <alignment horizontal="center" vertical="center" wrapText="1"/>
    </xf>
    <xf numFmtId="0" fontId="62" fillId="0" borderId="37" xfId="0" applyFont="1" applyBorder="1" applyAlignment="1">
      <alignment horizontal="center" vertical="center"/>
    </xf>
    <xf numFmtId="165" fontId="62" fillId="0" borderId="37" xfId="10" applyFont="1" applyBorder="1" applyAlignment="1">
      <alignment horizontal="center" vertical="center"/>
    </xf>
    <xf numFmtId="180" fontId="62" fillId="0" borderId="37" xfId="10" applyNumberFormat="1" applyFont="1" applyBorder="1" applyAlignment="1">
      <alignment horizontal="center" vertical="center"/>
    </xf>
    <xf numFmtId="165" fontId="62" fillId="0" borderId="37" xfId="0" applyNumberFormat="1" applyFont="1" applyBorder="1" applyAlignment="1">
      <alignment vertical="center"/>
    </xf>
    <xf numFmtId="178" fontId="55" fillId="8" borderId="37" xfId="10" applyNumberFormat="1" applyFont="1" applyFill="1" applyBorder="1" applyAlignment="1">
      <alignment vertical="center"/>
    </xf>
    <xf numFmtId="0" fontId="62" fillId="0" borderId="37" xfId="0" applyFont="1" applyBorder="1" applyAlignment="1">
      <alignment vertical="center" wrapText="1"/>
    </xf>
    <xf numFmtId="0" fontId="62" fillId="0" borderId="37" xfId="0" applyFont="1" applyBorder="1" applyAlignment="1">
      <alignment horizontal="center" vertical="center" wrapText="1"/>
    </xf>
    <xf numFmtId="165" fontId="62" fillId="0" borderId="37" xfId="10" applyFont="1" applyBorder="1" applyAlignment="1">
      <alignment vertical="center"/>
    </xf>
    <xf numFmtId="170" fontId="62" fillId="0" borderId="37" xfId="1" applyNumberFormat="1" applyFont="1" applyBorder="1" applyAlignment="1">
      <alignment horizontal="center" vertical="center"/>
    </xf>
    <xf numFmtId="14" fontId="62" fillId="0" borderId="37" xfId="0" applyNumberFormat="1" applyFont="1" applyBorder="1" applyAlignment="1">
      <alignment horizontal="center" vertical="center"/>
    </xf>
    <xf numFmtId="1" fontId="62" fillId="0" borderId="37" xfId="0" applyNumberFormat="1" applyFont="1" applyBorder="1" applyAlignment="1">
      <alignment horizontal="center" vertical="center"/>
    </xf>
    <xf numFmtId="0" fontId="62" fillId="8" borderId="37" xfId="0" applyFont="1" applyFill="1" applyBorder="1" applyAlignment="1">
      <alignment horizontal="center" vertical="center"/>
    </xf>
    <xf numFmtId="165" fontId="62" fillId="8" borderId="37" xfId="10" applyFont="1" applyFill="1" applyBorder="1" applyAlignment="1">
      <alignment horizontal="center" vertical="center"/>
    </xf>
    <xf numFmtId="165" fontId="62" fillId="8" borderId="37" xfId="10" applyFont="1" applyFill="1" applyBorder="1" applyAlignment="1">
      <alignment vertical="center"/>
    </xf>
    <xf numFmtId="0" fontId="62" fillId="8" borderId="37" xfId="0" applyFont="1" applyFill="1" applyBorder="1" applyAlignment="1">
      <alignment vertical="center"/>
    </xf>
    <xf numFmtId="174" fontId="62" fillId="8" borderId="37" xfId="10" applyNumberFormat="1" applyFont="1" applyFill="1" applyBorder="1" applyAlignment="1">
      <alignment vertical="center"/>
    </xf>
    <xf numFmtId="170" fontId="55" fillId="8" borderId="37" xfId="1" applyNumberFormat="1" applyFont="1" applyFill="1" applyBorder="1" applyAlignment="1">
      <alignment horizontal="center" vertical="center"/>
    </xf>
    <xf numFmtId="0" fontId="62" fillId="8" borderId="37" xfId="0" applyFont="1" applyFill="1" applyBorder="1" applyAlignment="1">
      <alignment vertical="center" wrapText="1"/>
    </xf>
    <xf numFmtId="1" fontId="62" fillId="8" borderId="37" xfId="0" applyNumberFormat="1" applyFont="1" applyFill="1" applyBorder="1" applyAlignment="1">
      <alignment vertical="center"/>
    </xf>
    <xf numFmtId="0" fontId="55" fillId="8" borderId="37" xfId="0" applyFont="1" applyFill="1" applyBorder="1" applyAlignment="1">
      <alignment horizontal="center" vertical="center"/>
    </xf>
    <xf numFmtId="14" fontId="55" fillId="8" borderId="37" xfId="0" applyNumberFormat="1" applyFont="1" applyFill="1" applyBorder="1" applyAlignment="1">
      <alignment horizontal="center" vertical="center"/>
    </xf>
    <xf numFmtId="1" fontId="55" fillId="8" borderId="37" xfId="0" applyNumberFormat="1" applyFont="1" applyFill="1" applyBorder="1" applyAlignment="1">
      <alignment horizontal="center" vertical="center"/>
    </xf>
    <xf numFmtId="165" fontId="55" fillId="8" borderId="37" xfId="10" applyFont="1" applyFill="1" applyBorder="1" applyAlignment="1">
      <alignment vertical="center"/>
    </xf>
    <xf numFmtId="177" fontId="55" fillId="8" borderId="37" xfId="0" applyNumberFormat="1" applyFont="1" applyFill="1" applyBorder="1" applyAlignment="1">
      <alignment vertical="center"/>
    </xf>
    <xf numFmtId="174" fontId="55" fillId="8" borderId="37" xfId="10" applyNumberFormat="1" applyFont="1" applyFill="1" applyBorder="1" applyAlignment="1">
      <alignment vertical="center"/>
    </xf>
    <xf numFmtId="176" fontId="55" fillId="8" borderId="37" xfId="3367" applyNumberFormat="1" applyFont="1" applyFill="1" applyBorder="1" applyAlignment="1">
      <alignment horizontal="center" vertical="center" wrapText="1"/>
    </xf>
    <xf numFmtId="0" fontId="55" fillId="8" borderId="37" xfId="0" applyFont="1" applyFill="1" applyBorder="1" applyAlignment="1">
      <alignment horizontal="center" vertical="center" wrapText="1"/>
    </xf>
    <xf numFmtId="0" fontId="55" fillId="8" borderId="37" xfId="0" applyFont="1" applyFill="1" applyBorder="1" applyAlignment="1">
      <alignment vertical="center" wrapText="1"/>
    </xf>
    <xf numFmtId="176" fontId="55" fillId="8" borderId="43" xfId="3367" applyNumberFormat="1" applyFont="1" applyFill="1" applyBorder="1" applyAlignment="1">
      <alignment horizontal="center" vertical="center" wrapText="1"/>
    </xf>
    <xf numFmtId="0" fontId="84" fillId="21" borderId="0" xfId="0" applyFont="1" applyFill="1" applyAlignment="1">
      <alignment vertical="center"/>
    </xf>
    <xf numFmtId="0" fontId="85" fillId="0" borderId="0" xfId="0" applyFont="1" applyAlignment="1">
      <alignment vertical="center"/>
    </xf>
    <xf numFmtId="170" fontId="55" fillId="8" borderId="37" xfId="1" applyNumberFormat="1" applyFont="1" applyFill="1" applyBorder="1" applyAlignment="1">
      <alignment horizontal="center" vertical="center" wrapText="1"/>
    </xf>
    <xf numFmtId="0" fontId="88" fillId="0" borderId="0" xfId="0" applyFont="1"/>
    <xf numFmtId="0" fontId="91" fillId="2" borderId="1" xfId="0" applyFont="1" applyFill="1" applyBorder="1" applyAlignment="1">
      <alignment horizontal="center" vertical="center" wrapText="1"/>
    </xf>
    <xf numFmtId="0" fontId="91" fillId="2" borderId="39" xfId="0" applyFont="1" applyFill="1" applyBorder="1" applyAlignment="1">
      <alignment horizontal="center" vertical="center" wrapText="1"/>
    </xf>
    <xf numFmtId="0" fontId="92" fillId="21" borderId="2" xfId="0" applyFont="1" applyFill="1" applyBorder="1"/>
    <xf numFmtId="4" fontId="73" fillId="21" borderId="2" xfId="0" applyNumberFormat="1" applyFont="1" applyFill="1" applyBorder="1"/>
    <xf numFmtId="0" fontId="78" fillId="21" borderId="2" xfId="0" applyFont="1" applyFill="1" applyBorder="1"/>
    <xf numFmtId="4" fontId="76" fillId="21" borderId="2" xfId="0" applyNumberFormat="1" applyFont="1" applyFill="1" applyBorder="1"/>
    <xf numFmtId="0" fontId="91" fillId="2" borderId="2" xfId="0" applyFont="1" applyFill="1" applyBorder="1" applyAlignment="1">
      <alignment horizontal="center" vertical="center" wrapText="1"/>
    </xf>
    <xf numFmtId="0" fontId="75" fillId="8" borderId="0" xfId="0" applyFont="1" applyFill="1"/>
    <xf numFmtId="0" fontId="61" fillId="8" borderId="0" xfId="0" applyFont="1" applyFill="1"/>
    <xf numFmtId="165" fontId="61" fillId="0" borderId="0" xfId="0" applyNumberFormat="1" applyFont="1"/>
    <xf numFmtId="3" fontId="61" fillId="0" borderId="0" xfId="0" applyNumberFormat="1" applyFont="1"/>
    <xf numFmtId="0" fontId="91" fillId="2" borderId="3" xfId="0" applyFont="1" applyFill="1" applyBorder="1" applyAlignment="1">
      <alignment horizontal="center" vertical="center" wrapText="1"/>
    </xf>
    <xf numFmtId="0" fontId="91" fillId="2" borderId="4" xfId="0" applyFont="1" applyFill="1" applyBorder="1" applyAlignment="1">
      <alignment horizontal="center" vertical="center" wrapText="1"/>
    </xf>
    <xf numFmtId="0" fontId="73" fillId="21" borderId="38" xfId="0" applyFont="1" applyFill="1" applyBorder="1" applyAlignment="1">
      <alignment horizontal="center" vertical="center" wrapText="1"/>
    </xf>
    <xf numFmtId="4" fontId="73" fillId="21" borderId="38" xfId="0" applyNumberFormat="1" applyFont="1" applyFill="1" applyBorder="1" applyAlignment="1">
      <alignment horizontal="center" vertical="center" wrapText="1"/>
    </xf>
    <xf numFmtId="0" fontId="73" fillId="3" borderId="6" xfId="0" applyFont="1" applyFill="1" applyBorder="1" applyAlignment="1">
      <alignment horizontal="center" vertical="center" wrapText="1"/>
    </xf>
    <xf numFmtId="4" fontId="73" fillId="3" borderId="6" xfId="0" applyNumberFormat="1" applyFont="1" applyFill="1" applyBorder="1" applyAlignment="1">
      <alignment horizontal="center" vertical="center" wrapText="1"/>
    </xf>
    <xf numFmtId="4" fontId="61" fillId="0" borderId="0" xfId="0" applyNumberFormat="1" applyFont="1"/>
    <xf numFmtId="0" fontId="91" fillId="2" borderId="0" xfId="0" applyFont="1" applyFill="1" applyAlignment="1">
      <alignment horizontal="center" vertical="center" wrapText="1"/>
    </xf>
    <xf numFmtId="0" fontId="73" fillId="3" borderId="38" xfId="0" applyFont="1" applyFill="1" applyBorder="1" applyAlignment="1">
      <alignment horizontal="center" vertical="center" wrapText="1"/>
    </xf>
    <xf numFmtId="0" fontId="73" fillId="21" borderId="40" xfId="0" applyFont="1" applyFill="1" applyBorder="1" applyAlignment="1">
      <alignment horizontal="center" vertical="center" wrapText="1"/>
    </xf>
    <xf numFmtId="0" fontId="73" fillId="21" borderId="40" xfId="0" applyFont="1" applyFill="1" applyBorder="1" applyAlignment="1">
      <alignment vertical="center" wrapText="1"/>
    </xf>
    <xf numFmtId="4" fontId="73" fillId="21" borderId="40" xfId="0" applyNumberFormat="1" applyFont="1" applyFill="1" applyBorder="1" applyAlignment="1">
      <alignment horizontal="center" vertical="center" wrapText="1"/>
    </xf>
    <xf numFmtId="0" fontId="73" fillId="3" borderId="41" xfId="0" applyFont="1" applyFill="1" applyBorder="1" applyAlignment="1">
      <alignment horizontal="center" vertical="center" wrapText="1"/>
    </xf>
    <xf numFmtId="0" fontId="73" fillId="3" borderId="41" xfId="0" applyFont="1" applyFill="1" applyBorder="1" applyAlignment="1">
      <alignment vertical="center" wrapText="1"/>
    </xf>
    <xf numFmtId="4" fontId="73" fillId="3" borderId="41" xfId="0" applyNumberFormat="1" applyFont="1" applyFill="1" applyBorder="1" applyAlignment="1">
      <alignment horizontal="center" vertical="center" wrapText="1"/>
    </xf>
    <xf numFmtId="0" fontId="73" fillId="21" borderId="38" xfId="0" applyFont="1" applyFill="1" applyBorder="1" applyAlignment="1">
      <alignment vertical="center" wrapText="1"/>
    </xf>
    <xf numFmtId="0" fontId="73" fillId="3" borderId="38" xfId="0" applyFont="1" applyFill="1" applyBorder="1" applyAlignment="1">
      <alignment vertical="center" wrapText="1"/>
    </xf>
    <xf numFmtId="4" fontId="73" fillId="3" borderId="38" xfId="0" applyNumberFormat="1" applyFont="1" applyFill="1" applyBorder="1" applyAlignment="1">
      <alignment horizontal="center" vertical="center" wrapText="1"/>
    </xf>
    <xf numFmtId="0" fontId="73" fillId="3" borderId="40" xfId="0" applyFont="1" applyFill="1" applyBorder="1" applyAlignment="1">
      <alignment horizontal="center" vertical="center" wrapText="1"/>
    </xf>
    <xf numFmtId="0" fontId="73" fillId="3" borderId="40" xfId="0" applyFont="1" applyFill="1" applyBorder="1" applyAlignment="1">
      <alignment vertical="center" wrapText="1"/>
    </xf>
    <xf numFmtId="4" fontId="73" fillId="3" borderId="40" xfId="0" applyNumberFormat="1" applyFont="1" applyFill="1" applyBorder="1" applyAlignment="1">
      <alignment horizontal="center" vertical="center" wrapText="1"/>
    </xf>
    <xf numFmtId="0" fontId="73" fillId="21" borderId="41" xfId="0" applyFont="1" applyFill="1" applyBorder="1" applyAlignment="1">
      <alignment horizontal="center" vertical="center" wrapText="1"/>
    </xf>
    <xf numFmtId="0" fontId="73" fillId="21" borderId="41" xfId="0" applyFont="1" applyFill="1" applyBorder="1" applyAlignment="1">
      <alignment vertical="center" wrapText="1"/>
    </xf>
    <xf numFmtId="4" fontId="73" fillId="21" borderId="41" xfId="0" applyNumberFormat="1" applyFont="1" applyFill="1" applyBorder="1" applyAlignment="1">
      <alignment horizontal="center" vertical="center" wrapText="1"/>
    </xf>
    <xf numFmtId="0" fontId="91" fillId="2" borderId="5" xfId="0" applyFont="1" applyFill="1" applyBorder="1" applyAlignment="1">
      <alignment vertical="center" wrapText="1"/>
    </xf>
    <xf numFmtId="0" fontId="91" fillId="2" borderId="6" xfId="0" applyFont="1" applyFill="1" applyBorder="1" applyAlignment="1">
      <alignment vertical="center" wrapText="1"/>
    </xf>
    <xf numFmtId="0" fontId="91" fillId="2" borderId="6" xfId="0" applyFont="1" applyFill="1" applyBorder="1" applyAlignment="1">
      <alignment horizontal="center" vertical="center" wrapText="1"/>
    </xf>
    <xf numFmtId="0" fontId="61" fillId="2" borderId="6" xfId="0" applyFont="1" applyFill="1" applyBorder="1" applyAlignment="1">
      <alignment vertical="center" wrapText="1"/>
    </xf>
    <xf numFmtId="0" fontId="12" fillId="2" borderId="6" xfId="0" applyFont="1" applyFill="1" applyBorder="1" applyAlignment="1">
      <alignment horizontal="center" vertical="center" wrapText="1"/>
    </xf>
    <xf numFmtId="4" fontId="12" fillId="2" borderId="6" xfId="0" applyNumberFormat="1" applyFont="1" applyFill="1" applyBorder="1" applyAlignment="1">
      <alignment horizontal="center" vertical="center" wrapText="1"/>
    </xf>
    <xf numFmtId="0" fontId="94" fillId="0" borderId="5" xfId="0" applyFont="1" applyBorder="1" applyAlignment="1">
      <alignment vertical="center" wrapText="1"/>
    </xf>
    <xf numFmtId="4" fontId="73" fillId="0" borderId="6" xfId="0" applyNumberFormat="1" applyFont="1" applyBorder="1" applyAlignment="1">
      <alignment vertical="center" wrapText="1"/>
    </xf>
    <xf numFmtId="9" fontId="73" fillId="0" borderId="6" xfId="1" applyFont="1" applyBorder="1" applyAlignment="1">
      <alignment vertical="center" wrapText="1"/>
    </xf>
    <xf numFmtId="0" fontId="93" fillId="3" borderId="5" xfId="0" applyFont="1" applyFill="1" applyBorder="1" applyAlignment="1">
      <alignment vertical="center" wrapText="1"/>
    </xf>
    <xf numFmtId="4" fontId="73" fillId="3" borderId="6" xfId="0" applyNumberFormat="1" applyFont="1" applyFill="1" applyBorder="1" applyAlignment="1">
      <alignment vertical="center" wrapText="1"/>
    </xf>
    <xf numFmtId="9" fontId="73" fillId="3" borderId="6" xfId="1" applyFont="1" applyFill="1" applyBorder="1" applyAlignment="1">
      <alignment vertical="center" wrapText="1"/>
    </xf>
    <xf numFmtId="2" fontId="12" fillId="2" borderId="6" xfId="0" applyNumberFormat="1" applyFont="1" applyFill="1" applyBorder="1" applyAlignment="1">
      <alignment vertical="center" wrapText="1"/>
    </xf>
    <xf numFmtId="9" fontId="12" fillId="2" borderId="6" xfId="0" applyNumberFormat="1" applyFont="1" applyFill="1" applyBorder="1" applyAlignment="1">
      <alignment vertical="center" wrapText="1"/>
    </xf>
    <xf numFmtId="0" fontId="12" fillId="2" borderId="13" xfId="0" applyFont="1" applyFill="1" applyBorder="1" applyAlignment="1">
      <alignment horizontal="center" vertical="center"/>
    </xf>
    <xf numFmtId="0" fontId="12" fillId="2" borderId="14" xfId="0" applyFont="1" applyFill="1" applyBorder="1" applyAlignment="1">
      <alignment horizontal="center" vertical="center" wrapText="1"/>
    </xf>
    <xf numFmtId="0" fontId="61" fillId="2" borderId="0" xfId="0" applyFont="1" applyFill="1" applyAlignment="1">
      <alignment horizontal="center" vertical="center"/>
    </xf>
    <xf numFmtId="0" fontId="61" fillId="2" borderId="0" xfId="0" applyFont="1" applyFill="1" applyAlignment="1">
      <alignment horizontal="center" vertical="center" wrapText="1"/>
    </xf>
    <xf numFmtId="165" fontId="61" fillId="2" borderId="0" xfId="10" applyFont="1" applyFill="1" applyAlignment="1">
      <alignment horizontal="center" vertical="center" wrapText="1"/>
    </xf>
    <xf numFmtId="0" fontId="61" fillId="0" borderId="31" xfId="0" applyFont="1" applyBorder="1" applyAlignment="1">
      <alignment horizontal="center"/>
    </xf>
    <xf numFmtId="165" fontId="94" fillId="0" borderId="0" xfId="10" applyFont="1" applyAlignment="1"/>
    <xf numFmtId="0" fontId="73" fillId="0" borderId="31" xfId="0" applyFont="1" applyBorder="1" applyAlignment="1">
      <alignment horizontal="center"/>
    </xf>
    <xf numFmtId="165" fontId="94" fillId="0" borderId="0" xfId="10" applyFont="1" applyBorder="1" applyAlignment="1"/>
    <xf numFmtId="0" fontId="87" fillId="0" borderId="0" xfId="0" applyFont="1"/>
    <xf numFmtId="0" fontId="12" fillId="2" borderId="13" xfId="0" applyFont="1" applyFill="1" applyBorder="1" applyAlignment="1">
      <alignment horizontal="center" wrapText="1"/>
    </xf>
    <xf numFmtId="0" fontId="78" fillId="17" borderId="13" xfId="0" applyFont="1" applyFill="1" applyBorder="1"/>
    <xf numFmtId="0" fontId="12" fillId="2" borderId="13" xfId="0" applyFont="1" applyFill="1" applyBorder="1" applyAlignment="1">
      <alignment wrapText="1"/>
    </xf>
    <xf numFmtId="169" fontId="61" fillId="17" borderId="13" xfId="3" applyNumberFormat="1" applyFont="1" applyFill="1" applyBorder="1"/>
    <xf numFmtId="0" fontId="61" fillId="19" borderId="0" xfId="0" applyFont="1" applyFill="1"/>
    <xf numFmtId="169" fontId="78" fillId="0" borderId="0" xfId="0" applyNumberFormat="1" applyFont="1"/>
    <xf numFmtId="169" fontId="61" fillId="0" borderId="0" xfId="0" applyNumberFormat="1" applyFont="1"/>
    <xf numFmtId="169" fontId="61" fillId="19" borderId="0" xfId="0" applyNumberFormat="1" applyFont="1" applyFill="1"/>
    <xf numFmtId="169" fontId="76" fillId="0" borderId="0" xfId="0" applyNumberFormat="1" applyFont="1"/>
    <xf numFmtId="169" fontId="78" fillId="0" borderId="0" xfId="3" applyNumberFormat="1" applyFont="1"/>
    <xf numFmtId="0" fontId="78" fillId="17" borderId="13" xfId="0" applyFont="1" applyFill="1" applyBorder="1" applyAlignment="1">
      <alignment horizontal="left"/>
    </xf>
    <xf numFmtId="171" fontId="94" fillId="17" borderId="55" xfId="3" applyNumberFormat="1" applyFont="1" applyFill="1" applyBorder="1" applyAlignment="1">
      <alignment horizontal="center" vertical="center"/>
    </xf>
    <xf numFmtId="165" fontId="95" fillId="0" borderId="56" xfId="0" applyNumberFormat="1" applyFont="1" applyBorder="1" applyAlignment="1">
      <alignment horizontal="center" vertical="center"/>
    </xf>
    <xf numFmtId="0" fontId="97" fillId="2" borderId="58" xfId="0" applyFont="1" applyFill="1" applyBorder="1" applyAlignment="1">
      <alignment horizontal="center"/>
    </xf>
    <xf numFmtId="0" fontId="97" fillId="2" borderId="57" xfId="0" applyFont="1" applyFill="1" applyBorder="1" applyAlignment="1">
      <alignment horizontal="center"/>
    </xf>
    <xf numFmtId="168" fontId="88" fillId="0" borderId="0" xfId="1" applyNumberFormat="1" applyFont="1" applyAlignment="1">
      <alignment horizontal="right"/>
    </xf>
    <xf numFmtId="0" fontId="97" fillId="2" borderId="37" xfId="0" applyFont="1" applyFill="1" applyBorder="1" applyAlignment="1">
      <alignment horizontal="center"/>
    </xf>
    <xf numFmtId="170" fontId="88" fillId="21" borderId="37" xfId="1" applyNumberFormat="1" applyFont="1" applyFill="1" applyBorder="1" applyAlignment="1">
      <alignment horizontal="right"/>
    </xf>
    <xf numFmtId="170" fontId="88" fillId="21" borderId="58" xfId="1" applyNumberFormat="1" applyFont="1" applyFill="1" applyBorder="1" applyAlignment="1">
      <alignment horizontal="right"/>
    </xf>
    <xf numFmtId="170" fontId="88" fillId="21" borderId="57" xfId="1" applyNumberFormat="1" applyFont="1" applyFill="1" applyBorder="1" applyAlignment="1">
      <alignment horizontal="right"/>
    </xf>
    <xf numFmtId="0" fontId="97" fillId="2" borderId="37" xfId="0" applyFont="1" applyFill="1" applyBorder="1"/>
    <xf numFmtId="165" fontId="88" fillId="21" borderId="57" xfId="10" applyFont="1" applyFill="1" applyBorder="1" applyAlignment="1">
      <alignment horizontal="center"/>
    </xf>
    <xf numFmtId="170" fontId="89" fillId="21" borderId="37" xfId="1" applyNumberFormat="1" applyFont="1" applyFill="1" applyBorder="1" applyAlignment="1">
      <alignment horizontal="right"/>
    </xf>
    <xf numFmtId="170" fontId="89" fillId="21" borderId="58" xfId="1" applyNumberFormat="1" applyFont="1" applyFill="1" applyBorder="1" applyAlignment="1">
      <alignment horizontal="right"/>
    </xf>
    <xf numFmtId="170" fontId="89" fillId="21" borderId="57" xfId="1" applyNumberFormat="1" applyFont="1" applyFill="1" applyBorder="1" applyAlignment="1">
      <alignment horizontal="right"/>
    </xf>
    <xf numFmtId="170" fontId="89" fillId="0" borderId="0" xfId="1" applyNumberFormat="1" applyFont="1" applyAlignment="1">
      <alignment horizontal="right"/>
    </xf>
    <xf numFmtId="170" fontId="98" fillId="0" borderId="0" xfId="1" applyNumberFormat="1" applyFont="1" applyAlignment="1">
      <alignment horizontal="right"/>
    </xf>
    <xf numFmtId="170" fontId="99" fillId="0" borderId="0" xfId="1" applyNumberFormat="1" applyFont="1" applyAlignment="1">
      <alignment horizontal="right"/>
    </xf>
    <xf numFmtId="165" fontId="88" fillId="21" borderId="37" xfId="10" applyFont="1" applyFill="1" applyBorder="1" applyAlignment="1"/>
    <xf numFmtId="165" fontId="88" fillId="21" borderId="58" xfId="10" applyFont="1" applyFill="1" applyBorder="1" applyAlignment="1"/>
    <xf numFmtId="165" fontId="88" fillId="21" borderId="57" xfId="10" applyFont="1" applyFill="1" applyBorder="1" applyAlignment="1"/>
    <xf numFmtId="0" fontId="88" fillId="21" borderId="37" xfId="0" applyFont="1" applyFill="1" applyBorder="1"/>
    <xf numFmtId="0" fontId="88" fillId="21" borderId="58" xfId="0" applyFont="1" applyFill="1" applyBorder="1"/>
    <xf numFmtId="170" fontId="88" fillId="21" borderId="37" xfId="1" applyNumberFormat="1" applyFont="1" applyFill="1" applyBorder="1"/>
    <xf numFmtId="170" fontId="88" fillId="21" borderId="58" xfId="1" applyNumberFormat="1" applyFont="1" applyFill="1" applyBorder="1"/>
    <xf numFmtId="170" fontId="88" fillId="21" borderId="57" xfId="1" applyNumberFormat="1" applyFont="1" applyFill="1" applyBorder="1"/>
    <xf numFmtId="165" fontId="88" fillId="21" borderId="37" xfId="10" applyFont="1" applyFill="1" applyBorder="1" applyAlignment="1">
      <alignment horizontal="center"/>
    </xf>
    <xf numFmtId="165" fontId="89" fillId="21" borderId="37" xfId="10" applyFont="1" applyFill="1" applyBorder="1" applyAlignment="1">
      <alignment horizontal="center"/>
    </xf>
    <xf numFmtId="165" fontId="88" fillId="21" borderId="58" xfId="10" applyFont="1" applyFill="1" applyBorder="1" applyAlignment="1">
      <alignment horizontal="center"/>
    </xf>
    <xf numFmtId="165" fontId="89" fillId="21" borderId="58" xfId="10" applyFont="1" applyFill="1" applyBorder="1" applyAlignment="1">
      <alignment horizontal="center"/>
    </xf>
    <xf numFmtId="165" fontId="89" fillId="21" borderId="57" xfId="10" applyFont="1" applyFill="1" applyBorder="1" applyAlignment="1">
      <alignment horizontal="center"/>
    </xf>
    <xf numFmtId="170" fontId="89" fillId="21" borderId="37" xfId="1" applyNumberFormat="1" applyFont="1" applyFill="1" applyBorder="1"/>
    <xf numFmtId="0" fontId="97" fillId="2" borderId="37" xfId="0" applyFont="1" applyFill="1" applyBorder="1" applyAlignment="1">
      <alignment horizontal="center" vertical="center"/>
    </xf>
    <xf numFmtId="170" fontId="88" fillId="21" borderId="37" xfId="1" applyNumberFormat="1" applyFont="1" applyFill="1" applyBorder="1" applyAlignment="1">
      <alignment vertical="center"/>
    </xf>
    <xf numFmtId="0" fontId="97" fillId="2" borderId="58" xfId="0" applyFont="1" applyFill="1" applyBorder="1" applyAlignment="1">
      <alignment horizontal="center" vertical="center"/>
    </xf>
    <xf numFmtId="170" fontId="88" fillId="21" borderId="58" xfId="1" applyNumberFormat="1" applyFont="1" applyFill="1" applyBorder="1" applyAlignment="1">
      <alignment vertical="center"/>
    </xf>
    <xf numFmtId="0" fontId="97" fillId="2" borderId="57" xfId="0" applyFont="1" applyFill="1" applyBorder="1" applyAlignment="1">
      <alignment horizontal="center" vertical="center"/>
    </xf>
    <xf numFmtId="170" fontId="100" fillId="21" borderId="57" xfId="1" applyNumberFormat="1" applyFont="1" applyFill="1" applyBorder="1" applyAlignment="1">
      <alignment vertical="center"/>
    </xf>
    <xf numFmtId="170" fontId="88" fillId="0" borderId="0" xfId="1" applyNumberFormat="1" applyFont="1"/>
    <xf numFmtId="175" fontId="88" fillId="21" borderId="37" xfId="0" applyNumberFormat="1" applyFont="1" applyFill="1" applyBorder="1"/>
    <xf numFmtId="175" fontId="88" fillId="21" borderId="58" xfId="0" applyNumberFormat="1" applyFont="1" applyFill="1" applyBorder="1"/>
    <xf numFmtId="0" fontId="100" fillId="21" borderId="57" xfId="0" applyFont="1" applyFill="1" applyBorder="1"/>
    <xf numFmtId="175" fontId="100" fillId="21" borderId="57" xfId="0" applyNumberFormat="1" applyFont="1" applyFill="1" applyBorder="1"/>
    <xf numFmtId="170" fontId="88" fillId="21" borderId="37" xfId="0" applyNumberFormat="1" applyFont="1" applyFill="1" applyBorder="1"/>
    <xf numFmtId="170" fontId="88" fillId="21" borderId="58" xfId="0" applyNumberFormat="1" applyFont="1" applyFill="1" applyBorder="1"/>
    <xf numFmtId="170" fontId="100" fillId="21" borderId="57" xfId="0" applyNumberFormat="1" applyFont="1" applyFill="1" applyBorder="1"/>
    <xf numFmtId="170" fontId="88" fillId="21" borderId="37" xfId="0" applyNumberFormat="1" applyFont="1" applyFill="1" applyBorder="1" applyAlignment="1">
      <alignment vertical="center"/>
    </xf>
    <xf numFmtId="170" fontId="89" fillId="21" borderId="37" xfId="0" applyNumberFormat="1" applyFont="1" applyFill="1" applyBorder="1" applyAlignment="1">
      <alignment vertical="center"/>
    </xf>
    <xf numFmtId="170" fontId="88" fillId="21" borderId="58" xfId="0" applyNumberFormat="1" applyFont="1" applyFill="1" applyBorder="1" applyAlignment="1">
      <alignment vertical="center"/>
    </xf>
    <xf numFmtId="170" fontId="89" fillId="21" borderId="58" xfId="0" applyNumberFormat="1" applyFont="1" applyFill="1" applyBorder="1" applyAlignment="1">
      <alignment vertical="center"/>
    </xf>
    <xf numFmtId="170" fontId="100" fillId="21" borderId="57" xfId="0" applyNumberFormat="1" applyFont="1" applyFill="1" applyBorder="1" applyAlignment="1">
      <alignment vertical="center"/>
    </xf>
    <xf numFmtId="170" fontId="101" fillId="21" borderId="57" xfId="0" applyNumberFormat="1" applyFont="1" applyFill="1" applyBorder="1" applyAlignment="1">
      <alignment vertical="center"/>
    </xf>
    <xf numFmtId="170" fontId="102" fillId="21" borderId="57" xfId="0" applyNumberFormat="1" applyFont="1" applyFill="1" applyBorder="1" applyAlignment="1">
      <alignment vertical="center"/>
    </xf>
    <xf numFmtId="175" fontId="89" fillId="21" borderId="37" xfId="0" applyNumberFormat="1" applyFont="1" applyFill="1" applyBorder="1"/>
    <xf numFmtId="175" fontId="89" fillId="21" borderId="58" xfId="0" applyNumberFormat="1" applyFont="1" applyFill="1" applyBorder="1"/>
    <xf numFmtId="175" fontId="101" fillId="21" borderId="57" xfId="0" applyNumberFormat="1" applyFont="1" applyFill="1" applyBorder="1"/>
    <xf numFmtId="0" fontId="97" fillId="2" borderId="37" xfId="0" applyFont="1" applyFill="1" applyBorder="1" applyAlignment="1">
      <alignment vertical="center"/>
    </xf>
    <xf numFmtId="9" fontId="97" fillId="2" borderId="37" xfId="1" applyFont="1" applyFill="1" applyBorder="1" applyAlignment="1">
      <alignment horizontal="center" vertical="center"/>
    </xf>
    <xf numFmtId="165" fontId="88" fillId="21" borderId="37" xfId="10" applyFont="1" applyFill="1" applyBorder="1" applyAlignment="1">
      <alignment vertical="center"/>
    </xf>
    <xf numFmtId="0" fontId="88" fillId="0" borderId="0" xfId="0" applyFont="1" applyAlignment="1">
      <alignment vertical="center"/>
    </xf>
    <xf numFmtId="165" fontId="98" fillId="21" borderId="37" xfId="10" applyFont="1" applyFill="1" applyBorder="1" applyAlignment="1">
      <alignment vertical="center"/>
    </xf>
    <xf numFmtId="170" fontId="98" fillId="21" borderId="37" xfId="1" applyNumberFormat="1" applyFont="1" applyFill="1" applyBorder="1" applyAlignment="1">
      <alignment vertical="center"/>
    </xf>
    <xf numFmtId="0" fontId="77" fillId="0" borderId="0" xfId="0" applyFont="1" applyAlignment="1">
      <alignment vertical="center"/>
    </xf>
    <xf numFmtId="165" fontId="97" fillId="2" borderId="37" xfId="10" applyFont="1" applyFill="1" applyBorder="1" applyAlignment="1">
      <alignment horizontal="center" vertical="center"/>
    </xf>
    <xf numFmtId="165" fontId="89" fillId="21" borderId="37" xfId="10" applyFont="1" applyFill="1" applyBorder="1" applyAlignment="1">
      <alignment vertical="center"/>
    </xf>
    <xf numFmtId="170" fontId="88" fillId="21" borderId="37" xfId="1" applyNumberFormat="1" applyFont="1" applyFill="1" applyBorder="1" applyAlignment="1">
      <alignment horizontal="center" vertical="center"/>
    </xf>
    <xf numFmtId="170" fontId="89" fillId="21" borderId="37" xfId="1" applyNumberFormat="1" applyFont="1" applyFill="1" applyBorder="1" applyAlignment="1">
      <alignment horizontal="center" vertical="center"/>
    </xf>
    <xf numFmtId="0" fontId="88" fillId="0" borderId="0" xfId="0" applyFont="1" applyAlignment="1">
      <alignment horizontal="center" vertical="center"/>
    </xf>
    <xf numFmtId="0" fontId="103" fillId="2" borderId="0" xfId="2" applyFont="1" applyFill="1"/>
    <xf numFmtId="0" fontId="103" fillId="2" borderId="0" xfId="2" applyFont="1" applyFill="1" applyAlignment="1">
      <alignment horizontal="center" vertical="center"/>
    </xf>
    <xf numFmtId="0" fontId="89" fillId="0" borderId="0" xfId="2" applyFont="1"/>
    <xf numFmtId="170" fontId="89" fillId="0" borderId="0" xfId="1" applyNumberFormat="1" applyFont="1" applyAlignment="1">
      <alignment horizontal="center" vertical="center"/>
    </xf>
    <xf numFmtId="170" fontId="89" fillId="0" borderId="0" xfId="0" applyNumberFormat="1" applyFont="1" applyAlignment="1">
      <alignment horizontal="center" vertical="center"/>
    </xf>
    <xf numFmtId="170" fontId="88" fillId="0" borderId="0" xfId="1" applyNumberFormat="1" applyFont="1" applyAlignment="1">
      <alignment horizontal="center" vertical="center"/>
    </xf>
    <xf numFmtId="10" fontId="88" fillId="0" borderId="0" xfId="0" applyNumberFormat="1" applyFont="1" applyAlignment="1">
      <alignment horizontal="center" vertical="center"/>
    </xf>
    <xf numFmtId="175" fontId="61" fillId="0" borderId="2" xfId="0" applyNumberFormat="1" applyFont="1" applyBorder="1"/>
    <xf numFmtId="0" fontId="78" fillId="3" borderId="2" xfId="0" applyFont="1" applyFill="1" applyBorder="1" applyAlignment="1">
      <alignment horizontal="right"/>
    </xf>
    <xf numFmtId="175" fontId="61" fillId="3" borderId="2" xfId="0" applyNumberFormat="1" applyFont="1" applyFill="1" applyBorder="1"/>
    <xf numFmtId="175" fontId="73" fillId="0" borderId="2" xfId="0" applyNumberFormat="1" applyFont="1" applyBorder="1"/>
    <xf numFmtId="0" fontId="55" fillId="0" borderId="0" xfId="0" applyFont="1" applyAlignment="1">
      <alignment horizontal="center" vertical="center" wrapText="1"/>
    </xf>
    <xf numFmtId="0" fontId="12" fillId="2" borderId="60" xfId="0" applyFont="1" applyFill="1" applyBorder="1" applyAlignment="1">
      <alignment horizontal="center" vertical="center" wrapText="1"/>
    </xf>
    <xf numFmtId="171" fontId="94" fillId="17" borderId="61" xfId="3" applyNumberFormat="1" applyFont="1" applyFill="1" applyBorder="1" applyAlignment="1">
      <alignment horizontal="center" vertical="center"/>
    </xf>
    <xf numFmtId="165" fontId="95" fillId="0" borderId="62" xfId="0" applyNumberFormat="1" applyFont="1" applyBorder="1" applyAlignment="1">
      <alignment horizontal="center" vertical="center"/>
    </xf>
    <xf numFmtId="0" fontId="64" fillId="8" borderId="0" xfId="0" applyFont="1" applyFill="1"/>
    <xf numFmtId="0" fontId="64" fillId="0" borderId="0" xfId="0" applyFont="1"/>
    <xf numFmtId="0" fontId="6" fillId="0" borderId="0" xfId="2" applyFont="1"/>
    <xf numFmtId="0" fontId="6" fillId="0" borderId="0" xfId="2" applyFont="1" applyAlignment="1">
      <alignment horizontal="center" vertical="center"/>
    </xf>
    <xf numFmtId="175" fontId="73" fillId="3" borderId="2" xfId="0" applyNumberFormat="1" applyFont="1" applyFill="1" applyBorder="1"/>
    <xf numFmtId="170" fontId="99" fillId="0" borderId="0" xfId="0" applyNumberFormat="1" applyFont="1" applyAlignment="1">
      <alignment horizontal="center" vertical="center"/>
    </xf>
    <xf numFmtId="175" fontId="104" fillId="8" borderId="0" xfId="1" applyNumberFormat="1" applyFont="1" applyFill="1" applyAlignment="1">
      <alignment horizontal="center" vertical="center"/>
    </xf>
    <xf numFmtId="3" fontId="61" fillId="0" borderId="32" xfId="3" applyNumberFormat="1" applyFont="1" applyBorder="1" applyAlignment="1">
      <alignment vertical="center"/>
    </xf>
    <xf numFmtId="3" fontId="61" fillId="0" borderId="33" xfId="3" applyNumberFormat="1" applyFont="1" applyBorder="1" applyAlignment="1">
      <alignment vertical="center"/>
    </xf>
    <xf numFmtId="3" fontId="61" fillId="0" borderId="35" xfId="3" applyNumberFormat="1" applyFont="1" applyBorder="1" applyAlignment="1">
      <alignment vertical="center"/>
    </xf>
    <xf numFmtId="3" fontId="61" fillId="17" borderId="14" xfId="3" applyNumberFormat="1" applyFont="1" applyFill="1" applyBorder="1" applyAlignment="1">
      <alignment vertical="center"/>
    </xf>
    <xf numFmtId="165" fontId="73" fillId="17" borderId="14" xfId="10" applyFont="1" applyFill="1" applyBorder="1" applyAlignment="1">
      <alignment vertical="center"/>
    </xf>
    <xf numFmtId="0" fontId="61" fillId="19" borderId="0" xfId="0" applyFont="1" applyFill="1" applyAlignment="1">
      <alignment vertical="center"/>
    </xf>
    <xf numFmtId="169" fontId="78" fillId="0" borderId="0" xfId="0" applyNumberFormat="1" applyFont="1" applyAlignment="1">
      <alignment vertical="center"/>
    </xf>
    <xf numFmtId="169" fontId="61" fillId="0" borderId="0" xfId="0" applyNumberFormat="1" applyFont="1" applyAlignment="1">
      <alignment vertical="center"/>
    </xf>
    <xf numFmtId="169" fontId="61" fillId="19" borderId="0" xfId="0" applyNumberFormat="1" applyFont="1" applyFill="1" applyAlignment="1">
      <alignment vertical="center"/>
    </xf>
    <xf numFmtId="169" fontId="76" fillId="0" borderId="0" xfId="0" applyNumberFormat="1" applyFont="1" applyAlignment="1">
      <alignment vertical="center"/>
    </xf>
    <xf numFmtId="0" fontId="89" fillId="0" borderId="0" xfId="2" applyFont="1" applyAlignment="1">
      <alignment vertical="center"/>
    </xf>
    <xf numFmtId="9" fontId="73" fillId="21" borderId="41" xfId="1" applyFont="1" applyFill="1" applyBorder="1" applyAlignment="1">
      <alignment horizontal="center" vertical="center" wrapText="1"/>
    </xf>
    <xf numFmtId="165" fontId="73" fillId="0" borderId="0" xfId="10" applyFont="1" applyAlignment="1">
      <alignment vertical="center"/>
    </xf>
    <xf numFmtId="0" fontId="61" fillId="21" borderId="2" xfId="0" applyFont="1" applyFill="1" applyBorder="1" applyAlignment="1">
      <alignment horizontal="center" vertical="center"/>
    </xf>
    <xf numFmtId="0" fontId="61" fillId="21" borderId="42" xfId="0" applyFont="1" applyFill="1" applyBorder="1" applyAlignment="1">
      <alignment horizontal="center" vertical="center"/>
    </xf>
    <xf numFmtId="0" fontId="78" fillId="21" borderId="20" xfId="0" applyFont="1" applyFill="1" applyBorder="1" applyAlignment="1">
      <alignment horizontal="center" vertical="center"/>
    </xf>
    <xf numFmtId="165" fontId="73" fillId="21" borderId="2" xfId="10" applyFont="1" applyFill="1" applyBorder="1" applyAlignment="1">
      <alignment vertical="center"/>
    </xf>
    <xf numFmtId="165" fontId="73" fillId="21" borderId="42" xfId="10" applyFont="1" applyFill="1" applyBorder="1" applyAlignment="1">
      <alignment vertical="center"/>
    </xf>
    <xf numFmtId="165" fontId="76" fillId="21" borderId="20" xfId="10" applyFont="1" applyFill="1" applyBorder="1" applyAlignment="1">
      <alignment vertical="center"/>
    </xf>
    <xf numFmtId="173" fontId="105" fillId="0" borderId="2" xfId="0" applyNumberFormat="1" applyFont="1" applyBorder="1" applyAlignment="1">
      <alignment vertical="center"/>
    </xf>
    <xf numFmtId="173" fontId="105" fillId="0" borderId="16" xfId="0" applyNumberFormat="1" applyFont="1" applyBorder="1" applyAlignment="1">
      <alignment vertical="center"/>
    </xf>
    <xf numFmtId="170" fontId="105" fillId="0" borderId="2" xfId="0" applyNumberFormat="1" applyFont="1" applyBorder="1" applyAlignment="1">
      <alignment horizontal="center"/>
    </xf>
    <xf numFmtId="173" fontId="105" fillId="3" borderId="2" xfId="0" applyNumberFormat="1" applyFont="1" applyFill="1" applyBorder="1" applyAlignment="1">
      <alignment vertical="center"/>
    </xf>
    <xf numFmtId="173" fontId="105" fillId="3" borderId="16" xfId="0" applyNumberFormat="1" applyFont="1" applyFill="1" applyBorder="1" applyAlignment="1">
      <alignment vertical="center"/>
    </xf>
    <xf numFmtId="170" fontId="105" fillId="3" borderId="2" xfId="0" applyNumberFormat="1" applyFont="1" applyFill="1" applyBorder="1" applyAlignment="1">
      <alignment horizontal="center"/>
    </xf>
    <xf numFmtId="10" fontId="96" fillId="0" borderId="9" xfId="1" applyNumberFormat="1" applyFont="1" applyBorder="1"/>
    <xf numFmtId="0" fontId="108" fillId="2" borderId="14" xfId="0" applyFont="1" applyFill="1" applyBorder="1" applyAlignment="1">
      <alignment horizontal="center" vertical="center" wrapText="1"/>
    </xf>
    <xf numFmtId="165" fontId="99" fillId="21" borderId="37" xfId="10" applyFont="1" applyFill="1" applyBorder="1" applyAlignment="1">
      <alignment horizontal="center"/>
    </xf>
    <xf numFmtId="165" fontId="99" fillId="21" borderId="58" xfId="10" applyFont="1" applyFill="1" applyBorder="1" applyAlignment="1">
      <alignment horizontal="center"/>
    </xf>
    <xf numFmtId="165" fontId="99" fillId="21" borderId="57" xfId="10" applyFont="1" applyFill="1" applyBorder="1" applyAlignment="1">
      <alignment horizontal="center"/>
    </xf>
    <xf numFmtId="169" fontId="73" fillId="17" borderId="13" xfId="3" applyNumberFormat="1" applyFont="1" applyFill="1" applyBorder="1"/>
    <xf numFmtId="9" fontId="0" fillId="0" borderId="0" xfId="1" applyFont="1"/>
    <xf numFmtId="0" fontId="46" fillId="18" borderId="0" xfId="0" applyFont="1" applyFill="1"/>
    <xf numFmtId="0" fontId="107" fillId="18" borderId="37" xfId="0" applyFont="1" applyFill="1" applyBorder="1" applyAlignment="1">
      <alignment vertical="center" wrapText="1"/>
    </xf>
    <xf numFmtId="0" fontId="107" fillId="18" borderId="37" xfId="0" applyFont="1" applyFill="1" applyBorder="1" applyAlignment="1">
      <alignment horizontal="center" vertical="center" wrapText="1"/>
    </xf>
    <xf numFmtId="3" fontId="107" fillId="18" borderId="37" xfId="3367" applyNumberFormat="1" applyFont="1" applyFill="1" applyBorder="1" applyAlignment="1">
      <alignment horizontal="center" vertical="center" wrapText="1"/>
    </xf>
    <xf numFmtId="179" fontId="107" fillId="18" borderId="37" xfId="0" applyNumberFormat="1" applyFont="1" applyFill="1" applyBorder="1" applyAlignment="1">
      <alignment horizontal="center" vertical="center" wrapText="1"/>
    </xf>
    <xf numFmtId="1" fontId="107" fillId="18" borderId="37" xfId="0" applyNumberFormat="1" applyFont="1" applyFill="1" applyBorder="1" applyAlignment="1">
      <alignment horizontal="center" vertical="center" wrapText="1"/>
    </xf>
    <xf numFmtId="165" fontId="107" fillId="18" borderId="37" xfId="10" applyFont="1" applyFill="1" applyBorder="1" applyAlignment="1">
      <alignment vertical="center" wrapText="1"/>
    </xf>
    <xf numFmtId="178" fontId="107" fillId="18" borderId="37" xfId="10" applyNumberFormat="1" applyFont="1" applyFill="1" applyBorder="1" applyAlignment="1">
      <alignment vertical="center" wrapText="1"/>
    </xf>
    <xf numFmtId="170" fontId="107" fillId="18" borderId="37" xfId="1" applyNumberFormat="1" applyFont="1" applyFill="1" applyBorder="1" applyAlignment="1">
      <alignment horizontal="center" vertical="center" wrapText="1"/>
    </xf>
    <xf numFmtId="176" fontId="107" fillId="18" borderId="37" xfId="3367" applyNumberFormat="1" applyFont="1" applyFill="1" applyBorder="1" applyAlignment="1">
      <alignment horizontal="center" vertical="center" wrapText="1"/>
    </xf>
    <xf numFmtId="0" fontId="64" fillId="18" borderId="37" xfId="0" applyFont="1" applyFill="1" applyBorder="1"/>
    <xf numFmtId="10" fontId="107" fillId="18" borderId="37" xfId="0" applyNumberFormat="1" applyFont="1" applyFill="1" applyBorder="1" applyAlignment="1">
      <alignment horizontal="center" vertical="center" wrapText="1"/>
    </xf>
    <xf numFmtId="0" fontId="83" fillId="2" borderId="0" xfId="0" applyFont="1" applyFill="1" applyAlignment="1">
      <alignment horizontal="center" vertical="center" wrapText="1"/>
    </xf>
    <xf numFmtId="0" fontId="107" fillId="18" borderId="64" xfId="0" applyFont="1" applyFill="1" applyBorder="1" applyAlignment="1">
      <alignment horizontal="center" vertical="center" wrapText="1"/>
    </xf>
    <xf numFmtId="0" fontId="107" fillId="18" borderId="65" xfId="0" applyFont="1" applyFill="1" applyBorder="1" applyAlignment="1">
      <alignment horizontal="center" vertical="center" wrapText="1"/>
    </xf>
    <xf numFmtId="9" fontId="107" fillId="18" borderId="37" xfId="0" applyNumberFormat="1" applyFont="1" applyFill="1" applyBorder="1" applyAlignment="1">
      <alignment horizontal="center" vertical="center" wrapText="1"/>
    </xf>
    <xf numFmtId="182" fontId="62" fillId="0" borderId="37" xfId="10" applyNumberFormat="1" applyFont="1" applyBorder="1" applyAlignment="1">
      <alignment horizontal="center" vertical="center"/>
    </xf>
    <xf numFmtId="183" fontId="62" fillId="0" borderId="37" xfId="10" applyNumberFormat="1" applyFont="1" applyBorder="1" applyAlignment="1">
      <alignment horizontal="center" vertical="center"/>
    </xf>
    <xf numFmtId="184" fontId="62" fillId="0" borderId="37" xfId="10" applyNumberFormat="1" applyFont="1" applyBorder="1" applyAlignment="1">
      <alignment horizontal="center" vertical="center"/>
    </xf>
    <xf numFmtId="185" fontId="62" fillId="0" borderId="37" xfId="10" applyNumberFormat="1" applyFont="1" applyBorder="1" applyAlignment="1">
      <alignment horizontal="center" vertical="center"/>
    </xf>
    <xf numFmtId="182" fontId="107" fillId="18" borderId="37" xfId="10" applyNumberFormat="1" applyFont="1" applyFill="1" applyBorder="1" applyAlignment="1">
      <alignment horizontal="center" vertical="center"/>
    </xf>
    <xf numFmtId="183" fontId="107" fillId="18" borderId="37" xfId="10" applyNumberFormat="1" applyFont="1" applyFill="1" applyBorder="1" applyAlignment="1">
      <alignment horizontal="center" vertical="center"/>
    </xf>
    <xf numFmtId="184" fontId="107" fillId="18" borderId="37" xfId="10" applyNumberFormat="1" applyFont="1" applyFill="1" applyBorder="1" applyAlignment="1">
      <alignment horizontal="center" vertical="center"/>
    </xf>
    <xf numFmtId="185" fontId="107" fillId="18" borderId="37" xfId="10" applyNumberFormat="1" applyFont="1" applyFill="1" applyBorder="1" applyAlignment="1">
      <alignment horizontal="center" vertical="center"/>
    </xf>
    <xf numFmtId="183" fontId="107" fillId="18" borderId="37" xfId="10" applyNumberFormat="1" applyFont="1" applyFill="1" applyBorder="1" applyAlignment="1">
      <alignment horizontal="center" vertical="center" wrapText="1"/>
    </xf>
    <xf numFmtId="186" fontId="107" fillId="18" borderId="37" xfId="10" applyNumberFormat="1" applyFont="1" applyFill="1" applyBorder="1" applyAlignment="1">
      <alignment vertical="center" wrapText="1"/>
    </xf>
    <xf numFmtId="187" fontId="107" fillId="18" borderId="37" xfId="10" applyNumberFormat="1" applyFont="1" applyFill="1" applyBorder="1" applyAlignment="1">
      <alignment vertical="center" wrapText="1"/>
    </xf>
    <xf numFmtId="175" fontId="7" fillId="0" borderId="0" xfId="0" applyNumberFormat="1" applyFont="1" applyAlignment="1">
      <alignment horizontal="center" vertical="center"/>
    </xf>
    <xf numFmtId="0" fontId="106" fillId="0" borderId="0" xfId="0" applyFont="1" applyAlignment="1">
      <alignment horizontal="center" vertical="center" wrapText="1"/>
    </xf>
    <xf numFmtId="0" fontId="76" fillId="0" borderId="2" xfId="0" applyFont="1" applyBorder="1" applyAlignment="1">
      <alignment horizontal="right"/>
    </xf>
    <xf numFmtId="17" fontId="76" fillId="3" borderId="2" xfId="0" applyNumberFormat="1" applyFont="1" applyFill="1" applyBorder="1"/>
    <xf numFmtId="173" fontId="4" fillId="0" borderId="0" xfId="0" applyNumberFormat="1" applyFont="1"/>
    <xf numFmtId="165" fontId="62" fillId="0" borderId="0" xfId="10" applyFont="1" applyBorder="1" applyAlignment="1">
      <alignment horizontal="center" vertical="center"/>
    </xf>
    <xf numFmtId="0" fontId="55" fillId="0" borderId="0" xfId="0" applyFont="1" applyAlignment="1">
      <alignment horizontal="center" vertical="center"/>
    </xf>
    <xf numFmtId="3" fontId="55" fillId="0" borderId="0" xfId="3367" applyNumberFormat="1" applyFont="1" applyAlignment="1">
      <alignment horizontal="center" vertical="center"/>
    </xf>
    <xf numFmtId="3" fontId="55" fillId="0" borderId="0" xfId="3367" applyNumberFormat="1" applyFont="1" applyAlignment="1">
      <alignment horizontal="center" vertical="center" wrapText="1"/>
    </xf>
    <xf numFmtId="179" fontId="55" fillId="0" borderId="0" xfId="0" applyNumberFormat="1" applyFont="1" applyAlignment="1">
      <alignment horizontal="center" vertical="center"/>
    </xf>
    <xf numFmtId="1" fontId="55" fillId="0" borderId="0" xfId="0" applyNumberFormat="1" applyFont="1" applyAlignment="1">
      <alignment horizontal="center" vertical="center"/>
    </xf>
    <xf numFmtId="174" fontId="55" fillId="0" borderId="0" xfId="10" applyNumberFormat="1" applyFont="1" applyFill="1" applyBorder="1" applyAlignment="1">
      <alignment vertical="center"/>
    </xf>
    <xf numFmtId="180" fontId="55" fillId="0" borderId="0" xfId="10" applyNumberFormat="1" applyFont="1" applyFill="1" applyBorder="1" applyAlignment="1">
      <alignment vertical="center"/>
    </xf>
    <xf numFmtId="165" fontId="55" fillId="0" borderId="0" xfId="10" applyFont="1" applyFill="1" applyBorder="1" applyAlignment="1">
      <alignment vertical="center"/>
    </xf>
    <xf numFmtId="178" fontId="55" fillId="0" borderId="0" xfId="10" applyNumberFormat="1" applyFont="1" applyFill="1" applyBorder="1" applyAlignment="1">
      <alignment vertical="center"/>
    </xf>
    <xf numFmtId="170" fontId="55" fillId="0" borderId="0" xfId="1" applyNumberFormat="1" applyFont="1" applyFill="1" applyBorder="1" applyAlignment="1">
      <alignment horizontal="center" vertical="center"/>
    </xf>
    <xf numFmtId="179" fontId="55" fillId="0" borderId="0" xfId="0" applyNumberFormat="1" applyFont="1" applyAlignment="1">
      <alignment horizontal="center" vertical="center" wrapText="1"/>
    </xf>
    <xf numFmtId="1" fontId="55" fillId="0" borderId="0" xfId="0" applyNumberFormat="1" applyFont="1" applyAlignment="1">
      <alignment horizontal="center" vertical="center" wrapText="1"/>
    </xf>
    <xf numFmtId="174" fontId="55" fillId="0" borderId="0" xfId="10" applyNumberFormat="1" applyFont="1" applyFill="1" applyBorder="1" applyAlignment="1">
      <alignment vertical="center" wrapText="1"/>
    </xf>
    <xf numFmtId="180" fontId="55" fillId="0" borderId="0" xfId="10" applyNumberFormat="1" applyFont="1" applyFill="1" applyBorder="1" applyAlignment="1">
      <alignment vertical="center" wrapText="1"/>
    </xf>
    <xf numFmtId="165" fontId="55" fillId="0" borderId="0" xfId="10" applyFont="1" applyFill="1" applyBorder="1" applyAlignment="1">
      <alignment vertical="center" wrapText="1"/>
    </xf>
    <xf numFmtId="178" fontId="55" fillId="0" borderId="0" xfId="10" applyNumberFormat="1" applyFont="1" applyFill="1" applyBorder="1" applyAlignment="1">
      <alignment vertical="center" wrapText="1"/>
    </xf>
    <xf numFmtId="170" fontId="55" fillId="0" borderId="0" xfId="1" applyNumberFormat="1" applyFont="1" applyFill="1" applyBorder="1" applyAlignment="1">
      <alignment horizontal="center" vertical="center" wrapText="1"/>
    </xf>
    <xf numFmtId="0" fontId="55" fillId="8" borderId="43" xfId="0" applyFont="1" applyFill="1" applyBorder="1" applyAlignment="1">
      <alignment vertical="center" wrapText="1"/>
    </xf>
    <xf numFmtId="181" fontId="107" fillId="18" borderId="37" xfId="10" applyNumberFormat="1" applyFont="1" applyFill="1" applyBorder="1" applyAlignment="1">
      <alignment vertical="center" wrapText="1"/>
    </xf>
    <xf numFmtId="4" fontId="12" fillId="2" borderId="66" xfId="0" applyNumberFormat="1" applyFont="1" applyFill="1" applyBorder="1" applyAlignment="1">
      <alignment horizontal="center" vertical="center" wrapText="1"/>
    </xf>
    <xf numFmtId="3" fontId="73" fillId="0" borderId="32" xfId="3" applyNumberFormat="1" applyFont="1" applyBorder="1" applyAlignment="1">
      <alignment vertical="center"/>
    </xf>
    <xf numFmtId="0" fontId="109" fillId="0" borderId="0" xfId="0" applyFont="1" applyAlignment="1">
      <alignment horizontal="center" vertical="center" wrapText="1"/>
    </xf>
    <xf numFmtId="170" fontId="99" fillId="21" borderId="37" xfId="1" applyNumberFormat="1" applyFont="1" applyFill="1" applyBorder="1" applyAlignment="1">
      <alignment horizontal="right"/>
    </xf>
    <xf numFmtId="170" fontId="99" fillId="21" borderId="58" xfId="1" applyNumberFormat="1" applyFont="1" applyFill="1" applyBorder="1" applyAlignment="1">
      <alignment horizontal="right"/>
    </xf>
    <xf numFmtId="170" fontId="99" fillId="21" borderId="57" xfId="1" applyNumberFormat="1" applyFont="1" applyFill="1" applyBorder="1" applyAlignment="1">
      <alignment horizontal="right"/>
    </xf>
    <xf numFmtId="170" fontId="99" fillId="21" borderId="37" xfId="1" applyNumberFormat="1" applyFont="1" applyFill="1" applyBorder="1"/>
    <xf numFmtId="175" fontId="99" fillId="21" borderId="37" xfId="0" applyNumberFormat="1" applyFont="1" applyFill="1" applyBorder="1"/>
    <xf numFmtId="175" fontId="99" fillId="21" borderId="58" xfId="0" applyNumberFormat="1" applyFont="1" applyFill="1" applyBorder="1"/>
    <xf numFmtId="175" fontId="102" fillId="21" borderId="57" xfId="0" applyNumberFormat="1" applyFont="1" applyFill="1" applyBorder="1"/>
    <xf numFmtId="170" fontId="99" fillId="21" borderId="37" xfId="0" applyNumberFormat="1" applyFont="1" applyFill="1" applyBorder="1" applyAlignment="1">
      <alignment vertical="center"/>
    </xf>
    <xf numFmtId="170" fontId="99" fillId="21" borderId="58" xfId="0" applyNumberFormat="1" applyFont="1" applyFill="1" applyBorder="1" applyAlignment="1">
      <alignment vertical="center"/>
    </xf>
    <xf numFmtId="170" fontId="89" fillId="21" borderId="37" xfId="1" applyNumberFormat="1" applyFont="1" applyFill="1" applyBorder="1" applyAlignment="1">
      <alignment vertical="center"/>
    </xf>
    <xf numFmtId="0" fontId="73" fillId="21" borderId="63" xfId="0" applyFont="1" applyFill="1" applyBorder="1" applyAlignment="1">
      <alignment horizontal="center" vertical="center" wrapText="1"/>
    </xf>
    <xf numFmtId="4" fontId="73" fillId="21" borderId="63" xfId="0" applyNumberFormat="1" applyFont="1" applyFill="1" applyBorder="1" applyAlignment="1">
      <alignment horizontal="center" vertical="center" wrapText="1"/>
    </xf>
    <xf numFmtId="0" fontId="73" fillId="21" borderId="63" xfId="0" applyFont="1" applyFill="1" applyBorder="1" applyAlignment="1">
      <alignment vertical="center" wrapText="1"/>
    </xf>
    <xf numFmtId="0" fontId="73" fillId="3" borderId="63" xfId="0" applyFont="1" applyFill="1" applyBorder="1" applyAlignment="1">
      <alignment horizontal="center" vertical="center" wrapText="1"/>
    </xf>
    <xf numFmtId="0" fontId="73" fillId="3" borderId="63" xfId="0" applyFont="1" applyFill="1" applyBorder="1" applyAlignment="1">
      <alignment vertical="center" wrapText="1"/>
    </xf>
    <xf numFmtId="4" fontId="73" fillId="3" borderId="63" xfId="0" applyNumberFormat="1" applyFont="1" applyFill="1" applyBorder="1" applyAlignment="1">
      <alignment horizontal="center" vertical="center" wrapText="1"/>
    </xf>
    <xf numFmtId="171" fontId="105" fillId="17" borderId="55" xfId="3" applyNumberFormat="1" applyFont="1" applyFill="1" applyBorder="1" applyAlignment="1">
      <alignment horizontal="center" vertical="center"/>
    </xf>
    <xf numFmtId="169" fontId="105" fillId="17" borderId="13" xfId="3" applyNumberFormat="1" applyFont="1" applyFill="1" applyBorder="1"/>
    <xf numFmtId="170" fontId="73" fillId="21" borderId="2" xfId="1" applyNumberFormat="1" applyFont="1" applyFill="1" applyBorder="1" applyAlignment="1">
      <alignment vertical="center"/>
    </xf>
    <xf numFmtId="170" fontId="73" fillId="21" borderId="42" xfId="1" applyNumberFormat="1" applyFont="1" applyFill="1" applyBorder="1" applyAlignment="1">
      <alignment vertical="center"/>
    </xf>
    <xf numFmtId="180" fontId="7" fillId="0" borderId="0" xfId="10" applyNumberFormat="1" applyFont="1" applyAlignment="1">
      <alignment horizontal="center"/>
    </xf>
    <xf numFmtId="170" fontId="73" fillId="3" borderId="38" xfId="1" applyNumberFormat="1" applyFont="1" applyFill="1" applyBorder="1" applyAlignment="1">
      <alignment horizontal="center" vertical="center" wrapText="1"/>
    </xf>
    <xf numFmtId="0" fontId="111" fillId="0" borderId="0" xfId="0" applyFont="1"/>
    <xf numFmtId="0" fontId="112" fillId="0" borderId="0" xfId="0" applyFont="1"/>
    <xf numFmtId="0" fontId="49" fillId="0" borderId="0" xfId="0" applyFont="1"/>
    <xf numFmtId="0" fontId="113" fillId="0" borderId="0" xfId="0" applyFont="1"/>
    <xf numFmtId="0" fontId="114" fillId="0" borderId="0" xfId="0" applyFont="1"/>
    <xf numFmtId="0" fontId="66" fillId="18" borderId="0" xfId="0" applyFont="1" applyFill="1"/>
    <xf numFmtId="0" fontId="66" fillId="0" borderId="0" xfId="0" applyFont="1"/>
    <xf numFmtId="0" fontId="115" fillId="0" borderId="0" xfId="0" applyFont="1" applyAlignment="1">
      <alignment vertical="center"/>
    </xf>
    <xf numFmtId="0" fontId="116" fillId="0" borderId="0" xfId="0" applyFont="1" applyAlignment="1">
      <alignment vertical="center"/>
    </xf>
    <xf numFmtId="0" fontId="3" fillId="0" borderId="0" xfId="0" applyFont="1" applyAlignment="1">
      <alignment horizontal="left" vertical="center" indent="1"/>
    </xf>
    <xf numFmtId="0" fontId="3" fillId="0" borderId="0" xfId="0" quotePrefix="1" applyFont="1" applyAlignment="1">
      <alignment horizontal="left" vertical="center" indent="2"/>
    </xf>
    <xf numFmtId="0" fontId="118" fillId="0" borderId="0" xfId="0" applyFont="1"/>
    <xf numFmtId="0" fontId="117" fillId="0" borderId="0" xfId="0" quotePrefix="1" applyFont="1" applyAlignment="1">
      <alignment horizontal="left" vertical="center" indent="2"/>
    </xf>
    <xf numFmtId="0" fontId="119" fillId="0" borderId="0" xfId="0" applyFont="1" applyAlignment="1">
      <alignment horizontal="left" vertical="center" indent="7" readingOrder="1"/>
    </xf>
    <xf numFmtId="0" fontId="120" fillId="0" borderId="0" xfId="0" applyFont="1" applyAlignment="1">
      <alignment vertical="center"/>
    </xf>
    <xf numFmtId="0" fontId="118" fillId="18" borderId="0" xfId="0" applyFont="1" applyFill="1"/>
    <xf numFmtId="0" fontId="3" fillId="0" borderId="0" xfId="0" applyFont="1"/>
    <xf numFmtId="0" fontId="121" fillId="0" borderId="0" xfId="0" applyFont="1"/>
    <xf numFmtId="0" fontId="122" fillId="0" borderId="0" xfId="0" applyFont="1"/>
    <xf numFmtId="0" fontId="117" fillId="0" borderId="0" xfId="0" applyFont="1"/>
    <xf numFmtId="0" fontId="123" fillId="0" borderId="0" xfId="0" applyFont="1"/>
    <xf numFmtId="0" fontId="48" fillId="0" borderId="0" xfId="0" applyFont="1"/>
    <xf numFmtId="0" fontId="3" fillId="0" borderId="0" xfId="0" applyFont="1" applyAlignment="1">
      <alignment horizontal="left" vertical="center" indent="2"/>
    </xf>
    <xf numFmtId="0" fontId="123" fillId="0" borderId="0" xfId="0" quotePrefix="1" applyFont="1" applyAlignment="1">
      <alignment horizontal="left" vertical="center" indent="2"/>
    </xf>
    <xf numFmtId="0" fontId="0" fillId="18" borderId="0" xfId="0" applyFill="1"/>
    <xf numFmtId="0" fontId="117" fillId="0" borderId="0" xfId="0" applyFont="1" applyAlignment="1">
      <alignment horizontal="left" vertical="center" indent="1"/>
    </xf>
    <xf numFmtId="43" fontId="0" fillId="0" borderId="0" xfId="0" applyNumberFormat="1"/>
    <xf numFmtId="170" fontId="4" fillId="0" borderId="0" xfId="0" applyNumberFormat="1" applyFont="1"/>
    <xf numFmtId="170" fontId="4" fillId="0" borderId="0" xfId="1" applyNumberFormat="1" applyFont="1" applyAlignment="1">
      <alignment vertical="center"/>
    </xf>
    <xf numFmtId="3" fontId="55" fillId="8" borderId="37" xfId="3367" applyNumberFormat="1" applyFont="1" applyFill="1" applyBorder="1" applyAlignment="1">
      <alignment horizontal="center" vertical="center" wrapText="1"/>
    </xf>
    <xf numFmtId="179" fontId="55" fillId="8" borderId="37" xfId="0" applyNumberFormat="1" applyFont="1" applyFill="1" applyBorder="1" applyAlignment="1">
      <alignment horizontal="center" vertical="center" wrapText="1"/>
    </xf>
    <xf numFmtId="1" fontId="55" fillId="8" borderId="37" xfId="0" applyNumberFormat="1" applyFont="1" applyFill="1" applyBorder="1" applyAlignment="1">
      <alignment horizontal="center" vertical="center" wrapText="1"/>
    </xf>
    <xf numFmtId="182" fontId="55" fillId="8" borderId="37" xfId="10" applyNumberFormat="1" applyFont="1" applyFill="1" applyBorder="1" applyAlignment="1">
      <alignment horizontal="center" vertical="center"/>
    </xf>
    <xf numFmtId="183" fontId="55" fillId="8" borderId="37" xfId="10" applyNumberFormat="1" applyFont="1" applyFill="1" applyBorder="1" applyAlignment="1">
      <alignment horizontal="center" vertical="center"/>
    </xf>
    <xf numFmtId="183" fontId="55" fillId="8" borderId="37" xfId="10" applyNumberFormat="1" applyFont="1" applyFill="1" applyBorder="1" applyAlignment="1">
      <alignment horizontal="center" vertical="center" wrapText="1"/>
    </xf>
    <xf numFmtId="184" fontId="55" fillId="8" borderId="37" xfId="10" applyNumberFormat="1" applyFont="1" applyFill="1" applyBorder="1" applyAlignment="1">
      <alignment horizontal="center" vertical="center"/>
    </xf>
    <xf numFmtId="185" fontId="55" fillId="8" borderId="37" xfId="10" applyNumberFormat="1" applyFont="1" applyFill="1" applyBorder="1" applyAlignment="1">
      <alignment horizontal="center" vertical="center"/>
    </xf>
    <xf numFmtId="186" fontId="55" fillId="8" borderId="37" xfId="10" applyNumberFormat="1" applyFont="1" applyFill="1" applyBorder="1" applyAlignment="1">
      <alignment vertical="center" wrapText="1"/>
    </xf>
    <xf numFmtId="187" fontId="55" fillId="8" borderId="37" xfId="10" applyNumberFormat="1" applyFont="1" applyFill="1" applyBorder="1" applyAlignment="1">
      <alignment vertical="center" wrapText="1"/>
    </xf>
    <xf numFmtId="165" fontId="55" fillId="8" borderId="37" xfId="10" applyFont="1" applyFill="1" applyBorder="1" applyAlignment="1">
      <alignment vertical="center" wrapText="1"/>
    </xf>
    <xf numFmtId="178" fontId="55" fillId="8" borderId="37" xfId="10" applyNumberFormat="1" applyFont="1" applyFill="1" applyBorder="1" applyAlignment="1">
      <alignment vertical="center" wrapText="1"/>
    </xf>
    <xf numFmtId="181" fontId="55" fillId="8" borderId="37" xfId="10" applyNumberFormat="1" applyFont="1" applyFill="1" applyBorder="1" applyAlignment="1">
      <alignment vertical="center" wrapText="1"/>
    </xf>
    <xf numFmtId="0" fontId="55" fillId="8" borderId="64" xfId="0" applyFont="1" applyFill="1" applyBorder="1" applyAlignment="1">
      <alignment horizontal="center" vertical="center" wrapText="1"/>
    </xf>
    <xf numFmtId="9" fontId="55" fillId="8" borderId="37" xfId="0" applyNumberFormat="1" applyFont="1" applyFill="1" applyBorder="1" applyAlignment="1">
      <alignment horizontal="center" vertical="center" wrapText="1"/>
    </xf>
    <xf numFmtId="10" fontId="55" fillId="8" borderId="37" xfId="0" applyNumberFormat="1" applyFont="1" applyFill="1" applyBorder="1" applyAlignment="1">
      <alignment horizontal="center" vertical="center" wrapText="1"/>
    </xf>
    <xf numFmtId="0" fontId="55" fillId="8" borderId="65" xfId="0" applyFont="1" applyFill="1" applyBorder="1" applyAlignment="1">
      <alignment horizontal="center" vertical="center" wrapText="1"/>
    </xf>
    <xf numFmtId="0" fontId="46" fillId="8" borderId="37" xfId="0" applyFont="1" applyFill="1" applyBorder="1"/>
    <xf numFmtId="170" fontId="51" fillId="0" borderId="0" xfId="1" applyNumberFormat="1" applyFont="1" applyAlignment="1">
      <alignment vertical="center" wrapText="1"/>
    </xf>
    <xf numFmtId="170" fontId="90" fillId="0" borderId="0" xfId="1" applyNumberFormat="1" applyFont="1" applyAlignment="1">
      <alignment horizontal="right"/>
    </xf>
    <xf numFmtId="3" fontId="61" fillId="3" borderId="32" xfId="3" applyNumberFormat="1" applyFont="1" applyFill="1" applyBorder="1" applyAlignment="1">
      <alignment vertical="center"/>
    </xf>
    <xf numFmtId="165" fontId="95" fillId="0" borderId="0" xfId="0" applyNumberFormat="1" applyFont="1" applyAlignment="1">
      <alignment horizontal="center" vertical="center"/>
    </xf>
    <xf numFmtId="171" fontId="96" fillId="17" borderId="55" xfId="3" applyNumberFormat="1" applyFont="1" applyFill="1" applyBorder="1" applyAlignment="1">
      <alignment horizontal="center" vertical="center"/>
    </xf>
    <xf numFmtId="0" fontId="73" fillId="3" borderId="68" xfId="0" applyFont="1" applyFill="1" applyBorder="1" applyAlignment="1">
      <alignment horizontal="center"/>
    </xf>
    <xf numFmtId="165" fontId="73" fillId="17" borderId="69" xfId="10" applyFont="1" applyFill="1" applyBorder="1" applyAlignment="1">
      <alignment vertical="center"/>
    </xf>
    <xf numFmtId="0" fontId="73" fillId="0" borderId="70" xfId="0" applyFont="1" applyBorder="1" applyAlignment="1">
      <alignment horizontal="center"/>
    </xf>
    <xf numFmtId="165" fontId="73" fillId="0" borderId="71" xfId="10" applyFont="1" applyBorder="1" applyAlignment="1">
      <alignment vertical="center"/>
    </xf>
    <xf numFmtId="3" fontId="105" fillId="0" borderId="73" xfId="3" applyNumberFormat="1" applyFont="1" applyBorder="1" applyAlignment="1">
      <alignment vertical="center"/>
    </xf>
    <xf numFmtId="165" fontId="105" fillId="0" borderId="74" xfId="10" applyFont="1" applyBorder="1" applyAlignment="1">
      <alignment vertical="center"/>
    </xf>
    <xf numFmtId="0" fontId="61" fillId="3" borderId="76" xfId="0" applyFont="1" applyFill="1" applyBorder="1" applyAlignment="1">
      <alignment horizontal="center"/>
    </xf>
    <xf numFmtId="3" fontId="73" fillId="3" borderId="77" xfId="3" applyNumberFormat="1" applyFont="1" applyFill="1" applyBorder="1" applyAlignment="1">
      <alignment vertical="center"/>
    </xf>
    <xf numFmtId="165" fontId="73" fillId="17" borderId="78" xfId="10" applyFont="1" applyFill="1" applyBorder="1" applyAlignment="1">
      <alignment vertical="center"/>
    </xf>
    <xf numFmtId="165" fontId="27" fillId="0" borderId="0" xfId="10" applyFont="1" applyAlignment="1">
      <alignment horizontal="left" wrapText="1"/>
    </xf>
    <xf numFmtId="4" fontId="73" fillId="21" borderId="67" xfId="0" applyNumberFormat="1" applyFont="1" applyFill="1" applyBorder="1" applyAlignment="1">
      <alignment horizontal="center" vertical="center" wrapText="1"/>
    </xf>
    <xf numFmtId="170" fontId="76" fillId="21" borderId="2" xfId="1" applyNumberFormat="1" applyFont="1" applyFill="1" applyBorder="1" applyAlignment="1">
      <alignment vertical="center"/>
    </xf>
    <xf numFmtId="0" fontId="73" fillId="21" borderId="2" xfId="10" applyNumberFormat="1" applyFont="1" applyFill="1" applyBorder="1" applyAlignment="1">
      <alignment horizontal="center" vertical="center"/>
    </xf>
    <xf numFmtId="0" fontId="73" fillId="21" borderId="42" xfId="10" applyNumberFormat="1" applyFont="1" applyFill="1" applyBorder="1" applyAlignment="1">
      <alignment horizontal="center" vertical="center"/>
    </xf>
    <xf numFmtId="0" fontId="76" fillId="21" borderId="2" xfId="10" applyNumberFormat="1" applyFont="1" applyFill="1" applyBorder="1" applyAlignment="1">
      <alignment horizontal="center" vertical="center"/>
    </xf>
    <xf numFmtId="0" fontId="78" fillId="8" borderId="0" xfId="0" applyFont="1" applyFill="1" applyAlignment="1">
      <alignment horizontal="center" vertical="center"/>
    </xf>
    <xf numFmtId="170" fontId="76" fillId="8" borderId="0" xfId="1" applyNumberFormat="1" applyFont="1" applyFill="1" applyBorder="1" applyAlignment="1">
      <alignment vertical="center"/>
    </xf>
    <xf numFmtId="3" fontId="73" fillId="0" borderId="33" xfId="3" applyNumberFormat="1" applyFont="1" applyBorder="1" applyAlignment="1">
      <alignment vertical="center"/>
    </xf>
    <xf numFmtId="165" fontId="73" fillId="0" borderId="0" xfId="10" applyFont="1" applyBorder="1" applyAlignment="1">
      <alignment vertical="center"/>
    </xf>
    <xf numFmtId="170" fontId="61" fillId="0" borderId="16" xfId="1" applyNumberFormat="1" applyFont="1" applyBorder="1" applyAlignment="1">
      <alignment horizontal="center"/>
    </xf>
    <xf numFmtId="170" fontId="61" fillId="3" borderId="16" xfId="1" applyNumberFormat="1" applyFont="1" applyFill="1" applyBorder="1" applyAlignment="1">
      <alignment horizontal="center"/>
    </xf>
    <xf numFmtId="170" fontId="73" fillId="0" borderId="16" xfId="1" applyNumberFormat="1" applyFont="1" applyBorder="1" applyAlignment="1">
      <alignment horizontal="center"/>
    </xf>
    <xf numFmtId="170" fontId="73" fillId="3" borderId="16" xfId="1" applyNumberFormat="1" applyFont="1" applyFill="1" applyBorder="1" applyAlignment="1">
      <alignment horizontal="center"/>
    </xf>
    <xf numFmtId="0" fontId="76" fillId="3" borderId="2" xfId="0" applyFont="1" applyFill="1" applyBorder="1" applyAlignment="1">
      <alignment horizontal="right"/>
    </xf>
    <xf numFmtId="3" fontId="73" fillId="0" borderId="2" xfId="0" applyNumberFormat="1" applyFont="1" applyBorder="1"/>
    <xf numFmtId="10" fontId="73" fillId="0" borderId="9" xfId="1" applyNumberFormat="1" applyFont="1" applyBorder="1"/>
    <xf numFmtId="0" fontId="7" fillId="2" borderId="0" xfId="0" applyFont="1" applyFill="1" applyAlignment="1">
      <alignment vertical="center" wrapText="1"/>
    </xf>
    <xf numFmtId="175" fontId="104" fillId="0" borderId="0" xfId="0" applyNumberFormat="1" applyFont="1" applyAlignment="1">
      <alignment horizontal="center" vertical="center"/>
    </xf>
    <xf numFmtId="0" fontId="107" fillId="0" borderId="0" xfId="0" applyFont="1" applyAlignment="1">
      <alignment horizontal="left" vertical="center" wrapText="1"/>
    </xf>
    <xf numFmtId="0" fontId="4" fillId="18" borderId="0" xfId="0" applyFont="1" applyFill="1"/>
    <xf numFmtId="0" fontId="97" fillId="18" borderId="37" xfId="0" applyFont="1" applyFill="1" applyBorder="1" applyAlignment="1">
      <alignment horizontal="center" vertical="center"/>
    </xf>
    <xf numFmtId="170" fontId="88" fillId="18" borderId="37" xfId="1" applyNumberFormat="1" applyFont="1" applyFill="1" applyBorder="1" applyAlignment="1">
      <alignment vertical="center"/>
    </xf>
    <xf numFmtId="0" fontId="88" fillId="18" borderId="0" xfId="0" applyFont="1" applyFill="1"/>
    <xf numFmtId="0" fontId="97" fillId="18" borderId="37" xfId="0" applyFont="1" applyFill="1" applyBorder="1" applyAlignment="1">
      <alignment horizontal="center"/>
    </xf>
    <xf numFmtId="9" fontId="88" fillId="18" borderId="37" xfId="1" applyFont="1" applyFill="1" applyBorder="1" applyAlignment="1">
      <alignment vertical="center"/>
    </xf>
    <xf numFmtId="170" fontId="88" fillId="18" borderId="58" xfId="1" applyNumberFormat="1" applyFont="1" applyFill="1" applyBorder="1" applyAlignment="1">
      <alignment vertical="center"/>
    </xf>
    <xf numFmtId="170" fontId="100" fillId="18" borderId="57" xfId="1" applyNumberFormat="1" applyFont="1" applyFill="1" applyBorder="1" applyAlignment="1">
      <alignment vertical="center"/>
    </xf>
    <xf numFmtId="170" fontId="88" fillId="18" borderId="0" xfId="1" applyNumberFormat="1" applyFont="1" applyFill="1"/>
    <xf numFmtId="175" fontId="88" fillId="18" borderId="37" xfId="0" applyNumberFormat="1" applyFont="1" applyFill="1" applyBorder="1"/>
    <xf numFmtId="175" fontId="88" fillId="18" borderId="58" xfId="0" applyNumberFormat="1" applyFont="1" applyFill="1" applyBorder="1"/>
    <xf numFmtId="170" fontId="88" fillId="18" borderId="37" xfId="0" applyNumberFormat="1" applyFont="1" applyFill="1" applyBorder="1"/>
    <xf numFmtId="170" fontId="88" fillId="18" borderId="58" xfId="0" applyNumberFormat="1" applyFont="1" applyFill="1" applyBorder="1"/>
    <xf numFmtId="170" fontId="100" fillId="18" borderId="57" xfId="0" applyNumberFormat="1" applyFont="1" applyFill="1" applyBorder="1"/>
    <xf numFmtId="0" fontId="4" fillId="2" borderId="0" xfId="0" applyFont="1" applyFill="1"/>
    <xf numFmtId="170" fontId="88" fillId="8" borderId="0" xfId="1" applyNumberFormat="1" applyFont="1" applyFill="1"/>
    <xf numFmtId="168" fontId="88" fillId="8" borderId="0" xfId="1" applyNumberFormat="1" applyFont="1" applyFill="1" applyAlignment="1">
      <alignment horizontal="right"/>
    </xf>
    <xf numFmtId="165" fontId="88" fillId="8" borderId="0" xfId="10" applyFont="1" applyFill="1" applyAlignment="1">
      <alignment horizontal="right"/>
    </xf>
    <xf numFmtId="170" fontId="88" fillId="8" borderId="0" xfId="1" applyNumberFormat="1" applyFont="1" applyFill="1" applyAlignment="1">
      <alignment horizontal="right"/>
    </xf>
    <xf numFmtId="168" fontId="89" fillId="8" borderId="0" xfId="1" applyNumberFormat="1" applyFont="1" applyFill="1" applyAlignment="1">
      <alignment horizontal="right"/>
    </xf>
    <xf numFmtId="170" fontId="79" fillId="8" borderId="0" xfId="1" applyNumberFormat="1" applyFont="1" applyFill="1" applyAlignment="1">
      <alignment horizontal="right"/>
    </xf>
    <xf numFmtId="168" fontId="90" fillId="8" borderId="0" xfId="1" applyNumberFormat="1" applyFont="1" applyFill="1" applyAlignment="1">
      <alignment horizontal="right"/>
    </xf>
    <xf numFmtId="168" fontId="79" fillId="8" borderId="0" xfId="1" applyNumberFormat="1" applyFont="1" applyFill="1" applyAlignment="1">
      <alignment horizontal="right"/>
    </xf>
    <xf numFmtId="0" fontId="0" fillId="8" borderId="0" xfId="0" applyFill="1"/>
    <xf numFmtId="0" fontId="4" fillId="8" borderId="0" xfId="0" applyFont="1" applyFill="1" applyAlignment="1">
      <alignment vertical="center"/>
    </xf>
    <xf numFmtId="0" fontId="97" fillId="18" borderId="0" xfId="0" applyFont="1" applyFill="1" applyAlignment="1">
      <alignment horizontal="center"/>
    </xf>
    <xf numFmtId="170" fontId="88" fillId="18" borderId="0" xfId="1" applyNumberFormat="1" applyFont="1" applyFill="1" applyBorder="1" applyAlignment="1">
      <alignment vertical="center"/>
    </xf>
    <xf numFmtId="170" fontId="100" fillId="18" borderId="0" xfId="1" applyNumberFormat="1" applyFont="1" applyFill="1" applyBorder="1" applyAlignment="1">
      <alignment vertical="center"/>
    </xf>
    <xf numFmtId="0" fontId="97" fillId="18" borderId="0" xfId="0" applyFont="1" applyFill="1" applyAlignment="1">
      <alignment horizontal="center" vertical="center"/>
    </xf>
    <xf numFmtId="175" fontId="88" fillId="18" borderId="0" xfId="0" applyNumberFormat="1" applyFont="1" applyFill="1"/>
    <xf numFmtId="175" fontId="100" fillId="21" borderId="0" xfId="0" applyNumberFormat="1" applyFont="1" applyFill="1"/>
    <xf numFmtId="0" fontId="97" fillId="2" borderId="0" xfId="0" applyFont="1" applyFill="1" applyAlignment="1">
      <alignment horizontal="center" vertical="center"/>
    </xf>
    <xf numFmtId="170" fontId="88" fillId="18" borderId="0" xfId="0" applyNumberFormat="1" applyFont="1" applyFill="1"/>
    <xf numFmtId="170" fontId="100" fillId="18" borderId="0" xfId="0" applyNumberFormat="1" applyFont="1" applyFill="1"/>
    <xf numFmtId="9" fontId="4" fillId="8" borderId="0" xfId="1" applyFont="1" applyFill="1" applyBorder="1"/>
    <xf numFmtId="0" fontId="88" fillId="8" borderId="0" xfId="0" applyFont="1" applyFill="1"/>
    <xf numFmtId="170" fontId="4" fillId="8" borderId="0" xfId="1" applyNumberFormat="1" applyFont="1" applyFill="1"/>
    <xf numFmtId="0" fontId="109" fillId="8" borderId="0" xfId="0" applyFont="1" applyFill="1" applyAlignment="1">
      <alignment horizontal="center" vertical="center" wrapText="1"/>
    </xf>
    <xf numFmtId="0" fontId="53" fillId="8" borderId="0" xfId="0" applyFont="1" applyFill="1"/>
    <xf numFmtId="0" fontId="88" fillId="8" borderId="0" xfId="0" applyFont="1" applyFill="1" applyAlignment="1">
      <alignment vertical="center"/>
    </xf>
    <xf numFmtId="170" fontId="98" fillId="21" borderId="37" xfId="1" applyNumberFormat="1" applyFont="1" applyFill="1" applyBorder="1" applyAlignment="1">
      <alignment horizontal="center" vertical="center"/>
    </xf>
    <xf numFmtId="0" fontId="109" fillId="0" borderId="0" xfId="0" applyFont="1" applyAlignment="1">
      <alignment horizontal="left" vertical="center" wrapText="1"/>
    </xf>
    <xf numFmtId="0" fontId="62" fillId="0" borderId="43" xfId="0" applyFont="1" applyBorder="1" applyAlignment="1">
      <alignment horizontal="center" vertical="center" wrapText="1"/>
    </xf>
    <xf numFmtId="0" fontId="62" fillId="0" borderId="43" xfId="0" applyFont="1" applyBorder="1" applyAlignment="1">
      <alignment horizontal="center" vertical="center"/>
    </xf>
    <xf numFmtId="182" fontId="62" fillId="0" borderId="43" xfId="10" applyNumberFormat="1" applyFont="1" applyBorder="1" applyAlignment="1">
      <alignment horizontal="center" vertical="center"/>
    </xf>
    <xf numFmtId="183" fontId="62" fillId="0" borderId="43" xfId="10" applyNumberFormat="1" applyFont="1" applyBorder="1" applyAlignment="1">
      <alignment horizontal="center" vertical="center"/>
    </xf>
    <xf numFmtId="184" fontId="62" fillId="0" borderId="43" xfId="10" applyNumberFormat="1" applyFont="1" applyBorder="1" applyAlignment="1">
      <alignment horizontal="center" vertical="center"/>
    </xf>
    <xf numFmtId="185" fontId="62" fillId="0" borderId="43" xfId="10" applyNumberFormat="1" applyFont="1" applyBorder="1" applyAlignment="1">
      <alignment horizontal="center" vertical="center"/>
    </xf>
    <xf numFmtId="165" fontId="62" fillId="0" borderId="43" xfId="10" applyFont="1" applyBorder="1" applyAlignment="1">
      <alignment vertical="center"/>
    </xf>
    <xf numFmtId="165" fontId="62" fillId="0" borderId="43" xfId="0" applyNumberFormat="1" applyFont="1" applyBorder="1" applyAlignment="1">
      <alignment vertical="center"/>
    </xf>
    <xf numFmtId="178" fontId="55" fillId="8" borderId="43" xfId="10" applyNumberFormat="1" applyFont="1" applyFill="1" applyBorder="1" applyAlignment="1">
      <alignment vertical="center"/>
    </xf>
    <xf numFmtId="165" fontId="62" fillId="0" borderId="43" xfId="10" applyFont="1" applyBorder="1" applyAlignment="1">
      <alignment horizontal="center" vertical="center"/>
    </xf>
    <xf numFmtId="0" fontId="62" fillId="0" borderId="43" xfId="0" applyFont="1" applyBorder="1" applyAlignment="1">
      <alignment vertical="center" wrapText="1"/>
    </xf>
    <xf numFmtId="0" fontId="62" fillId="0" borderId="79" xfId="0" applyFont="1" applyBorder="1" applyAlignment="1">
      <alignment horizontal="center" vertical="center" wrapText="1"/>
    </xf>
    <xf numFmtId="0" fontId="62" fillId="0" borderId="79" xfId="0" applyFont="1" applyBorder="1" applyAlignment="1">
      <alignment horizontal="center" vertical="center"/>
    </xf>
    <xf numFmtId="182" fontId="62" fillId="0" borderId="79" xfId="10" applyNumberFormat="1" applyFont="1" applyBorder="1" applyAlignment="1">
      <alignment horizontal="center" vertical="center"/>
    </xf>
    <xf numFmtId="183" fontId="62" fillId="0" borderId="79" xfId="10" applyNumberFormat="1" applyFont="1" applyBorder="1" applyAlignment="1">
      <alignment horizontal="center" vertical="center"/>
    </xf>
    <xf numFmtId="184" fontId="62" fillId="0" borderId="79" xfId="10" applyNumberFormat="1" applyFont="1" applyBorder="1" applyAlignment="1">
      <alignment horizontal="center" vertical="center"/>
    </xf>
    <xf numFmtId="185" fontId="62" fillId="0" borderId="79" xfId="10" applyNumberFormat="1" applyFont="1" applyBorder="1" applyAlignment="1">
      <alignment horizontal="center" vertical="center"/>
    </xf>
    <xf numFmtId="165" fontId="62" fillId="0" borderId="79" xfId="10" applyFont="1" applyBorder="1" applyAlignment="1">
      <alignment vertical="center"/>
    </xf>
    <xf numFmtId="165" fontId="62" fillId="0" borderId="79" xfId="0" applyNumberFormat="1" applyFont="1" applyBorder="1" applyAlignment="1">
      <alignment vertical="center"/>
    </xf>
    <xf numFmtId="178" fontId="55" fillId="8" borderId="79" xfId="10" applyNumberFormat="1" applyFont="1" applyFill="1" applyBorder="1" applyAlignment="1">
      <alignment vertical="center"/>
    </xf>
    <xf numFmtId="165" fontId="62" fillId="0" borderId="79" xfId="10" applyFont="1" applyBorder="1" applyAlignment="1">
      <alignment horizontal="center" vertical="center"/>
    </xf>
    <xf numFmtId="0" fontId="55" fillId="0" borderId="79" xfId="0" applyFont="1" applyBorder="1" applyAlignment="1">
      <alignment horizontal="center" vertical="center" wrapText="1"/>
    </xf>
    <xf numFmtId="0" fontId="62" fillId="0" borderId="79" xfId="0" applyFont="1" applyBorder="1" applyAlignment="1">
      <alignment vertical="center" wrapText="1"/>
    </xf>
    <xf numFmtId="0" fontId="62" fillId="0" borderId="57" xfId="0" applyFont="1" applyBorder="1" applyAlignment="1">
      <alignment horizontal="center" vertical="center" wrapText="1"/>
    </xf>
    <xf numFmtId="0" fontId="62" fillId="0" borderId="57" xfId="0" applyFont="1" applyBorder="1" applyAlignment="1">
      <alignment horizontal="center" vertical="center"/>
    </xf>
    <xf numFmtId="182" fontId="62" fillId="0" borderId="57" xfId="10" applyNumberFormat="1" applyFont="1" applyBorder="1" applyAlignment="1">
      <alignment horizontal="center" vertical="center"/>
    </xf>
    <xf numFmtId="183" fontId="62" fillId="0" borderId="57" xfId="10" applyNumberFormat="1" applyFont="1" applyBorder="1" applyAlignment="1">
      <alignment horizontal="center" vertical="center"/>
    </xf>
    <xf numFmtId="184" fontId="62" fillId="0" borderId="57" xfId="10" applyNumberFormat="1" applyFont="1" applyBorder="1" applyAlignment="1">
      <alignment horizontal="center" vertical="center"/>
    </xf>
    <xf numFmtId="185" fontId="62" fillId="0" borderId="57" xfId="10" applyNumberFormat="1" applyFont="1" applyBorder="1" applyAlignment="1">
      <alignment horizontal="center" vertical="center"/>
    </xf>
    <xf numFmtId="165" fontId="62" fillId="0" borderId="57" xfId="10" applyFont="1" applyBorder="1" applyAlignment="1">
      <alignment vertical="center"/>
    </xf>
    <xf numFmtId="165" fontId="62" fillId="0" borderId="57" xfId="0" applyNumberFormat="1" applyFont="1" applyBorder="1" applyAlignment="1">
      <alignment vertical="center"/>
    </xf>
    <xf numFmtId="178" fontId="55" fillId="8" borderId="57" xfId="10" applyNumberFormat="1" applyFont="1" applyFill="1" applyBorder="1" applyAlignment="1">
      <alignment vertical="center"/>
    </xf>
    <xf numFmtId="165" fontId="62" fillId="0" borderId="57" xfId="10" applyFont="1" applyBorder="1" applyAlignment="1">
      <alignment horizontal="center" vertical="center"/>
    </xf>
    <xf numFmtId="0" fontId="62" fillId="0" borderId="57" xfId="0" applyFont="1" applyBorder="1" applyAlignment="1">
      <alignment vertical="center" wrapText="1"/>
    </xf>
    <xf numFmtId="10" fontId="62" fillId="0" borderId="43" xfId="1" applyNumberFormat="1" applyFont="1" applyBorder="1" applyAlignment="1">
      <alignment horizontal="center" vertical="center"/>
    </xf>
    <xf numFmtId="14" fontId="62" fillId="0" borderId="79" xfId="0" applyNumberFormat="1" applyFont="1" applyBorder="1" applyAlignment="1">
      <alignment horizontal="center" vertical="center"/>
    </xf>
    <xf numFmtId="1" fontId="62" fillId="0" borderId="79" xfId="0" applyNumberFormat="1" applyFont="1" applyBorder="1" applyAlignment="1">
      <alignment horizontal="center" vertical="center"/>
    </xf>
    <xf numFmtId="10" fontId="62" fillId="0" borderId="79" xfId="1" applyNumberFormat="1" applyFont="1" applyBorder="1" applyAlignment="1">
      <alignment horizontal="center" vertical="center"/>
    </xf>
    <xf numFmtId="14" fontId="62" fillId="0" borderId="57" xfId="0" applyNumberFormat="1" applyFont="1" applyBorder="1" applyAlignment="1">
      <alignment horizontal="center" vertical="center"/>
    </xf>
    <xf numFmtId="1" fontId="62" fillId="0" borderId="57" xfId="0" applyNumberFormat="1" applyFont="1" applyBorder="1" applyAlignment="1">
      <alignment horizontal="center" vertical="center"/>
    </xf>
    <xf numFmtId="10" fontId="62" fillId="0" borderId="57" xfId="1" applyNumberFormat="1" applyFont="1" applyBorder="1" applyAlignment="1">
      <alignment horizontal="center" vertical="center"/>
    </xf>
    <xf numFmtId="1" fontId="62" fillId="0" borderId="43" xfId="0" applyNumberFormat="1" applyFont="1" applyBorder="1" applyAlignment="1">
      <alignment horizontal="center" vertical="center"/>
    </xf>
    <xf numFmtId="165" fontId="62" fillId="0" borderId="43" xfId="0" applyNumberFormat="1" applyFont="1" applyBorder="1" applyAlignment="1">
      <alignment horizontal="center" vertical="center"/>
    </xf>
    <xf numFmtId="0" fontId="62" fillId="8" borderId="79" xfId="0" applyFont="1" applyFill="1" applyBorder="1" applyAlignment="1">
      <alignment horizontal="center" vertical="center"/>
    </xf>
    <xf numFmtId="0" fontId="62" fillId="8" borderId="79" xfId="0" applyFont="1" applyFill="1" applyBorder="1" applyAlignment="1">
      <alignment horizontal="center" vertical="center" wrapText="1"/>
    </xf>
    <xf numFmtId="14" fontId="62" fillId="8" borderId="79" xfId="0" applyNumberFormat="1" applyFont="1" applyFill="1" applyBorder="1" applyAlignment="1">
      <alignment horizontal="center" vertical="center"/>
    </xf>
    <xf numFmtId="0" fontId="62" fillId="8" borderId="79" xfId="0" applyFont="1" applyFill="1" applyBorder="1" applyAlignment="1">
      <alignment vertical="center"/>
    </xf>
    <xf numFmtId="165" fontId="62" fillId="8" borderId="79" xfId="10" applyFont="1" applyFill="1" applyBorder="1" applyAlignment="1">
      <alignment vertical="center"/>
    </xf>
    <xf numFmtId="174" fontId="62" fillId="8" borderId="79" xfId="10" applyNumberFormat="1" applyFont="1" applyFill="1" applyBorder="1" applyAlignment="1">
      <alignment vertical="center"/>
    </xf>
    <xf numFmtId="170" fontId="55" fillId="8" borderId="79" xfId="1" applyNumberFormat="1" applyFont="1" applyFill="1" applyBorder="1" applyAlignment="1">
      <alignment horizontal="center" vertical="center"/>
    </xf>
    <xf numFmtId="165" fontId="62" fillId="8" borderId="79" xfId="10" applyFont="1" applyFill="1" applyBorder="1" applyAlignment="1">
      <alignment horizontal="center" vertical="center"/>
    </xf>
    <xf numFmtId="0" fontId="62" fillId="8" borderId="79" xfId="0" applyFont="1" applyFill="1" applyBorder="1" applyAlignment="1">
      <alignment vertical="center" wrapText="1"/>
    </xf>
    <xf numFmtId="1" fontId="62" fillId="8" borderId="57" xfId="0" applyNumberFormat="1" applyFont="1" applyFill="1" applyBorder="1" applyAlignment="1">
      <alignment vertical="center"/>
    </xf>
    <xf numFmtId="165" fontId="62" fillId="8" borderId="57" xfId="10" applyFont="1" applyFill="1" applyBorder="1" applyAlignment="1">
      <alignment vertical="center"/>
    </xf>
    <xf numFmtId="174" fontId="62" fillId="8" borderId="57" xfId="10" applyNumberFormat="1" applyFont="1" applyFill="1" applyBorder="1" applyAlignment="1">
      <alignment vertical="center"/>
    </xf>
    <xf numFmtId="170" fontId="55" fillId="8" borderId="57" xfId="1" applyNumberFormat="1" applyFont="1" applyFill="1" applyBorder="1" applyAlignment="1">
      <alignment horizontal="center" vertical="center"/>
    </xf>
    <xf numFmtId="165" fontId="62" fillId="8" borderId="57" xfId="10" applyFont="1" applyFill="1" applyBorder="1" applyAlignment="1">
      <alignment horizontal="center" vertical="center"/>
    </xf>
    <xf numFmtId="0" fontId="62" fillId="8" borderId="57" xfId="0" applyFont="1" applyFill="1" applyBorder="1" applyAlignment="1">
      <alignment horizontal="center" vertical="center"/>
    </xf>
    <xf numFmtId="0" fontId="62" fillId="8" borderId="57" xfId="0" applyFont="1" applyFill="1" applyBorder="1" applyAlignment="1">
      <alignment vertical="center" wrapText="1"/>
    </xf>
    <xf numFmtId="14" fontId="62" fillId="0" borderId="43" xfId="0" applyNumberFormat="1" applyFont="1" applyBorder="1" applyAlignment="1">
      <alignment horizontal="center" vertical="center"/>
    </xf>
    <xf numFmtId="1" fontId="62" fillId="8" borderId="43" xfId="0" applyNumberFormat="1" applyFont="1" applyFill="1" applyBorder="1" applyAlignment="1">
      <alignment vertical="center"/>
    </xf>
    <xf numFmtId="165" fontId="62" fillId="8" borderId="43" xfId="10" applyFont="1" applyFill="1" applyBorder="1" applyAlignment="1">
      <alignment vertical="center"/>
    </xf>
    <xf numFmtId="174" fontId="62" fillId="8" borderId="43" xfId="10" applyNumberFormat="1" applyFont="1" applyFill="1" applyBorder="1" applyAlignment="1">
      <alignment vertical="center"/>
    </xf>
    <xf numFmtId="170" fontId="55" fillId="8" borderId="43" xfId="1" applyNumberFormat="1" applyFont="1" applyFill="1" applyBorder="1" applyAlignment="1">
      <alignment horizontal="center" vertical="center"/>
    </xf>
    <xf numFmtId="165" fontId="62" fillId="8" borderId="43" xfId="10" applyFont="1" applyFill="1" applyBorder="1" applyAlignment="1">
      <alignment horizontal="center" vertical="center"/>
    </xf>
    <xf numFmtId="0" fontId="62" fillId="8" borderId="43" xfId="0" applyFont="1" applyFill="1" applyBorder="1" applyAlignment="1">
      <alignment horizontal="center" vertical="center"/>
    </xf>
    <xf numFmtId="0" fontId="62" fillId="8" borderId="43" xfId="0" applyFont="1" applyFill="1" applyBorder="1" applyAlignment="1">
      <alignment vertical="center" wrapText="1"/>
    </xf>
    <xf numFmtId="1" fontId="62" fillId="8" borderId="79" xfId="0" applyNumberFormat="1" applyFont="1" applyFill="1" applyBorder="1" applyAlignment="1">
      <alignment vertical="center"/>
    </xf>
    <xf numFmtId="0" fontId="55" fillId="8" borderId="57" xfId="0" applyFont="1" applyFill="1" applyBorder="1" applyAlignment="1">
      <alignment horizontal="center" vertical="center" wrapText="1"/>
    </xf>
    <xf numFmtId="0" fontId="55" fillId="8" borderId="57" xfId="0" applyFont="1" applyFill="1" applyBorder="1" applyAlignment="1">
      <alignment horizontal="center" vertical="center"/>
    </xf>
    <xf numFmtId="14" fontId="55" fillId="8" borderId="57" xfId="0" applyNumberFormat="1" applyFont="1" applyFill="1" applyBorder="1" applyAlignment="1">
      <alignment horizontal="center" vertical="center"/>
    </xf>
    <xf numFmtId="1" fontId="55" fillId="8" borderId="57" xfId="0" applyNumberFormat="1" applyFont="1" applyFill="1" applyBorder="1" applyAlignment="1">
      <alignment horizontal="center" vertical="center"/>
    </xf>
    <xf numFmtId="177" fontId="55" fillId="8" borderId="57" xfId="0" applyNumberFormat="1" applyFont="1" applyFill="1" applyBorder="1" applyAlignment="1">
      <alignment vertical="center"/>
    </xf>
    <xf numFmtId="165" fontId="55" fillId="8" borderId="57" xfId="10" applyFont="1" applyFill="1" applyBorder="1" applyAlignment="1">
      <alignment vertical="center"/>
    </xf>
    <xf numFmtId="174" fontId="55" fillId="8" borderId="57" xfId="10" applyNumberFormat="1" applyFont="1" applyFill="1" applyBorder="1" applyAlignment="1">
      <alignment vertical="center"/>
    </xf>
    <xf numFmtId="176" fontId="55" fillId="8" borderId="57" xfId="3367" applyNumberFormat="1" applyFont="1" applyFill="1" applyBorder="1" applyAlignment="1">
      <alignment horizontal="center" vertical="center" wrapText="1"/>
    </xf>
    <xf numFmtId="0" fontId="55" fillId="8" borderId="57" xfId="0" applyFont="1" applyFill="1" applyBorder="1" applyAlignment="1">
      <alignment vertical="center" wrapText="1"/>
    </xf>
    <xf numFmtId="0" fontId="55" fillId="8" borderId="43" xfId="0" applyFont="1" applyFill="1" applyBorder="1" applyAlignment="1">
      <alignment horizontal="center" vertical="center" wrapText="1"/>
    </xf>
    <xf numFmtId="0" fontId="55" fillId="8" borderId="43" xfId="0" applyFont="1" applyFill="1" applyBorder="1" applyAlignment="1">
      <alignment horizontal="center" vertical="center"/>
    </xf>
    <xf numFmtId="14" fontId="55" fillId="8" borderId="43" xfId="0" applyNumberFormat="1" applyFont="1" applyFill="1" applyBorder="1" applyAlignment="1">
      <alignment horizontal="center" vertical="center"/>
    </xf>
    <xf numFmtId="1" fontId="55" fillId="8" borderId="43" xfId="0" applyNumberFormat="1" applyFont="1" applyFill="1" applyBorder="1" applyAlignment="1">
      <alignment horizontal="center" vertical="center"/>
    </xf>
    <xf numFmtId="177" fontId="55" fillId="8" borderId="43" xfId="0" applyNumberFormat="1" applyFont="1" applyFill="1" applyBorder="1" applyAlignment="1">
      <alignment vertical="center"/>
    </xf>
    <xf numFmtId="165" fontId="55" fillId="8" borderId="43" xfId="10" applyFont="1" applyFill="1" applyBorder="1" applyAlignment="1">
      <alignment vertical="center"/>
    </xf>
    <xf numFmtId="174" fontId="55" fillId="8" borderId="43" xfId="10" applyNumberFormat="1" applyFont="1" applyFill="1" applyBorder="1" applyAlignment="1">
      <alignment vertical="center"/>
    </xf>
    <xf numFmtId="0" fontId="55" fillId="8" borderId="79" xfId="0" applyFont="1" applyFill="1" applyBorder="1" applyAlignment="1">
      <alignment horizontal="center" vertical="center" wrapText="1"/>
    </xf>
    <xf numFmtId="0" fontId="55" fillId="8" borderId="79" xfId="0" applyFont="1" applyFill="1" applyBorder="1" applyAlignment="1">
      <alignment horizontal="center" vertical="center"/>
    </xf>
    <xf numFmtId="14" fontId="55" fillId="8" borderId="79" xfId="0" applyNumberFormat="1" applyFont="1" applyFill="1" applyBorder="1" applyAlignment="1">
      <alignment horizontal="center" vertical="center"/>
    </xf>
    <xf numFmtId="1" fontId="55" fillId="8" borderId="79" xfId="0" applyNumberFormat="1" applyFont="1" applyFill="1" applyBorder="1" applyAlignment="1">
      <alignment horizontal="center" vertical="center"/>
    </xf>
    <xf numFmtId="177" fontId="55" fillId="8" borderId="79" xfId="0" applyNumberFormat="1" applyFont="1" applyFill="1" applyBorder="1" applyAlignment="1">
      <alignment vertical="center"/>
    </xf>
    <xf numFmtId="165" fontId="55" fillId="8" borderId="79" xfId="10" applyFont="1" applyFill="1" applyBorder="1" applyAlignment="1">
      <alignment vertical="center"/>
    </xf>
    <xf numFmtId="174" fontId="55" fillId="8" borderId="79" xfId="10" applyNumberFormat="1" applyFont="1" applyFill="1" applyBorder="1" applyAlignment="1">
      <alignment vertical="center"/>
    </xf>
    <xf numFmtId="170" fontId="55" fillId="8" borderId="79" xfId="1" applyNumberFormat="1" applyFont="1" applyFill="1" applyBorder="1" applyAlignment="1">
      <alignment horizontal="center" vertical="center" wrapText="1"/>
    </xf>
    <xf numFmtId="176" fontId="55" fillId="8" borderId="79" xfId="3367" applyNumberFormat="1" applyFont="1" applyFill="1" applyBorder="1" applyAlignment="1">
      <alignment horizontal="center" vertical="center" wrapText="1"/>
    </xf>
    <xf numFmtId="0" fontId="55" fillId="8" borderId="79" xfId="0" applyFont="1" applyFill="1" applyBorder="1" applyAlignment="1">
      <alignment vertical="center" wrapText="1"/>
    </xf>
    <xf numFmtId="0" fontId="55" fillId="8" borderId="80" xfId="0" applyFont="1" applyFill="1" applyBorder="1" applyAlignment="1">
      <alignment horizontal="center" vertical="center" wrapText="1"/>
    </xf>
    <xf numFmtId="0" fontId="55" fillId="8" borderId="80" xfId="0" applyFont="1" applyFill="1" applyBorder="1" applyAlignment="1">
      <alignment horizontal="center" vertical="center"/>
    </xf>
    <xf numFmtId="14" fontId="55" fillId="8" borderId="80" xfId="0" applyNumberFormat="1" applyFont="1" applyFill="1" applyBorder="1" applyAlignment="1">
      <alignment horizontal="center" vertical="center"/>
    </xf>
    <xf numFmtId="1" fontId="55" fillId="8" borderId="80" xfId="0" applyNumberFormat="1" applyFont="1" applyFill="1" applyBorder="1" applyAlignment="1">
      <alignment horizontal="center" vertical="center"/>
    </xf>
    <xf numFmtId="1" fontId="62" fillId="0" borderId="80" xfId="0" applyNumberFormat="1" applyFont="1" applyBorder="1" applyAlignment="1">
      <alignment horizontal="center" vertical="center"/>
    </xf>
    <xf numFmtId="182" fontId="62" fillId="0" borderId="80" xfId="10" applyNumberFormat="1" applyFont="1" applyBorder="1" applyAlignment="1">
      <alignment horizontal="center" vertical="center"/>
    </xf>
    <xf numFmtId="183" fontId="62" fillId="0" borderId="80" xfId="10" applyNumberFormat="1" applyFont="1" applyBorder="1" applyAlignment="1">
      <alignment horizontal="center" vertical="center"/>
    </xf>
    <xf numFmtId="184" fontId="62" fillId="0" borderId="80" xfId="10" applyNumberFormat="1" applyFont="1" applyBorder="1" applyAlignment="1">
      <alignment horizontal="center" vertical="center"/>
    </xf>
    <xf numFmtId="185" fontId="62" fillId="0" borderId="80" xfId="10" applyNumberFormat="1" applyFont="1" applyBorder="1" applyAlignment="1">
      <alignment horizontal="center" vertical="center"/>
    </xf>
    <xf numFmtId="177" fontId="55" fillId="8" borderId="80" xfId="0" applyNumberFormat="1" applyFont="1" applyFill="1" applyBorder="1" applyAlignment="1">
      <alignment vertical="center"/>
    </xf>
    <xf numFmtId="165" fontId="55" fillId="8" borderId="80" xfId="10" applyFont="1" applyFill="1" applyBorder="1" applyAlignment="1">
      <alignment vertical="center"/>
    </xf>
    <xf numFmtId="178" fontId="55" fillId="8" borderId="80" xfId="10" applyNumberFormat="1" applyFont="1" applyFill="1" applyBorder="1" applyAlignment="1">
      <alignment vertical="center"/>
    </xf>
    <xf numFmtId="174" fontId="55" fillId="8" borderId="80" xfId="10" applyNumberFormat="1" applyFont="1" applyFill="1" applyBorder="1" applyAlignment="1">
      <alignment vertical="center"/>
    </xf>
    <xf numFmtId="170" fontId="55" fillId="8" borderId="80" xfId="1" applyNumberFormat="1" applyFont="1" applyFill="1" applyBorder="1" applyAlignment="1">
      <alignment horizontal="center" vertical="center"/>
    </xf>
    <xf numFmtId="176" fontId="55" fillId="8" borderId="80" xfId="3367" applyNumberFormat="1" applyFont="1" applyFill="1" applyBorder="1" applyAlignment="1">
      <alignment horizontal="center" vertical="center" wrapText="1"/>
    </xf>
    <xf numFmtId="0" fontId="55" fillId="8" borderId="80" xfId="0" applyFont="1" applyFill="1" applyBorder="1" applyAlignment="1">
      <alignment vertical="center" wrapText="1"/>
    </xf>
    <xf numFmtId="0" fontId="55" fillId="0" borderId="79" xfId="0" applyFont="1" applyBorder="1" applyAlignment="1">
      <alignment horizontal="center" vertical="center"/>
    </xf>
    <xf numFmtId="3" fontId="55" fillId="0" borderId="79" xfId="3367" applyNumberFormat="1" applyFont="1" applyBorder="1" applyAlignment="1">
      <alignment horizontal="center" vertical="center"/>
    </xf>
    <xf numFmtId="3" fontId="55" fillId="0" borderId="79" xfId="3367" applyNumberFormat="1" applyFont="1" applyBorder="1" applyAlignment="1">
      <alignment horizontal="center" vertical="center" wrapText="1"/>
    </xf>
    <xf numFmtId="179" fontId="55" fillId="0" borderId="79" xfId="0" applyNumberFormat="1" applyFont="1" applyBorder="1" applyAlignment="1">
      <alignment horizontal="center" vertical="center"/>
    </xf>
    <xf numFmtId="1" fontId="55" fillId="0" borderId="79" xfId="0" applyNumberFormat="1" applyFont="1" applyBorder="1" applyAlignment="1">
      <alignment horizontal="center" vertical="center"/>
    </xf>
    <xf numFmtId="174" fontId="55" fillId="0" borderId="79" xfId="10" applyNumberFormat="1" applyFont="1" applyFill="1" applyBorder="1" applyAlignment="1">
      <alignment vertical="center"/>
    </xf>
    <xf numFmtId="180" fontId="55" fillId="0" borderId="79" xfId="10" applyNumberFormat="1" applyFont="1" applyFill="1" applyBorder="1" applyAlignment="1">
      <alignment vertical="center"/>
    </xf>
    <xf numFmtId="165" fontId="55" fillId="0" borderId="79" xfId="10" applyFont="1" applyFill="1" applyBorder="1" applyAlignment="1">
      <alignment vertical="center"/>
    </xf>
    <xf numFmtId="178" fontId="55" fillId="0" borderId="79" xfId="10" applyNumberFormat="1" applyFont="1" applyFill="1" applyBorder="1" applyAlignment="1">
      <alignment vertical="center"/>
    </xf>
    <xf numFmtId="170" fontId="55" fillId="0" borderId="79" xfId="1" applyNumberFormat="1" applyFont="1" applyFill="1" applyBorder="1" applyAlignment="1">
      <alignment horizontal="center" vertical="center"/>
    </xf>
    <xf numFmtId="179" fontId="55" fillId="0" borderId="79" xfId="0" applyNumberFormat="1" applyFont="1" applyBorder="1" applyAlignment="1">
      <alignment horizontal="center" vertical="center" wrapText="1"/>
    </xf>
    <xf numFmtId="1" fontId="55" fillId="0" borderId="79" xfId="0" applyNumberFormat="1" applyFont="1" applyBorder="1" applyAlignment="1">
      <alignment horizontal="center" vertical="center" wrapText="1"/>
    </xf>
    <xf numFmtId="174" fontId="55" fillId="0" borderId="79" xfId="10" applyNumberFormat="1" applyFont="1" applyFill="1" applyBorder="1" applyAlignment="1">
      <alignment vertical="center" wrapText="1"/>
    </xf>
    <xf numFmtId="180" fontId="55" fillId="0" borderId="79" xfId="10" applyNumberFormat="1" applyFont="1" applyFill="1" applyBorder="1" applyAlignment="1">
      <alignment vertical="center" wrapText="1"/>
    </xf>
    <xf numFmtId="165" fontId="55" fillId="0" borderId="79" xfId="10" applyFont="1" applyFill="1" applyBorder="1" applyAlignment="1">
      <alignment vertical="center" wrapText="1"/>
    </xf>
    <xf numFmtId="178" fontId="55" fillId="0" borderId="79" xfId="10" applyNumberFormat="1" applyFont="1" applyFill="1" applyBorder="1" applyAlignment="1">
      <alignment vertical="center" wrapText="1"/>
    </xf>
    <xf numFmtId="170" fontId="55" fillId="0" borderId="79" xfId="1" applyNumberFormat="1" applyFont="1" applyFill="1" applyBorder="1" applyAlignment="1">
      <alignment horizontal="center" vertical="center" wrapText="1"/>
    </xf>
    <xf numFmtId="0" fontId="107" fillId="18" borderId="57" xfId="0" applyFont="1" applyFill="1" applyBorder="1" applyAlignment="1">
      <alignment horizontal="center" vertical="center" wrapText="1"/>
    </xf>
    <xf numFmtId="3" fontId="107" fillId="18" borderId="57" xfId="3367" applyNumberFormat="1" applyFont="1" applyFill="1" applyBorder="1" applyAlignment="1">
      <alignment horizontal="center" vertical="center" wrapText="1"/>
    </xf>
    <xf numFmtId="179" fontId="107" fillId="18" borderId="57" xfId="0" applyNumberFormat="1" applyFont="1" applyFill="1" applyBorder="1" applyAlignment="1">
      <alignment horizontal="center" vertical="center" wrapText="1"/>
    </xf>
    <xf numFmtId="1" fontId="107" fillId="18" borderId="57" xfId="0" applyNumberFormat="1" applyFont="1" applyFill="1" applyBorder="1" applyAlignment="1">
      <alignment horizontal="center" vertical="center" wrapText="1"/>
    </xf>
    <xf numFmtId="182" fontId="107" fillId="18" borderId="57" xfId="10" applyNumberFormat="1" applyFont="1" applyFill="1" applyBorder="1" applyAlignment="1">
      <alignment horizontal="center" vertical="center"/>
    </xf>
    <xf numFmtId="183" fontId="107" fillId="18" borderId="57" xfId="10" applyNumberFormat="1" applyFont="1" applyFill="1" applyBorder="1" applyAlignment="1">
      <alignment horizontal="center" vertical="center"/>
    </xf>
    <xf numFmtId="183" fontId="107" fillId="18" borderId="57" xfId="10" applyNumberFormat="1" applyFont="1" applyFill="1" applyBorder="1" applyAlignment="1">
      <alignment horizontal="center" vertical="center" wrapText="1"/>
    </xf>
    <xf numFmtId="184" fontId="107" fillId="18" borderId="57" xfId="10" applyNumberFormat="1" applyFont="1" applyFill="1" applyBorder="1" applyAlignment="1">
      <alignment horizontal="center" vertical="center"/>
    </xf>
    <xf numFmtId="185" fontId="107" fillId="18" borderId="57" xfId="10" applyNumberFormat="1" applyFont="1" applyFill="1" applyBorder="1" applyAlignment="1">
      <alignment horizontal="center" vertical="center"/>
    </xf>
    <xf numFmtId="186" fontId="107" fillId="18" borderId="57" xfId="10" applyNumberFormat="1" applyFont="1" applyFill="1" applyBorder="1" applyAlignment="1">
      <alignment vertical="center" wrapText="1"/>
    </xf>
    <xf numFmtId="187" fontId="107" fillId="18" borderId="57" xfId="10" applyNumberFormat="1" applyFont="1" applyFill="1" applyBorder="1" applyAlignment="1">
      <alignment vertical="center" wrapText="1"/>
    </xf>
    <xf numFmtId="165" fontId="107" fillId="18" borderId="57" xfId="10" applyFont="1" applyFill="1" applyBorder="1" applyAlignment="1">
      <alignment vertical="center" wrapText="1"/>
    </xf>
    <xf numFmtId="178" fontId="107" fillId="18" borderId="57" xfId="10" applyNumberFormat="1" applyFont="1" applyFill="1" applyBorder="1" applyAlignment="1">
      <alignment vertical="center" wrapText="1"/>
    </xf>
    <xf numFmtId="181" fontId="107" fillId="18" borderId="57" xfId="10" applyNumberFormat="1" applyFont="1" applyFill="1" applyBorder="1" applyAlignment="1">
      <alignment vertical="center" wrapText="1"/>
    </xf>
    <xf numFmtId="170" fontId="107" fillId="18" borderId="57" xfId="1" applyNumberFormat="1" applyFont="1" applyFill="1" applyBorder="1" applyAlignment="1">
      <alignment horizontal="center" vertical="center" wrapText="1"/>
    </xf>
    <xf numFmtId="176" fontId="107" fillId="18" borderId="57" xfId="3367" applyNumberFormat="1" applyFont="1" applyFill="1" applyBorder="1" applyAlignment="1">
      <alignment horizontal="center" vertical="center" wrapText="1"/>
    </xf>
    <xf numFmtId="0" fontId="107" fillId="18" borderId="81" xfId="0" applyFont="1" applyFill="1" applyBorder="1" applyAlignment="1">
      <alignment horizontal="center" vertical="center" wrapText="1"/>
    </xf>
    <xf numFmtId="10" fontId="107" fillId="18" borderId="57" xfId="0" applyNumberFormat="1" applyFont="1" applyFill="1" applyBorder="1" applyAlignment="1">
      <alignment horizontal="center" vertical="center" wrapText="1"/>
    </xf>
    <xf numFmtId="0" fontId="107" fillId="18" borderId="82" xfId="0" applyFont="1" applyFill="1" applyBorder="1" applyAlignment="1">
      <alignment horizontal="center" vertical="center" wrapText="1"/>
    </xf>
    <xf numFmtId="0" fontId="107" fillId="18" borderId="57" xfId="0" applyFont="1" applyFill="1" applyBorder="1" applyAlignment="1">
      <alignment vertical="center" wrapText="1"/>
    </xf>
    <xf numFmtId="3" fontId="55" fillId="8" borderId="43" xfId="3367" applyNumberFormat="1" applyFont="1" applyFill="1" applyBorder="1" applyAlignment="1">
      <alignment horizontal="center" vertical="center" wrapText="1"/>
    </xf>
    <xf numFmtId="179" fontId="55" fillId="8" borderId="43" xfId="0" applyNumberFormat="1" applyFont="1" applyFill="1" applyBorder="1" applyAlignment="1">
      <alignment horizontal="center" vertical="center" wrapText="1"/>
    </xf>
    <xf numFmtId="1" fontId="55" fillId="8" borderId="43" xfId="0" applyNumberFormat="1" applyFont="1" applyFill="1" applyBorder="1" applyAlignment="1">
      <alignment horizontal="center" vertical="center" wrapText="1"/>
    </xf>
    <xf numFmtId="182" fontId="55" fillId="8" borderId="43" xfId="10" applyNumberFormat="1" applyFont="1" applyFill="1" applyBorder="1" applyAlignment="1">
      <alignment horizontal="center" vertical="center"/>
    </xf>
    <xf numFmtId="183" fontId="55" fillId="8" borderId="43" xfId="10" applyNumberFormat="1" applyFont="1" applyFill="1" applyBorder="1" applyAlignment="1">
      <alignment horizontal="center" vertical="center"/>
    </xf>
    <xf numFmtId="183" fontId="55" fillId="8" borderId="43" xfId="10" applyNumberFormat="1" applyFont="1" applyFill="1" applyBorder="1" applyAlignment="1">
      <alignment horizontal="center" vertical="center" wrapText="1"/>
    </xf>
    <xf numFmtId="184" fontId="55" fillId="8" borderId="43" xfId="10" applyNumberFormat="1" applyFont="1" applyFill="1" applyBorder="1" applyAlignment="1">
      <alignment horizontal="center" vertical="center"/>
    </xf>
    <xf numFmtId="185" fontId="55" fillId="8" borderId="43" xfId="10" applyNumberFormat="1" applyFont="1" applyFill="1" applyBorder="1" applyAlignment="1">
      <alignment horizontal="center" vertical="center"/>
    </xf>
    <xf numFmtId="186" fontId="55" fillId="8" borderId="43" xfId="10" applyNumberFormat="1" applyFont="1" applyFill="1" applyBorder="1" applyAlignment="1">
      <alignment vertical="center" wrapText="1"/>
    </xf>
    <xf numFmtId="187" fontId="55" fillId="8" borderId="43" xfId="10" applyNumberFormat="1" applyFont="1" applyFill="1" applyBorder="1" applyAlignment="1">
      <alignment vertical="center" wrapText="1"/>
    </xf>
    <xf numFmtId="165" fontId="55" fillId="8" borderId="43" xfId="10" applyFont="1" applyFill="1" applyBorder="1" applyAlignment="1">
      <alignment vertical="center" wrapText="1"/>
    </xf>
    <xf numFmtId="178" fontId="55" fillId="8" borderId="43" xfId="10" applyNumberFormat="1" applyFont="1" applyFill="1" applyBorder="1" applyAlignment="1">
      <alignment vertical="center" wrapText="1"/>
    </xf>
    <xf numFmtId="181" fontId="55" fillId="8" borderId="43" xfId="10" applyNumberFormat="1" applyFont="1" applyFill="1" applyBorder="1" applyAlignment="1">
      <alignment vertical="center" wrapText="1"/>
    </xf>
    <xf numFmtId="170" fontId="55" fillId="8" borderId="43" xfId="1" applyNumberFormat="1" applyFont="1" applyFill="1" applyBorder="1" applyAlignment="1">
      <alignment horizontal="center" vertical="center" wrapText="1"/>
    </xf>
    <xf numFmtId="0" fontId="55" fillId="8" borderId="83" xfId="0" applyFont="1" applyFill="1" applyBorder="1" applyAlignment="1">
      <alignment horizontal="center" vertical="center" wrapText="1"/>
    </xf>
    <xf numFmtId="9" fontId="55" fillId="8" borderId="43" xfId="0" applyNumberFormat="1" applyFont="1" applyFill="1" applyBorder="1" applyAlignment="1">
      <alignment horizontal="center" vertical="center" wrapText="1"/>
    </xf>
    <xf numFmtId="10" fontId="55" fillId="8" borderId="43" xfId="0" applyNumberFormat="1" applyFont="1" applyFill="1" applyBorder="1" applyAlignment="1">
      <alignment horizontal="center" vertical="center" wrapText="1"/>
    </xf>
    <xf numFmtId="0" fontId="55" fillId="8" borderId="84" xfId="0" applyFont="1" applyFill="1" applyBorder="1" applyAlignment="1">
      <alignment horizontal="center" vertical="center" wrapText="1"/>
    </xf>
    <xf numFmtId="0" fontId="46" fillId="8" borderId="43" xfId="0" applyFont="1" applyFill="1" applyBorder="1"/>
    <xf numFmtId="0" fontId="117" fillId="18" borderId="0" xfId="0" quotePrefix="1" applyFont="1" applyFill="1" applyAlignment="1">
      <alignment horizontal="left" vertical="center" indent="2"/>
    </xf>
    <xf numFmtId="188" fontId="4" fillId="0" borderId="0" xfId="0" applyNumberFormat="1" applyFont="1"/>
    <xf numFmtId="0" fontId="46" fillId="8" borderId="79" xfId="0" applyFont="1" applyFill="1" applyBorder="1"/>
    <xf numFmtId="183" fontId="55" fillId="8" borderId="80" xfId="10" applyNumberFormat="1" applyFont="1" applyFill="1" applyBorder="1" applyAlignment="1">
      <alignment horizontal="center" vertical="center" wrapText="1"/>
    </xf>
    <xf numFmtId="183" fontId="55" fillId="8" borderId="89" xfId="10" applyNumberFormat="1" applyFont="1" applyFill="1" applyBorder="1" applyAlignment="1">
      <alignment horizontal="center" vertical="center" wrapText="1"/>
    </xf>
    <xf numFmtId="170" fontId="104" fillId="0" borderId="0" xfId="0" applyNumberFormat="1" applyFont="1" applyAlignment="1">
      <alignment horizontal="center" vertical="center"/>
    </xf>
    <xf numFmtId="175" fontId="6" fillId="0" borderId="0" xfId="0" applyNumberFormat="1" applyFont="1" applyAlignment="1">
      <alignment horizontal="center" vertical="center"/>
    </xf>
    <xf numFmtId="0" fontId="127" fillId="8" borderId="26" xfId="0" quotePrefix="1" applyFont="1" applyFill="1" applyBorder="1" applyAlignment="1">
      <alignment horizontal="left" vertical="center" wrapText="1"/>
    </xf>
    <xf numFmtId="0" fontId="127" fillId="8" borderId="0" xfId="0" quotePrefix="1" applyFont="1" applyFill="1" applyAlignment="1">
      <alignment horizontal="left" vertical="center" wrapText="1"/>
    </xf>
    <xf numFmtId="0" fontId="127" fillId="8" borderId="28" xfId="0" quotePrefix="1" applyFont="1" applyFill="1" applyBorder="1" applyAlignment="1">
      <alignment horizontal="left" vertical="center" wrapText="1"/>
    </xf>
    <xf numFmtId="17" fontId="105" fillId="8" borderId="0" xfId="0" applyNumberFormat="1" applyFont="1" applyFill="1"/>
    <xf numFmtId="173" fontId="105" fillId="0" borderId="0" xfId="0" applyNumberFormat="1" applyFont="1" applyAlignment="1">
      <alignment vertical="center"/>
    </xf>
    <xf numFmtId="170" fontId="105" fillId="0" borderId="0" xfId="0" applyNumberFormat="1" applyFont="1" applyAlignment="1">
      <alignment horizontal="center" vertical="center"/>
    </xf>
    <xf numFmtId="170" fontId="105" fillId="0" borderId="0" xfId="0" applyNumberFormat="1" applyFont="1" applyAlignment="1">
      <alignment horizontal="center"/>
    </xf>
    <xf numFmtId="170" fontId="4" fillId="0" borderId="0" xfId="1" applyNumberFormat="1" applyFont="1" applyAlignment="1">
      <alignment horizontal="center"/>
    </xf>
    <xf numFmtId="165" fontId="7" fillId="0" borderId="0" xfId="0" applyNumberFormat="1" applyFont="1"/>
    <xf numFmtId="4" fontId="4" fillId="0" borderId="0" xfId="0" applyNumberFormat="1" applyFont="1"/>
    <xf numFmtId="0" fontId="104" fillId="18" borderId="0" xfId="0" applyFont="1" applyFill="1"/>
    <xf numFmtId="0" fontId="104" fillId="8" borderId="0" xfId="0" applyFont="1" applyFill="1"/>
    <xf numFmtId="4" fontId="7" fillId="8" borderId="0" xfId="0" applyNumberFormat="1" applyFont="1" applyFill="1"/>
    <xf numFmtId="0" fontId="118" fillId="8" borderId="0" xfId="0" applyFont="1" applyFill="1"/>
    <xf numFmtId="4" fontId="0" fillId="8" borderId="0" xfId="0" applyNumberFormat="1" applyFill="1"/>
    <xf numFmtId="4" fontId="118" fillId="8" borderId="0" xfId="0" applyNumberFormat="1" applyFont="1" applyFill="1"/>
    <xf numFmtId="0" fontId="58" fillId="8" borderId="0" xfId="0" applyFont="1" applyFill="1" applyAlignment="1">
      <alignment horizontal="center" vertical="center" wrapText="1" readingOrder="1"/>
    </xf>
    <xf numFmtId="0" fontId="59" fillId="8" borderId="0" xfId="0" applyFont="1" applyFill="1" applyAlignment="1">
      <alignment horizontal="left" vertical="center" wrapText="1" readingOrder="1"/>
    </xf>
    <xf numFmtId="0" fontId="59" fillId="8" borderId="0" xfId="0" applyFont="1" applyFill="1" applyAlignment="1">
      <alignment horizontal="right" vertical="center" wrapText="1" readingOrder="1"/>
    </xf>
    <xf numFmtId="0" fontId="59" fillId="8" borderId="0" xfId="0" applyFont="1" applyFill="1" applyAlignment="1">
      <alignment horizontal="center" vertical="center" wrapText="1" readingOrder="1"/>
    </xf>
    <xf numFmtId="0" fontId="0" fillId="8" borderId="0" xfId="0" quotePrefix="1" applyFill="1" applyAlignment="1">
      <alignment wrapText="1"/>
    </xf>
    <xf numFmtId="0" fontId="118" fillId="8" borderId="0" xfId="0" quotePrefix="1" applyFont="1" applyFill="1" applyAlignment="1">
      <alignment wrapText="1"/>
    </xf>
    <xf numFmtId="0" fontId="129" fillId="8" borderId="0" xfId="0" applyFont="1" applyFill="1" applyAlignment="1">
      <alignment horizontal="center" vertical="center" wrapText="1" readingOrder="1"/>
    </xf>
    <xf numFmtId="0" fontId="130" fillId="8" borderId="0" xfId="0" applyFont="1" applyFill="1" applyAlignment="1">
      <alignment horizontal="left" vertical="center" wrapText="1" readingOrder="1"/>
    </xf>
    <xf numFmtId="0" fontId="130" fillId="8" borderId="0" xfId="0" applyFont="1" applyFill="1" applyAlignment="1">
      <alignment horizontal="right" vertical="center" wrapText="1" readingOrder="1"/>
    </xf>
    <xf numFmtId="0" fontId="130" fillId="8" borderId="0" xfId="0" applyFont="1" applyFill="1" applyAlignment="1">
      <alignment horizontal="center" vertical="center" wrapText="1" readingOrder="1"/>
    </xf>
    <xf numFmtId="0" fontId="6" fillId="8" borderId="0" xfId="0" applyFont="1" applyFill="1"/>
    <xf numFmtId="10" fontId="88" fillId="8" borderId="0" xfId="1" applyNumberFormat="1" applyFont="1" applyFill="1"/>
    <xf numFmtId="0" fontId="54" fillId="8" borderId="0" xfId="0" applyFont="1" applyFill="1" applyAlignment="1">
      <alignment horizontal="left" vertical="center" wrapText="1"/>
    </xf>
    <xf numFmtId="17" fontId="76" fillId="8" borderId="2" xfId="0" applyNumberFormat="1" applyFont="1" applyFill="1" applyBorder="1" applyAlignment="1">
      <alignment vertical="center"/>
    </xf>
    <xf numFmtId="0" fontId="117" fillId="23" borderId="0" xfId="0" quotePrefix="1" applyFont="1" applyFill="1" applyAlignment="1">
      <alignment horizontal="left" vertical="center" indent="2"/>
    </xf>
    <xf numFmtId="0" fontId="118" fillId="23" borderId="0" xfId="0" applyFont="1" applyFill="1"/>
    <xf numFmtId="169" fontId="7" fillId="0" borderId="0" xfId="3" applyNumberFormat="1" applyFont="1" applyAlignment="1">
      <alignment horizontal="center" vertical="center"/>
    </xf>
    <xf numFmtId="169" fontId="7" fillId="0" borderId="0" xfId="0" applyNumberFormat="1" applyFont="1" applyAlignment="1">
      <alignment horizontal="center" vertical="center"/>
    </xf>
    <xf numFmtId="169" fontId="6" fillId="0" borderId="0" xfId="3" applyNumberFormat="1" applyFont="1" applyAlignment="1">
      <alignment horizontal="center" vertical="center"/>
    </xf>
    <xf numFmtId="169" fontId="6" fillId="0" borderId="0" xfId="0" applyNumberFormat="1" applyFont="1" applyAlignment="1">
      <alignment horizontal="center" vertical="center"/>
    </xf>
    <xf numFmtId="169" fontId="63" fillId="0" borderId="0" xfId="3" applyNumberFormat="1" applyFont="1" applyAlignment="1">
      <alignment horizontal="center" vertical="center"/>
    </xf>
    <xf numFmtId="169" fontId="63" fillId="0" borderId="0" xfId="0" applyNumberFormat="1" applyFont="1" applyAlignment="1">
      <alignment horizontal="center" vertical="center"/>
    </xf>
    <xf numFmtId="169" fontId="14" fillId="0" borderId="0" xfId="0" applyNumberFormat="1" applyFont="1" applyAlignment="1">
      <alignment horizontal="center"/>
    </xf>
    <xf numFmtId="166" fontId="14" fillId="0" borderId="0" xfId="0" applyNumberFormat="1" applyFont="1" applyAlignment="1">
      <alignment horizontal="center"/>
    </xf>
    <xf numFmtId="0" fontId="73" fillId="21" borderId="67" xfId="0" applyFont="1" applyFill="1" applyBorder="1" applyAlignment="1">
      <alignment horizontal="center" vertical="center" wrapText="1"/>
    </xf>
    <xf numFmtId="0" fontId="73" fillId="21" borderId="67" xfId="0" applyFont="1" applyFill="1" applyBorder="1" applyAlignment="1">
      <alignment vertical="center" wrapText="1"/>
    </xf>
    <xf numFmtId="0" fontId="73" fillId="3" borderId="67" xfId="0" applyFont="1" applyFill="1" applyBorder="1" applyAlignment="1">
      <alignment horizontal="center" vertical="center" wrapText="1"/>
    </xf>
    <xf numFmtId="0" fontId="73" fillId="3" borderId="67" xfId="0" applyFont="1" applyFill="1" applyBorder="1" applyAlignment="1">
      <alignment vertical="center" wrapText="1"/>
    </xf>
    <xf numFmtId="4" fontId="73" fillId="3" borderId="67" xfId="0" applyNumberFormat="1" applyFont="1" applyFill="1" applyBorder="1" applyAlignment="1">
      <alignment horizontal="center" vertical="center" wrapText="1"/>
    </xf>
    <xf numFmtId="0" fontId="132" fillId="18" borderId="38" xfId="0" applyFont="1" applyFill="1" applyBorder="1" applyAlignment="1">
      <alignment horizontal="center" vertical="center" wrapText="1"/>
    </xf>
    <xf numFmtId="0" fontId="132" fillId="18" borderId="63" xfId="0" applyFont="1" applyFill="1" applyBorder="1" applyAlignment="1">
      <alignment horizontal="center" vertical="center" wrapText="1"/>
    </xf>
    <xf numFmtId="0" fontId="132" fillId="18" borderId="63" xfId="0" applyFont="1" applyFill="1" applyBorder="1" applyAlignment="1">
      <alignment vertical="center" wrapText="1"/>
    </xf>
    <xf numFmtId="4" fontId="132" fillId="18" borderId="63" xfId="0" applyNumberFormat="1" applyFont="1" applyFill="1" applyBorder="1" applyAlignment="1">
      <alignment horizontal="center" vertical="center" wrapText="1"/>
    </xf>
    <xf numFmtId="4" fontId="132" fillId="18" borderId="38" xfId="0" applyNumberFormat="1" applyFont="1" applyFill="1" applyBorder="1" applyAlignment="1">
      <alignment horizontal="center" vertical="center" wrapText="1"/>
    </xf>
    <xf numFmtId="0" fontId="61" fillId="0" borderId="72" xfId="0" applyFont="1" applyBorder="1" applyAlignment="1">
      <alignment horizontal="center" vertical="center"/>
    </xf>
    <xf numFmtId="165" fontId="25" fillId="0" borderId="0" xfId="10" applyFont="1" applyBorder="1" applyAlignment="1">
      <alignment horizontal="left" vertical="center"/>
    </xf>
    <xf numFmtId="165" fontId="62" fillId="0" borderId="0" xfId="10" applyFont="1" applyBorder="1" applyAlignment="1"/>
    <xf numFmtId="9" fontId="62" fillId="0" borderId="0" xfId="1" applyFont="1" applyBorder="1"/>
    <xf numFmtId="0" fontId="135" fillId="8" borderId="43" xfId="6548" applyFont="1" applyFill="1" applyBorder="1" applyAlignment="1">
      <alignment vertical="center" wrapText="1"/>
    </xf>
    <xf numFmtId="0" fontId="55" fillId="8" borderId="79" xfId="0" applyFont="1" applyFill="1" applyBorder="1"/>
    <xf numFmtId="0" fontId="55" fillId="8" borderId="88" xfId="0" applyFont="1" applyFill="1" applyBorder="1" applyAlignment="1">
      <alignment horizontal="center" vertical="center" wrapText="1"/>
    </xf>
    <xf numFmtId="0" fontId="55" fillId="8" borderId="89" xfId="0" applyFont="1" applyFill="1" applyBorder="1" applyAlignment="1">
      <alignment horizontal="center" vertical="center" wrapText="1"/>
    </xf>
    <xf numFmtId="3" fontId="55" fillId="8" borderId="89" xfId="3367" applyNumberFormat="1" applyFont="1" applyFill="1" applyBorder="1" applyAlignment="1">
      <alignment horizontal="center" vertical="center" wrapText="1"/>
    </xf>
    <xf numFmtId="179" fontId="55" fillId="8" borderId="89" xfId="0" applyNumberFormat="1" applyFont="1" applyFill="1" applyBorder="1" applyAlignment="1">
      <alignment horizontal="center" vertical="center" wrapText="1"/>
    </xf>
    <xf numFmtId="1" fontId="55" fillId="8" borderId="89" xfId="0" applyNumberFormat="1" applyFont="1" applyFill="1" applyBorder="1" applyAlignment="1">
      <alignment horizontal="center" vertical="center" wrapText="1"/>
    </xf>
    <xf numFmtId="182" fontId="55" fillId="8" borderId="89" xfId="10" applyNumberFormat="1" applyFont="1" applyFill="1" applyBorder="1" applyAlignment="1">
      <alignment horizontal="center" vertical="center"/>
    </xf>
    <xf numFmtId="183" fontId="55" fillId="8" borderId="89" xfId="10" applyNumberFormat="1" applyFont="1" applyFill="1" applyBorder="1" applyAlignment="1">
      <alignment horizontal="center" vertical="center"/>
    </xf>
    <xf numFmtId="184" fontId="55" fillId="8" borderId="89" xfId="10" applyNumberFormat="1" applyFont="1" applyFill="1" applyBorder="1" applyAlignment="1">
      <alignment horizontal="center" vertical="center"/>
    </xf>
    <xf numFmtId="185" fontId="55" fillId="8" borderId="89" xfId="10" applyNumberFormat="1" applyFont="1" applyFill="1" applyBorder="1" applyAlignment="1">
      <alignment horizontal="center" vertical="center"/>
    </xf>
    <xf numFmtId="186" fontId="55" fillId="8" borderId="89" xfId="10" applyNumberFormat="1" applyFont="1" applyFill="1" applyBorder="1" applyAlignment="1">
      <alignment vertical="center" wrapText="1"/>
    </xf>
    <xf numFmtId="187" fontId="55" fillId="8" borderId="89" xfId="10" applyNumberFormat="1" applyFont="1" applyFill="1" applyBorder="1" applyAlignment="1">
      <alignment vertical="center" wrapText="1"/>
    </xf>
    <xf numFmtId="165" fontId="55" fillId="8" borderId="89" xfId="10" applyFont="1" applyFill="1" applyBorder="1" applyAlignment="1">
      <alignment vertical="center" wrapText="1"/>
    </xf>
    <xf numFmtId="178" fontId="55" fillId="8" borderId="89" xfId="10" applyNumberFormat="1" applyFont="1" applyFill="1" applyBorder="1" applyAlignment="1">
      <alignment vertical="center" wrapText="1"/>
    </xf>
    <xf numFmtId="181" fontId="55" fillId="8" borderId="89" xfId="10" applyNumberFormat="1" applyFont="1" applyFill="1" applyBorder="1" applyAlignment="1">
      <alignment vertical="center" wrapText="1"/>
    </xf>
    <xf numFmtId="170" fontId="55" fillId="8" borderId="89" xfId="1" applyNumberFormat="1" applyFont="1" applyFill="1" applyBorder="1" applyAlignment="1">
      <alignment horizontal="center" vertical="center" wrapText="1"/>
    </xf>
    <xf numFmtId="176" fontId="55" fillId="8" borderId="89" xfId="3367" applyNumberFormat="1" applyFont="1" applyFill="1" applyBorder="1" applyAlignment="1">
      <alignment horizontal="center" vertical="center" wrapText="1"/>
    </xf>
    <xf numFmtId="0" fontId="55" fillId="8" borderId="90" xfId="0" applyFont="1" applyFill="1" applyBorder="1" applyAlignment="1">
      <alignment horizontal="center" vertical="center" wrapText="1"/>
    </xf>
    <xf numFmtId="10" fontId="55" fillId="8" borderId="89" xfId="0" applyNumberFormat="1" applyFont="1" applyFill="1" applyBorder="1" applyAlignment="1">
      <alignment horizontal="center" vertical="center" wrapText="1"/>
    </xf>
    <xf numFmtId="0" fontId="55" fillId="8" borderId="91" xfId="0" applyFont="1" applyFill="1" applyBorder="1" applyAlignment="1">
      <alignment horizontal="center" vertical="center" wrapText="1"/>
    </xf>
    <xf numFmtId="0" fontId="55" fillId="8" borderId="89" xfId="0" applyFont="1" applyFill="1" applyBorder="1" applyAlignment="1">
      <alignment vertical="center" wrapText="1"/>
    </xf>
    <xf numFmtId="0" fontId="135" fillId="8" borderId="89" xfId="6548" applyFont="1" applyFill="1" applyBorder="1" applyAlignment="1">
      <alignment vertical="center" wrapText="1"/>
    </xf>
    <xf numFmtId="0" fontId="55" fillId="8" borderId="88" xfId="0" applyFont="1" applyFill="1" applyBorder="1"/>
    <xf numFmtId="0" fontId="55" fillId="8" borderId="85" xfId="0" applyFont="1" applyFill="1" applyBorder="1" applyAlignment="1">
      <alignment horizontal="center" vertical="center" wrapText="1"/>
    </xf>
    <xf numFmtId="3" fontId="55" fillId="8" borderId="80" xfId="3367" applyNumberFormat="1" applyFont="1" applyFill="1" applyBorder="1" applyAlignment="1">
      <alignment horizontal="center" vertical="center" wrapText="1"/>
    </xf>
    <xf numFmtId="179" fontId="55" fillId="8" borderId="80" xfId="0" applyNumberFormat="1" applyFont="1" applyFill="1" applyBorder="1" applyAlignment="1">
      <alignment horizontal="center" vertical="center" wrapText="1"/>
    </xf>
    <xf numFmtId="1" fontId="55" fillId="8" borderId="80" xfId="0" applyNumberFormat="1" applyFont="1" applyFill="1" applyBorder="1" applyAlignment="1">
      <alignment horizontal="center" vertical="center" wrapText="1"/>
    </xf>
    <xf numFmtId="182" fontId="55" fillId="8" borderId="80" xfId="10" applyNumberFormat="1" applyFont="1" applyFill="1" applyBorder="1" applyAlignment="1">
      <alignment horizontal="center" vertical="center"/>
    </xf>
    <xf numFmtId="183" fontId="55" fillId="8" borderId="80" xfId="10" applyNumberFormat="1" applyFont="1" applyFill="1" applyBorder="1" applyAlignment="1">
      <alignment horizontal="center" vertical="center"/>
    </xf>
    <xf numFmtId="184" fontId="55" fillId="8" borderId="80" xfId="10" applyNumberFormat="1" applyFont="1" applyFill="1" applyBorder="1" applyAlignment="1">
      <alignment horizontal="center" vertical="center"/>
    </xf>
    <xf numFmtId="185" fontId="55" fillId="8" borderId="80" xfId="10" applyNumberFormat="1" applyFont="1" applyFill="1" applyBorder="1" applyAlignment="1">
      <alignment horizontal="center" vertical="center"/>
    </xf>
    <xf numFmtId="186" fontId="55" fillId="8" borderId="80" xfId="10" applyNumberFormat="1" applyFont="1" applyFill="1" applyBorder="1" applyAlignment="1">
      <alignment vertical="center" wrapText="1"/>
    </xf>
    <xf numFmtId="187" fontId="55" fillId="8" borderId="80" xfId="10" applyNumberFormat="1" applyFont="1" applyFill="1" applyBorder="1" applyAlignment="1">
      <alignment vertical="center" wrapText="1"/>
    </xf>
    <xf numFmtId="165" fontId="55" fillId="8" borderId="80" xfId="10" applyFont="1" applyFill="1" applyBorder="1" applyAlignment="1">
      <alignment vertical="center" wrapText="1"/>
    </xf>
    <xf numFmtId="178" fontId="55" fillId="8" borderId="80" xfId="10" applyNumberFormat="1" applyFont="1" applyFill="1" applyBorder="1" applyAlignment="1">
      <alignment vertical="center" wrapText="1"/>
    </xf>
    <xf numFmtId="181" fontId="55" fillId="8" borderId="80" xfId="10" applyNumberFormat="1" applyFont="1" applyFill="1" applyBorder="1" applyAlignment="1">
      <alignment vertical="center" wrapText="1"/>
    </xf>
    <xf numFmtId="170" fontId="55" fillId="8" borderId="80" xfId="1" applyNumberFormat="1" applyFont="1" applyFill="1" applyBorder="1" applyAlignment="1">
      <alignment horizontal="center" vertical="center" wrapText="1"/>
    </xf>
    <xf numFmtId="0" fontId="55" fillId="8" borderId="86" xfId="0" applyFont="1" applyFill="1" applyBorder="1" applyAlignment="1">
      <alignment horizontal="center" vertical="center" wrapText="1"/>
    </xf>
    <xf numFmtId="9" fontId="55" fillId="8" borderId="80" xfId="0" applyNumberFormat="1" applyFont="1" applyFill="1" applyBorder="1" applyAlignment="1">
      <alignment horizontal="center" vertical="center" wrapText="1"/>
    </xf>
    <xf numFmtId="10" fontId="55" fillId="8" borderId="80" xfId="0" applyNumberFormat="1" applyFont="1" applyFill="1" applyBorder="1" applyAlignment="1">
      <alignment horizontal="center" vertical="center" wrapText="1"/>
    </xf>
    <xf numFmtId="0" fontId="55" fillId="8" borderId="87" xfId="0" applyFont="1" applyFill="1" applyBorder="1" applyAlignment="1">
      <alignment horizontal="center" vertical="center" wrapText="1"/>
    </xf>
    <xf numFmtId="0" fontId="135" fillId="8" borderId="80" xfId="6548" applyFont="1" applyFill="1" applyBorder="1" applyAlignment="1">
      <alignment vertical="center" wrapText="1"/>
    </xf>
    <xf numFmtId="0" fontId="55" fillId="8" borderId="85" xfId="0" applyFont="1" applyFill="1" applyBorder="1"/>
    <xf numFmtId="0" fontId="55" fillId="8" borderId="93" xfId="0" applyFont="1" applyFill="1" applyBorder="1" applyAlignment="1">
      <alignment horizontal="center" vertical="center" wrapText="1"/>
    </xf>
    <xf numFmtId="0" fontId="55" fillId="8" borderId="94" xfId="0" applyFont="1" applyFill="1" applyBorder="1" applyAlignment="1">
      <alignment horizontal="center" vertical="center" wrapText="1"/>
    </xf>
    <xf numFmtId="3" fontId="55" fillId="8" borderId="94" xfId="3367" applyNumberFormat="1" applyFont="1" applyFill="1" applyBorder="1" applyAlignment="1">
      <alignment horizontal="center" vertical="center" wrapText="1"/>
    </xf>
    <xf numFmtId="179" fontId="55" fillId="8" borderId="94" xfId="0" applyNumberFormat="1" applyFont="1" applyFill="1" applyBorder="1" applyAlignment="1">
      <alignment horizontal="center" vertical="center" wrapText="1"/>
    </xf>
    <xf numFmtId="1" fontId="55" fillId="8" borderId="94" xfId="0" applyNumberFormat="1" applyFont="1" applyFill="1" applyBorder="1" applyAlignment="1">
      <alignment horizontal="center" vertical="center" wrapText="1"/>
    </xf>
    <xf numFmtId="182" fontId="55" fillId="8" borderId="94" xfId="10" applyNumberFormat="1" applyFont="1" applyFill="1" applyBorder="1" applyAlignment="1">
      <alignment horizontal="center" vertical="center"/>
    </xf>
    <xf numFmtId="183" fontId="55" fillId="8" borderId="94" xfId="10" applyNumberFormat="1" applyFont="1" applyFill="1" applyBorder="1" applyAlignment="1">
      <alignment horizontal="center" vertical="center"/>
    </xf>
    <xf numFmtId="183" fontId="55" fillId="8" borderId="94" xfId="10" applyNumberFormat="1" applyFont="1" applyFill="1" applyBorder="1" applyAlignment="1">
      <alignment horizontal="center" vertical="center" wrapText="1"/>
    </xf>
    <xf numFmtId="184" fontId="55" fillId="8" borderId="94" xfId="10" applyNumberFormat="1" applyFont="1" applyFill="1" applyBorder="1" applyAlignment="1">
      <alignment horizontal="center" vertical="center"/>
    </xf>
    <xf numFmtId="185" fontId="55" fillId="8" borderId="94" xfId="10" applyNumberFormat="1" applyFont="1" applyFill="1" applyBorder="1" applyAlignment="1">
      <alignment horizontal="center" vertical="center"/>
    </xf>
    <xf numFmtId="186" fontId="55" fillId="8" borderId="94" xfId="10" applyNumberFormat="1" applyFont="1" applyFill="1" applyBorder="1" applyAlignment="1">
      <alignment vertical="center" wrapText="1"/>
    </xf>
    <xf numFmtId="187" fontId="55" fillId="8" borderId="94" xfId="10" applyNumberFormat="1" applyFont="1" applyFill="1" applyBorder="1" applyAlignment="1">
      <alignment vertical="center" wrapText="1"/>
    </xf>
    <xf numFmtId="165" fontId="55" fillId="8" borderId="94" xfId="10" applyFont="1" applyFill="1" applyBorder="1" applyAlignment="1">
      <alignment vertical="center" wrapText="1"/>
    </xf>
    <xf numFmtId="178" fontId="55" fillId="8" borderId="94" xfId="10" applyNumberFormat="1" applyFont="1" applyFill="1" applyBorder="1" applyAlignment="1">
      <alignment vertical="center" wrapText="1"/>
    </xf>
    <xf numFmtId="181" fontId="55" fillId="8" borderId="94" xfId="10" applyNumberFormat="1" applyFont="1" applyFill="1" applyBorder="1" applyAlignment="1">
      <alignment vertical="center" wrapText="1"/>
    </xf>
    <xf numFmtId="170" fontId="55" fillId="8" borderId="94" xfId="1" applyNumberFormat="1" applyFont="1" applyFill="1" applyBorder="1" applyAlignment="1">
      <alignment horizontal="center" vertical="center" wrapText="1"/>
    </xf>
    <xf numFmtId="176" fontId="55" fillId="8" borderId="94" xfId="3367" applyNumberFormat="1" applyFont="1" applyFill="1" applyBorder="1" applyAlignment="1">
      <alignment horizontal="center" vertical="center" wrapText="1"/>
    </xf>
    <xf numFmtId="0" fontId="55" fillId="8" borderId="95" xfId="0" applyFont="1" applyFill="1" applyBorder="1" applyAlignment="1">
      <alignment horizontal="center" vertical="center" wrapText="1"/>
    </xf>
    <xf numFmtId="9" fontId="55" fillId="8" borderId="94" xfId="0" applyNumberFormat="1" applyFont="1" applyFill="1" applyBorder="1" applyAlignment="1">
      <alignment horizontal="center" vertical="center" wrapText="1"/>
    </xf>
    <xf numFmtId="10" fontId="55" fillId="8" borderId="94" xfId="0" applyNumberFormat="1" applyFont="1" applyFill="1" applyBorder="1" applyAlignment="1">
      <alignment horizontal="center" vertical="center" wrapText="1"/>
    </xf>
    <xf numFmtId="0" fontId="55" fillId="8" borderId="96" xfId="0" applyFont="1" applyFill="1" applyBorder="1" applyAlignment="1">
      <alignment horizontal="center" vertical="center" wrapText="1"/>
    </xf>
    <xf numFmtId="0" fontId="55" fillId="8" borderId="94" xfId="0" applyFont="1" applyFill="1" applyBorder="1" applyAlignment="1">
      <alignment vertical="center" wrapText="1"/>
    </xf>
    <xf numFmtId="0" fontId="135" fillId="8" borderId="94" xfId="6548" applyFont="1" applyFill="1" applyBorder="1" applyAlignment="1">
      <alignment vertical="center" wrapText="1"/>
    </xf>
    <xf numFmtId="0" fontId="55" fillId="8" borderId="93" xfId="0" applyFont="1" applyFill="1" applyBorder="1"/>
    <xf numFmtId="0" fontId="55" fillId="18" borderId="79" xfId="0" applyFont="1" applyFill="1" applyBorder="1" applyAlignment="1">
      <alignment horizontal="center" vertical="center" wrapText="1"/>
    </xf>
    <xf numFmtId="0" fontId="55" fillId="18" borderId="43" xfId="0" applyFont="1" applyFill="1" applyBorder="1" applyAlignment="1">
      <alignment horizontal="center" vertical="center" wrapText="1"/>
    </xf>
    <xf numFmtId="3" fontId="55" fillId="18" borderId="43" xfId="3367" applyNumberFormat="1" applyFont="1" applyFill="1" applyBorder="1" applyAlignment="1">
      <alignment horizontal="center" vertical="center" wrapText="1"/>
    </xf>
    <xf numFmtId="179" fontId="55" fillId="18" borderId="43" xfId="0" applyNumberFormat="1" applyFont="1" applyFill="1" applyBorder="1" applyAlignment="1">
      <alignment horizontal="center" vertical="center" wrapText="1"/>
    </xf>
    <xf numFmtId="1" fontId="55" fillId="18" borderId="43" xfId="0" applyNumberFormat="1" applyFont="1" applyFill="1" applyBorder="1" applyAlignment="1">
      <alignment horizontal="center" vertical="center" wrapText="1"/>
    </xf>
    <xf numFmtId="182" fontId="55" fillId="18" borderId="43" xfId="10" applyNumberFormat="1" applyFont="1" applyFill="1" applyBorder="1" applyAlignment="1">
      <alignment horizontal="center" vertical="center"/>
    </xf>
    <xf numFmtId="183" fontId="55" fillId="18" borderId="43" xfId="10" applyNumberFormat="1" applyFont="1" applyFill="1" applyBorder="1" applyAlignment="1">
      <alignment horizontal="center" vertical="center"/>
    </xf>
    <xf numFmtId="183" fontId="55" fillId="18" borderId="43" xfId="10" applyNumberFormat="1" applyFont="1" applyFill="1" applyBorder="1" applyAlignment="1">
      <alignment horizontal="center" vertical="center" wrapText="1"/>
    </xf>
    <xf numFmtId="184" fontId="55" fillId="18" borderId="43" xfId="10" applyNumberFormat="1" applyFont="1" applyFill="1" applyBorder="1" applyAlignment="1">
      <alignment horizontal="center" vertical="center"/>
    </xf>
    <xf numFmtId="185" fontId="55" fillId="18" borderId="43" xfId="10" applyNumberFormat="1" applyFont="1" applyFill="1" applyBorder="1" applyAlignment="1">
      <alignment horizontal="center" vertical="center"/>
    </xf>
    <xf numFmtId="186" fontId="55" fillId="18" borderId="43" xfId="10" applyNumberFormat="1" applyFont="1" applyFill="1" applyBorder="1" applyAlignment="1">
      <alignment vertical="center" wrapText="1"/>
    </xf>
    <xf numFmtId="187" fontId="55" fillId="18" borderId="43" xfId="10" applyNumberFormat="1" applyFont="1" applyFill="1" applyBorder="1" applyAlignment="1">
      <alignment vertical="center" wrapText="1"/>
    </xf>
    <xf numFmtId="165" fontId="55" fillId="18" borderId="43" xfId="10" applyFont="1" applyFill="1" applyBorder="1" applyAlignment="1">
      <alignment vertical="center" wrapText="1"/>
    </xf>
    <xf numFmtId="178" fontId="55" fillId="18" borderId="43" xfId="10" applyNumberFormat="1" applyFont="1" applyFill="1" applyBorder="1" applyAlignment="1">
      <alignment vertical="center" wrapText="1"/>
    </xf>
    <xf numFmtId="181" fontId="55" fillId="18" borderId="43" xfId="10" applyNumberFormat="1" applyFont="1" applyFill="1" applyBorder="1" applyAlignment="1">
      <alignment vertical="center" wrapText="1"/>
    </xf>
    <xf numFmtId="170" fontId="55" fillId="18" borderId="43" xfId="1" applyNumberFormat="1" applyFont="1" applyFill="1" applyBorder="1" applyAlignment="1">
      <alignment horizontal="center" vertical="center" wrapText="1"/>
    </xf>
    <xf numFmtId="176" fontId="55" fillId="18" borderId="43" xfId="3367" applyNumberFormat="1" applyFont="1" applyFill="1" applyBorder="1" applyAlignment="1">
      <alignment horizontal="center" vertical="center" wrapText="1"/>
    </xf>
    <xf numFmtId="0" fontId="55" fillId="18" borderId="83" xfId="0" applyFont="1" applyFill="1" applyBorder="1" applyAlignment="1">
      <alignment horizontal="center" vertical="center" wrapText="1"/>
    </xf>
    <xf numFmtId="9" fontId="55" fillId="18" borderId="43" xfId="0" applyNumberFormat="1" applyFont="1" applyFill="1" applyBorder="1" applyAlignment="1">
      <alignment horizontal="center" vertical="center" wrapText="1"/>
    </xf>
    <xf numFmtId="10" fontId="55" fillId="18" borderId="43" xfId="0" applyNumberFormat="1" applyFont="1" applyFill="1" applyBorder="1" applyAlignment="1">
      <alignment horizontal="center" vertical="center" wrapText="1"/>
    </xf>
    <xf numFmtId="0" fontId="137" fillId="18" borderId="84" xfId="0" applyFont="1" applyFill="1" applyBorder="1" applyAlignment="1">
      <alignment horizontal="center" vertical="center" wrapText="1"/>
    </xf>
    <xf numFmtId="0" fontId="137" fillId="18" borderId="43" xfId="0" applyFont="1" applyFill="1" applyBorder="1" applyAlignment="1">
      <alignment horizontal="center" vertical="center" wrapText="1"/>
    </xf>
    <xf numFmtId="0" fontId="55" fillId="18" borderId="43" xfId="0" applyFont="1" applyFill="1" applyBorder="1" applyAlignment="1">
      <alignment vertical="center" wrapText="1"/>
    </xf>
    <xf numFmtId="0" fontId="135" fillId="18" borderId="43" xfId="6548" applyFont="1" applyFill="1" applyBorder="1" applyAlignment="1">
      <alignment vertical="center" wrapText="1"/>
    </xf>
    <xf numFmtId="0" fontId="55" fillId="18" borderId="79" xfId="0" applyFont="1" applyFill="1" applyBorder="1"/>
    <xf numFmtId="0" fontId="55" fillId="18" borderId="84" xfId="0" applyFont="1" applyFill="1" applyBorder="1" applyAlignment="1">
      <alignment horizontal="center" vertical="center" wrapText="1"/>
    </xf>
    <xf numFmtId="0" fontId="55" fillId="18" borderId="88" xfId="0" applyFont="1" applyFill="1" applyBorder="1" applyAlignment="1">
      <alignment horizontal="center" vertical="center" wrapText="1"/>
    </xf>
    <xf numFmtId="0" fontId="55" fillId="18" borderId="89" xfId="0" applyFont="1" applyFill="1" applyBorder="1" applyAlignment="1">
      <alignment horizontal="center" vertical="center" wrapText="1"/>
    </xf>
    <xf numFmtId="3" fontId="55" fillId="18" borderId="89" xfId="3367" applyNumberFormat="1" applyFont="1" applyFill="1" applyBorder="1" applyAlignment="1">
      <alignment horizontal="center" vertical="center" wrapText="1"/>
    </xf>
    <xf numFmtId="179" fontId="55" fillId="18" borderId="89" xfId="0" applyNumberFormat="1" applyFont="1" applyFill="1" applyBorder="1" applyAlignment="1">
      <alignment horizontal="center" vertical="center" wrapText="1"/>
    </xf>
    <xf numFmtId="1" fontId="55" fillId="18" borderId="89" xfId="0" applyNumberFormat="1" applyFont="1" applyFill="1" applyBorder="1" applyAlignment="1">
      <alignment horizontal="center" vertical="center" wrapText="1"/>
    </xf>
    <xf numFmtId="182" fontId="55" fillId="18" borderId="89" xfId="10" applyNumberFormat="1" applyFont="1" applyFill="1" applyBorder="1" applyAlignment="1">
      <alignment horizontal="center" vertical="center"/>
    </xf>
    <xf numFmtId="183" fontId="55" fillId="18" borderId="89" xfId="10" applyNumberFormat="1" applyFont="1" applyFill="1" applyBorder="1" applyAlignment="1">
      <alignment horizontal="center" vertical="center"/>
    </xf>
    <xf numFmtId="183" fontId="55" fillId="18" borderId="89" xfId="10" applyNumberFormat="1" applyFont="1" applyFill="1" applyBorder="1" applyAlignment="1">
      <alignment horizontal="center" vertical="center" wrapText="1"/>
    </xf>
    <xf numFmtId="184" fontId="55" fillId="18" borderId="89" xfId="10" applyNumberFormat="1" applyFont="1" applyFill="1" applyBorder="1" applyAlignment="1">
      <alignment horizontal="center" vertical="center"/>
    </xf>
    <xf numFmtId="185" fontId="55" fillId="18" borderId="89" xfId="10" applyNumberFormat="1" applyFont="1" applyFill="1" applyBorder="1" applyAlignment="1">
      <alignment horizontal="center" vertical="center"/>
    </xf>
    <xf numFmtId="186" fontId="55" fillId="18" borderId="89" xfId="10" applyNumberFormat="1" applyFont="1" applyFill="1" applyBorder="1" applyAlignment="1">
      <alignment vertical="center" wrapText="1"/>
    </xf>
    <xf numFmtId="187" fontId="55" fillId="18" borderId="89" xfId="10" applyNumberFormat="1" applyFont="1" applyFill="1" applyBorder="1" applyAlignment="1">
      <alignment vertical="center" wrapText="1"/>
    </xf>
    <xf numFmtId="165" fontId="55" fillId="18" borderId="89" xfId="10" applyFont="1" applyFill="1" applyBorder="1" applyAlignment="1">
      <alignment vertical="center" wrapText="1"/>
    </xf>
    <xf numFmtId="178" fontId="55" fillId="18" borderId="89" xfId="10" applyNumberFormat="1" applyFont="1" applyFill="1" applyBorder="1" applyAlignment="1">
      <alignment vertical="center" wrapText="1"/>
    </xf>
    <xf numFmtId="181" fontId="55" fillId="18" borderId="89" xfId="10" applyNumberFormat="1" applyFont="1" applyFill="1" applyBorder="1" applyAlignment="1">
      <alignment vertical="center" wrapText="1"/>
    </xf>
    <xf numFmtId="170" fontId="55" fillId="18" borderId="89" xfId="1" applyNumberFormat="1" applyFont="1" applyFill="1" applyBorder="1" applyAlignment="1">
      <alignment horizontal="center" vertical="center" wrapText="1"/>
    </xf>
    <xf numFmtId="176" fontId="55" fillId="18" borderId="89" xfId="3367" applyNumberFormat="1" applyFont="1" applyFill="1" applyBorder="1" applyAlignment="1">
      <alignment horizontal="center" vertical="center" wrapText="1"/>
    </xf>
    <xf numFmtId="0" fontId="55" fillId="18" borderId="90" xfId="0" applyFont="1" applyFill="1" applyBorder="1" applyAlignment="1">
      <alignment horizontal="center" vertical="center" wrapText="1"/>
    </xf>
    <xf numFmtId="9" fontId="55" fillId="18" borderId="89" xfId="0" applyNumberFormat="1" applyFont="1" applyFill="1" applyBorder="1" applyAlignment="1">
      <alignment horizontal="center" vertical="center" wrapText="1"/>
    </xf>
    <xf numFmtId="10" fontId="55" fillId="18" borderId="89" xfId="0" applyNumberFormat="1" applyFont="1" applyFill="1" applyBorder="1" applyAlignment="1">
      <alignment horizontal="center" vertical="center" wrapText="1"/>
    </xf>
    <xf numFmtId="0" fontId="55" fillId="18" borderId="91" xfId="0" applyFont="1" applyFill="1" applyBorder="1" applyAlignment="1">
      <alignment horizontal="center" vertical="center" wrapText="1"/>
    </xf>
    <xf numFmtId="0" fontId="55" fillId="18" borderId="89" xfId="0" applyFont="1" applyFill="1" applyBorder="1" applyAlignment="1">
      <alignment vertical="center" wrapText="1"/>
    </xf>
    <xf numFmtId="0" fontId="135" fillId="18" borderId="89" xfId="6548" applyFont="1" applyFill="1" applyBorder="1" applyAlignment="1">
      <alignment vertical="center" wrapText="1"/>
    </xf>
    <xf numFmtId="0" fontId="55" fillId="18" borderId="88" xfId="0" applyFont="1" applyFill="1" applyBorder="1"/>
    <xf numFmtId="0" fontId="55" fillId="18" borderId="85" xfId="0" applyFont="1" applyFill="1" applyBorder="1" applyAlignment="1">
      <alignment horizontal="center" vertical="center" wrapText="1"/>
    </xf>
    <xf numFmtId="0" fontId="55" fillId="18" borderId="80" xfId="0" applyFont="1" applyFill="1" applyBorder="1" applyAlignment="1">
      <alignment horizontal="center" vertical="center" wrapText="1"/>
    </xf>
    <xf numFmtId="3" fontId="55" fillId="18" borderId="80" xfId="3367" applyNumberFormat="1" applyFont="1" applyFill="1" applyBorder="1" applyAlignment="1">
      <alignment horizontal="center" vertical="center" wrapText="1"/>
    </xf>
    <xf numFmtId="179" fontId="55" fillId="18" borderId="80" xfId="0" applyNumberFormat="1" applyFont="1" applyFill="1" applyBorder="1" applyAlignment="1">
      <alignment horizontal="center" vertical="center" wrapText="1"/>
    </xf>
    <xf numFmtId="1" fontId="55" fillId="18" borderId="80" xfId="0" applyNumberFormat="1" applyFont="1" applyFill="1" applyBorder="1" applyAlignment="1">
      <alignment horizontal="center" vertical="center" wrapText="1"/>
    </xf>
    <xf numFmtId="182" fontId="55" fillId="18" borderId="80" xfId="10" applyNumberFormat="1" applyFont="1" applyFill="1" applyBorder="1" applyAlignment="1">
      <alignment horizontal="center" vertical="center"/>
    </xf>
    <xf numFmtId="183" fontId="55" fillId="18" borderId="80" xfId="10" applyNumberFormat="1" applyFont="1" applyFill="1" applyBorder="1" applyAlignment="1">
      <alignment horizontal="center" vertical="center"/>
    </xf>
    <xf numFmtId="183" fontId="55" fillId="18" borderId="80" xfId="10" applyNumberFormat="1" applyFont="1" applyFill="1" applyBorder="1" applyAlignment="1">
      <alignment horizontal="center" vertical="center" wrapText="1"/>
    </xf>
    <xf numFmtId="184" fontId="55" fillId="18" borderId="80" xfId="10" applyNumberFormat="1" applyFont="1" applyFill="1" applyBorder="1" applyAlignment="1">
      <alignment horizontal="center" vertical="center"/>
    </xf>
    <xf numFmtId="185" fontId="55" fillId="18" borderId="80" xfId="10" applyNumberFormat="1" applyFont="1" applyFill="1" applyBorder="1" applyAlignment="1">
      <alignment horizontal="center" vertical="center"/>
    </xf>
    <xf numFmtId="186" fontId="55" fillId="18" borderId="80" xfId="10" applyNumberFormat="1" applyFont="1" applyFill="1" applyBorder="1" applyAlignment="1">
      <alignment vertical="center" wrapText="1"/>
    </xf>
    <xf numFmtId="187" fontId="55" fillId="18" borderId="80" xfId="10" applyNumberFormat="1" applyFont="1" applyFill="1" applyBorder="1" applyAlignment="1">
      <alignment vertical="center" wrapText="1"/>
    </xf>
    <xf numFmtId="165" fontId="55" fillId="18" borderId="80" xfId="10" applyFont="1" applyFill="1" applyBorder="1" applyAlignment="1">
      <alignment vertical="center" wrapText="1"/>
    </xf>
    <xf numFmtId="178" fontId="55" fillId="18" borderId="80" xfId="10" applyNumberFormat="1" applyFont="1" applyFill="1" applyBorder="1" applyAlignment="1">
      <alignment vertical="center" wrapText="1"/>
    </xf>
    <xf numFmtId="181" fontId="55" fillId="18" borderId="80" xfId="10" applyNumberFormat="1" applyFont="1" applyFill="1" applyBorder="1" applyAlignment="1">
      <alignment vertical="center" wrapText="1"/>
    </xf>
    <xf numFmtId="170" fontId="55" fillId="18" borderId="80" xfId="1" applyNumberFormat="1" applyFont="1" applyFill="1" applyBorder="1" applyAlignment="1">
      <alignment horizontal="center" vertical="center" wrapText="1"/>
    </xf>
    <xf numFmtId="176" fontId="55" fillId="18" borderId="80" xfId="3367" applyNumberFormat="1" applyFont="1" applyFill="1" applyBorder="1" applyAlignment="1">
      <alignment horizontal="center" vertical="center" wrapText="1"/>
    </xf>
    <xf numFmtId="0" fontId="55" fillId="18" borderId="86" xfId="0" applyFont="1" applyFill="1" applyBorder="1" applyAlignment="1">
      <alignment horizontal="center" vertical="center" wrapText="1"/>
    </xf>
    <xf numFmtId="9" fontId="55" fillId="18" borderId="80" xfId="0" applyNumberFormat="1" applyFont="1" applyFill="1" applyBorder="1" applyAlignment="1">
      <alignment horizontal="center" vertical="center" wrapText="1"/>
    </xf>
    <xf numFmtId="10" fontId="55" fillId="18" borderId="80" xfId="0" applyNumberFormat="1" applyFont="1" applyFill="1" applyBorder="1" applyAlignment="1">
      <alignment horizontal="center" vertical="center" wrapText="1"/>
    </xf>
    <xf numFmtId="0" fontId="55" fillId="18" borderId="87" xfId="0" applyFont="1" applyFill="1" applyBorder="1" applyAlignment="1">
      <alignment horizontal="center" vertical="center" wrapText="1"/>
    </xf>
    <xf numFmtId="0" fontId="55" fillId="18" borderId="80" xfId="0" applyFont="1" applyFill="1" applyBorder="1" applyAlignment="1">
      <alignment vertical="center" wrapText="1"/>
    </xf>
    <xf numFmtId="0" fontId="135" fillId="18" borderId="80" xfId="6548" applyFont="1" applyFill="1" applyBorder="1" applyAlignment="1">
      <alignment vertical="center" wrapText="1"/>
    </xf>
    <xf numFmtId="0" fontId="55" fillId="18" borderId="85" xfId="0" applyFont="1" applyFill="1" applyBorder="1"/>
    <xf numFmtId="0" fontId="138" fillId="0" borderId="0" xfId="0" applyFont="1"/>
    <xf numFmtId="2" fontId="93" fillId="3" borderId="5" xfId="0" applyNumberFormat="1" applyFont="1" applyFill="1" applyBorder="1" applyAlignment="1">
      <alignment vertical="center" wrapText="1"/>
    </xf>
    <xf numFmtId="0" fontId="10" fillId="2" borderId="0" xfId="0" applyFont="1" applyFill="1" applyAlignment="1">
      <alignment horizontal="center"/>
    </xf>
    <xf numFmtId="0" fontId="11" fillId="2" borderId="0" xfId="0" applyFont="1" applyFill="1" applyAlignment="1">
      <alignment horizontal="center"/>
    </xf>
    <xf numFmtId="0" fontId="12" fillId="2" borderId="0" xfId="0" applyFont="1" applyFill="1" applyAlignment="1">
      <alignment horizontal="left"/>
    </xf>
    <xf numFmtId="0" fontId="0" fillId="2" borderId="0" xfId="0" applyFill="1" applyAlignment="1">
      <alignment horizontal="left"/>
    </xf>
    <xf numFmtId="0" fontId="11" fillId="2" borderId="0" xfId="0" applyFont="1" applyFill="1" applyAlignment="1">
      <alignment horizontal="left"/>
    </xf>
    <xf numFmtId="0" fontId="13" fillId="0" borderId="0" xfId="0" applyFont="1" applyAlignment="1">
      <alignment horizontal="center" vertical="center"/>
    </xf>
    <xf numFmtId="0" fontId="6" fillId="0" borderId="0" xfId="0" applyFont="1" applyAlignment="1">
      <alignment horizontal="left" vertical="center" wrapText="1"/>
    </xf>
    <xf numFmtId="0" fontId="126" fillId="21" borderId="25" xfId="0" quotePrefix="1" applyFont="1" applyFill="1" applyBorder="1" applyAlignment="1">
      <alignment horizontal="left" vertical="center" wrapText="1"/>
    </xf>
    <xf numFmtId="0" fontId="89" fillId="21" borderId="22" xfId="0" quotePrefix="1" applyFont="1" applyFill="1" applyBorder="1" applyAlignment="1">
      <alignment horizontal="left" vertical="center" wrapText="1"/>
    </xf>
    <xf numFmtId="0" fontId="89" fillId="21" borderId="26" xfId="0" quotePrefix="1" applyFont="1" applyFill="1" applyBorder="1" applyAlignment="1">
      <alignment horizontal="left" vertical="center" wrapText="1"/>
    </xf>
    <xf numFmtId="0" fontId="89" fillId="21" borderId="27" xfId="0" quotePrefix="1" applyFont="1" applyFill="1" applyBorder="1" applyAlignment="1">
      <alignment horizontal="left" vertical="center" wrapText="1"/>
    </xf>
    <xf numFmtId="0" fontId="89" fillId="21" borderId="0" xfId="0" quotePrefix="1" applyFont="1" applyFill="1" applyAlignment="1">
      <alignment horizontal="left" vertical="center" wrapText="1"/>
    </xf>
    <xf numFmtId="0" fontId="89" fillId="21" borderId="28" xfId="0" quotePrefix="1" applyFont="1" applyFill="1" applyBorder="1" applyAlignment="1">
      <alignment horizontal="left" vertical="center" wrapText="1"/>
    </xf>
    <xf numFmtId="0" fontId="89" fillId="21" borderId="29" xfId="0" quotePrefix="1" applyFont="1" applyFill="1" applyBorder="1" applyAlignment="1">
      <alignment horizontal="left" vertical="center" wrapText="1"/>
    </xf>
    <xf numFmtId="0" fontId="89" fillId="21" borderId="23" xfId="0" quotePrefix="1" applyFont="1" applyFill="1" applyBorder="1" applyAlignment="1">
      <alignment horizontal="left" vertical="center" wrapText="1"/>
    </xf>
    <xf numFmtId="0" fontId="89" fillId="21" borderId="30" xfId="0" quotePrefix="1" applyFont="1" applyFill="1" applyBorder="1" applyAlignment="1">
      <alignment horizontal="left" vertical="center" wrapText="1"/>
    </xf>
    <xf numFmtId="0" fontId="128" fillId="21" borderId="25" xfId="0" applyFont="1" applyFill="1" applyBorder="1" applyAlignment="1">
      <alignment horizontal="left" vertical="center" wrapText="1"/>
    </xf>
    <xf numFmtId="0" fontId="128" fillId="21" borderId="22" xfId="0" applyFont="1" applyFill="1" applyBorder="1" applyAlignment="1">
      <alignment horizontal="left" vertical="center" wrapText="1"/>
    </xf>
    <xf numFmtId="0" fontId="128" fillId="21" borderId="26" xfId="0" applyFont="1" applyFill="1" applyBorder="1" applyAlignment="1">
      <alignment horizontal="left" vertical="center" wrapText="1"/>
    </xf>
    <xf numFmtId="0" fontId="128" fillId="21" borderId="27" xfId="0" applyFont="1" applyFill="1" applyBorder="1" applyAlignment="1">
      <alignment horizontal="left" vertical="center" wrapText="1"/>
    </xf>
    <xf numFmtId="0" fontId="128" fillId="21" borderId="0" xfId="0" applyFont="1" applyFill="1" applyAlignment="1">
      <alignment horizontal="left" vertical="center" wrapText="1"/>
    </xf>
    <xf numFmtId="0" fontId="128" fillId="21" borderId="28" xfId="0" applyFont="1" applyFill="1" applyBorder="1" applyAlignment="1">
      <alignment horizontal="left" vertical="center" wrapText="1"/>
    </xf>
    <xf numFmtId="0" fontId="128" fillId="21" borderId="29" xfId="0" applyFont="1" applyFill="1" applyBorder="1" applyAlignment="1">
      <alignment horizontal="left" vertical="center" wrapText="1"/>
    </xf>
    <xf numFmtId="0" fontId="128" fillId="21" borderId="23" xfId="0" applyFont="1" applyFill="1" applyBorder="1" applyAlignment="1">
      <alignment horizontal="left" vertical="center" wrapText="1"/>
    </xf>
    <xf numFmtId="0" fontId="128" fillId="21" borderId="30" xfId="0" applyFont="1" applyFill="1" applyBorder="1" applyAlignment="1">
      <alignment horizontal="left" vertical="center" wrapText="1"/>
    </xf>
    <xf numFmtId="0" fontId="12" fillId="4" borderId="12" xfId="0" applyFont="1" applyFill="1" applyBorder="1" applyAlignment="1">
      <alignment horizontal="center" vertical="center"/>
    </xf>
    <xf numFmtId="0" fontId="12" fillId="4" borderId="20" xfId="0" applyFont="1" applyFill="1" applyBorder="1" applyAlignment="1">
      <alignment horizontal="center" vertical="center"/>
    </xf>
    <xf numFmtId="0" fontId="78" fillId="7" borderId="8" xfId="0" applyFont="1" applyFill="1" applyBorder="1" applyAlignment="1">
      <alignment horizontal="center" vertical="center" wrapText="1"/>
    </xf>
    <xf numFmtId="0" fontId="78" fillId="7" borderId="19" xfId="0" applyFont="1" applyFill="1" applyBorder="1" applyAlignment="1">
      <alignment horizontal="center" vertical="center" wrapText="1"/>
    </xf>
    <xf numFmtId="10" fontId="61" fillId="0" borderId="0" xfId="1" applyNumberFormat="1" applyFont="1" applyBorder="1" applyAlignment="1">
      <alignment horizontal="center"/>
    </xf>
    <xf numFmtId="10" fontId="61" fillId="0" borderId="9" xfId="1" applyNumberFormat="1" applyFont="1" applyBorder="1" applyAlignment="1">
      <alignment horizontal="center"/>
    </xf>
    <xf numFmtId="10" fontId="61" fillId="0" borderId="16" xfId="1" applyNumberFormat="1" applyFont="1" applyFill="1" applyBorder="1" applyAlignment="1">
      <alignment horizontal="center"/>
    </xf>
    <xf numFmtId="10" fontId="61" fillId="0" borderId="17" xfId="1" applyNumberFormat="1" applyFont="1" applyFill="1" applyBorder="1" applyAlignment="1">
      <alignment horizontal="center"/>
    </xf>
    <xf numFmtId="0" fontId="78" fillId="3" borderId="12" xfId="0" applyFont="1" applyFill="1" applyBorder="1" applyAlignment="1">
      <alignment horizontal="center" vertical="center"/>
    </xf>
    <xf numFmtId="0" fontId="78" fillId="3" borderId="21" xfId="0" applyFont="1" applyFill="1" applyBorder="1" applyAlignment="1">
      <alignment horizontal="center" vertical="center"/>
    </xf>
    <xf numFmtId="0" fontId="78" fillId="3" borderId="20" xfId="0" applyFont="1" applyFill="1" applyBorder="1" applyAlignment="1">
      <alignment horizontal="center" vertical="center"/>
    </xf>
    <xf numFmtId="0" fontId="78" fillId="0" borderId="12" xfId="0" applyFont="1" applyBorder="1" applyAlignment="1">
      <alignment horizontal="center" vertical="center"/>
    </xf>
    <xf numFmtId="0" fontId="78" fillId="0" borderId="21" xfId="0" applyFont="1" applyBorder="1" applyAlignment="1">
      <alignment horizontal="center" vertical="center"/>
    </xf>
    <xf numFmtId="0" fontId="78" fillId="0" borderId="20" xfId="0" applyFont="1" applyBorder="1" applyAlignment="1">
      <alignment horizontal="center" vertical="center"/>
    </xf>
    <xf numFmtId="10" fontId="73" fillId="0" borderId="2" xfId="0" applyNumberFormat="1" applyFont="1" applyBorder="1" applyAlignment="1">
      <alignment horizontal="center"/>
    </xf>
    <xf numFmtId="0" fontId="73" fillId="0" borderId="2" xfId="0" applyFont="1" applyBorder="1" applyAlignment="1">
      <alignment horizontal="center"/>
    </xf>
    <xf numFmtId="10" fontId="78" fillId="6" borderId="2" xfId="1" applyNumberFormat="1" applyFont="1" applyFill="1" applyBorder="1" applyAlignment="1">
      <alignment horizontal="center" vertical="center" wrapText="1"/>
    </xf>
    <xf numFmtId="10" fontId="73" fillId="0" borderId="16" xfId="0" applyNumberFormat="1" applyFont="1" applyBorder="1" applyAlignment="1">
      <alignment horizontal="center"/>
    </xf>
    <xf numFmtId="10" fontId="73" fillId="0" borderId="17" xfId="0" applyNumberFormat="1" applyFont="1" applyBorder="1" applyAlignment="1">
      <alignment horizontal="center"/>
    </xf>
    <xf numFmtId="10" fontId="61" fillId="3" borderId="16" xfId="1" applyNumberFormat="1" applyFont="1" applyFill="1" applyBorder="1" applyAlignment="1">
      <alignment horizontal="center"/>
    </xf>
    <xf numFmtId="10" fontId="61" fillId="3" borderId="17" xfId="1" applyNumberFormat="1" applyFont="1" applyFill="1" applyBorder="1" applyAlignment="1">
      <alignment horizontal="center"/>
    </xf>
    <xf numFmtId="10" fontId="76" fillId="0" borderId="16" xfId="0" applyNumberFormat="1" applyFont="1" applyBorder="1" applyAlignment="1">
      <alignment horizontal="center"/>
    </xf>
    <xf numFmtId="10" fontId="76" fillId="0" borderId="17" xfId="0" applyNumberFormat="1" applyFont="1" applyBorder="1" applyAlignment="1">
      <alignment horizontal="center"/>
    </xf>
    <xf numFmtId="0" fontId="78" fillId="8" borderId="12" xfId="0" applyFont="1" applyFill="1" applyBorder="1" applyAlignment="1">
      <alignment horizontal="center" vertical="center"/>
    </xf>
    <xf numFmtId="0" fontId="78" fillId="8" borderId="21" xfId="0" applyFont="1" applyFill="1" applyBorder="1" applyAlignment="1">
      <alignment horizontal="center" vertical="center"/>
    </xf>
    <xf numFmtId="0" fontId="78" fillId="8" borderId="20" xfId="0" applyFont="1" applyFill="1" applyBorder="1" applyAlignment="1">
      <alignment horizontal="center" vertical="center"/>
    </xf>
    <xf numFmtId="10" fontId="73" fillId="8" borderId="16" xfId="1" applyNumberFormat="1" applyFont="1" applyFill="1" applyBorder="1" applyAlignment="1">
      <alignment horizontal="center"/>
    </xf>
    <xf numFmtId="10" fontId="73" fillId="8" borderId="17" xfId="1" applyNumberFormat="1" applyFont="1" applyFill="1" applyBorder="1" applyAlignment="1">
      <alignment horizontal="center"/>
    </xf>
    <xf numFmtId="170" fontId="105" fillId="0" borderId="16" xfId="0" applyNumberFormat="1" applyFont="1" applyBorder="1" applyAlignment="1">
      <alignment horizontal="center" vertical="center"/>
    </xf>
    <xf numFmtId="170" fontId="105" fillId="0" borderId="17" xfId="0" applyNumberFormat="1" applyFont="1" applyBorder="1" applyAlignment="1">
      <alignment horizontal="center" vertical="center"/>
    </xf>
    <xf numFmtId="170" fontId="105" fillId="3" borderId="16" xfId="0" applyNumberFormat="1" applyFont="1" applyFill="1" applyBorder="1" applyAlignment="1">
      <alignment horizontal="center" vertical="center"/>
    </xf>
    <xf numFmtId="170" fontId="105" fillId="3" borderId="17" xfId="0" applyNumberFormat="1" applyFont="1" applyFill="1" applyBorder="1" applyAlignment="1">
      <alignment horizontal="center" vertical="center"/>
    </xf>
    <xf numFmtId="0" fontId="56" fillId="21" borderId="25" xfId="0" applyFont="1" applyFill="1" applyBorder="1" applyAlignment="1">
      <alignment horizontal="left" vertical="center" wrapText="1"/>
    </xf>
    <xf numFmtId="0" fontId="56" fillId="21" borderId="22" xfId="0" applyFont="1" applyFill="1" applyBorder="1" applyAlignment="1">
      <alignment horizontal="left" vertical="center" wrapText="1"/>
    </xf>
    <xf numFmtId="0" fontId="56" fillId="21" borderId="26" xfId="0" applyFont="1" applyFill="1" applyBorder="1" applyAlignment="1">
      <alignment horizontal="left" vertical="center" wrapText="1"/>
    </xf>
    <xf numFmtId="0" fontId="56" fillId="21" borderId="27" xfId="0" applyFont="1" applyFill="1" applyBorder="1" applyAlignment="1">
      <alignment horizontal="left" vertical="center" wrapText="1"/>
    </xf>
    <xf numFmtId="0" fontId="56" fillId="21" borderId="0" xfId="0" applyFont="1" applyFill="1" applyAlignment="1">
      <alignment horizontal="left" vertical="center" wrapText="1"/>
    </xf>
    <xf numFmtId="0" fontId="56" fillId="21" borderId="28" xfId="0" applyFont="1" applyFill="1" applyBorder="1" applyAlignment="1">
      <alignment horizontal="left" vertical="center" wrapText="1"/>
    </xf>
    <xf numFmtId="0" fontId="56" fillId="21" borderId="29" xfId="0" applyFont="1" applyFill="1" applyBorder="1" applyAlignment="1">
      <alignment horizontal="left" vertical="center" wrapText="1"/>
    </xf>
    <xf numFmtId="0" fontId="56" fillId="21" borderId="23" xfId="0" applyFont="1" applyFill="1" applyBorder="1" applyAlignment="1">
      <alignment horizontal="left" vertical="center" wrapText="1"/>
    </xf>
    <xf numFmtId="0" fontId="56" fillId="21" borderId="30" xfId="0" applyFont="1" applyFill="1" applyBorder="1" applyAlignment="1">
      <alignment horizontal="left" vertical="center" wrapText="1"/>
    </xf>
    <xf numFmtId="170" fontId="73" fillId="3" borderId="16" xfId="0" applyNumberFormat="1" applyFont="1" applyFill="1" applyBorder="1" applyAlignment="1">
      <alignment horizontal="center" vertical="center"/>
    </xf>
    <xf numFmtId="170" fontId="73" fillId="3" borderId="17" xfId="0" applyNumberFormat="1" applyFont="1" applyFill="1" applyBorder="1" applyAlignment="1">
      <alignment horizontal="center" vertical="center"/>
    </xf>
    <xf numFmtId="170" fontId="61" fillId="3" borderId="16" xfId="0" applyNumberFormat="1" applyFont="1" applyFill="1" applyBorder="1" applyAlignment="1">
      <alignment horizontal="center" vertical="center"/>
    </xf>
    <xf numFmtId="170" fontId="61" fillId="3" borderId="17" xfId="0" applyNumberFormat="1" applyFont="1" applyFill="1" applyBorder="1" applyAlignment="1">
      <alignment horizontal="center" vertical="center"/>
    </xf>
    <xf numFmtId="170" fontId="73" fillId="0" borderId="16" xfId="0" applyNumberFormat="1" applyFont="1" applyBorder="1" applyAlignment="1">
      <alignment horizontal="center" vertical="center"/>
    </xf>
    <xf numFmtId="170" fontId="73" fillId="0" borderId="17" xfId="0" applyNumberFormat="1" applyFont="1" applyBorder="1" applyAlignment="1">
      <alignment horizontal="center" vertical="center"/>
    </xf>
    <xf numFmtId="170" fontId="61" fillId="0" borderId="16" xfId="0" applyNumberFormat="1" applyFont="1" applyBorder="1" applyAlignment="1">
      <alignment horizontal="center" vertical="center"/>
    </xf>
    <xf numFmtId="170" fontId="61" fillId="0" borderId="17" xfId="0" applyNumberFormat="1" applyFont="1" applyBorder="1" applyAlignment="1">
      <alignment horizontal="center" vertical="center"/>
    </xf>
    <xf numFmtId="0" fontId="12" fillId="4" borderId="18" xfId="0" applyFont="1" applyFill="1" applyBorder="1" applyAlignment="1">
      <alignment horizontal="center"/>
    </xf>
    <xf numFmtId="0" fontId="12" fillId="4" borderId="15" xfId="0" applyFont="1" applyFill="1" applyBorder="1" applyAlignment="1">
      <alignment horizontal="center"/>
    </xf>
    <xf numFmtId="170" fontId="61" fillId="3" borderId="18" xfId="0" applyNumberFormat="1" applyFont="1" applyFill="1" applyBorder="1" applyAlignment="1">
      <alignment horizontal="center" vertical="center"/>
    </xf>
    <xf numFmtId="170" fontId="61" fillId="3" borderId="19" xfId="0" applyNumberFormat="1" applyFont="1" applyFill="1" applyBorder="1" applyAlignment="1">
      <alignment horizontal="center" vertical="center"/>
    </xf>
    <xf numFmtId="0" fontId="78" fillId="5" borderId="16" xfId="0" applyFont="1" applyFill="1" applyBorder="1" applyAlignment="1">
      <alignment horizontal="center" vertical="center" wrapText="1"/>
    </xf>
    <xf numFmtId="0" fontId="78" fillId="5" borderId="17" xfId="0" applyFont="1" applyFill="1" applyBorder="1" applyAlignment="1">
      <alignment horizontal="center" vertical="center" wrapText="1"/>
    </xf>
    <xf numFmtId="0" fontId="12" fillId="0" borderId="24" xfId="0" applyFont="1" applyBorder="1" applyAlignment="1">
      <alignment horizontal="center" vertical="center" wrapText="1"/>
    </xf>
    <xf numFmtId="0" fontId="55" fillId="18" borderId="0" xfId="0" applyFont="1" applyFill="1" applyAlignment="1">
      <alignment horizontal="center" vertical="center" wrapText="1"/>
    </xf>
    <xf numFmtId="0" fontId="127" fillId="21" borderId="25" xfId="0" quotePrefix="1" applyFont="1" applyFill="1" applyBorder="1" applyAlignment="1">
      <alignment horizontal="left" vertical="center" wrapText="1"/>
    </xf>
    <xf numFmtId="0" fontId="127" fillId="21" borderId="22" xfId="0" quotePrefix="1" applyFont="1" applyFill="1" applyBorder="1" applyAlignment="1">
      <alignment horizontal="left" vertical="center" wrapText="1"/>
    </xf>
    <xf numFmtId="0" fontId="127" fillId="21" borderId="26" xfId="0" quotePrefix="1" applyFont="1" applyFill="1" applyBorder="1" applyAlignment="1">
      <alignment horizontal="left" vertical="center" wrapText="1"/>
    </xf>
    <xf numFmtId="0" fontId="127" fillId="21" borderId="27" xfId="0" quotePrefix="1" applyFont="1" applyFill="1" applyBorder="1" applyAlignment="1">
      <alignment horizontal="left" vertical="center" wrapText="1"/>
    </xf>
    <xf numFmtId="0" fontId="127" fillId="21" borderId="0" xfId="0" quotePrefix="1" applyFont="1" applyFill="1" applyAlignment="1">
      <alignment horizontal="left" vertical="center" wrapText="1"/>
    </xf>
    <xf numFmtId="0" fontId="127" fillId="21" borderId="28" xfId="0" quotePrefix="1" applyFont="1" applyFill="1" applyBorder="1" applyAlignment="1">
      <alignment horizontal="left" vertical="center" wrapText="1"/>
    </xf>
    <xf numFmtId="0" fontId="127" fillId="21" borderId="29" xfId="0" quotePrefix="1" applyFont="1" applyFill="1" applyBorder="1" applyAlignment="1">
      <alignment horizontal="left" vertical="center" wrapText="1"/>
    </xf>
    <xf numFmtId="0" fontId="127" fillId="21" borderId="23" xfId="0" quotePrefix="1" applyFont="1" applyFill="1" applyBorder="1" applyAlignment="1">
      <alignment horizontal="left" vertical="center" wrapText="1"/>
    </xf>
    <xf numFmtId="0" fontId="127" fillId="21" borderId="30" xfId="0" quotePrefix="1" applyFont="1" applyFill="1" applyBorder="1" applyAlignment="1">
      <alignment horizontal="left" vertical="center" wrapText="1"/>
    </xf>
    <xf numFmtId="0" fontId="20" fillId="2" borderId="12" xfId="0" applyFont="1" applyFill="1" applyBorder="1" applyAlignment="1">
      <alignment horizontal="center" vertical="center" wrapText="1"/>
    </xf>
    <xf numFmtId="0" fontId="15" fillId="2" borderId="21" xfId="0" applyFont="1" applyFill="1" applyBorder="1" applyAlignment="1">
      <alignment horizontal="center" vertical="center"/>
    </xf>
    <xf numFmtId="0" fontId="15" fillId="2" borderId="20" xfId="0" applyFont="1" applyFill="1" applyBorder="1" applyAlignment="1">
      <alignment horizontal="center" vertical="center"/>
    </xf>
    <xf numFmtId="0" fontId="89" fillId="18" borderId="10" xfId="0" quotePrefix="1" applyFont="1" applyFill="1" applyBorder="1" applyAlignment="1">
      <alignment horizontal="left" vertical="top" wrapText="1"/>
    </xf>
    <xf numFmtId="0" fontId="89" fillId="18" borderId="7" xfId="0" quotePrefix="1" applyFont="1" applyFill="1" applyBorder="1" applyAlignment="1">
      <alignment horizontal="left" vertical="top" wrapText="1"/>
    </xf>
    <xf numFmtId="0" fontId="89" fillId="18" borderId="8" xfId="0" quotePrefix="1" applyFont="1" applyFill="1" applyBorder="1" applyAlignment="1">
      <alignment horizontal="left" vertical="top" wrapText="1"/>
    </xf>
    <xf numFmtId="0" fontId="89" fillId="18" borderId="11" xfId="0" quotePrefix="1" applyFont="1" applyFill="1" applyBorder="1" applyAlignment="1">
      <alignment horizontal="left" vertical="top" wrapText="1"/>
    </xf>
    <xf numFmtId="0" fontId="89" fillId="18" borderId="0" xfId="0" quotePrefix="1" applyFont="1" applyFill="1" applyAlignment="1">
      <alignment horizontal="left" vertical="top" wrapText="1"/>
    </xf>
    <xf numFmtId="0" fontId="89" fillId="18" borderId="9" xfId="0" quotePrefix="1" applyFont="1" applyFill="1" applyBorder="1" applyAlignment="1">
      <alignment horizontal="left" vertical="top" wrapText="1"/>
    </xf>
    <xf numFmtId="0" fontId="89" fillId="18" borderId="18" xfId="0" quotePrefix="1" applyFont="1" applyFill="1" applyBorder="1" applyAlignment="1">
      <alignment horizontal="left" vertical="top" wrapText="1"/>
    </xf>
    <xf numFmtId="0" fontId="89" fillId="18" borderId="15" xfId="0" quotePrefix="1" applyFont="1" applyFill="1" applyBorder="1" applyAlignment="1">
      <alignment horizontal="left" vertical="top" wrapText="1"/>
    </xf>
    <xf numFmtId="0" fontId="89" fillId="18" borderId="19" xfId="0" quotePrefix="1" applyFont="1" applyFill="1" applyBorder="1" applyAlignment="1">
      <alignment horizontal="left" vertical="top" wrapText="1"/>
    </xf>
    <xf numFmtId="0" fontId="27" fillId="0" borderId="34" xfId="0" applyFont="1" applyBorder="1" applyAlignment="1">
      <alignment horizontal="left" wrapText="1"/>
    </xf>
    <xf numFmtId="0" fontId="55" fillId="18" borderId="25" xfId="0" quotePrefix="1" applyFont="1" applyFill="1" applyBorder="1" applyAlignment="1">
      <alignment horizontal="left" vertical="top" wrapText="1"/>
    </xf>
    <xf numFmtId="0" fontId="55" fillId="18" borderId="22" xfId="0" applyFont="1" applyFill="1" applyBorder="1" applyAlignment="1">
      <alignment horizontal="left" vertical="top" wrapText="1"/>
    </xf>
    <xf numFmtId="0" fontId="55" fillId="18" borderId="26" xfId="0" applyFont="1" applyFill="1" applyBorder="1" applyAlignment="1">
      <alignment horizontal="left" vertical="top" wrapText="1"/>
    </xf>
    <xf numFmtId="0" fontId="55" fillId="18" borderId="27" xfId="0" applyFont="1" applyFill="1" applyBorder="1" applyAlignment="1">
      <alignment horizontal="left" vertical="top" wrapText="1"/>
    </xf>
    <xf numFmtId="0" fontId="55" fillId="18" borderId="0" xfId="0" applyFont="1" applyFill="1" applyAlignment="1">
      <alignment horizontal="left" vertical="top" wrapText="1"/>
    </xf>
    <xf numFmtId="0" fontId="55" fillId="18" borderId="28" xfId="0" applyFont="1" applyFill="1" applyBorder="1" applyAlignment="1">
      <alignment horizontal="left" vertical="top" wrapText="1"/>
    </xf>
    <xf numFmtId="0" fontId="55" fillId="18" borderId="29" xfId="0" applyFont="1" applyFill="1" applyBorder="1" applyAlignment="1">
      <alignment horizontal="left" vertical="top" wrapText="1"/>
    </xf>
    <xf numFmtId="0" fontId="55" fillId="18" borderId="23" xfId="0" applyFont="1" applyFill="1" applyBorder="1" applyAlignment="1">
      <alignment horizontal="left" vertical="top" wrapText="1"/>
    </xf>
    <xf numFmtId="0" fontId="55" fillId="18" borderId="30" xfId="0" applyFont="1" applyFill="1" applyBorder="1" applyAlignment="1">
      <alignment horizontal="left" vertical="top" wrapText="1"/>
    </xf>
    <xf numFmtId="0" fontId="131" fillId="18" borderId="25" xfId="0" quotePrefix="1" applyFont="1" applyFill="1" applyBorder="1" applyAlignment="1">
      <alignment horizontal="left" vertical="top" wrapText="1"/>
    </xf>
    <xf numFmtId="0" fontId="131" fillId="18" borderId="22" xfId="0" quotePrefix="1" applyFont="1" applyFill="1" applyBorder="1" applyAlignment="1">
      <alignment horizontal="left" vertical="top" wrapText="1"/>
    </xf>
    <xf numFmtId="0" fontId="131" fillId="18" borderId="26" xfId="0" quotePrefix="1" applyFont="1" applyFill="1" applyBorder="1" applyAlignment="1">
      <alignment horizontal="left" vertical="top" wrapText="1"/>
    </xf>
    <xf numFmtId="0" fontId="131" fillId="18" borderId="27" xfId="0" quotePrefix="1" applyFont="1" applyFill="1" applyBorder="1" applyAlignment="1">
      <alignment horizontal="left" vertical="top" wrapText="1"/>
    </xf>
    <xf numFmtId="0" fontId="131" fillId="18" borderId="0" xfId="0" quotePrefix="1" applyFont="1" applyFill="1" applyAlignment="1">
      <alignment horizontal="left" vertical="top" wrapText="1"/>
    </xf>
    <xf numFmtId="0" fontId="131" fillId="18" borderId="28" xfId="0" quotePrefix="1" applyFont="1" applyFill="1" applyBorder="1" applyAlignment="1">
      <alignment horizontal="left" vertical="top" wrapText="1"/>
    </xf>
    <xf numFmtId="0" fontId="131" fillId="18" borderId="29" xfId="0" quotePrefix="1" applyFont="1" applyFill="1" applyBorder="1" applyAlignment="1">
      <alignment horizontal="left" vertical="top" wrapText="1"/>
    </xf>
    <xf numFmtId="0" fontId="131" fillId="18" borderId="23" xfId="0" quotePrefix="1" applyFont="1" applyFill="1" applyBorder="1" applyAlignment="1">
      <alignment horizontal="left" vertical="top" wrapText="1"/>
    </xf>
    <xf numFmtId="0" fontId="131" fillId="18" borderId="30" xfId="0" quotePrefix="1" applyFont="1" applyFill="1" applyBorder="1" applyAlignment="1">
      <alignment horizontal="left" vertical="top" wrapText="1"/>
    </xf>
    <xf numFmtId="0" fontId="61" fillId="0" borderId="31" xfId="0" applyFont="1" applyBorder="1" applyAlignment="1">
      <alignment horizontal="center" vertical="center"/>
    </xf>
    <xf numFmtId="0" fontId="61" fillId="0" borderId="0" xfId="0" applyFont="1" applyAlignment="1">
      <alignment horizontal="center" vertical="center"/>
    </xf>
    <xf numFmtId="3" fontId="61" fillId="0" borderId="31" xfId="0" applyNumberFormat="1" applyFont="1" applyBorder="1" applyAlignment="1">
      <alignment horizontal="center" vertical="center"/>
    </xf>
    <xf numFmtId="0" fontId="55" fillId="18" borderId="25" xfId="0" applyFont="1" applyFill="1" applyBorder="1" applyAlignment="1">
      <alignment horizontal="left" vertical="top" wrapText="1"/>
    </xf>
    <xf numFmtId="0" fontId="73" fillId="0" borderId="31" xfId="0" applyFont="1" applyBorder="1" applyAlignment="1">
      <alignment horizontal="center" vertical="center"/>
    </xf>
    <xf numFmtId="0" fontId="73" fillId="0" borderId="0" xfId="0" applyFont="1" applyAlignment="1">
      <alignment horizontal="center" vertical="center"/>
    </xf>
    <xf numFmtId="0" fontId="73" fillId="0" borderId="75" xfId="0" applyFont="1" applyBorder="1" applyAlignment="1">
      <alignment horizontal="center" vertical="center"/>
    </xf>
    <xf numFmtId="3" fontId="73" fillId="0" borderId="31" xfId="0" applyNumberFormat="1" applyFont="1" applyBorder="1" applyAlignment="1">
      <alignment horizontal="center" vertical="center"/>
    </xf>
    <xf numFmtId="3" fontId="73" fillId="0" borderId="0" xfId="0" applyNumberFormat="1" applyFont="1" applyAlignment="1">
      <alignment horizontal="center" vertical="center"/>
    </xf>
    <xf numFmtId="3" fontId="73" fillId="0" borderId="75" xfId="0" applyNumberFormat="1" applyFont="1" applyBorder="1" applyAlignment="1">
      <alignment horizontal="center" vertical="center"/>
    </xf>
    <xf numFmtId="3" fontId="61" fillId="0" borderId="0" xfId="0" applyNumberFormat="1" applyFont="1" applyAlignment="1">
      <alignment horizontal="center" vertical="center"/>
    </xf>
    <xf numFmtId="0" fontId="54" fillId="18" borderId="25" xfId="0" applyFont="1" applyFill="1" applyBorder="1" applyAlignment="1">
      <alignment horizontal="left" vertical="center" wrapText="1"/>
    </xf>
    <xf numFmtId="0" fontId="54" fillId="18" borderId="22" xfId="0" applyFont="1" applyFill="1" applyBorder="1" applyAlignment="1">
      <alignment horizontal="left" vertical="center" wrapText="1"/>
    </xf>
    <xf numFmtId="0" fontId="54" fillId="18" borderId="26" xfId="0" applyFont="1" applyFill="1" applyBorder="1" applyAlignment="1">
      <alignment horizontal="left" vertical="center" wrapText="1"/>
    </xf>
    <xf numFmtId="0" fontId="54" fillId="18" borderId="27" xfId="0" applyFont="1" applyFill="1" applyBorder="1" applyAlignment="1">
      <alignment horizontal="left" vertical="center" wrapText="1"/>
    </xf>
    <xf numFmtId="0" fontId="54" fillId="18" borderId="0" xfId="0" applyFont="1" applyFill="1" applyAlignment="1">
      <alignment horizontal="left" vertical="center" wrapText="1"/>
    </xf>
    <xf numFmtId="0" fontId="54" fillId="18" borderId="28" xfId="0" applyFont="1" applyFill="1" applyBorder="1" applyAlignment="1">
      <alignment horizontal="left" vertical="center" wrapText="1"/>
    </xf>
    <xf numFmtId="0" fontId="54" fillId="18" borderId="29" xfId="0" applyFont="1" applyFill="1" applyBorder="1" applyAlignment="1">
      <alignment horizontal="left" vertical="center" wrapText="1"/>
    </xf>
    <xf numFmtId="0" fontId="54" fillId="18" borderId="23" xfId="0" applyFont="1" applyFill="1" applyBorder="1" applyAlignment="1">
      <alignment horizontal="left" vertical="center" wrapText="1"/>
    </xf>
    <xf numFmtId="0" fontId="54" fillId="18" borderId="30" xfId="0" applyFont="1" applyFill="1" applyBorder="1" applyAlignment="1">
      <alignment horizontal="left" vertical="center" wrapText="1"/>
    </xf>
    <xf numFmtId="0" fontId="55" fillId="18" borderId="25" xfId="0" applyFont="1" applyFill="1" applyBorder="1" applyAlignment="1">
      <alignment horizontal="left" vertical="center" wrapText="1"/>
    </xf>
    <xf numFmtId="0" fontId="55" fillId="18" borderId="22" xfId="0" applyFont="1" applyFill="1" applyBorder="1" applyAlignment="1">
      <alignment horizontal="left" vertical="center" wrapText="1"/>
    </xf>
    <xf numFmtId="0" fontId="55" fillId="18" borderId="26" xfId="0" applyFont="1" applyFill="1" applyBorder="1" applyAlignment="1">
      <alignment horizontal="left" vertical="center" wrapText="1"/>
    </xf>
    <xf numFmtId="0" fontId="55" fillId="18" borderId="27" xfId="0" applyFont="1" applyFill="1" applyBorder="1" applyAlignment="1">
      <alignment horizontal="left" vertical="center" wrapText="1"/>
    </xf>
    <xf numFmtId="0" fontId="55" fillId="18" borderId="0" xfId="0" applyFont="1" applyFill="1" applyAlignment="1">
      <alignment horizontal="left" vertical="center" wrapText="1"/>
    </xf>
    <xf numFmtId="0" fontId="55" fillId="18" borderId="28" xfId="0" applyFont="1" applyFill="1" applyBorder="1" applyAlignment="1">
      <alignment horizontal="left" vertical="center" wrapText="1"/>
    </xf>
    <xf numFmtId="0" fontId="55" fillId="18" borderId="29" xfId="0" applyFont="1" applyFill="1" applyBorder="1" applyAlignment="1">
      <alignment horizontal="left" vertical="center" wrapText="1"/>
    </xf>
    <xf numFmtId="0" fontId="55" fillId="18" borderId="23" xfId="0" applyFont="1" applyFill="1" applyBorder="1" applyAlignment="1">
      <alignment horizontal="left" vertical="center" wrapText="1"/>
    </xf>
    <xf numFmtId="0" fontId="55" fillId="18" borderId="30" xfId="0" applyFont="1" applyFill="1" applyBorder="1" applyAlignment="1">
      <alignment horizontal="left" vertical="center" wrapText="1"/>
    </xf>
    <xf numFmtId="0" fontId="97" fillId="2" borderId="37" xfId="0" applyFont="1" applyFill="1" applyBorder="1" applyAlignment="1">
      <alignment horizontal="center" vertical="center"/>
    </xf>
    <xf numFmtId="170" fontId="88" fillId="21" borderId="37" xfId="1" applyNumberFormat="1" applyFont="1" applyFill="1" applyBorder="1" applyAlignment="1">
      <alignment horizontal="center" vertical="center"/>
    </xf>
    <xf numFmtId="170" fontId="79" fillId="21" borderId="37" xfId="1" applyNumberFormat="1" applyFont="1" applyFill="1" applyBorder="1" applyAlignment="1">
      <alignment horizontal="center" vertical="center"/>
    </xf>
    <xf numFmtId="170" fontId="90" fillId="21" borderId="37" xfId="1" applyNumberFormat="1" applyFont="1" applyFill="1" applyBorder="1" applyAlignment="1">
      <alignment horizontal="center" vertical="center"/>
    </xf>
    <xf numFmtId="165" fontId="97" fillId="2" borderId="37" xfId="10" applyFont="1" applyFill="1" applyBorder="1" applyAlignment="1">
      <alignment horizontal="center" vertical="center"/>
    </xf>
    <xf numFmtId="3" fontId="88" fillId="21" borderId="37" xfId="10" applyNumberFormat="1" applyFont="1" applyFill="1" applyBorder="1" applyAlignment="1">
      <alignment horizontal="center" vertical="center"/>
    </xf>
    <xf numFmtId="0" fontId="97" fillId="7" borderId="37" xfId="0" applyFont="1" applyFill="1" applyBorder="1" applyAlignment="1">
      <alignment horizontal="center" vertical="center"/>
    </xf>
    <xf numFmtId="3" fontId="79" fillId="21" borderId="37" xfId="10" applyNumberFormat="1" applyFont="1" applyFill="1" applyBorder="1" applyAlignment="1">
      <alignment horizontal="center" vertical="center"/>
    </xf>
    <xf numFmtId="3" fontId="90" fillId="21" borderId="37" xfId="10" applyNumberFormat="1" applyFont="1" applyFill="1" applyBorder="1" applyAlignment="1">
      <alignment horizontal="center" vertical="center"/>
    </xf>
    <xf numFmtId="170" fontId="4" fillId="21" borderId="37" xfId="1" applyNumberFormat="1" applyFont="1" applyFill="1" applyBorder="1" applyAlignment="1">
      <alignment horizontal="center" vertical="center"/>
    </xf>
    <xf numFmtId="0" fontId="20" fillId="2" borderId="37" xfId="0" applyFont="1" applyFill="1" applyBorder="1" applyAlignment="1">
      <alignment horizontal="center" vertical="center"/>
    </xf>
    <xf numFmtId="3" fontId="4" fillId="21" borderId="37" xfId="10" applyNumberFormat="1" applyFont="1" applyFill="1" applyBorder="1" applyAlignment="1">
      <alignment horizontal="center" vertical="center"/>
    </xf>
    <xf numFmtId="0" fontId="20" fillId="7" borderId="37" xfId="0" applyFont="1" applyFill="1" applyBorder="1" applyAlignment="1">
      <alignment horizontal="center" vertical="center"/>
    </xf>
    <xf numFmtId="0" fontId="82" fillId="6" borderId="81" xfId="0" applyFont="1" applyFill="1" applyBorder="1" applyAlignment="1">
      <alignment horizontal="center"/>
    </xf>
    <xf numFmtId="0" fontId="82" fillId="6" borderId="92" xfId="0" applyFont="1" applyFill="1" applyBorder="1" applyAlignment="1">
      <alignment horizontal="center"/>
    </xf>
    <xf numFmtId="0" fontId="86" fillId="0" borderId="0" xfId="0" applyFont="1" applyAlignment="1">
      <alignment horizontal="left" vertical="top" wrapText="1"/>
    </xf>
    <xf numFmtId="0" fontId="86" fillId="18" borderId="0" xfId="0" applyFont="1" applyFill="1" applyAlignment="1">
      <alignment horizontal="left" vertical="top" wrapText="1"/>
    </xf>
    <xf numFmtId="0" fontId="86" fillId="2" borderId="0" xfId="0" applyFont="1" applyFill="1" applyAlignment="1">
      <alignment horizontal="left" vertical="top" wrapText="1"/>
    </xf>
    <xf numFmtId="0" fontId="86" fillId="21" borderId="0" xfId="0" applyFont="1" applyFill="1" applyAlignment="1">
      <alignment horizontal="left" vertical="top" wrapText="1"/>
    </xf>
    <xf numFmtId="169" fontId="61" fillId="17" borderId="13" xfId="3" applyNumberFormat="1" applyFont="1" applyFill="1" applyBorder="1" applyAlignment="1"/>
    <xf numFmtId="169" fontId="73" fillId="17" borderId="13" xfId="3" applyNumberFormat="1" applyFont="1" applyFill="1" applyBorder="1" applyAlignment="1"/>
    <xf numFmtId="169" fontId="105" fillId="17" borderId="13" xfId="3" applyNumberFormat="1" applyFont="1" applyFill="1" applyBorder="1" applyAlignment="1"/>
  </cellXfs>
  <cellStyles count="6549">
    <cellStyle name="_Column1" xfId="79" xr:uid="{8F3BB71A-08E8-4B43-BC90-4F4B9D25EB6D}"/>
    <cellStyle name="_Column2" xfId="80" xr:uid="{36FD0314-90E8-4E5A-87C1-B5D1FE999705}"/>
    <cellStyle name="_Column3" xfId="81" xr:uid="{FF458366-E5ED-4746-9B0D-58C32654FCC7}"/>
    <cellStyle name="_Column4" xfId="82" xr:uid="{266EEBBF-5009-4802-B7CB-3F3C0C9EECAE}"/>
    <cellStyle name="_Column5" xfId="83" xr:uid="{719BE0AB-820D-4298-A402-F4FCAA27715A}"/>
    <cellStyle name="_Column6" xfId="84" xr:uid="{C4CBF4B1-F3D2-4F46-959F-3C4882A937B4}"/>
    <cellStyle name="_Column7" xfId="85" xr:uid="{7A7A004A-9139-4425-B47E-87A86294351A}"/>
    <cellStyle name="_Data" xfId="86" xr:uid="{B6BDD0E1-B8B8-4DB5-80F9-014A2E44B883}"/>
    <cellStyle name="_Data_03년목표통지" xfId="87" xr:uid="{60ABD6FD-7637-480D-BD5A-E34C45709220}"/>
    <cellStyle name="_Data_F1" xfId="88" xr:uid="{AAD1E874-BD4A-4ED5-AF00-9F5C8736F783}"/>
    <cellStyle name="_Data_F2" xfId="89" xr:uid="{9F8D996A-6CF1-4E9E-A824-E1C0A7EC0291}"/>
    <cellStyle name="_Data_F3" xfId="90" xr:uid="{ECEAF43B-44FE-46FB-A3A7-6321638124E9}"/>
    <cellStyle name="_Data_F4" xfId="91" xr:uid="{DE498878-F4A1-4903-A5DA-11CDB3999F61}"/>
    <cellStyle name="_Data_F5" xfId="92" xr:uid="{85D485F5-7563-4F1D-B861-E5822B479206}"/>
    <cellStyle name="_Data_F6" xfId="93" xr:uid="{10D3B4C6-2432-4DD0-BFFB-FC40ABBCF9A9}"/>
    <cellStyle name="_Data_FXM" xfId="94" xr:uid="{E471D7D9-09D7-49B5-925B-556D2216F167}"/>
    <cellStyle name="_Data_FXMTD" xfId="95" xr:uid="{1A80B1EE-C822-426F-AB1C-39129551894F}"/>
    <cellStyle name="_Data_G1" xfId="96" xr:uid="{D62D82AA-C6E0-4BF0-BA8B-F6795A36B883}"/>
    <cellStyle name="_Data_G2" xfId="97" xr:uid="{A0BCAD59-4D6C-48D8-AA14-B48774E5FD24}"/>
    <cellStyle name="_Data_G3" xfId="98" xr:uid="{FF95FDDC-E335-4D5E-A585-95A3677F936A}"/>
    <cellStyle name="_Data_G4" xfId="99" xr:uid="{CB334EBE-4BA9-49E5-8164-BB16A8676425}"/>
    <cellStyle name="_Data_G5" xfId="100" xr:uid="{7F88B0D5-C205-420E-AB99-54108FD11EAD}"/>
    <cellStyle name="_Data_G6" xfId="101" xr:uid="{981D3726-8ED8-4EDE-B343-66C04F78C922}"/>
    <cellStyle name="_Data_GM" xfId="102" xr:uid="{9835CB10-542A-4535-ABC7-0EFD1734E189}"/>
    <cellStyle name="_Data_GMa" xfId="103" xr:uid="{7E25EE17-19C9-4D84-B26B-667A3478529B}"/>
    <cellStyle name="_Data_Gu" xfId="104" xr:uid="{D1A8D92E-FA3A-4CBF-9FA7-4D96A13CAE36}"/>
    <cellStyle name="_Data_T" xfId="105" xr:uid="{253647DC-8EB3-40D1-89CF-8DFBAC2FE70D}"/>
    <cellStyle name="_Data_T2" xfId="106" xr:uid="{E3B99F47-F579-4F0B-A105-FC3669CE9D1A}"/>
    <cellStyle name="_Data_T3" xfId="107" xr:uid="{E7B73EF8-1B5E-4213-9DE3-A51C065628C6}"/>
    <cellStyle name="_Data_T4" xfId="108" xr:uid="{436C06D8-639E-426C-BBE9-4B2F8C722FE2}"/>
    <cellStyle name="_Data_T5" xfId="109" xr:uid="{DD9EF78A-F49D-4BED-8338-E1F2B6285DF4}"/>
    <cellStyle name="_Data_T6" xfId="110" xr:uid="{74B5570B-3E46-48D5-8E00-0BE19F1FCF59}"/>
    <cellStyle name="_Data_최초배정내역11" xfId="111" xr:uid="{8C418E91-646E-4CEC-9982-3E13910894F4}"/>
    <cellStyle name="_Header" xfId="112" xr:uid="{A450BD41-921E-428A-BF7E-133A650E62DE}"/>
    <cellStyle name="_Header_MIS3" xfId="113" xr:uid="{647D45B8-C811-48BC-B904-A680228A7058}"/>
    <cellStyle name="_Header_기수립분" xfId="114" xr:uid="{2F300B31-C7B2-46E8-B928-241645F77EE3}"/>
    <cellStyle name="_Header_기수립분-1" xfId="115" xr:uid="{77EF34CA-805D-4E6E-83A4-2E09E21D9A3E}"/>
    <cellStyle name="_Header_기수립분-2" xfId="116" xr:uid="{486AAD55-9F01-4502-8C51-9AD6360A8578}"/>
    <cellStyle name="_Header_목표배정" xfId="117" xr:uid="{18914EBE-F31C-4FAE-AF4B-E7EDD7353743}"/>
    <cellStyle name="_Row1" xfId="118" xr:uid="{0C7BE9E8-6B91-4FD9-9EA1-AA4A433F2A2C}"/>
    <cellStyle name="_Row2" xfId="119" xr:uid="{15339CC3-0420-41B7-9B51-A05800739A7F}"/>
    <cellStyle name="_Row3" xfId="120" xr:uid="{EA7E2E4E-D940-45FB-A2A7-BABE95959CFB}"/>
    <cellStyle name="_Row4" xfId="121" xr:uid="{6D51E907-C6DA-4226-80E1-C0C89DC191CC}"/>
    <cellStyle name="_Row5" xfId="122" xr:uid="{2CDD0325-3F3A-41C0-AEE9-72A15ACC1E5B}"/>
    <cellStyle name="_Row6" xfId="123" xr:uid="{98526464-278C-4073-AC7A-89940C5C52AF}"/>
    <cellStyle name="_Row7" xfId="124" xr:uid="{15A65B03-D7E4-41B8-94D9-15C1E609D673}"/>
    <cellStyle name="ANCLAS,REZONES Y SUS PARTES,DE FUNDICION,DE HIERRO O DE ACERO" xfId="14" xr:uid="{6D287447-5B37-4D15-8A38-33ED177FFAB5}"/>
    <cellStyle name="Comma" xfId="3" builtinId="3"/>
    <cellStyle name="Comma [0]" xfId="10" builtinId="6"/>
    <cellStyle name="Comma [0] 2" xfId="20" xr:uid="{1E1718AE-CF09-4C71-BB12-A5D4A1D4FD33}"/>
    <cellStyle name="Comma [0] 2 10" xfId="1068" xr:uid="{63BD8244-DE8F-47B0-96EF-E6A2178ACAA8}"/>
    <cellStyle name="Comma [0] 2 10 2" xfId="4297" xr:uid="{9E071EE4-21A2-4803-A08B-2EFBDC0E461C}"/>
    <cellStyle name="Comma [0] 2 11" xfId="1520" xr:uid="{2070D45C-45CD-402C-9A86-3DB2D1D6872A}"/>
    <cellStyle name="Comma [0] 2 11 2" xfId="4742" xr:uid="{1042A0D0-304E-4F05-AC2A-3DF923C41C1F}"/>
    <cellStyle name="Comma [0] 2 12" xfId="1972" xr:uid="{8740B4F0-32D1-42A9-84A0-5FEFF2750D51}"/>
    <cellStyle name="Comma [0] 2 12 2" xfId="5187" xr:uid="{FF1BADAD-9DE3-4686-B640-B53FBC65BA13}"/>
    <cellStyle name="Comma [0] 2 13" xfId="2424" xr:uid="{5051689C-58A6-40AB-9A82-3A3BA90E7865}"/>
    <cellStyle name="Comma [0] 2 13 2" xfId="5632" xr:uid="{1A4AE824-9A8A-490F-9A6E-1A643E2407BB}"/>
    <cellStyle name="Comma [0] 2 14" xfId="2876" xr:uid="{118E7EB6-C31A-4871-AC80-6319E080F3FA}"/>
    <cellStyle name="Comma [0] 2 14 2" xfId="6077" xr:uid="{0474C6BD-75D3-41D6-9009-F8FA621F63FD}"/>
    <cellStyle name="Comma [0] 2 15" xfId="3321" xr:uid="{09015384-CA3A-472A-AC86-2BFEB2461E40}"/>
    <cellStyle name="Comma [0] 2 15 2" xfId="6519" xr:uid="{A7E0E309-E595-49F3-9B73-33F7F2C3CDD3}"/>
    <cellStyle name="Comma [0] 2 16" xfId="3374" xr:uid="{13565073-90F7-4CF0-B92E-8162C298BE3E}"/>
    <cellStyle name="Comma [0] 2 2" xfId="126" xr:uid="{06AA5052-7745-4A82-B0D5-87F0AAE1A94D}"/>
    <cellStyle name="Comma [0] 2 2 10" xfId="2877" xr:uid="{7540B19A-44D6-49D6-B256-589ED911A344}"/>
    <cellStyle name="Comma [0] 2 2 10 2" xfId="6078" xr:uid="{CFD78214-618A-47AA-A5CB-61292F8BDD64}"/>
    <cellStyle name="Comma [0] 2 2 11" xfId="3322" xr:uid="{0A5E61B9-2721-4239-AF7C-154857950286}"/>
    <cellStyle name="Comma [0] 2 2 11 2" xfId="6520" xr:uid="{11CEB478-4E3A-4883-801E-1BD2639008F5}"/>
    <cellStyle name="Comma [0] 2 2 12" xfId="3407" xr:uid="{4425E091-97C1-4CC5-90AD-75A9448895E8}"/>
    <cellStyle name="Comma [0] 2 2 2" xfId="127" xr:uid="{C84C8C89-725A-4658-9E62-1C170BBE4AC0}"/>
    <cellStyle name="Comma [0] 2 2 2 10" xfId="3340" xr:uid="{FF0E3E97-B4E7-474B-A870-FDFF63EF8E4B}"/>
    <cellStyle name="Comma [0] 2 2 2 10 2" xfId="6529" xr:uid="{3CDC648F-F55F-4C59-BB9B-E860202F5B30}"/>
    <cellStyle name="Comma [0] 2 2 2 11" xfId="3408" xr:uid="{E362AE76-51D5-45C6-9D32-EF164487685C}"/>
    <cellStyle name="Comma [0] 2 2 2 2" xfId="128" xr:uid="{35A6CF4E-7E77-402B-AE0B-6F6EB9E53019}"/>
    <cellStyle name="Comma [0] 2 2 2 2 10" xfId="3409" xr:uid="{63834EB5-F3EF-4B22-A1A0-05F64992716A}"/>
    <cellStyle name="Comma [0] 2 2 2 2 2" xfId="391" xr:uid="{EFF63145-4E7E-4DD3-8B47-640AD1C07328}"/>
    <cellStyle name="Comma [0] 2 2 2 2 2 2" xfId="843" xr:uid="{3698E4BE-3A9F-41A4-A600-51B83CA8946C}"/>
    <cellStyle name="Comma [0] 2 2 2 2 2 2 2" xfId="4077" xr:uid="{F5E76718-16CB-4E4C-B977-72B7737F6F09}"/>
    <cellStyle name="Comma [0] 2 2 2 2 2 3" xfId="1295" xr:uid="{B14B4CDA-94CB-475D-9233-D6D16285FED8}"/>
    <cellStyle name="Comma [0] 2 2 2 2 2 3 2" xfId="4522" xr:uid="{31F7F0D1-F212-4164-AAB2-CBCBC014FCC4}"/>
    <cellStyle name="Comma [0] 2 2 2 2 2 4" xfId="1747" xr:uid="{1E42B70A-D0D7-487D-A6CA-5896D7BDFA36}"/>
    <cellStyle name="Comma [0] 2 2 2 2 2 4 2" xfId="4967" xr:uid="{46873C5B-3FA4-48CC-84E8-9EBC42497016}"/>
    <cellStyle name="Comma [0] 2 2 2 2 2 5" xfId="2199" xr:uid="{700B3CB5-5DE4-46A3-868A-FC1A705C2CFC}"/>
    <cellStyle name="Comma [0] 2 2 2 2 2 5 2" xfId="5412" xr:uid="{E363EC32-0571-4F87-9448-2087AAD77795}"/>
    <cellStyle name="Comma [0] 2 2 2 2 2 6" xfId="2651" xr:uid="{39744B0C-9847-4EC5-9E97-430F14F53105}"/>
    <cellStyle name="Comma [0] 2 2 2 2 2 6 2" xfId="5857" xr:uid="{413DC769-97E5-4FFA-A4FC-85CF3A1D2807}"/>
    <cellStyle name="Comma [0] 2 2 2 2 2 7" xfId="3103" xr:uid="{07EFC0C6-36B1-4BE9-BB54-6281577D3163}"/>
    <cellStyle name="Comma [0] 2 2 2 2 2 7 2" xfId="6302" xr:uid="{167CDE9E-FE0F-4C55-B71B-AF9F32C9B6E0}"/>
    <cellStyle name="Comma [0] 2 2 2 2 2 8" xfId="3632" xr:uid="{F15852F9-C7E7-4F2A-8E07-FB3CA15E979F}"/>
    <cellStyle name="Comma [0] 2 2 2 2 3" xfId="619" xr:uid="{0F5BB9F2-D8BE-4705-B1F0-E58904FC2796}"/>
    <cellStyle name="Comma [0] 2 2 2 2 3 2" xfId="3855" xr:uid="{5EB1D42C-30D1-440D-8906-664109468BCE}"/>
    <cellStyle name="Comma [0] 2 2 2 2 4" xfId="1071" xr:uid="{F69916FF-9438-409F-88EB-36C931DC34D5}"/>
    <cellStyle name="Comma [0] 2 2 2 2 4 2" xfId="4300" xr:uid="{540845A7-C5A1-4842-A600-996B80431C89}"/>
    <cellStyle name="Comma [0] 2 2 2 2 5" xfId="1523" xr:uid="{D51CAD0B-953F-460E-8F84-85CBF68239B7}"/>
    <cellStyle name="Comma [0] 2 2 2 2 5 2" xfId="4745" xr:uid="{2D53D11C-B1EB-42AA-903E-EFBF66A631A3}"/>
    <cellStyle name="Comma [0] 2 2 2 2 6" xfId="1975" xr:uid="{CA9E2F66-C371-4BCC-82E0-1C90BD9E922A}"/>
    <cellStyle name="Comma [0] 2 2 2 2 6 2" xfId="5190" xr:uid="{DC641376-2C11-4F6A-9D6D-938495EB4B58}"/>
    <cellStyle name="Comma [0] 2 2 2 2 7" xfId="2427" xr:uid="{70D38E26-9584-4B93-B6A7-16CB5B749BB9}"/>
    <cellStyle name="Comma [0] 2 2 2 2 7 2" xfId="5635" xr:uid="{2784B40C-EA2F-4517-BF05-5A6C9F9CA7C0}"/>
    <cellStyle name="Comma [0] 2 2 2 2 8" xfId="2879" xr:uid="{A1D69B80-274C-4F0D-9F8A-8D0A6C059D79}"/>
    <cellStyle name="Comma [0] 2 2 2 2 8 2" xfId="6080" xr:uid="{86C619EC-2008-4968-9294-6029FD5D8CC8}"/>
    <cellStyle name="Comma [0] 2 2 2 2 9" xfId="3349" xr:uid="{FB19096F-99CE-4C0A-BB6D-9E05654B0C15}"/>
    <cellStyle name="Comma [0] 2 2 2 2 9 2" xfId="6536" xr:uid="{6267AE2D-7C1E-4F43-8DC1-B37336503BF3}"/>
    <cellStyle name="Comma [0] 2 2 2 3" xfId="390" xr:uid="{C92CCBF3-F19E-423D-8B23-C0F4B7EDF084}"/>
    <cellStyle name="Comma [0] 2 2 2 3 2" xfId="842" xr:uid="{5287C37A-F229-4107-824D-400BA4893850}"/>
    <cellStyle name="Comma [0] 2 2 2 3 2 2" xfId="4076" xr:uid="{4B4A8AE7-9903-4CC9-A3BD-A5BDFA6E384C}"/>
    <cellStyle name="Comma [0] 2 2 2 3 3" xfId="1294" xr:uid="{1319EC4F-C40B-4584-98E9-653F936367A1}"/>
    <cellStyle name="Comma [0] 2 2 2 3 3 2" xfId="4521" xr:uid="{926D5D52-79D2-4002-B800-9A9E26F66EC5}"/>
    <cellStyle name="Comma [0] 2 2 2 3 4" xfId="1746" xr:uid="{8511ED01-3F8D-4B43-BFFD-FA77183E9029}"/>
    <cellStyle name="Comma [0] 2 2 2 3 4 2" xfId="4966" xr:uid="{F7844866-60AB-423A-8DC6-DB7C49271A51}"/>
    <cellStyle name="Comma [0] 2 2 2 3 5" xfId="2198" xr:uid="{DF8B2286-894A-4D4F-9414-9F5C616CC1A2}"/>
    <cellStyle name="Comma [0] 2 2 2 3 5 2" xfId="5411" xr:uid="{00C30155-66BE-4388-82FF-A49A781C02ED}"/>
    <cellStyle name="Comma [0] 2 2 2 3 6" xfId="2650" xr:uid="{07B7908B-80AA-4694-9FA6-370466B59888}"/>
    <cellStyle name="Comma [0] 2 2 2 3 6 2" xfId="5856" xr:uid="{E33AE10B-2D2B-4855-9167-AD31704D119A}"/>
    <cellStyle name="Comma [0] 2 2 2 3 7" xfId="3102" xr:uid="{D2BF5573-20D3-4349-8BE8-9E6CD1FB65A0}"/>
    <cellStyle name="Comma [0] 2 2 2 3 7 2" xfId="6301" xr:uid="{C50102C9-DC02-4E6F-B314-58EC33CBEF94}"/>
    <cellStyle name="Comma [0] 2 2 2 3 8" xfId="3631" xr:uid="{026E873E-4A28-455B-981C-D1F219D83172}"/>
    <cellStyle name="Comma [0] 2 2 2 4" xfId="618" xr:uid="{34013D03-A9F6-489D-A364-BC4DD6B6E7F0}"/>
    <cellStyle name="Comma [0] 2 2 2 4 2" xfId="3854" xr:uid="{437569A1-0A5B-48FA-A083-77B2DEF08E41}"/>
    <cellStyle name="Comma [0] 2 2 2 5" xfId="1070" xr:uid="{E3C7C618-8888-4D88-B245-67B91C20F84A}"/>
    <cellStyle name="Comma [0] 2 2 2 5 2" xfId="4299" xr:uid="{DDE84FC0-B795-4128-890C-7D61186BF538}"/>
    <cellStyle name="Comma [0] 2 2 2 6" xfId="1522" xr:uid="{59D2AFB3-673B-4F8F-BB97-825FFA7C64F1}"/>
    <cellStyle name="Comma [0] 2 2 2 6 2" xfId="4744" xr:uid="{930D7903-60EB-46FE-B764-38D7B5F1B2FD}"/>
    <cellStyle name="Comma [0] 2 2 2 7" xfId="1974" xr:uid="{BC3A3257-2FA4-4B8C-B8B7-D7DB4DA0BE3F}"/>
    <cellStyle name="Comma [0] 2 2 2 7 2" xfId="5189" xr:uid="{8A89D484-D588-410F-A1C5-4EA2A92CBF54}"/>
    <cellStyle name="Comma [0] 2 2 2 8" xfId="2426" xr:uid="{018066D4-EFC9-4682-B298-7F8B38DDE155}"/>
    <cellStyle name="Comma [0] 2 2 2 8 2" xfId="5634" xr:uid="{1609D3F1-AD0E-42B6-8399-1A749F44DAE0}"/>
    <cellStyle name="Comma [0] 2 2 2 9" xfId="2878" xr:uid="{F8A40209-D541-439E-BAF6-E19809856695}"/>
    <cellStyle name="Comma [0] 2 2 2 9 2" xfId="6079" xr:uid="{1033B70A-4891-4585-94B0-092F247FDDDE}"/>
    <cellStyle name="Comma [0] 2 2 3" xfId="129" xr:uid="{154EFC69-3454-45C3-BB25-281C82F6053C}"/>
    <cellStyle name="Comma [0] 2 2 3 10" xfId="3410" xr:uid="{63CE3869-A848-4F1C-8CD2-8CFE15FF448A}"/>
    <cellStyle name="Comma [0] 2 2 3 2" xfId="392" xr:uid="{3DC0A677-5EE4-4BF9-8607-5F7FF29658E0}"/>
    <cellStyle name="Comma [0] 2 2 3 2 2" xfId="844" xr:uid="{9A9E2FE8-4177-4E75-8F40-49D4322F52CC}"/>
    <cellStyle name="Comma [0] 2 2 3 2 2 2" xfId="4078" xr:uid="{36F6A1AE-414F-4718-AABD-FC7CFFAF443D}"/>
    <cellStyle name="Comma [0] 2 2 3 2 3" xfId="1296" xr:uid="{8723E671-959A-4289-A869-572ED7693717}"/>
    <cellStyle name="Comma [0] 2 2 3 2 3 2" xfId="4523" xr:uid="{BE6349FD-B9B8-4B77-A360-7B0FB15AA0C3}"/>
    <cellStyle name="Comma [0] 2 2 3 2 4" xfId="1748" xr:uid="{2F71FB2F-74F7-4107-B720-991817A6B71A}"/>
    <cellStyle name="Comma [0] 2 2 3 2 4 2" xfId="4968" xr:uid="{53CAE485-2946-45A3-B504-615CBFC52846}"/>
    <cellStyle name="Comma [0] 2 2 3 2 5" xfId="2200" xr:uid="{E56F41DC-600F-4B23-8DF7-7E1663B3FEDF}"/>
    <cellStyle name="Comma [0] 2 2 3 2 5 2" xfId="5413" xr:uid="{A5270E32-D0C2-4668-9E0C-1F1F9E5FF8FA}"/>
    <cellStyle name="Comma [0] 2 2 3 2 6" xfId="2652" xr:uid="{1A828C20-353E-4085-BAB0-12882377DD13}"/>
    <cellStyle name="Comma [0] 2 2 3 2 6 2" xfId="5858" xr:uid="{D152ACCA-D88B-4677-B652-9E3994B26BBE}"/>
    <cellStyle name="Comma [0] 2 2 3 2 7" xfId="3104" xr:uid="{930F6065-42D5-46EF-A039-F9C50B633133}"/>
    <cellStyle name="Comma [0] 2 2 3 2 7 2" xfId="6303" xr:uid="{819F47A0-1621-4202-9FE6-323A226D2370}"/>
    <cellStyle name="Comma [0] 2 2 3 2 8" xfId="3633" xr:uid="{C358C2AA-8832-4063-9BCF-BC9295B7B874}"/>
    <cellStyle name="Comma [0] 2 2 3 3" xfId="620" xr:uid="{17C0800D-1708-44FF-8D77-EA21FF67C659}"/>
    <cellStyle name="Comma [0] 2 2 3 3 2" xfId="3856" xr:uid="{D3E9B43C-108C-48F7-94A1-74EE1BB98056}"/>
    <cellStyle name="Comma [0] 2 2 3 4" xfId="1072" xr:uid="{D7B0C5EC-8313-49FC-8B6C-799E65EBEA16}"/>
    <cellStyle name="Comma [0] 2 2 3 4 2" xfId="4301" xr:uid="{6D62AEA5-D99D-49FC-A515-98743FB84560}"/>
    <cellStyle name="Comma [0] 2 2 3 5" xfId="1524" xr:uid="{C47BD703-2D7A-4A2C-B345-030189C4E04A}"/>
    <cellStyle name="Comma [0] 2 2 3 5 2" xfId="4746" xr:uid="{03FECBB2-DC14-4BA7-B768-BD6C80B4C6BE}"/>
    <cellStyle name="Comma [0] 2 2 3 6" xfId="1976" xr:uid="{1931C2D6-E123-4195-B8E8-3990AC71A5FF}"/>
    <cellStyle name="Comma [0] 2 2 3 6 2" xfId="5191" xr:uid="{3E7186FB-3BB0-4E89-89E4-06885445BC2F}"/>
    <cellStyle name="Comma [0] 2 2 3 7" xfId="2428" xr:uid="{10F622A3-E71E-4790-B35F-5E190C22F9FE}"/>
    <cellStyle name="Comma [0] 2 2 3 7 2" xfId="5636" xr:uid="{91587300-DD10-43F4-A741-12ED398661BF}"/>
    <cellStyle name="Comma [0] 2 2 3 8" xfId="2880" xr:uid="{E1A3586B-CA00-4B47-8DD6-F2ACC9D6F14E}"/>
    <cellStyle name="Comma [0] 2 2 3 8 2" xfId="6081" xr:uid="{260B8F7D-D98E-4CD0-8481-037A621EEAE0}"/>
    <cellStyle name="Comma [0] 2 2 3 9" xfId="3348" xr:uid="{90DC88D9-AF65-4874-B803-98060B30CAF5}"/>
    <cellStyle name="Comma [0] 2 2 3 9 2" xfId="6535" xr:uid="{E611514A-FE17-4E64-A5C2-9BF6722A827F}"/>
    <cellStyle name="Comma [0] 2 2 4" xfId="389" xr:uid="{6500A630-458A-4A95-B385-CDAF787C7C80}"/>
    <cellStyle name="Comma [0] 2 2 4 2" xfId="841" xr:uid="{FDEF28C7-96C5-4674-9B6D-F47744A2A772}"/>
    <cellStyle name="Comma [0] 2 2 4 2 2" xfId="4075" xr:uid="{C6672BD0-1510-4344-8EDF-CA704880C0EC}"/>
    <cellStyle name="Comma [0] 2 2 4 3" xfId="1293" xr:uid="{420E752C-DA27-4E5A-8092-10B078B567F8}"/>
    <cellStyle name="Comma [0] 2 2 4 3 2" xfId="4520" xr:uid="{2C0C8562-66D3-4C11-B251-F7BA03745531}"/>
    <cellStyle name="Comma [0] 2 2 4 4" xfId="1745" xr:uid="{6C281D03-726C-4715-89E8-9E8467456CC4}"/>
    <cellStyle name="Comma [0] 2 2 4 4 2" xfId="4965" xr:uid="{5BD2C2B2-9094-42DA-889E-F37FFC81A63B}"/>
    <cellStyle name="Comma [0] 2 2 4 5" xfId="2197" xr:uid="{FFB48C20-EBF1-4D25-ADC9-5EB372139EB0}"/>
    <cellStyle name="Comma [0] 2 2 4 5 2" xfId="5410" xr:uid="{9B6BDB7C-3FE8-4DE1-8137-6EDEBECA54BB}"/>
    <cellStyle name="Comma [0] 2 2 4 6" xfId="2649" xr:uid="{0896C375-F4D7-4DFB-A213-D66950662699}"/>
    <cellStyle name="Comma [0] 2 2 4 6 2" xfId="5855" xr:uid="{F61EFAFF-2378-4556-A608-9E968C780214}"/>
    <cellStyle name="Comma [0] 2 2 4 7" xfId="3101" xr:uid="{4358461B-4005-4E96-BDB1-36D4CC572BB0}"/>
    <cellStyle name="Comma [0] 2 2 4 7 2" xfId="6300" xr:uid="{D9B4236B-C515-4FB3-B34D-969CEF6A71BE}"/>
    <cellStyle name="Comma [0] 2 2 4 8" xfId="3630" xr:uid="{C2131BCA-C087-4518-AD5D-BB0E6280CD9A}"/>
    <cellStyle name="Comma [0] 2 2 5" xfId="617" xr:uid="{BBF4D6F9-F354-41E6-8D11-13434728A2AF}"/>
    <cellStyle name="Comma [0] 2 2 5 2" xfId="3853" xr:uid="{8B405C8D-0F5F-451B-BDE9-8409F615C524}"/>
    <cellStyle name="Comma [0] 2 2 6" xfId="1069" xr:uid="{4B092D50-E625-46B1-B7F6-1CB1DBCD419C}"/>
    <cellStyle name="Comma [0] 2 2 6 2" xfId="4298" xr:uid="{7E8629E4-BF6C-46D7-BD4C-2955F13C9894}"/>
    <cellStyle name="Comma [0] 2 2 7" xfId="1521" xr:uid="{AC06E5C7-DEF6-4C41-B9C8-4AA1537F0C21}"/>
    <cellStyle name="Comma [0] 2 2 7 2" xfId="4743" xr:uid="{CA2352B1-90C5-4833-BE8C-1E29B7B87373}"/>
    <cellStyle name="Comma [0] 2 2 8" xfId="1973" xr:uid="{4201947F-B59E-4A0F-95A8-A869C9F2BFC0}"/>
    <cellStyle name="Comma [0] 2 2 8 2" xfId="5188" xr:uid="{D421A626-7898-43CB-99DA-283DC68E0475}"/>
    <cellStyle name="Comma [0] 2 2 9" xfId="2425" xr:uid="{383D9A4E-ACCB-4E5A-9C6C-CD314D97234A}"/>
    <cellStyle name="Comma [0] 2 2 9 2" xfId="5633" xr:uid="{8F7C852A-76AF-48CB-B67B-780B99454996}"/>
    <cellStyle name="Comma [0] 2 3" xfId="130" xr:uid="{3E8141C0-2886-4100-ADCE-6F782DC8CA73}"/>
    <cellStyle name="Comma [0] 2 3 10" xfId="3339" xr:uid="{8CBD4740-CA34-4714-9D16-DB0B7799A4F7}"/>
    <cellStyle name="Comma [0] 2 3 10 2" xfId="6528" xr:uid="{1A9AC858-E026-4045-9A4B-32D3830287D2}"/>
    <cellStyle name="Comma [0] 2 3 11" xfId="3411" xr:uid="{CF623398-1088-4B9A-85D8-D37BC2ECCB88}"/>
    <cellStyle name="Comma [0] 2 3 2" xfId="131" xr:uid="{D5232D1C-E776-4A2A-A18B-EEFAEDDA3D99}"/>
    <cellStyle name="Comma [0] 2 3 2 10" xfId="3412" xr:uid="{665ECE22-E99D-43E9-B9AB-E1A7A8E9F498}"/>
    <cellStyle name="Comma [0] 2 3 2 2" xfId="394" xr:uid="{DB696D4F-9334-4599-9E90-D25030CF0FDD}"/>
    <cellStyle name="Comma [0] 2 3 2 2 2" xfId="846" xr:uid="{B067B84F-A676-49B2-BDCE-5474CCF4A70E}"/>
    <cellStyle name="Comma [0] 2 3 2 2 2 2" xfId="4080" xr:uid="{808E7C88-E210-4D6B-8DD1-9C2E484F3068}"/>
    <cellStyle name="Comma [0] 2 3 2 2 3" xfId="1298" xr:uid="{E4898247-9725-45A9-B3E0-9ECA3574CA31}"/>
    <cellStyle name="Comma [0] 2 3 2 2 3 2" xfId="4525" xr:uid="{0396F040-0795-4361-8109-F79997678248}"/>
    <cellStyle name="Comma [0] 2 3 2 2 4" xfId="1750" xr:uid="{5B4F6C90-15B3-42F4-A931-BCB0367CB0A9}"/>
    <cellStyle name="Comma [0] 2 3 2 2 4 2" xfId="4970" xr:uid="{3881D0A2-54FE-4610-B3D7-751981A2B810}"/>
    <cellStyle name="Comma [0] 2 3 2 2 5" xfId="2202" xr:uid="{48D5B761-0EE4-4393-963D-3C7113072360}"/>
    <cellStyle name="Comma [0] 2 3 2 2 5 2" xfId="5415" xr:uid="{7B7092AF-05A6-4375-B79F-D39AAB839AFE}"/>
    <cellStyle name="Comma [0] 2 3 2 2 6" xfId="2654" xr:uid="{989664FF-B737-47C9-83B4-2707BD88A0F6}"/>
    <cellStyle name="Comma [0] 2 3 2 2 6 2" xfId="5860" xr:uid="{296F9BFA-DE53-48DE-8939-7DD6154F217A}"/>
    <cellStyle name="Comma [0] 2 3 2 2 7" xfId="3106" xr:uid="{4696B3B4-FDE6-4B22-A58B-500432D6A6B7}"/>
    <cellStyle name="Comma [0] 2 3 2 2 7 2" xfId="6305" xr:uid="{CB49E7FD-71D7-44BD-9A21-3D18A6EC307F}"/>
    <cellStyle name="Comma [0] 2 3 2 2 8" xfId="3635" xr:uid="{E31FCAE5-A293-425B-934B-839C723C5844}"/>
    <cellStyle name="Comma [0] 2 3 2 3" xfId="622" xr:uid="{19807410-9A2C-4334-85BA-27E6C6C939DC}"/>
    <cellStyle name="Comma [0] 2 3 2 3 2" xfId="3858" xr:uid="{E313319F-D861-4C2D-99A8-751DF9ABDDD7}"/>
    <cellStyle name="Comma [0] 2 3 2 4" xfId="1074" xr:uid="{CA1C9846-7E20-46A9-8E5B-B6C9694EDEA6}"/>
    <cellStyle name="Comma [0] 2 3 2 4 2" xfId="4303" xr:uid="{C9BACD6F-F418-42DD-B755-A1104EA51029}"/>
    <cellStyle name="Comma [0] 2 3 2 5" xfId="1526" xr:uid="{586646FE-82B5-4255-A18A-FF98CF0546FB}"/>
    <cellStyle name="Comma [0] 2 3 2 5 2" xfId="4748" xr:uid="{C3BA96C3-F0FD-4DFE-82BB-261B91341C6B}"/>
    <cellStyle name="Comma [0] 2 3 2 6" xfId="1978" xr:uid="{5DD67198-5F5E-4443-B2DA-9AAC815DEB5E}"/>
    <cellStyle name="Comma [0] 2 3 2 6 2" xfId="5193" xr:uid="{66EADF4D-2C0A-471C-BD93-A62FD610D38E}"/>
    <cellStyle name="Comma [0] 2 3 2 7" xfId="2430" xr:uid="{D9F75A2F-A158-4339-B426-8DC4D0DC566D}"/>
    <cellStyle name="Comma [0] 2 3 2 7 2" xfId="5638" xr:uid="{10D2302B-9818-42DE-BC49-65D88622FACD}"/>
    <cellStyle name="Comma [0] 2 3 2 8" xfId="2882" xr:uid="{1C8BC379-4A20-4885-B9F1-AB44DE57E1E8}"/>
    <cellStyle name="Comma [0] 2 3 2 8 2" xfId="6083" xr:uid="{92B19A0E-AE7F-4D93-8E8E-8FB942F53291}"/>
    <cellStyle name="Comma [0] 2 3 2 9" xfId="3350" xr:uid="{C1D524C0-B05C-48CA-95B9-CA7D6852E043}"/>
    <cellStyle name="Comma [0] 2 3 2 9 2" xfId="6537" xr:uid="{E7E0D4C7-400B-4DBB-AE9B-05DA6E0DB000}"/>
    <cellStyle name="Comma [0] 2 3 3" xfId="393" xr:uid="{04525BF6-73E3-4DCF-BED7-76A033EA6060}"/>
    <cellStyle name="Comma [0] 2 3 3 2" xfId="845" xr:uid="{F3598E7E-5400-4F55-BF89-887E319B53FB}"/>
    <cellStyle name="Comma [0] 2 3 3 2 2" xfId="4079" xr:uid="{3AE6D95C-8B85-4D96-98DD-7CCB826CF4D3}"/>
    <cellStyle name="Comma [0] 2 3 3 3" xfId="1297" xr:uid="{0760B8AB-B3A9-475D-ACB3-DD0C3FD78DEE}"/>
    <cellStyle name="Comma [0] 2 3 3 3 2" xfId="4524" xr:uid="{51D967E5-162C-4F77-B3BA-B8410129763A}"/>
    <cellStyle name="Comma [0] 2 3 3 4" xfId="1749" xr:uid="{1E35A76D-BD1F-4A9B-917C-6C962BFA7CAC}"/>
    <cellStyle name="Comma [0] 2 3 3 4 2" xfId="4969" xr:uid="{263BC952-B89A-4BCC-9BDF-B3BBE2DE502F}"/>
    <cellStyle name="Comma [0] 2 3 3 5" xfId="2201" xr:uid="{271FD1B3-28AC-4713-82D3-16147B50C640}"/>
    <cellStyle name="Comma [0] 2 3 3 5 2" xfId="5414" xr:uid="{07DBCABF-91E0-4CE6-BA58-8F94B9880E79}"/>
    <cellStyle name="Comma [0] 2 3 3 6" xfId="2653" xr:uid="{A08B374B-7B6E-470B-90AA-7DDFAD0A3134}"/>
    <cellStyle name="Comma [0] 2 3 3 6 2" xfId="5859" xr:uid="{DD32F583-6622-461D-A1F0-4917D269A06D}"/>
    <cellStyle name="Comma [0] 2 3 3 7" xfId="3105" xr:uid="{CC1510DB-F451-48EA-A4B3-7ADE1DD9A9C6}"/>
    <cellStyle name="Comma [0] 2 3 3 7 2" xfId="6304" xr:uid="{0D79CFF4-5EF6-4FE4-9B37-E3D354947FD3}"/>
    <cellStyle name="Comma [0] 2 3 3 8" xfId="3634" xr:uid="{7EEA19F0-B879-4AC8-90A4-7DB0810885E1}"/>
    <cellStyle name="Comma [0] 2 3 4" xfId="621" xr:uid="{B317A5A0-A214-4F6B-A731-6FD83C94BB66}"/>
    <cellStyle name="Comma [0] 2 3 4 2" xfId="3857" xr:uid="{C312EF85-25AC-4E93-AB38-C7CB609A44F8}"/>
    <cellStyle name="Comma [0] 2 3 5" xfId="1073" xr:uid="{249E4F67-B952-4C27-9903-D1EAC1B2ACB8}"/>
    <cellStyle name="Comma [0] 2 3 5 2" xfId="4302" xr:uid="{10ED17A8-CE6E-4D4E-B46B-B0611B7ED161}"/>
    <cellStyle name="Comma [0] 2 3 6" xfId="1525" xr:uid="{1C9F50A1-87D5-4BDB-9D23-C579D5863CD9}"/>
    <cellStyle name="Comma [0] 2 3 6 2" xfId="4747" xr:uid="{C60F2849-2784-4C7B-9332-49DB24095ECB}"/>
    <cellStyle name="Comma [0] 2 3 7" xfId="1977" xr:uid="{CED64975-0ABD-4D62-9081-56C3A122B5D4}"/>
    <cellStyle name="Comma [0] 2 3 7 2" xfId="5192" xr:uid="{339786D5-9397-4D5B-804A-9B7F8093ADD7}"/>
    <cellStyle name="Comma [0] 2 3 8" xfId="2429" xr:uid="{00FC5BB6-EF64-4C97-9BDB-EB595B7DAC6A}"/>
    <cellStyle name="Comma [0] 2 3 8 2" xfId="5637" xr:uid="{EA73A855-86E6-406A-AD61-F7C6CE92131C}"/>
    <cellStyle name="Comma [0] 2 3 9" xfId="2881" xr:uid="{A85EAAF0-C8BF-4471-B682-0819C4A8054F}"/>
    <cellStyle name="Comma [0] 2 3 9 2" xfId="6082" xr:uid="{C1303B9E-CB52-4436-8CAF-AAC68DDF3948}"/>
    <cellStyle name="Comma [0] 2 4" xfId="132" xr:uid="{4D6063C7-7560-48E2-83D8-848F1E684F98}"/>
    <cellStyle name="Comma [0] 2 4 2" xfId="395" xr:uid="{B8FFE118-972A-43FB-A578-3CD80FB2B68A}"/>
    <cellStyle name="Comma [0] 2 4 2 2" xfId="847" xr:uid="{FDB236FE-6868-469C-8BA9-71321647648C}"/>
    <cellStyle name="Comma [0] 2 4 2 2 2" xfId="4081" xr:uid="{2B885B3A-1026-4922-AFF6-D235903559D2}"/>
    <cellStyle name="Comma [0] 2 4 2 3" xfId="1299" xr:uid="{20880DF3-9A21-4399-AE77-3C5C3E3294E6}"/>
    <cellStyle name="Comma [0] 2 4 2 3 2" xfId="4526" xr:uid="{3ECA66DE-1E0E-45CB-BB17-2FFCB1BA1110}"/>
    <cellStyle name="Comma [0] 2 4 2 4" xfId="1751" xr:uid="{95D92557-1772-4BF4-8ED1-0115917C2F79}"/>
    <cellStyle name="Comma [0] 2 4 2 4 2" xfId="4971" xr:uid="{343AD3E9-0AEA-4855-AA67-DF40CADE188A}"/>
    <cellStyle name="Comma [0] 2 4 2 5" xfId="2203" xr:uid="{1C020402-FC5D-4517-A607-1DA7B07877F4}"/>
    <cellStyle name="Comma [0] 2 4 2 5 2" xfId="5416" xr:uid="{74E09C72-B12A-4387-A0AD-ECF9E4502F38}"/>
    <cellStyle name="Comma [0] 2 4 2 6" xfId="2655" xr:uid="{347BC7CD-42B3-451C-B3B1-44629DFB8983}"/>
    <cellStyle name="Comma [0] 2 4 2 6 2" xfId="5861" xr:uid="{2E6F9EC3-D71E-446D-A7A5-A5DFF3F79042}"/>
    <cellStyle name="Comma [0] 2 4 2 7" xfId="3107" xr:uid="{80E0D067-25A2-410F-AA43-D05D427855CF}"/>
    <cellStyle name="Comma [0] 2 4 2 7 2" xfId="6306" xr:uid="{73ADE5F9-8BC3-4DE2-A3F7-F7464DA17E55}"/>
    <cellStyle name="Comma [0] 2 4 2 8" xfId="3636" xr:uid="{403D12A6-BB32-402B-8CFB-F7C0DC028981}"/>
    <cellStyle name="Comma [0] 2 4 3" xfId="623" xr:uid="{2EDB7576-F337-4892-8320-FE562EA5E068}"/>
    <cellStyle name="Comma [0] 2 4 3 2" xfId="3859" xr:uid="{48A7991F-BA55-495E-ACF0-5E77EDB63286}"/>
    <cellStyle name="Comma [0] 2 4 4" xfId="1075" xr:uid="{E9B22479-7F36-4D7D-A915-4AB297247D9E}"/>
    <cellStyle name="Comma [0] 2 4 4 2" xfId="4304" xr:uid="{70A3D296-1A6B-4D4C-8239-09FD25CD2BC8}"/>
    <cellStyle name="Comma [0] 2 4 5" xfId="1527" xr:uid="{BA1CF7AE-497E-4ED6-8E00-D95512B57756}"/>
    <cellStyle name="Comma [0] 2 4 5 2" xfId="4749" xr:uid="{B388A0AB-EED9-4311-B406-9D13CC5F0D7C}"/>
    <cellStyle name="Comma [0] 2 4 6" xfId="1979" xr:uid="{608B33EC-3E4D-48EC-A6DC-42F8E8C0FEAE}"/>
    <cellStyle name="Comma [0] 2 4 6 2" xfId="5194" xr:uid="{CC3FCA6A-728C-405B-8D33-54473ABFF28D}"/>
    <cellStyle name="Comma [0] 2 4 7" xfId="2431" xr:uid="{F2BC0FD6-68D4-4A79-BDD7-AE50730ECC96}"/>
    <cellStyle name="Comma [0] 2 4 7 2" xfId="5639" xr:uid="{F001A724-A30B-47AF-98C1-A12FD4824453}"/>
    <cellStyle name="Comma [0] 2 4 8" xfId="2883" xr:uid="{EA9FF0D4-568A-46AE-89BD-17E0B982DE88}"/>
    <cellStyle name="Comma [0] 2 4 8 2" xfId="6084" xr:uid="{450B3847-97BC-44C8-B66E-6A7280AEBBA8}"/>
    <cellStyle name="Comma [0] 2 4 9" xfId="3413" xr:uid="{0F4A745A-C274-4EC4-8D63-AA818CC99737}"/>
    <cellStyle name="Comma [0] 2 5" xfId="133" xr:uid="{46DFD7B5-6675-4DAB-AD65-626ECA24D395}"/>
    <cellStyle name="Comma [0] 2 5 2" xfId="396" xr:uid="{B477A572-62CA-4C83-931C-7185C5616CEE}"/>
    <cellStyle name="Comma [0] 2 5 2 2" xfId="848" xr:uid="{441F49EB-13BC-4EC0-99A7-A1611AE81695}"/>
    <cellStyle name="Comma [0] 2 5 2 2 2" xfId="4082" xr:uid="{91F96D46-7317-4124-9A0D-557C8E591C8C}"/>
    <cellStyle name="Comma [0] 2 5 2 3" xfId="1300" xr:uid="{1DF6E620-7B82-4883-8C06-EB521A3FA5AD}"/>
    <cellStyle name="Comma [0] 2 5 2 3 2" xfId="4527" xr:uid="{EA2D9AE7-3E98-4180-9582-3A1BC09201CA}"/>
    <cellStyle name="Comma [0] 2 5 2 4" xfId="1752" xr:uid="{3D0010E3-2791-4728-8B75-5F1EEC5B4D1C}"/>
    <cellStyle name="Comma [0] 2 5 2 4 2" xfId="4972" xr:uid="{B611FE12-C4BA-4A29-843A-F2CC532D2498}"/>
    <cellStyle name="Comma [0] 2 5 2 5" xfId="2204" xr:uid="{ED18FD54-E98A-4EE7-B7F2-14F041D6F5E3}"/>
    <cellStyle name="Comma [0] 2 5 2 5 2" xfId="5417" xr:uid="{9ED23B5B-D57D-49EB-A7A8-8543209DAC87}"/>
    <cellStyle name="Comma [0] 2 5 2 6" xfId="2656" xr:uid="{397380D8-6E3D-44C6-A378-15DCA1FBE230}"/>
    <cellStyle name="Comma [0] 2 5 2 6 2" xfId="5862" xr:uid="{9AB3736A-B3DA-4705-93CE-2B2BE5C62C37}"/>
    <cellStyle name="Comma [0] 2 5 2 7" xfId="3108" xr:uid="{783360F7-BD53-42E8-87B3-61BE6956E543}"/>
    <cellStyle name="Comma [0] 2 5 2 7 2" xfId="6307" xr:uid="{CF338F5A-8F02-4D98-BC7E-8CF949077174}"/>
    <cellStyle name="Comma [0] 2 5 2 8" xfId="3637" xr:uid="{E5A95E3E-3A80-4A55-B879-E0B9E12BA5AE}"/>
    <cellStyle name="Comma [0] 2 5 3" xfId="624" xr:uid="{AE858E27-928F-477C-A42B-F5D9FD41503A}"/>
    <cellStyle name="Comma [0] 2 5 3 2" xfId="3860" xr:uid="{A8927EC6-D25F-4F7B-BC2A-AAA6642870BE}"/>
    <cellStyle name="Comma [0] 2 5 4" xfId="1076" xr:uid="{DD7E9B85-D3C0-42BB-A03D-78E77AE5623F}"/>
    <cellStyle name="Comma [0] 2 5 4 2" xfId="4305" xr:uid="{2B083B39-66DA-4C0C-81F6-D022B2191074}"/>
    <cellStyle name="Comma [0] 2 5 5" xfId="1528" xr:uid="{9D6BD736-837D-4024-93DF-6F14D3059A6B}"/>
    <cellStyle name="Comma [0] 2 5 5 2" xfId="4750" xr:uid="{7FA092DB-D7E1-479B-85FE-F493FA05F7BE}"/>
    <cellStyle name="Comma [0] 2 5 6" xfId="1980" xr:uid="{067A7D99-997B-4556-9A40-20EFF3A1B32E}"/>
    <cellStyle name="Comma [0] 2 5 6 2" xfId="5195" xr:uid="{F81DFD00-BE05-4621-BB39-48254E2CDB97}"/>
    <cellStyle name="Comma [0] 2 5 7" xfId="2432" xr:uid="{EA5F5A8D-F7E3-41D7-8584-8E4DCA38A6C5}"/>
    <cellStyle name="Comma [0] 2 5 7 2" xfId="5640" xr:uid="{C1F8F223-A64B-49C9-BC0E-72FA27FD12AE}"/>
    <cellStyle name="Comma [0] 2 5 8" xfId="2884" xr:uid="{4FFC0E58-43FB-4353-A399-51949845FEF2}"/>
    <cellStyle name="Comma [0] 2 5 8 2" xfId="6085" xr:uid="{77F20E76-11D8-45C5-A682-CF6BC9FBA9BC}"/>
    <cellStyle name="Comma [0] 2 5 9" xfId="3414" xr:uid="{0C4C7534-5A17-4737-8163-F0B6765A3632}"/>
    <cellStyle name="Comma [0] 2 6" xfId="134" xr:uid="{7480E2B4-EA8E-43F2-B177-019B9196095B}"/>
    <cellStyle name="Comma [0] 2 6 2" xfId="397" xr:uid="{A7026C17-FAA4-4646-9B32-7248EB0B36C3}"/>
    <cellStyle name="Comma [0] 2 6 2 2" xfId="849" xr:uid="{2C3E043D-8E01-4D9F-811B-5F73743B3B43}"/>
    <cellStyle name="Comma [0] 2 6 2 2 2" xfId="4083" xr:uid="{63BDE4C8-78C6-4F9E-BB77-5C599EE2C811}"/>
    <cellStyle name="Comma [0] 2 6 2 3" xfId="1301" xr:uid="{8610961B-9F17-4D49-914D-39F7CAF1CDAD}"/>
    <cellStyle name="Comma [0] 2 6 2 3 2" xfId="4528" xr:uid="{0D835DC0-8AB2-421E-8984-B804F5AE86AA}"/>
    <cellStyle name="Comma [0] 2 6 2 4" xfId="1753" xr:uid="{24DD9357-DDAD-4756-9D11-0B79FD4BE257}"/>
    <cellStyle name="Comma [0] 2 6 2 4 2" xfId="4973" xr:uid="{D73DCA7A-61E8-4C07-826D-C194AB43D48F}"/>
    <cellStyle name="Comma [0] 2 6 2 5" xfId="2205" xr:uid="{C9661D6C-66EA-4AA7-9F29-65552A77860C}"/>
    <cellStyle name="Comma [0] 2 6 2 5 2" xfId="5418" xr:uid="{36B13D92-013B-4210-A68F-32959CC76EF5}"/>
    <cellStyle name="Comma [0] 2 6 2 6" xfId="2657" xr:uid="{448C2BCE-6521-4B1A-A57E-57CFC447B2A5}"/>
    <cellStyle name="Comma [0] 2 6 2 6 2" xfId="5863" xr:uid="{A24DA6CC-DC05-4959-A564-F341CAC3336D}"/>
    <cellStyle name="Comma [0] 2 6 2 7" xfId="3109" xr:uid="{72B99605-5ABF-49E6-933E-3B339A8FFCBF}"/>
    <cellStyle name="Comma [0] 2 6 2 7 2" xfId="6308" xr:uid="{00AD41D1-A451-4814-A624-789578D9A8CB}"/>
    <cellStyle name="Comma [0] 2 6 2 8" xfId="3638" xr:uid="{0B520056-2959-4C8E-A074-0827879466D3}"/>
    <cellStyle name="Comma [0] 2 6 3" xfId="625" xr:uid="{DA1A62D4-59B5-4EBF-85C2-C12A981D0FC2}"/>
    <cellStyle name="Comma [0] 2 6 3 2" xfId="3861" xr:uid="{BB39E145-F648-45E1-80C4-85820AE228CA}"/>
    <cellStyle name="Comma [0] 2 6 4" xfId="1077" xr:uid="{16E7D558-B97D-4853-8677-B63EDC2E3BDD}"/>
    <cellStyle name="Comma [0] 2 6 4 2" xfId="4306" xr:uid="{66794F38-FD21-4D64-98F1-A1C2DC83A436}"/>
    <cellStyle name="Comma [0] 2 6 5" xfId="1529" xr:uid="{23C02C35-2195-465D-864B-02F6E77BC0F4}"/>
    <cellStyle name="Comma [0] 2 6 5 2" xfId="4751" xr:uid="{75429FC7-8707-4136-94F7-19C2F726CDE9}"/>
    <cellStyle name="Comma [0] 2 6 6" xfId="1981" xr:uid="{AC3C3FBE-4B91-4775-BE27-E0DC3F2C9272}"/>
    <cellStyle name="Comma [0] 2 6 6 2" xfId="5196" xr:uid="{D145B79A-933A-475F-8BEE-2E44DB762CFA}"/>
    <cellStyle name="Comma [0] 2 6 7" xfId="2433" xr:uid="{0DFBF142-AF43-407F-B933-EA136DBC9D55}"/>
    <cellStyle name="Comma [0] 2 6 7 2" xfId="5641" xr:uid="{406218DB-20F4-4D67-A1CC-74F212A64DB6}"/>
    <cellStyle name="Comma [0] 2 6 8" xfId="2885" xr:uid="{85457D6E-9718-4815-86F6-38C8ECD3E4A6}"/>
    <cellStyle name="Comma [0] 2 6 8 2" xfId="6086" xr:uid="{FB917259-F7B6-4E99-91F5-6D0D28717FB0}"/>
    <cellStyle name="Comma [0] 2 6 9" xfId="3415" xr:uid="{D72ADFA5-969E-4ED7-965A-3E97BE4F9C7B}"/>
    <cellStyle name="Comma [0] 2 7" xfId="388" xr:uid="{FF7D0420-47DE-4D41-94E6-5C3992AA7684}"/>
    <cellStyle name="Comma [0] 2 7 2" xfId="840" xr:uid="{A9689F14-9822-4F5C-99FC-858E98699901}"/>
    <cellStyle name="Comma [0] 2 7 2 2" xfId="4074" xr:uid="{6C22231E-1245-48C9-AAAC-7566DB8693C7}"/>
    <cellStyle name="Comma [0] 2 7 3" xfId="1292" xr:uid="{55C8E1B7-EDD7-4BCF-9357-148F535EE22B}"/>
    <cellStyle name="Comma [0] 2 7 3 2" xfId="4519" xr:uid="{71FFFD12-3614-4494-BA46-43ED63BBCB13}"/>
    <cellStyle name="Comma [0] 2 7 4" xfId="1744" xr:uid="{CCEF9FD6-7DA0-4EB3-8812-7A53885D32FF}"/>
    <cellStyle name="Comma [0] 2 7 4 2" xfId="4964" xr:uid="{77529F7A-FD17-4CE8-9539-3788CF405F1D}"/>
    <cellStyle name="Comma [0] 2 7 5" xfId="2196" xr:uid="{170C1A5B-EC70-437C-B27F-9F13C2919DC0}"/>
    <cellStyle name="Comma [0] 2 7 5 2" xfId="5409" xr:uid="{20703ECE-65C7-4FCB-9D2C-0AFC99F6C645}"/>
    <cellStyle name="Comma [0] 2 7 6" xfId="2648" xr:uid="{BD71073E-0277-4D33-8135-117DF9A8DF80}"/>
    <cellStyle name="Comma [0] 2 7 6 2" xfId="5854" xr:uid="{BBEE9222-0525-4061-B6DF-8D27E058AFB3}"/>
    <cellStyle name="Comma [0] 2 7 7" xfId="3100" xr:uid="{D56E2C59-DF59-4A08-BC64-BE694AA877DB}"/>
    <cellStyle name="Comma [0] 2 7 7 2" xfId="6299" xr:uid="{4F0617B2-54E0-496D-AF42-F3D28E0066DA}"/>
    <cellStyle name="Comma [0] 2 7 8" xfId="3629" xr:uid="{70F38490-B8ED-497B-B5A4-40F6B5EC6983}"/>
    <cellStyle name="Comma [0] 2 8" xfId="125" xr:uid="{2290D4F1-9F61-4002-8E6F-7E7AE9F2B8EF}"/>
    <cellStyle name="Comma [0] 2 8 2" xfId="3406" xr:uid="{E7ADB9C3-97A1-4756-A766-167B7C8B1CB7}"/>
    <cellStyle name="Comma [0] 2 9" xfId="616" xr:uid="{B2E7ED07-3C85-4011-AD62-9850A8B573B5}"/>
    <cellStyle name="Comma [0] 2 9 2" xfId="3852" xr:uid="{2970A627-AD84-4E00-B373-94D8BCB3F5A1}"/>
    <cellStyle name="Comma [0] 3" xfId="24" xr:uid="{B10CACE9-B0C8-40DF-8F56-94EC58B2A8F8}"/>
    <cellStyle name="Comma [0] 3 10" xfId="1982" xr:uid="{9B5EBE49-5947-45A8-BC2A-A6541A1BB257}"/>
    <cellStyle name="Comma [0] 3 10 2" xfId="5197" xr:uid="{1D8711E1-482C-4B07-8C57-24826D7A96D7}"/>
    <cellStyle name="Comma [0] 3 11" xfId="2434" xr:uid="{7FC7091C-F5E0-4659-B0BF-C13D32D37D4F}"/>
    <cellStyle name="Comma [0] 3 11 2" xfId="5642" xr:uid="{A056D116-ABF0-48BE-89C7-A5896696131B}"/>
    <cellStyle name="Comma [0] 3 12" xfId="2886" xr:uid="{DE6BE808-EB5C-413B-A44B-0E5A7268E4A9}"/>
    <cellStyle name="Comma [0] 3 12 2" xfId="6087" xr:uid="{FAAD03BC-E1A8-4210-A2C0-07E9FE5032DC}"/>
    <cellStyle name="Comma [0] 3 13" xfId="3323" xr:uid="{6F05381D-F7B2-4989-B7CB-2A0E1024ED5D}"/>
    <cellStyle name="Comma [0] 3 13 2" xfId="6521" xr:uid="{9AED9BDB-B6AD-4D7D-9A28-D07DBCFE005A}"/>
    <cellStyle name="Comma [0] 3 14" xfId="3377" xr:uid="{CC1376FD-63C1-4952-891B-F89AACBFFB50}"/>
    <cellStyle name="Comma [0] 3 2" xfId="136" xr:uid="{212772F8-937D-40C8-ADE6-E047DFA2E180}"/>
    <cellStyle name="Comma [0] 3 2 10" xfId="2887" xr:uid="{0DC0BAC1-CF1D-4031-ABF9-2F95A367EE6C}"/>
    <cellStyle name="Comma [0] 3 2 10 2" xfId="6088" xr:uid="{8491E367-1938-497D-A270-1612C1449085}"/>
    <cellStyle name="Comma [0] 3 2 11" xfId="3341" xr:uid="{5AECB1C6-9307-403A-82EE-5ABB14123117}"/>
    <cellStyle name="Comma [0] 3 2 11 2" xfId="6530" xr:uid="{E8987D17-55B9-4F2A-8027-CA04A95369B1}"/>
    <cellStyle name="Comma [0] 3 2 12" xfId="3417" xr:uid="{61771A69-77ED-48A9-8A02-770095FFF760}"/>
    <cellStyle name="Comma [0] 3 2 2" xfId="137" xr:uid="{B59A1666-6ECB-4890-865F-6997FBE34636}"/>
    <cellStyle name="Comma [0] 3 2 2 10" xfId="3352" xr:uid="{DC5308E6-D62F-4767-98DB-0ECAD3E22DCC}"/>
    <cellStyle name="Comma [0] 3 2 2 10 2" xfId="6539" xr:uid="{B2508E54-EFD4-47B0-A46B-EA8C2F7011D0}"/>
    <cellStyle name="Comma [0] 3 2 2 11" xfId="3418" xr:uid="{D605499A-DF64-4F03-A617-F586DCFEA274}"/>
    <cellStyle name="Comma [0] 3 2 2 2" xfId="138" xr:uid="{A9EF54AB-381D-4F8E-A0FF-B2BF00D19C3B}"/>
    <cellStyle name="Comma [0] 3 2 2 2 2" xfId="401" xr:uid="{0344EC30-BCB4-4CBA-B99C-9B235652DC1F}"/>
    <cellStyle name="Comma [0] 3 2 2 2 2 2" xfId="853" xr:uid="{48592711-BFA2-4DB3-84E2-518EA30E3481}"/>
    <cellStyle name="Comma [0] 3 2 2 2 2 2 2" xfId="4087" xr:uid="{80A3125A-3608-431C-8BFA-C8C4F6C35127}"/>
    <cellStyle name="Comma [0] 3 2 2 2 2 3" xfId="1305" xr:uid="{C3BBCBAE-6A1E-4E5F-B9ED-559FF9F636AE}"/>
    <cellStyle name="Comma [0] 3 2 2 2 2 3 2" xfId="4532" xr:uid="{CA0C172E-7D73-4DD8-BD2F-DF4E913789C8}"/>
    <cellStyle name="Comma [0] 3 2 2 2 2 4" xfId="1757" xr:uid="{6B003F88-34BC-4E86-B524-3EBE8FA63F6F}"/>
    <cellStyle name="Comma [0] 3 2 2 2 2 4 2" xfId="4977" xr:uid="{3BB07A01-6989-4C8D-AA6F-85F7C41CED00}"/>
    <cellStyle name="Comma [0] 3 2 2 2 2 5" xfId="2209" xr:uid="{E32BE907-55C5-48E5-B968-25C4631D2CC3}"/>
    <cellStyle name="Comma [0] 3 2 2 2 2 5 2" xfId="5422" xr:uid="{6C233BD1-3971-4DD6-968B-E38D61C7B4D6}"/>
    <cellStyle name="Comma [0] 3 2 2 2 2 6" xfId="2661" xr:uid="{01DE99B3-7FF6-4718-9F70-4790568276E9}"/>
    <cellStyle name="Comma [0] 3 2 2 2 2 6 2" xfId="5867" xr:uid="{4BC58C26-A27B-4DFF-B084-6C491157A845}"/>
    <cellStyle name="Comma [0] 3 2 2 2 2 7" xfId="3113" xr:uid="{7828E9D2-57DD-4A97-9AE5-C8CEE0278970}"/>
    <cellStyle name="Comma [0] 3 2 2 2 2 7 2" xfId="6312" xr:uid="{D7EF98A4-31AB-4048-B39C-409ABC43373C}"/>
    <cellStyle name="Comma [0] 3 2 2 2 2 8" xfId="3642" xr:uid="{62E9EA02-915B-4135-824C-BF78C3E5AE93}"/>
    <cellStyle name="Comma [0] 3 2 2 2 3" xfId="629" xr:uid="{73A4EEDE-E583-4809-88AC-51205509C239}"/>
    <cellStyle name="Comma [0] 3 2 2 2 3 2" xfId="3865" xr:uid="{C9D4ED34-05B2-49CB-8BB4-F6C7C2596041}"/>
    <cellStyle name="Comma [0] 3 2 2 2 4" xfId="1081" xr:uid="{8AABB665-12B4-4AF1-8192-8B38F993239A}"/>
    <cellStyle name="Comma [0] 3 2 2 2 4 2" xfId="4310" xr:uid="{994B343D-5A62-45B4-B79C-D92C2F9E072F}"/>
    <cellStyle name="Comma [0] 3 2 2 2 5" xfId="1533" xr:uid="{1E4B4CD2-9FC9-44DB-909F-EE0128567813}"/>
    <cellStyle name="Comma [0] 3 2 2 2 5 2" xfId="4755" xr:uid="{574FCBFA-320A-48FF-908F-F7C543CDC4FA}"/>
    <cellStyle name="Comma [0] 3 2 2 2 6" xfId="1985" xr:uid="{538EC016-ABFE-40CC-A17B-5934C3DC2807}"/>
    <cellStyle name="Comma [0] 3 2 2 2 6 2" xfId="5200" xr:uid="{450D44CD-8AE9-4FA5-8C3A-09C511FB33BC}"/>
    <cellStyle name="Comma [0] 3 2 2 2 7" xfId="2437" xr:uid="{8EF36A85-A9D0-4E29-BF87-F5FA7E976FA2}"/>
    <cellStyle name="Comma [0] 3 2 2 2 7 2" xfId="5645" xr:uid="{F6E7C259-F17A-4088-82A1-AC2BCF32AD6A}"/>
    <cellStyle name="Comma [0] 3 2 2 2 8" xfId="2889" xr:uid="{F8042389-ADAB-42AB-8E75-DC46E4449C0E}"/>
    <cellStyle name="Comma [0] 3 2 2 2 8 2" xfId="6090" xr:uid="{13E58DEA-D1B6-48E7-8620-C03A610B1ED7}"/>
    <cellStyle name="Comma [0] 3 2 2 2 9" xfId="3419" xr:uid="{F38D2F02-BAA4-4691-A32F-36BA9B446CBA}"/>
    <cellStyle name="Comma [0] 3 2 2 3" xfId="400" xr:uid="{B476EDB4-7F9D-4067-8CE5-55B04BC9C187}"/>
    <cellStyle name="Comma [0] 3 2 2 3 2" xfId="852" xr:uid="{E063C07D-9059-4043-94E9-5812A1B3170E}"/>
    <cellStyle name="Comma [0] 3 2 2 3 2 2" xfId="4086" xr:uid="{30C7779E-389B-4337-9669-AB176D3C66E9}"/>
    <cellStyle name="Comma [0] 3 2 2 3 3" xfId="1304" xr:uid="{54303E8A-DAA4-48AB-9F50-558AE89CC868}"/>
    <cellStyle name="Comma [0] 3 2 2 3 3 2" xfId="4531" xr:uid="{F2C57A99-9A4E-42E2-8846-FA6F2A5F6E67}"/>
    <cellStyle name="Comma [0] 3 2 2 3 4" xfId="1756" xr:uid="{F0B68DDD-257D-4AE8-B6C5-E254771C2367}"/>
    <cellStyle name="Comma [0] 3 2 2 3 4 2" xfId="4976" xr:uid="{145F28DA-CB9F-438D-BC87-502F1537ACEE}"/>
    <cellStyle name="Comma [0] 3 2 2 3 5" xfId="2208" xr:uid="{9FCBD1A1-8EE5-4111-8EDB-7514A7BD9DE9}"/>
    <cellStyle name="Comma [0] 3 2 2 3 5 2" xfId="5421" xr:uid="{C58ED41F-7982-4796-A49F-C0F3C072C51E}"/>
    <cellStyle name="Comma [0] 3 2 2 3 6" xfId="2660" xr:uid="{15006620-AE47-4DFD-B1DF-93C11D08D56E}"/>
    <cellStyle name="Comma [0] 3 2 2 3 6 2" xfId="5866" xr:uid="{A1F7B9B0-7019-4F0F-89CE-8F8EB5658449}"/>
    <cellStyle name="Comma [0] 3 2 2 3 7" xfId="3112" xr:uid="{F368A74A-23F7-460A-979E-822803EC6F71}"/>
    <cellStyle name="Comma [0] 3 2 2 3 7 2" xfId="6311" xr:uid="{8011D6F1-1E01-433B-B836-7A5A4F310235}"/>
    <cellStyle name="Comma [0] 3 2 2 3 8" xfId="3641" xr:uid="{5E6062B2-103E-4046-8062-62D988339F98}"/>
    <cellStyle name="Comma [0] 3 2 2 4" xfId="628" xr:uid="{736F5B50-63A2-4510-9281-7C29A538D840}"/>
    <cellStyle name="Comma [0] 3 2 2 4 2" xfId="3864" xr:uid="{E97B05A8-8A10-4670-ACDB-0ED2169E618F}"/>
    <cellStyle name="Comma [0] 3 2 2 5" xfId="1080" xr:uid="{8BDC3A4F-B443-4605-8805-3753E78E7432}"/>
    <cellStyle name="Comma [0] 3 2 2 5 2" xfId="4309" xr:uid="{EE288837-6F04-4F86-BF4B-352970A84C6A}"/>
    <cellStyle name="Comma [0] 3 2 2 6" xfId="1532" xr:uid="{B49B00EC-95D5-4964-AF6F-761E018C1EAF}"/>
    <cellStyle name="Comma [0] 3 2 2 6 2" xfId="4754" xr:uid="{6504804F-2B03-4B05-9C42-2A38556745AC}"/>
    <cellStyle name="Comma [0] 3 2 2 7" xfId="1984" xr:uid="{31B398DE-03A9-45D5-9514-AE521B01DDAD}"/>
    <cellStyle name="Comma [0] 3 2 2 7 2" xfId="5199" xr:uid="{E95DC3A7-39DE-47A6-9217-F2B5A8704703}"/>
    <cellStyle name="Comma [0] 3 2 2 8" xfId="2436" xr:uid="{495D3BC9-51C4-487C-9A74-1BD028EF54CC}"/>
    <cellStyle name="Comma [0] 3 2 2 8 2" xfId="5644" xr:uid="{D1213BBE-BE1C-402D-88C0-84050E8F8C9D}"/>
    <cellStyle name="Comma [0] 3 2 2 9" xfId="2888" xr:uid="{93547C32-55C6-4914-954C-10CAACA3CE95}"/>
    <cellStyle name="Comma [0] 3 2 2 9 2" xfId="6089" xr:uid="{70777024-1CE7-4513-9381-43F152E768E7}"/>
    <cellStyle name="Comma [0] 3 2 3" xfId="139" xr:uid="{1C51F024-E758-4687-BD5D-7A1FF786A9D6}"/>
    <cellStyle name="Comma [0] 3 2 3 2" xfId="402" xr:uid="{A593CFE7-E319-4FA7-B8CB-90502B1FEB90}"/>
    <cellStyle name="Comma [0] 3 2 3 2 2" xfId="854" xr:uid="{7F7699A5-0738-4157-B887-05250E865EDA}"/>
    <cellStyle name="Comma [0] 3 2 3 2 2 2" xfId="4088" xr:uid="{9DF10921-8069-43B1-99BE-D055C197483C}"/>
    <cellStyle name="Comma [0] 3 2 3 2 3" xfId="1306" xr:uid="{0C39DBF6-EF27-471C-8297-D8DC917DC9F7}"/>
    <cellStyle name="Comma [0] 3 2 3 2 3 2" xfId="4533" xr:uid="{CD95F486-150B-40F7-930C-4ED7CBB4517C}"/>
    <cellStyle name="Comma [0] 3 2 3 2 4" xfId="1758" xr:uid="{7E5BC8E5-8674-4C5F-A7CE-695837ED167C}"/>
    <cellStyle name="Comma [0] 3 2 3 2 4 2" xfId="4978" xr:uid="{AC531477-01A5-4717-85DA-24AA20AFF9A2}"/>
    <cellStyle name="Comma [0] 3 2 3 2 5" xfId="2210" xr:uid="{383B3F7E-F4AA-42FE-AAF2-2D8C32280FFA}"/>
    <cellStyle name="Comma [0] 3 2 3 2 5 2" xfId="5423" xr:uid="{92B574C8-BBF7-4D42-AA8A-AA96645F95D4}"/>
    <cellStyle name="Comma [0] 3 2 3 2 6" xfId="2662" xr:uid="{06B420AD-43F1-49AA-9BF0-D19A5CF13D4B}"/>
    <cellStyle name="Comma [0] 3 2 3 2 6 2" xfId="5868" xr:uid="{264735CA-8BE1-42AE-892E-04681F057DBF}"/>
    <cellStyle name="Comma [0] 3 2 3 2 7" xfId="3114" xr:uid="{958812B2-691B-4D51-9C33-96D4B72E6CAB}"/>
    <cellStyle name="Comma [0] 3 2 3 2 7 2" xfId="6313" xr:uid="{435CC9C3-55ED-4BA2-8FF5-1DD065941CCF}"/>
    <cellStyle name="Comma [0] 3 2 3 2 8" xfId="3643" xr:uid="{CE918071-85D6-4A5B-A8AD-6B69EB33EED1}"/>
    <cellStyle name="Comma [0] 3 2 3 3" xfId="630" xr:uid="{98557D93-700F-49C7-9420-847441A1BD48}"/>
    <cellStyle name="Comma [0] 3 2 3 3 2" xfId="3866" xr:uid="{397A2A0C-2140-44EC-B165-6D8E44FAF8C9}"/>
    <cellStyle name="Comma [0] 3 2 3 4" xfId="1082" xr:uid="{2EFC9759-13E8-43D0-B353-1DDF2684D350}"/>
    <cellStyle name="Comma [0] 3 2 3 4 2" xfId="4311" xr:uid="{284D09A3-A0F2-4B09-9E9A-1637844E464E}"/>
    <cellStyle name="Comma [0] 3 2 3 5" xfId="1534" xr:uid="{49FF0091-AAC1-4067-8F5F-C23FF71C0512}"/>
    <cellStyle name="Comma [0] 3 2 3 5 2" xfId="4756" xr:uid="{EA4CD5B7-5771-48F9-A37B-81A381D0F784}"/>
    <cellStyle name="Comma [0] 3 2 3 6" xfId="1986" xr:uid="{99FE1767-4F73-42CC-9690-4AF1ED046530}"/>
    <cellStyle name="Comma [0] 3 2 3 6 2" xfId="5201" xr:uid="{99942128-539E-475A-9A88-7416F2D9D480}"/>
    <cellStyle name="Comma [0] 3 2 3 7" xfId="2438" xr:uid="{BB4FB97B-126E-4732-8034-379DCE0AAC59}"/>
    <cellStyle name="Comma [0] 3 2 3 7 2" xfId="5646" xr:uid="{1B4F731E-BB89-447A-8E7E-94D66D9B5E7E}"/>
    <cellStyle name="Comma [0] 3 2 3 8" xfId="2890" xr:uid="{7B2F505D-D877-42C1-BE3F-F01A0FE81FBD}"/>
    <cellStyle name="Comma [0] 3 2 3 8 2" xfId="6091" xr:uid="{53407D2F-779F-4CD6-9D3A-F1013057FA58}"/>
    <cellStyle name="Comma [0] 3 2 3 9" xfId="3420" xr:uid="{DE265165-CED5-474D-AA0A-BFAD35ED990D}"/>
    <cellStyle name="Comma [0] 3 2 4" xfId="399" xr:uid="{481BEB99-D0EF-4451-A024-2A2E5911184C}"/>
    <cellStyle name="Comma [0] 3 2 4 2" xfId="851" xr:uid="{2DB6AF1D-7846-4D43-A5C9-CBEF152618CE}"/>
    <cellStyle name="Comma [0] 3 2 4 2 2" xfId="4085" xr:uid="{A277D983-0005-4C0C-A581-668D78E884C3}"/>
    <cellStyle name="Comma [0] 3 2 4 3" xfId="1303" xr:uid="{178A03C1-1FB8-4416-9661-3712B17CC3D9}"/>
    <cellStyle name="Comma [0] 3 2 4 3 2" xfId="4530" xr:uid="{065D2968-86B3-4AAB-A6FD-25604FABB4AF}"/>
    <cellStyle name="Comma [0] 3 2 4 4" xfId="1755" xr:uid="{3818A6E1-4E46-489C-B0A0-A48BA0CBDFCA}"/>
    <cellStyle name="Comma [0] 3 2 4 4 2" xfId="4975" xr:uid="{9F9551C5-4D6C-437C-AC92-6C96A7FA1C8F}"/>
    <cellStyle name="Comma [0] 3 2 4 5" xfId="2207" xr:uid="{B23D6842-6A26-4785-94DE-A7717CFBA2F3}"/>
    <cellStyle name="Comma [0] 3 2 4 5 2" xfId="5420" xr:uid="{D43A3003-D662-4FEC-BD28-4699E5921161}"/>
    <cellStyle name="Comma [0] 3 2 4 6" xfId="2659" xr:uid="{2ECE8B24-7844-47C7-AF5C-B852ECC6C16E}"/>
    <cellStyle name="Comma [0] 3 2 4 6 2" xfId="5865" xr:uid="{96C13B20-1411-4A54-B54A-274CFC4D4F41}"/>
    <cellStyle name="Comma [0] 3 2 4 7" xfId="3111" xr:uid="{244A10A1-8FF2-408D-B788-A287E6B2B1A6}"/>
    <cellStyle name="Comma [0] 3 2 4 7 2" xfId="6310" xr:uid="{CE72E691-E442-466A-AB17-BF5A5B577E4E}"/>
    <cellStyle name="Comma [0] 3 2 4 8" xfId="3640" xr:uid="{F2C9DD7A-4297-41EA-9E3C-A3AE00EC66FE}"/>
    <cellStyle name="Comma [0] 3 2 5" xfId="627" xr:uid="{925B44F7-9063-4E6C-9369-5AC6683895D6}"/>
    <cellStyle name="Comma [0] 3 2 5 2" xfId="3863" xr:uid="{DC2CA6B1-2C5D-4FD9-BD71-E3FA4E9D657A}"/>
    <cellStyle name="Comma [0] 3 2 6" xfId="1079" xr:uid="{26A88FFD-8000-47D6-9FFF-07A43F3F46C4}"/>
    <cellStyle name="Comma [0] 3 2 6 2" xfId="4308" xr:uid="{86F86F40-4870-4CAC-B972-086C3F1DD4A9}"/>
    <cellStyle name="Comma [0] 3 2 7" xfId="1531" xr:uid="{2A1BFA12-BF64-4CE5-BC23-9AEA910C23D8}"/>
    <cellStyle name="Comma [0] 3 2 7 2" xfId="4753" xr:uid="{58EAEF05-CC08-44C3-8E68-6298A932C116}"/>
    <cellStyle name="Comma [0] 3 2 8" xfId="1983" xr:uid="{6F51AB7D-9584-4572-8DF4-2F522686F2D4}"/>
    <cellStyle name="Comma [0] 3 2 8 2" xfId="5198" xr:uid="{DF32A214-2B0F-4536-8391-9D12C9434D99}"/>
    <cellStyle name="Comma [0] 3 2 9" xfId="2435" xr:uid="{75356DAF-DB89-4A62-9FA4-1D1372832B30}"/>
    <cellStyle name="Comma [0] 3 2 9 2" xfId="5643" xr:uid="{790A3CA2-92DA-42D0-A188-C2A189237A1F}"/>
    <cellStyle name="Comma [0] 3 3" xfId="140" xr:uid="{58DD2842-0BBD-4A57-8A25-67D16F550BE9}"/>
    <cellStyle name="Comma [0] 3 3 10" xfId="3351" xr:uid="{B6AC24B4-CF5F-46F9-96E1-7ECDCC06C555}"/>
    <cellStyle name="Comma [0] 3 3 10 2" xfId="6538" xr:uid="{9019AADD-B107-4C50-AA28-9FA39AE6E4B0}"/>
    <cellStyle name="Comma [0] 3 3 11" xfId="3421" xr:uid="{DFDF4832-F44E-48E7-B346-050DC26C7C8D}"/>
    <cellStyle name="Comma [0] 3 3 2" xfId="141" xr:uid="{8D25D956-5668-43D4-9B01-A3332F9DF0EA}"/>
    <cellStyle name="Comma [0] 3 3 2 2" xfId="404" xr:uid="{FCB24F51-3A4A-4078-AF99-FEBC39DD5D86}"/>
    <cellStyle name="Comma [0] 3 3 2 2 2" xfId="856" xr:uid="{90FFF0D0-1398-41DF-9942-A974DC99C3F2}"/>
    <cellStyle name="Comma [0] 3 3 2 2 2 2" xfId="4090" xr:uid="{B9652A96-6974-4244-AE2F-7A96E55D12CC}"/>
    <cellStyle name="Comma [0] 3 3 2 2 3" xfId="1308" xr:uid="{569E7104-1BCB-4993-A770-99774D95A6D5}"/>
    <cellStyle name="Comma [0] 3 3 2 2 3 2" xfId="4535" xr:uid="{7474261D-39F4-4235-81C1-A7A462F21EE3}"/>
    <cellStyle name="Comma [0] 3 3 2 2 4" xfId="1760" xr:uid="{E4617827-04BF-45A8-AC80-234BCDC21B69}"/>
    <cellStyle name="Comma [0] 3 3 2 2 4 2" xfId="4980" xr:uid="{DF089F9D-CF23-4982-81E8-6331A8903AE3}"/>
    <cellStyle name="Comma [0] 3 3 2 2 5" xfId="2212" xr:uid="{A0D353CD-FD38-4CF3-BDF9-BFAFA6CD5F4A}"/>
    <cellStyle name="Comma [0] 3 3 2 2 5 2" xfId="5425" xr:uid="{037521A1-C39D-4916-9CED-E995029BA116}"/>
    <cellStyle name="Comma [0] 3 3 2 2 6" xfId="2664" xr:uid="{2D21146F-BFEB-4678-A429-F5F6F28DA2D1}"/>
    <cellStyle name="Comma [0] 3 3 2 2 6 2" xfId="5870" xr:uid="{B7B3F22A-C6DD-4125-825A-7AF98DA5CE2B}"/>
    <cellStyle name="Comma [0] 3 3 2 2 7" xfId="3116" xr:uid="{21583C76-258E-4D9B-881A-CBF86675065A}"/>
    <cellStyle name="Comma [0] 3 3 2 2 7 2" xfId="6315" xr:uid="{31D830F9-7F6E-477D-979F-976701D2858D}"/>
    <cellStyle name="Comma [0] 3 3 2 2 8" xfId="3645" xr:uid="{F787844A-FCB0-46C8-9E1E-891C25E3DA71}"/>
    <cellStyle name="Comma [0] 3 3 2 3" xfId="632" xr:uid="{E9BBD2DC-2426-4524-A8E3-7983268C8FCA}"/>
    <cellStyle name="Comma [0] 3 3 2 3 2" xfId="3868" xr:uid="{EC2F0844-F362-4EB8-9F66-195B43CF6AE9}"/>
    <cellStyle name="Comma [0] 3 3 2 4" xfId="1084" xr:uid="{F9AA1737-0C2C-4024-9A03-90827D0A90F6}"/>
    <cellStyle name="Comma [0] 3 3 2 4 2" xfId="4313" xr:uid="{4A7214F7-22DB-409E-8065-90DD243D3CE2}"/>
    <cellStyle name="Comma [0] 3 3 2 5" xfId="1536" xr:uid="{6EFF59F9-7B56-4C38-8F92-3FC1B3C93EFF}"/>
    <cellStyle name="Comma [0] 3 3 2 5 2" xfId="4758" xr:uid="{FC0CF8AE-0D29-4D4A-9123-5FD614BBAE57}"/>
    <cellStyle name="Comma [0] 3 3 2 6" xfId="1988" xr:uid="{33522699-DBB2-4DF9-8700-D4EE77AB61FA}"/>
    <cellStyle name="Comma [0] 3 3 2 6 2" xfId="5203" xr:uid="{8639BB53-8785-4E84-B378-E3C55D8FE8F7}"/>
    <cellStyle name="Comma [0] 3 3 2 7" xfId="2440" xr:uid="{CF35CA53-FD2D-4730-8EE7-9C1B748BC421}"/>
    <cellStyle name="Comma [0] 3 3 2 7 2" xfId="5648" xr:uid="{5988F16C-23BC-4743-A3DC-DE41B2556A1A}"/>
    <cellStyle name="Comma [0] 3 3 2 8" xfId="2892" xr:uid="{49709E73-8DDD-497B-8054-CE891265212E}"/>
    <cellStyle name="Comma [0] 3 3 2 8 2" xfId="6093" xr:uid="{D77145D9-B38C-49D6-AC28-2415A03E9082}"/>
    <cellStyle name="Comma [0] 3 3 2 9" xfId="3422" xr:uid="{83B1368E-6EC2-4719-84DE-2753F9FA225C}"/>
    <cellStyle name="Comma [0] 3 3 3" xfId="403" xr:uid="{F88B21A8-F6D0-4B17-8467-60DFDB9E59BF}"/>
    <cellStyle name="Comma [0] 3 3 3 2" xfId="855" xr:uid="{6F5BD284-3DFC-4C4B-9B0B-4EAEB63D159E}"/>
    <cellStyle name="Comma [0] 3 3 3 2 2" xfId="4089" xr:uid="{013B4D9E-61EF-4BB8-8FC7-9ADF38ED30B6}"/>
    <cellStyle name="Comma [0] 3 3 3 3" xfId="1307" xr:uid="{C1D0F93F-3F35-40B1-9C33-853318A782DD}"/>
    <cellStyle name="Comma [0] 3 3 3 3 2" xfId="4534" xr:uid="{C0AE816C-FB1C-453F-A2B7-AC4F8384C7D2}"/>
    <cellStyle name="Comma [0] 3 3 3 4" xfId="1759" xr:uid="{3B7F1FBF-470D-4D25-AF3A-F393CAACB053}"/>
    <cellStyle name="Comma [0] 3 3 3 4 2" xfId="4979" xr:uid="{791E915E-86E3-46AA-AD1D-CB18B09317F9}"/>
    <cellStyle name="Comma [0] 3 3 3 5" xfId="2211" xr:uid="{73FEEC30-95C7-4CDA-AE7E-4C3EF2A3CB2E}"/>
    <cellStyle name="Comma [0] 3 3 3 5 2" xfId="5424" xr:uid="{37B86BA9-181E-40BB-ABCA-55705C63618D}"/>
    <cellStyle name="Comma [0] 3 3 3 6" xfId="2663" xr:uid="{A139B797-22CF-4345-B512-A7242A3F78B8}"/>
    <cellStyle name="Comma [0] 3 3 3 6 2" xfId="5869" xr:uid="{55D0BC7C-51F6-4AC7-A730-C1610647C0CE}"/>
    <cellStyle name="Comma [0] 3 3 3 7" xfId="3115" xr:uid="{4FFE0BDF-5690-4AA2-8861-0E0CC8099243}"/>
    <cellStyle name="Comma [0] 3 3 3 7 2" xfId="6314" xr:uid="{373FB149-8F6B-4927-A9EF-F881318D9B8A}"/>
    <cellStyle name="Comma [0] 3 3 3 8" xfId="3644" xr:uid="{4694D447-2E4F-4B3D-90D5-0103EE082C85}"/>
    <cellStyle name="Comma [0] 3 3 4" xfId="631" xr:uid="{B9A12633-6B03-47EB-B14C-1C4B5A6C17A9}"/>
    <cellStyle name="Comma [0] 3 3 4 2" xfId="3867" xr:uid="{0567DBB2-5F2C-46EB-B983-B405A7D98ADA}"/>
    <cellStyle name="Comma [0] 3 3 5" xfId="1083" xr:uid="{BAF725C7-20A7-4729-A255-D498A0B9C252}"/>
    <cellStyle name="Comma [0] 3 3 5 2" xfId="4312" xr:uid="{82679CD7-495A-40A6-8512-3DF27B0F1F91}"/>
    <cellStyle name="Comma [0] 3 3 6" xfId="1535" xr:uid="{D93BC838-63EA-4089-A8E0-9553A31FC66B}"/>
    <cellStyle name="Comma [0] 3 3 6 2" xfId="4757" xr:uid="{867BCF07-090F-4C5E-AA5D-6FA6F3518591}"/>
    <cellStyle name="Comma [0] 3 3 7" xfId="1987" xr:uid="{03007D40-1DF9-4A49-B243-F357764DC8B4}"/>
    <cellStyle name="Comma [0] 3 3 7 2" xfId="5202" xr:uid="{49F3E328-31F3-48E5-8AD2-02376850C322}"/>
    <cellStyle name="Comma [0] 3 3 8" xfId="2439" xr:uid="{923D50F7-5D93-45F2-8A99-A978F00C8204}"/>
    <cellStyle name="Comma [0] 3 3 8 2" xfId="5647" xr:uid="{45221C38-E337-4404-A916-F0996C29B054}"/>
    <cellStyle name="Comma [0] 3 3 9" xfId="2891" xr:uid="{F2AC961B-1B07-49A5-B83F-1AA7C1772F8F}"/>
    <cellStyle name="Comma [0] 3 3 9 2" xfId="6092" xr:uid="{07612073-B030-4F47-B206-35B3AF7E1547}"/>
    <cellStyle name="Comma [0] 3 4" xfId="142" xr:uid="{61CFE31A-B67D-4D3F-A2CF-AEF9B515721A}"/>
    <cellStyle name="Comma [0] 3 4 2" xfId="405" xr:uid="{D4041E7C-0BB5-4B32-9811-7CC800F037C5}"/>
    <cellStyle name="Comma [0] 3 4 2 2" xfId="857" xr:uid="{04B63F5F-5CE3-4854-927E-FFB11F1A905E}"/>
    <cellStyle name="Comma [0] 3 4 2 2 2" xfId="4091" xr:uid="{095E9243-254E-4E8A-873C-372170EBDC07}"/>
    <cellStyle name="Comma [0] 3 4 2 3" xfId="1309" xr:uid="{8CA33CD4-9959-46CF-9BD3-52E10C476458}"/>
    <cellStyle name="Comma [0] 3 4 2 3 2" xfId="4536" xr:uid="{EDA93E88-9ED4-4295-A2C4-A1000D25CF6E}"/>
    <cellStyle name="Comma [0] 3 4 2 4" xfId="1761" xr:uid="{87528B39-27A4-4EEE-828D-BA8CA6190A8B}"/>
    <cellStyle name="Comma [0] 3 4 2 4 2" xfId="4981" xr:uid="{A78B7B30-BD35-43F6-B3B1-BD499FBEF917}"/>
    <cellStyle name="Comma [0] 3 4 2 5" xfId="2213" xr:uid="{75CF7E74-2219-439A-B1E9-E86176241C8D}"/>
    <cellStyle name="Comma [0] 3 4 2 5 2" xfId="5426" xr:uid="{0057E5D8-92DF-42A9-92E8-9F0E59CDE321}"/>
    <cellStyle name="Comma [0] 3 4 2 6" xfId="2665" xr:uid="{DC8F9805-682E-4188-AF16-5187EC1871A2}"/>
    <cellStyle name="Comma [0] 3 4 2 6 2" xfId="5871" xr:uid="{6E494270-6BAC-4B56-AB67-768C83C04EA0}"/>
    <cellStyle name="Comma [0] 3 4 2 7" xfId="3117" xr:uid="{4E0D88C0-789D-4EE9-9884-C9441DAD3C7C}"/>
    <cellStyle name="Comma [0] 3 4 2 7 2" xfId="6316" xr:uid="{482BC4C9-A45E-403E-B4C3-C9DB7609DF5C}"/>
    <cellStyle name="Comma [0] 3 4 2 8" xfId="3646" xr:uid="{38C5DE61-339E-4906-90F6-2C5016BCB483}"/>
    <cellStyle name="Comma [0] 3 4 3" xfId="633" xr:uid="{F1E8EF32-F906-4318-B7F1-B59E70E508A9}"/>
    <cellStyle name="Comma [0] 3 4 3 2" xfId="3869" xr:uid="{2CAB5EC6-8AC1-4A1E-AE95-82D945C27AF7}"/>
    <cellStyle name="Comma [0] 3 4 4" xfId="1085" xr:uid="{6767B182-ACCA-4E6A-AC3F-D2A3F3F2CB64}"/>
    <cellStyle name="Comma [0] 3 4 4 2" xfId="4314" xr:uid="{4089C768-989F-414B-AAE4-43896119E264}"/>
    <cellStyle name="Comma [0] 3 4 5" xfId="1537" xr:uid="{B54D5463-1E13-4917-9E15-010762FAFDEB}"/>
    <cellStyle name="Comma [0] 3 4 5 2" xfId="4759" xr:uid="{25703F82-B505-429F-BF5F-48CFF658BB4F}"/>
    <cellStyle name="Comma [0] 3 4 6" xfId="1989" xr:uid="{F124E8B8-DAC0-4D11-B6CD-DD21419B69FC}"/>
    <cellStyle name="Comma [0] 3 4 6 2" xfId="5204" xr:uid="{AF4F57A7-31C2-40D0-AC82-43B61B733579}"/>
    <cellStyle name="Comma [0] 3 4 7" xfId="2441" xr:uid="{EE4CE18B-934A-47CE-A253-3FAD52CB7691}"/>
    <cellStyle name="Comma [0] 3 4 7 2" xfId="5649" xr:uid="{EF13A1C0-87C1-4977-A61A-9713D40D621C}"/>
    <cellStyle name="Comma [0] 3 4 8" xfId="2893" xr:uid="{0C77492E-A61D-4A0F-A3E7-4C486D64D234}"/>
    <cellStyle name="Comma [0] 3 4 8 2" xfId="6094" xr:uid="{0891C84A-DC12-40C3-9210-E4931AC09710}"/>
    <cellStyle name="Comma [0] 3 4 9" xfId="3423" xr:uid="{0219BDEF-90BF-4298-81AF-FD49E62D7A2E}"/>
    <cellStyle name="Comma [0] 3 5" xfId="398" xr:uid="{35B05A39-7ABB-435F-A7FF-13E3E9CDF71B}"/>
    <cellStyle name="Comma [0] 3 5 2" xfId="850" xr:uid="{60F8C026-D714-4755-9224-F370EE2C6386}"/>
    <cellStyle name="Comma [0] 3 5 2 2" xfId="4084" xr:uid="{C4AB9E54-B01E-4129-861F-BD5BA4AF68DB}"/>
    <cellStyle name="Comma [0] 3 5 3" xfId="1302" xr:uid="{2E10F278-7545-465D-8B4B-B5D15F94B376}"/>
    <cellStyle name="Comma [0] 3 5 3 2" xfId="4529" xr:uid="{C2CC34A8-27F4-4CFA-BB7B-807979D3846E}"/>
    <cellStyle name="Comma [0] 3 5 4" xfId="1754" xr:uid="{B9215A50-A779-43A8-88F9-72A8076F1E19}"/>
    <cellStyle name="Comma [0] 3 5 4 2" xfId="4974" xr:uid="{EE3C3251-1361-444E-8349-E3A28E21017C}"/>
    <cellStyle name="Comma [0] 3 5 5" xfId="2206" xr:uid="{A72A5822-FBB2-431F-8DD9-7B3F06B609F3}"/>
    <cellStyle name="Comma [0] 3 5 5 2" xfId="5419" xr:uid="{84D3E438-B4F1-428C-BD89-6CD474D9FE77}"/>
    <cellStyle name="Comma [0] 3 5 6" xfId="2658" xr:uid="{D99097E4-136E-4A66-9116-B1B298C70C67}"/>
    <cellStyle name="Comma [0] 3 5 6 2" xfId="5864" xr:uid="{80A4352D-A894-4C10-98EC-804C1AAF194D}"/>
    <cellStyle name="Comma [0] 3 5 7" xfId="3110" xr:uid="{885B2C85-7F84-4EAB-8857-48395BED1193}"/>
    <cellStyle name="Comma [0] 3 5 7 2" xfId="6309" xr:uid="{DA460919-C9D7-453E-8BFA-A305E6304BEE}"/>
    <cellStyle name="Comma [0] 3 5 8" xfId="3639" xr:uid="{93286B01-EA4F-406E-9FD2-E65FB925FDDF}"/>
    <cellStyle name="Comma [0] 3 6" xfId="135" xr:uid="{EF8FC754-6455-4278-9679-CD76D762F257}"/>
    <cellStyle name="Comma [0] 3 6 2" xfId="3416" xr:uid="{8E683A2A-F616-49AA-883B-C8CC34E69DD4}"/>
    <cellStyle name="Comma [0] 3 7" xfId="626" xr:uid="{AA51D543-873E-4A2A-BB76-6650986E678E}"/>
    <cellStyle name="Comma [0] 3 7 2" xfId="3862" xr:uid="{4E4FEA1F-01A5-4162-A294-75B24CE1B2E2}"/>
    <cellStyle name="Comma [0] 3 8" xfId="1078" xr:uid="{0343E6FF-CC9C-4486-B626-C5EDB6BB44CA}"/>
    <cellStyle name="Comma [0] 3 8 2" xfId="4307" xr:uid="{3ADF0435-30CC-472F-91E6-2D613884B9F6}"/>
    <cellStyle name="Comma [0] 3 9" xfId="1530" xr:uid="{1B261F27-AC9B-4B55-A857-49C90B3C9AD2}"/>
    <cellStyle name="Comma [0] 3 9 2" xfId="4752" xr:uid="{0EEE7CAD-9A92-4E6E-AA41-4D3CBB3AFCBF}"/>
    <cellStyle name="Comma [0] 4" xfId="28" xr:uid="{044C05B4-B764-4BBF-AB78-3CDA8069AC84}"/>
    <cellStyle name="Comma [0] 4 10" xfId="2442" xr:uid="{F93F4FD6-0DF6-4FB5-A993-20154062F8B5}"/>
    <cellStyle name="Comma [0] 4 10 2" xfId="5650" xr:uid="{1F705DAE-2794-4BF9-830F-3BB27232EB97}"/>
    <cellStyle name="Comma [0] 4 11" xfId="2894" xr:uid="{6A5AA973-F318-4544-94B4-9094C4BD5CCC}"/>
    <cellStyle name="Comma [0] 4 11 2" xfId="6095" xr:uid="{D80F6031-921A-4A25-A805-29BF43E71A48}"/>
    <cellStyle name="Comma [0] 4 12" xfId="3336" xr:uid="{F9D1B44F-37EF-4405-924C-8CCC53F9C76A}"/>
    <cellStyle name="Comma [0] 4 12 2" xfId="6526" xr:uid="{61261301-775B-4F48-8FD4-6053E6B7CD74}"/>
    <cellStyle name="Comma [0] 4 13" xfId="3380" xr:uid="{E56BF9AC-45CD-496C-8BEF-FBFE29E1D98E}"/>
    <cellStyle name="Comma [0] 4 2" xfId="144" xr:uid="{F4706F23-34EE-4E8F-BCE7-ECF227EA0ED3}"/>
    <cellStyle name="Comma [0] 4 2 10" xfId="3353" xr:uid="{67CC4AE2-0B7A-49E4-BAE6-831A8882AC20}"/>
    <cellStyle name="Comma [0] 4 2 10 2" xfId="6540" xr:uid="{22CB7EEB-8387-4C0F-B3A8-224593C29A2B}"/>
    <cellStyle name="Comma [0] 4 2 11" xfId="3425" xr:uid="{6794ABE5-CAC2-4494-9D08-8A74482F1F3A}"/>
    <cellStyle name="Comma [0] 4 2 2" xfId="145" xr:uid="{8F8E98FD-29B8-417B-98D6-6707FD2A468B}"/>
    <cellStyle name="Comma [0] 4 2 2 2" xfId="408" xr:uid="{C4EAC1B2-8298-4A20-BD17-F19223C9E61D}"/>
    <cellStyle name="Comma [0] 4 2 2 2 2" xfId="860" xr:uid="{60357585-03F2-4D27-9F53-8B73AA8C5DF2}"/>
    <cellStyle name="Comma [0] 4 2 2 2 2 2" xfId="4094" xr:uid="{A680A99F-B0C6-4098-B414-A42F4AF84E1F}"/>
    <cellStyle name="Comma [0] 4 2 2 2 3" xfId="1312" xr:uid="{5384EEA1-E823-44A9-8FFD-9CE32623167B}"/>
    <cellStyle name="Comma [0] 4 2 2 2 3 2" xfId="4539" xr:uid="{917B4E56-5249-423E-A357-5388A860A484}"/>
    <cellStyle name="Comma [0] 4 2 2 2 4" xfId="1764" xr:uid="{6A70BB18-F15C-429F-A2B4-521F74DD151A}"/>
    <cellStyle name="Comma [0] 4 2 2 2 4 2" xfId="4984" xr:uid="{A90A615C-6FA3-4BFF-8182-1531AABA3F9F}"/>
    <cellStyle name="Comma [0] 4 2 2 2 5" xfId="2216" xr:uid="{42E4E261-CB3F-4179-9CA9-F336266182C9}"/>
    <cellStyle name="Comma [0] 4 2 2 2 5 2" xfId="5429" xr:uid="{63716E6F-F04B-480E-ADAF-DE4CEC6B3D6B}"/>
    <cellStyle name="Comma [0] 4 2 2 2 6" xfId="2668" xr:uid="{7EA32A8C-DA9A-4E1A-B6FC-DCB1DF31639E}"/>
    <cellStyle name="Comma [0] 4 2 2 2 6 2" xfId="5874" xr:uid="{65FE211D-5BDF-40AB-936B-FD9F0F93C957}"/>
    <cellStyle name="Comma [0] 4 2 2 2 7" xfId="3120" xr:uid="{E1F4B3DD-D016-4EE1-9BE3-746330917DDD}"/>
    <cellStyle name="Comma [0] 4 2 2 2 7 2" xfId="6319" xr:uid="{302599AC-1F66-4BFC-B8F2-373D8BE2E244}"/>
    <cellStyle name="Comma [0] 4 2 2 2 8" xfId="3649" xr:uid="{CC6D25F9-6151-446A-B32F-E75BE6DBC4C2}"/>
    <cellStyle name="Comma [0] 4 2 2 3" xfId="636" xr:uid="{FA954F1E-B619-457E-AB27-3C419477F626}"/>
    <cellStyle name="Comma [0] 4 2 2 3 2" xfId="3872" xr:uid="{5AFA5DE7-EED8-4DD3-B83B-1D8C2FD64508}"/>
    <cellStyle name="Comma [0] 4 2 2 4" xfId="1088" xr:uid="{8DA85F5D-E12F-476B-A07E-2789AB091C39}"/>
    <cellStyle name="Comma [0] 4 2 2 4 2" xfId="4317" xr:uid="{302662D3-3892-4415-A4B6-088471F1C87C}"/>
    <cellStyle name="Comma [0] 4 2 2 5" xfId="1540" xr:uid="{45504F1D-E22C-43BD-8CB8-567B7B36895F}"/>
    <cellStyle name="Comma [0] 4 2 2 5 2" xfId="4762" xr:uid="{418F6A1F-233B-4A14-BA22-8ED16350E786}"/>
    <cellStyle name="Comma [0] 4 2 2 6" xfId="1992" xr:uid="{A38CB52B-C17D-409A-A668-C1B7342A94E0}"/>
    <cellStyle name="Comma [0] 4 2 2 6 2" xfId="5207" xr:uid="{AAB2D37A-3E25-4A09-858B-97C1ECF1DFDF}"/>
    <cellStyle name="Comma [0] 4 2 2 7" xfId="2444" xr:uid="{47B7B9A9-72D3-4246-9000-65A2D6C8FBB6}"/>
    <cellStyle name="Comma [0] 4 2 2 7 2" xfId="5652" xr:uid="{3C95CA7E-0F11-4963-82D2-64C8DFF2A928}"/>
    <cellStyle name="Comma [0] 4 2 2 8" xfId="2896" xr:uid="{A48661C7-278C-4802-BF66-0A47E9925D4D}"/>
    <cellStyle name="Comma [0] 4 2 2 8 2" xfId="6097" xr:uid="{3C68BECB-B03E-45D8-BB50-8C181B4B0611}"/>
    <cellStyle name="Comma [0] 4 2 2 9" xfId="3426" xr:uid="{FEC25FDA-EAE7-4926-A1DD-BD4E967040D0}"/>
    <cellStyle name="Comma [0] 4 2 3" xfId="407" xr:uid="{65B2F046-C51F-45AA-93A7-5DEFFF32E4EE}"/>
    <cellStyle name="Comma [0] 4 2 3 2" xfId="859" xr:uid="{B1D569CC-1D1F-40C3-8809-D87BAFA60441}"/>
    <cellStyle name="Comma [0] 4 2 3 2 2" xfId="4093" xr:uid="{5F80ED13-DA09-4748-8F1A-C8E15A3C8C58}"/>
    <cellStyle name="Comma [0] 4 2 3 3" xfId="1311" xr:uid="{0A58EFBF-0E0C-40A7-8F45-1F6DE0334CF9}"/>
    <cellStyle name="Comma [0] 4 2 3 3 2" xfId="4538" xr:uid="{9F030CA4-6E1A-46B7-B956-0B414097EC84}"/>
    <cellStyle name="Comma [0] 4 2 3 4" xfId="1763" xr:uid="{6298EBC7-3F8B-4716-BA26-C5D1AA8B80CF}"/>
    <cellStyle name="Comma [0] 4 2 3 4 2" xfId="4983" xr:uid="{033A4165-AC49-498A-BAAE-D9A6A5239CCA}"/>
    <cellStyle name="Comma [0] 4 2 3 5" xfId="2215" xr:uid="{C72A91CC-5EC0-4097-8CB3-D4153F9507F6}"/>
    <cellStyle name="Comma [0] 4 2 3 5 2" xfId="5428" xr:uid="{18389935-AADA-461A-9F6E-89A590EA6FC2}"/>
    <cellStyle name="Comma [0] 4 2 3 6" xfId="2667" xr:uid="{35286467-1FDD-49F1-8625-984CE461E120}"/>
    <cellStyle name="Comma [0] 4 2 3 6 2" xfId="5873" xr:uid="{8E4F6085-FB5A-491D-9CF9-201BB36641AB}"/>
    <cellStyle name="Comma [0] 4 2 3 7" xfId="3119" xr:uid="{B9F788DA-460C-4D8E-8201-C45A94E323A6}"/>
    <cellStyle name="Comma [0] 4 2 3 7 2" xfId="6318" xr:uid="{76D3DCF6-1443-4D72-A1BC-27BFC1D2FC3E}"/>
    <cellStyle name="Comma [0] 4 2 3 8" xfId="3648" xr:uid="{BD2CA0E0-A701-4B91-BBB7-4F75AD767797}"/>
    <cellStyle name="Comma [0] 4 2 4" xfId="635" xr:uid="{43A8D537-5F05-4451-B382-5A9F5AE39114}"/>
    <cellStyle name="Comma [0] 4 2 4 2" xfId="3871" xr:uid="{E7D32D52-FB99-4E99-AE2A-46F1565C7A02}"/>
    <cellStyle name="Comma [0] 4 2 5" xfId="1087" xr:uid="{9CFAB65B-66C3-460E-8873-1773B036FAA8}"/>
    <cellStyle name="Comma [0] 4 2 5 2" xfId="4316" xr:uid="{481DB7D3-288C-4426-83BF-FB7EA114D3B8}"/>
    <cellStyle name="Comma [0] 4 2 6" xfId="1539" xr:uid="{A03A1A45-1F91-4823-B070-4440307F6EDD}"/>
    <cellStyle name="Comma [0] 4 2 6 2" xfId="4761" xr:uid="{CDA906F5-EC43-4153-9DA0-36F530421F7A}"/>
    <cellStyle name="Comma [0] 4 2 7" xfId="1991" xr:uid="{7FC95D7A-2C02-413A-846D-43EE5AAE0D7C}"/>
    <cellStyle name="Comma [0] 4 2 7 2" xfId="5206" xr:uid="{41713AD0-A38E-4EC9-AD23-69F6E3C68F87}"/>
    <cellStyle name="Comma [0] 4 2 8" xfId="2443" xr:uid="{112955B8-1EC1-4415-ACF9-8627E0F9080B}"/>
    <cellStyle name="Comma [0] 4 2 8 2" xfId="5651" xr:uid="{071FF17D-EC65-4BC2-BEB2-9B882F247B4D}"/>
    <cellStyle name="Comma [0] 4 2 9" xfId="2895" xr:uid="{1617519A-A61F-444E-AB29-8476267CB3A1}"/>
    <cellStyle name="Comma [0] 4 2 9 2" xfId="6096" xr:uid="{3D7E4187-403C-4499-8BA6-7A8C68AB7BE0}"/>
    <cellStyle name="Comma [0] 4 3" xfId="146" xr:uid="{54C4DBCA-A878-45FF-8D66-5BDD328E1F09}"/>
    <cellStyle name="Comma [0] 4 3 2" xfId="409" xr:uid="{8ED96D32-5124-4A09-B6DD-223C9DBC99B8}"/>
    <cellStyle name="Comma [0] 4 3 2 2" xfId="861" xr:uid="{CF1C1E09-064A-453A-B74A-E49645FE3C08}"/>
    <cellStyle name="Comma [0] 4 3 2 2 2" xfId="4095" xr:uid="{DD1E4D1D-F096-4BA6-AE6E-67D3CB8B02B4}"/>
    <cellStyle name="Comma [0] 4 3 2 3" xfId="1313" xr:uid="{A91CC559-DAFF-400B-BE19-59F31F15819E}"/>
    <cellStyle name="Comma [0] 4 3 2 3 2" xfId="4540" xr:uid="{BA3325C6-EAD3-4C6F-8A36-23E89D7983B4}"/>
    <cellStyle name="Comma [0] 4 3 2 4" xfId="1765" xr:uid="{B8FFD338-64A9-4A00-B1E8-7E855004F3CF}"/>
    <cellStyle name="Comma [0] 4 3 2 4 2" xfId="4985" xr:uid="{514EE256-833B-4C48-A4B6-33C2D1D7EAB9}"/>
    <cellStyle name="Comma [0] 4 3 2 5" xfId="2217" xr:uid="{25432B77-EFA8-424C-BFC9-96802537B7C9}"/>
    <cellStyle name="Comma [0] 4 3 2 5 2" xfId="5430" xr:uid="{08293FAA-A91D-4F60-9BC8-B1B80050D843}"/>
    <cellStyle name="Comma [0] 4 3 2 6" xfId="2669" xr:uid="{3CAAFD1A-2A2A-426C-904D-FD6E33EFD699}"/>
    <cellStyle name="Comma [0] 4 3 2 6 2" xfId="5875" xr:uid="{20A3E6BF-7BEE-4E0C-BB3D-F97A490ADAC3}"/>
    <cellStyle name="Comma [0] 4 3 2 7" xfId="3121" xr:uid="{2CA23C08-D1A6-4EC2-A318-D0DA578FFE14}"/>
    <cellStyle name="Comma [0] 4 3 2 7 2" xfId="6320" xr:uid="{BE7E2D85-511A-4CB4-84E7-164175FCAE3C}"/>
    <cellStyle name="Comma [0] 4 3 2 8" xfId="3650" xr:uid="{36ED04F9-64EE-4262-89E1-17157DA284BC}"/>
    <cellStyle name="Comma [0] 4 3 3" xfId="637" xr:uid="{B6EED7A2-04B6-4850-A1D0-FAFEB34C82FB}"/>
    <cellStyle name="Comma [0] 4 3 3 2" xfId="3873" xr:uid="{A15A197E-351F-4B15-B7B7-D4715055FD26}"/>
    <cellStyle name="Comma [0] 4 3 4" xfId="1089" xr:uid="{7E47DF63-E7B1-4A29-8B34-610F0EAC4746}"/>
    <cellStyle name="Comma [0] 4 3 4 2" xfId="4318" xr:uid="{673268BC-6FEA-40B9-807A-6DB729122764}"/>
    <cellStyle name="Comma [0] 4 3 5" xfId="1541" xr:uid="{6126D9D6-EBC9-4015-9408-4563E325B2DA}"/>
    <cellStyle name="Comma [0] 4 3 5 2" xfId="4763" xr:uid="{452FF3FC-DAB8-4037-9270-1F4C8BFA13C3}"/>
    <cellStyle name="Comma [0] 4 3 6" xfId="1993" xr:uid="{30AF18AA-565F-4107-82CF-B22E085D5DB8}"/>
    <cellStyle name="Comma [0] 4 3 6 2" xfId="5208" xr:uid="{804E3A71-1642-4EBA-87E3-A202E57EE490}"/>
    <cellStyle name="Comma [0] 4 3 7" xfId="2445" xr:uid="{D4C89CFD-4B18-4C5A-B023-11C1D493DAB6}"/>
    <cellStyle name="Comma [0] 4 3 7 2" xfId="5653" xr:uid="{EF0D9345-7822-4085-B42F-1696A8D4F0A9}"/>
    <cellStyle name="Comma [0] 4 3 8" xfId="2897" xr:uid="{B75D45E5-E21B-4F68-91CE-93BA098F91D3}"/>
    <cellStyle name="Comma [0] 4 3 8 2" xfId="6098" xr:uid="{16FD6C76-7B30-477C-B564-0D5B33D6012F}"/>
    <cellStyle name="Comma [0] 4 3 9" xfId="3427" xr:uid="{559F772C-21B5-4F06-9FA6-050A2A8EE17D}"/>
    <cellStyle name="Comma [0] 4 4" xfId="406" xr:uid="{1B6DBD6A-C0D2-47A6-A2ED-52341AD08247}"/>
    <cellStyle name="Comma [0] 4 4 2" xfId="858" xr:uid="{3795EF57-8B08-4418-8730-520509DA2666}"/>
    <cellStyle name="Comma [0] 4 4 2 2" xfId="4092" xr:uid="{B423ADDC-555E-40E9-8402-6FA82395776D}"/>
    <cellStyle name="Comma [0] 4 4 3" xfId="1310" xr:uid="{DD7C108F-3477-4187-BC13-CAA86323E4E8}"/>
    <cellStyle name="Comma [0] 4 4 3 2" xfId="4537" xr:uid="{407D8B3C-615C-4F4B-B0DC-3B2C3D6CAF8D}"/>
    <cellStyle name="Comma [0] 4 4 4" xfId="1762" xr:uid="{18756FF1-530C-461B-80E8-3F4EA7A3C6AE}"/>
    <cellStyle name="Comma [0] 4 4 4 2" xfId="4982" xr:uid="{07530B1F-E088-40F4-949A-912CB843E65E}"/>
    <cellStyle name="Comma [0] 4 4 5" xfId="2214" xr:uid="{45273CBF-9874-40E5-87AC-124567BD43C5}"/>
    <cellStyle name="Comma [0] 4 4 5 2" xfId="5427" xr:uid="{831D37C5-4189-4F5A-9514-31AF386756A7}"/>
    <cellStyle name="Comma [0] 4 4 6" xfId="2666" xr:uid="{AC06EA45-DC69-4F8F-835C-28CA2E1E9214}"/>
    <cellStyle name="Comma [0] 4 4 6 2" xfId="5872" xr:uid="{462CB4F9-07D0-4470-BDA3-CB958472C00A}"/>
    <cellStyle name="Comma [0] 4 4 7" xfId="3118" xr:uid="{29851CCD-BF83-4FB3-A224-B2752BA19CA4}"/>
    <cellStyle name="Comma [0] 4 4 7 2" xfId="6317" xr:uid="{E49407EF-15C0-47C1-9FD2-3C756DCD70E7}"/>
    <cellStyle name="Comma [0] 4 4 8" xfId="3647" xr:uid="{ABB92D77-492C-4F89-8E81-6F8172466E08}"/>
    <cellStyle name="Comma [0] 4 5" xfId="143" xr:uid="{5FE14162-67A9-4ACB-BE8A-A853F1969689}"/>
    <cellStyle name="Comma [0] 4 5 2" xfId="3424" xr:uid="{22B00A1B-8962-449D-A459-4A40E8D7424F}"/>
    <cellStyle name="Comma [0] 4 6" xfId="634" xr:uid="{77A41100-BFE5-429A-BB78-BA915C8AA858}"/>
    <cellStyle name="Comma [0] 4 6 2" xfId="3870" xr:uid="{BF8DF597-B72F-4A9A-9C2B-16AC6DE0123F}"/>
    <cellStyle name="Comma [0] 4 7" xfId="1086" xr:uid="{220D5C92-745F-462F-B9E4-232E6A701EE6}"/>
    <cellStyle name="Comma [0] 4 7 2" xfId="4315" xr:uid="{0948E1B2-B002-44C6-86AA-09F300A1B501}"/>
    <cellStyle name="Comma [0] 4 8" xfId="1538" xr:uid="{0E152E82-1916-43DC-B2E6-26B09AE5D599}"/>
    <cellStyle name="Comma [0] 4 8 2" xfId="4760" xr:uid="{9431201F-D21A-4A77-847C-E66A148E2A7F}"/>
    <cellStyle name="Comma [0] 4 9" xfId="1990" xr:uid="{B23849B1-9FCE-42B5-A8A9-BDF1B1F82C50}"/>
    <cellStyle name="Comma [0] 4 9 2" xfId="5205" xr:uid="{6F44E99A-2AF4-4358-86C5-C7EA25B649DA}"/>
    <cellStyle name="Comma [0] 5" xfId="32" xr:uid="{78B78CC4-3619-44F3-9A67-3B6D55A62C69}"/>
    <cellStyle name="Comma [0] 5 10" xfId="2898" xr:uid="{92E5299B-C007-458A-8BC1-2F8A302E062D}"/>
    <cellStyle name="Comma [0] 5 10 2" xfId="6099" xr:uid="{20A32382-6467-4A48-A230-946A1CBE3B77}"/>
    <cellStyle name="Comma [0] 5 11" xfId="3383" xr:uid="{CDB9D649-E0A6-4619-AF80-335E6E3CA9C6}"/>
    <cellStyle name="Comma [0] 5 2" xfId="148" xr:uid="{F44EE80B-E80A-4CE7-A51A-98E2C4408668}"/>
    <cellStyle name="Comma [0] 5 2 2" xfId="411" xr:uid="{A163C240-3A71-4BFD-A47F-29F6DEDB1BF3}"/>
    <cellStyle name="Comma [0] 5 2 2 2" xfId="863" xr:uid="{11B00C9D-3469-4C49-8B72-D2DDE8428F00}"/>
    <cellStyle name="Comma [0] 5 2 2 2 2" xfId="4097" xr:uid="{89CDB061-730D-4A50-B414-2FFEECF5C688}"/>
    <cellStyle name="Comma [0] 5 2 2 3" xfId="1315" xr:uid="{96FC2CAB-6202-4CBB-9235-D3D9340756EA}"/>
    <cellStyle name="Comma [0] 5 2 2 3 2" xfId="4542" xr:uid="{F6777E74-D671-44A8-87A6-DD20F1B0E7B3}"/>
    <cellStyle name="Comma [0] 5 2 2 4" xfId="1767" xr:uid="{8E5CEB9C-39EB-40DA-A5F9-FBC74AA8B27F}"/>
    <cellStyle name="Comma [0] 5 2 2 4 2" xfId="4987" xr:uid="{60482592-B0AE-42C1-820C-5709119D780F}"/>
    <cellStyle name="Comma [0] 5 2 2 5" xfId="2219" xr:uid="{C362B078-1219-4D85-8FED-B50A316809A3}"/>
    <cellStyle name="Comma [0] 5 2 2 5 2" xfId="5432" xr:uid="{6D71EE9A-D706-4812-81A1-65E4ED949CEC}"/>
    <cellStyle name="Comma [0] 5 2 2 6" xfId="2671" xr:uid="{72BAF8FA-5A93-48ED-BC91-62F5FD43ABA0}"/>
    <cellStyle name="Comma [0] 5 2 2 6 2" xfId="5877" xr:uid="{7C2F4237-8076-4420-83BA-83A893FF4A80}"/>
    <cellStyle name="Comma [0] 5 2 2 7" xfId="3123" xr:uid="{12EB99D1-682E-4333-B6D2-D2C9AA4D65C0}"/>
    <cellStyle name="Comma [0] 5 2 2 7 2" xfId="6322" xr:uid="{E562CFB0-FBF4-4474-AD73-E8A178AD940E}"/>
    <cellStyle name="Comma [0] 5 2 2 8" xfId="3652" xr:uid="{A3659F72-CA97-4548-9E6B-15CA8DA7C350}"/>
    <cellStyle name="Comma [0] 5 2 3" xfId="639" xr:uid="{59754C58-9185-4200-B783-5171360D2BEE}"/>
    <cellStyle name="Comma [0] 5 2 3 2" xfId="3875" xr:uid="{9337C380-5B48-49A0-A425-3B03EF000E8D}"/>
    <cellStyle name="Comma [0] 5 2 4" xfId="1091" xr:uid="{2EC10023-4F4B-42CC-830C-B57E19286FF9}"/>
    <cellStyle name="Comma [0] 5 2 4 2" xfId="4320" xr:uid="{71FB999D-84CA-4F16-BE7B-762DABF43054}"/>
    <cellStyle name="Comma [0] 5 2 5" xfId="1543" xr:uid="{B6715CA2-EFA9-44B4-BD3B-F9821FBC9085}"/>
    <cellStyle name="Comma [0] 5 2 5 2" xfId="4765" xr:uid="{EC18E165-54CB-4945-8642-19C679C75575}"/>
    <cellStyle name="Comma [0] 5 2 6" xfId="1995" xr:uid="{8CD74F48-5CD2-47A9-9BC2-53F9D8CF1B2F}"/>
    <cellStyle name="Comma [0] 5 2 6 2" xfId="5210" xr:uid="{0ED161C0-F233-447B-A498-E29080EE4D74}"/>
    <cellStyle name="Comma [0] 5 2 7" xfId="2447" xr:uid="{0C3B887D-6967-4229-B4E9-A1DF3EA04426}"/>
    <cellStyle name="Comma [0] 5 2 7 2" xfId="5655" xr:uid="{E69257AA-8F0D-483B-95BD-EFF87786773A}"/>
    <cellStyle name="Comma [0] 5 2 8" xfId="2899" xr:uid="{169739FD-B273-4146-BF3F-6E347129DFB0}"/>
    <cellStyle name="Comma [0] 5 2 8 2" xfId="6100" xr:uid="{320A71E0-5B87-42FD-B9B8-1AB0E2BAB1E9}"/>
    <cellStyle name="Comma [0] 5 2 9" xfId="3429" xr:uid="{02A7786A-CF79-454E-8E79-8BC4DF41DBE7}"/>
    <cellStyle name="Comma [0] 5 3" xfId="410" xr:uid="{A0314049-602F-405E-8951-2BE4DA1964C6}"/>
    <cellStyle name="Comma [0] 5 3 2" xfId="862" xr:uid="{60B2FCAE-C2DB-4EDC-84A8-76B970A9A71A}"/>
    <cellStyle name="Comma [0] 5 3 2 2" xfId="4096" xr:uid="{DEF90D0F-5B94-4C5F-95E7-994AEB81E474}"/>
    <cellStyle name="Comma [0] 5 3 3" xfId="1314" xr:uid="{7B727FD0-CE50-4442-AA9F-D445FE1C91F3}"/>
    <cellStyle name="Comma [0] 5 3 3 2" xfId="4541" xr:uid="{DF5AD000-8819-4D1A-AD40-546F2F7473CA}"/>
    <cellStyle name="Comma [0] 5 3 4" xfId="1766" xr:uid="{B9135079-DCB1-4784-9569-0FBDB91E4766}"/>
    <cellStyle name="Comma [0] 5 3 4 2" xfId="4986" xr:uid="{9AAAB9E1-0141-4B4C-B949-C92A330D4E78}"/>
    <cellStyle name="Comma [0] 5 3 5" xfId="2218" xr:uid="{4726C26E-E1C5-4066-95E5-DF0E1F59C8A0}"/>
    <cellStyle name="Comma [0] 5 3 5 2" xfId="5431" xr:uid="{CCD618AF-3BC2-4F5D-8DBA-E84A1CAC476F}"/>
    <cellStyle name="Comma [0] 5 3 6" xfId="2670" xr:uid="{3A8C1AAE-6DFC-4FC0-87D3-41A29B544E65}"/>
    <cellStyle name="Comma [0] 5 3 6 2" xfId="5876" xr:uid="{10CAFF37-B03D-4354-B029-437A6F9DEFDB}"/>
    <cellStyle name="Comma [0] 5 3 7" xfId="3122" xr:uid="{04303A21-71E5-4977-8A42-B7033ED5936F}"/>
    <cellStyle name="Comma [0] 5 3 7 2" xfId="6321" xr:uid="{CBD12E50-B8DB-47BC-B0C4-1B428F8728A1}"/>
    <cellStyle name="Comma [0] 5 3 8" xfId="3651" xr:uid="{34397666-67CB-40CF-82B4-C1C980AE5036}"/>
    <cellStyle name="Comma [0] 5 4" xfId="147" xr:uid="{C332809A-A763-42AA-9D91-DD95563BA443}"/>
    <cellStyle name="Comma [0] 5 4 2" xfId="3428" xr:uid="{E63AE704-4E4F-4138-BA9C-0A8143BF1D5E}"/>
    <cellStyle name="Comma [0] 5 5" xfId="638" xr:uid="{96358FB4-0963-488B-87FE-5A0BC93297DB}"/>
    <cellStyle name="Comma [0] 5 5 2" xfId="3874" xr:uid="{C2D3DE99-27FC-495C-B9A5-2571C7902FCE}"/>
    <cellStyle name="Comma [0] 5 6" xfId="1090" xr:uid="{51CA9B3B-9825-4DD0-91D0-13E8220E4A3B}"/>
    <cellStyle name="Comma [0] 5 6 2" xfId="4319" xr:uid="{0DC07623-0A31-4AB1-B0B0-ED97FBEA5F75}"/>
    <cellStyle name="Comma [0] 5 7" xfId="1542" xr:uid="{4C9B6480-4150-43EB-AF05-851997C8E447}"/>
    <cellStyle name="Comma [0] 5 7 2" xfId="4764" xr:uid="{5DA51338-782E-4260-883A-3FFC23271677}"/>
    <cellStyle name="Comma [0] 5 8" xfId="1994" xr:uid="{8FCC0DE2-0564-434A-ABEF-8B7098C8253A}"/>
    <cellStyle name="Comma [0] 5 8 2" xfId="5209" xr:uid="{928A2EAE-A8D6-4104-B921-C6888803F0A5}"/>
    <cellStyle name="Comma [0] 5 9" xfId="2446" xr:uid="{4FBB0E27-539C-49F0-8D64-8D0A421E7A0C}"/>
    <cellStyle name="Comma [0] 5 9 2" xfId="5654" xr:uid="{B113C0DB-8585-481B-A85E-46E3D9F380EA}"/>
    <cellStyle name="Comma [0] 6" xfId="17" xr:uid="{0C924117-3875-4481-AFA8-21C36889FBDB}"/>
    <cellStyle name="Comma [0] 6 10" xfId="64" xr:uid="{A5C10F72-414C-4CD1-A180-96CF2D72C67B}"/>
    <cellStyle name="Comma [0] 6 10 2" xfId="3399" xr:uid="{7C8A3921-1935-4289-A248-E8AADFD00D25}"/>
    <cellStyle name="Comma [0] 6 11" xfId="70" xr:uid="{3D1CEC3F-16AC-4CEE-B60D-1DCF4A17A24C}"/>
    <cellStyle name="Comma [0] 6 11 2" xfId="3402" xr:uid="{784239F1-67AC-41B5-98AD-166B3F578B9D}"/>
    <cellStyle name="Comma [0] 6 12" xfId="76" xr:uid="{71358262-231B-417A-A94C-395CC9984444}"/>
    <cellStyle name="Comma [0] 6 12 2" xfId="3405" xr:uid="{2AE36813-46BB-4CC2-8222-71C485F0FF48}"/>
    <cellStyle name="Comma [0] 6 13" xfId="614" xr:uid="{36D393E1-60AC-4892-952E-D976C79F5737}"/>
    <cellStyle name="Comma [0] 6 13 2" xfId="3851" xr:uid="{E201C901-F78E-4063-9EE7-118F9A185A10}"/>
    <cellStyle name="Comma [0] 6 14" xfId="1066" xr:uid="{5D57EB9E-16EF-4EEB-8493-27AB93CB7DC1}"/>
    <cellStyle name="Comma [0] 6 14 2" xfId="4296" xr:uid="{96412961-CC53-4FE6-9A0A-653259ECD6BA}"/>
    <cellStyle name="Comma [0] 6 15" xfId="1518" xr:uid="{AF7332EE-B5CC-4DDE-A807-F87AFE3D19A3}"/>
    <cellStyle name="Comma [0] 6 15 2" xfId="4741" xr:uid="{0773C115-55D8-484B-B2F7-BB8AEC32845A}"/>
    <cellStyle name="Comma [0] 6 16" xfId="1970" xr:uid="{2B27005B-DABD-41F3-B28B-E6F4D4EAD08E}"/>
    <cellStyle name="Comma [0] 6 16 2" xfId="5186" xr:uid="{497262AA-6721-4208-851A-AA5AECB556F8}"/>
    <cellStyle name="Comma [0] 6 17" xfId="2422" xr:uid="{AB939D7B-CE48-4ECF-8046-1CC7631925BA}"/>
    <cellStyle name="Comma [0] 6 17 2" xfId="5631" xr:uid="{3C212BE9-0E8B-4251-8C7B-F9B375BBC304}"/>
    <cellStyle name="Comma [0] 6 18" xfId="2874" xr:uid="{79E4B6D5-90EF-4AC6-8408-0B5FD115CE66}"/>
    <cellStyle name="Comma [0] 6 18 2" xfId="6076" xr:uid="{102AC7AA-349D-42FA-BFC8-1FC81D088A2D}"/>
    <cellStyle name="Comma [0] 6 19" xfId="3324" xr:uid="{3C3AB4D5-B4CE-49F8-9533-D8372BFD9D9C}"/>
    <cellStyle name="Comma [0] 6 19 2" xfId="6522" xr:uid="{4537F85C-1F64-4595-897D-69ED21BEE21F}"/>
    <cellStyle name="Comma [0] 6 2" xfId="22" xr:uid="{8C4D639B-C640-4E9A-9524-607B1E9CF9BC}"/>
    <cellStyle name="Comma [0] 6 2 10" xfId="3375" xr:uid="{9891F152-9AF5-4C2C-A57C-78E459A34FDD}"/>
    <cellStyle name="Comma [0] 6 2 2" xfId="412" xr:uid="{95F63B22-827B-486C-ACEC-9678D918810B}"/>
    <cellStyle name="Comma [0] 6 2 2 2" xfId="3356" xr:uid="{5B6CDCC2-D1A6-4CCB-B93B-75F8E765C9E4}"/>
    <cellStyle name="Comma [0] 6 2 2 2 2" xfId="6543" xr:uid="{68156D73-4277-47B9-96F9-4FC5D962868B}"/>
    <cellStyle name="Comma [0] 6 2 2 3" xfId="3343" xr:uid="{60681BEB-5C51-48DD-AD5E-79FC17417059}"/>
    <cellStyle name="Comma [0] 6 2 2 3 2" xfId="6532" xr:uid="{81A0BC0C-10AB-4354-BF5F-D92E27811CA1}"/>
    <cellStyle name="Comma [0] 6 2 2 4" xfId="3653" xr:uid="{00A873BE-8148-4F41-9BF3-08E148AD6336}"/>
    <cellStyle name="Comma [0] 6 2 3" xfId="864" xr:uid="{846B5DE0-B4D5-4221-8935-992C3686EDB3}"/>
    <cellStyle name="Comma [0] 6 2 3 2" xfId="3355" xr:uid="{4EE40DA4-A2F5-4804-8268-029F3277D05E}"/>
    <cellStyle name="Comma [0] 6 2 3 2 2" xfId="6542" xr:uid="{E4420430-F0C7-429C-9410-5C4D4EDD71DC}"/>
    <cellStyle name="Comma [0] 6 2 3 3" xfId="4098" xr:uid="{BC8D2625-4652-4E59-B170-924C58C4DD36}"/>
    <cellStyle name="Comma [0] 6 2 4" xfId="1316" xr:uid="{D908E53A-AFDC-4D32-86CD-6DC33C382256}"/>
    <cellStyle name="Comma [0] 6 2 4 2" xfId="4543" xr:uid="{9779D467-A59E-4554-BFC0-D9EA65E50996}"/>
    <cellStyle name="Comma [0] 6 2 5" xfId="1768" xr:uid="{C4DE789B-11DC-4776-86E3-54788D69B54F}"/>
    <cellStyle name="Comma [0] 6 2 5 2" xfId="4988" xr:uid="{736A8AE9-E08D-45B6-9A7E-672076CD2031}"/>
    <cellStyle name="Comma [0] 6 2 6" xfId="2220" xr:uid="{6271A2AF-1616-43A5-8113-468D5B4C6B73}"/>
    <cellStyle name="Comma [0] 6 2 6 2" xfId="5433" xr:uid="{7596CA5F-9FBA-4B5F-A1ED-1B9A7AC4C9E2}"/>
    <cellStyle name="Comma [0] 6 2 7" xfId="2672" xr:uid="{0950FB23-615D-4F77-9F8B-188CF6B08484}"/>
    <cellStyle name="Comma [0] 6 2 7 2" xfId="5878" xr:uid="{34DD37AC-0557-489B-B000-283D24EAC1D6}"/>
    <cellStyle name="Comma [0] 6 2 8" xfId="3124" xr:uid="{AFAD7A4E-29D4-40B3-9804-BC6F0C317003}"/>
    <cellStyle name="Comma [0] 6 2 8 2" xfId="6323" xr:uid="{179F8668-8F42-4F28-B0BB-289E67B57727}"/>
    <cellStyle name="Comma [0] 6 2 9" xfId="3325" xr:uid="{EA8E94CC-875D-40FE-AB1D-004AB97ECCBE}"/>
    <cellStyle name="Comma [0] 6 2 9 2" xfId="6523" xr:uid="{319BE727-B4FA-44CB-8407-A3C42CD6A408}"/>
    <cellStyle name="Comma [0] 6 20" xfId="3372" xr:uid="{B1C5DA50-3D5B-475D-8177-E61CC6AE369F}"/>
    <cellStyle name="Comma [0] 6 3" xfId="26" xr:uid="{63CBEBCA-B1D1-494A-87D3-BC38FB557616}"/>
    <cellStyle name="Comma [0] 6 3 10" xfId="3378" xr:uid="{5107EE1E-3B77-483E-8D59-9EC69D727AB3}"/>
    <cellStyle name="Comma [0] 6 3 2" xfId="149" xr:uid="{C3F89454-619B-4D80-9808-910A19B8D9FB}"/>
    <cellStyle name="Comma [0] 6 3 2 2" xfId="3357" xr:uid="{9B5675F5-87A0-4AC3-A5E7-AF8645864F7A}"/>
    <cellStyle name="Comma [0] 6 3 2 2 2" xfId="6544" xr:uid="{41C8453C-5832-4BFE-ACF0-57F46BFA0882}"/>
    <cellStyle name="Comma [0] 6 3 2 3" xfId="3430" xr:uid="{E690C60F-95B9-4D10-87DC-9ADA3CF0C9B1}"/>
    <cellStyle name="Comma [0] 6 3 3" xfId="640" xr:uid="{89D1511F-26F3-4DB3-97F1-4AC8EE4172C3}"/>
    <cellStyle name="Comma [0] 6 3 3 2" xfId="3876" xr:uid="{79F5F8D0-2CEB-4F40-9CE8-873A1ECAB407}"/>
    <cellStyle name="Comma [0] 6 3 4" xfId="1092" xr:uid="{3E1CBC94-A429-48A0-8665-1D853D98419E}"/>
    <cellStyle name="Comma [0] 6 3 4 2" xfId="4321" xr:uid="{8EC83741-54FE-40CE-A99D-CCE4B6A9C48F}"/>
    <cellStyle name="Comma [0] 6 3 5" xfId="1544" xr:uid="{02598954-FEC3-442E-BF78-54E565FCD4C6}"/>
    <cellStyle name="Comma [0] 6 3 5 2" xfId="4766" xr:uid="{8C1912E4-FA34-47D8-8C67-FC626A3B6362}"/>
    <cellStyle name="Comma [0] 6 3 6" xfId="1996" xr:uid="{F4838F37-15BF-4CEA-9F14-551FE109D1B6}"/>
    <cellStyle name="Comma [0] 6 3 6 2" xfId="5211" xr:uid="{D60B7818-9313-4987-9225-4C1FC2BA0254}"/>
    <cellStyle name="Comma [0] 6 3 7" xfId="2448" xr:uid="{58F50E9A-377B-4DB3-8AB6-77F1A60985E1}"/>
    <cellStyle name="Comma [0] 6 3 7 2" xfId="5656" xr:uid="{491F31AD-C12A-41D5-B353-9CED76327D1C}"/>
    <cellStyle name="Comma [0] 6 3 8" xfId="2900" xr:uid="{966072F8-9979-4948-A440-2067C91CBA11}"/>
    <cellStyle name="Comma [0] 6 3 8 2" xfId="6101" xr:uid="{96B4C750-043C-4726-8D5C-0D2AE259B818}"/>
    <cellStyle name="Comma [0] 6 3 9" xfId="3342" xr:uid="{D6F56D05-376C-4541-B5FF-4FF5259037C5}"/>
    <cellStyle name="Comma [0] 6 3 9 2" xfId="6531" xr:uid="{1B32816B-9EB9-452E-8D66-614E9064ADCA}"/>
    <cellStyle name="Comma [0] 6 4" xfId="30" xr:uid="{D9DBEE9F-8518-49F5-AC29-64D151001E6C}"/>
    <cellStyle name="Comma [0] 6 4 2" xfId="3354" xr:uid="{CB1BA351-3F96-4D7B-A4E6-C019E743B556}"/>
    <cellStyle name="Comma [0] 6 4 2 2" xfId="6541" xr:uid="{59C3554F-208C-4D6E-92B3-91504DAF04B8}"/>
    <cellStyle name="Comma [0] 6 4 3" xfId="3381" xr:uid="{70CE87AA-0D22-40E7-8346-C58C14788A57}"/>
    <cellStyle name="Comma [0] 6 5" xfId="34" xr:uid="{29B52012-510B-4790-8C31-72B5114F2E90}"/>
    <cellStyle name="Comma [0] 6 5 2" xfId="3384" xr:uid="{CE0D5DBC-4009-48A4-8A31-DC6E5F50950E}"/>
    <cellStyle name="Comma [0] 6 6" xfId="40" xr:uid="{76723881-CE6F-4D75-AA0F-22132F6CF15C}"/>
    <cellStyle name="Comma [0] 6 6 2" xfId="3387" xr:uid="{40B9C5EA-C565-4E7A-9ABD-9D18B91265A0}"/>
    <cellStyle name="Comma [0] 6 7" xfId="46" xr:uid="{9265A5FD-C099-4570-9512-93C202B0EA3E}"/>
    <cellStyle name="Comma [0] 6 7 2" xfId="3390" xr:uid="{BEB18B7E-F04B-46AC-B3AF-356CC464B29C}"/>
    <cellStyle name="Comma [0] 6 8" xfId="52" xr:uid="{98D05F4F-5BED-41D0-BA74-CCF044F43064}"/>
    <cellStyle name="Comma [0] 6 8 2" xfId="3393" xr:uid="{72FBD84D-77EF-4871-8AB9-C71E36B60452}"/>
    <cellStyle name="Comma [0] 6 9" xfId="58" xr:uid="{4EEBFAD6-3E28-48B7-8AF0-7A522C8F7BA4}"/>
    <cellStyle name="Comma [0] 6 9 2" xfId="3396" xr:uid="{2358AAF8-F214-4B71-A5DA-9A84824F443C}"/>
    <cellStyle name="Comma [0] 7" xfId="3369" xr:uid="{DAD62736-4108-43E4-9707-556E4E64B5E5}"/>
    <cellStyle name="Comma 10" xfId="150" xr:uid="{F402DC68-2110-4604-ADEC-5B3F67767362}"/>
    <cellStyle name="Comma 10 10" xfId="3431" xr:uid="{836777CA-B92E-4EA8-84D0-6D40BBBFC490}"/>
    <cellStyle name="Comma 10 2" xfId="151" xr:uid="{21FDB42B-9D82-40C0-82F4-41DDC4B68580}"/>
    <cellStyle name="Comma 10 2 2" xfId="414" xr:uid="{94511542-38B4-48D9-ADD9-9121E41C7F4B}"/>
    <cellStyle name="Comma 10 2 2 2" xfId="866" xr:uid="{9C6B44C5-3E7C-4408-894E-CAE3E845378F}"/>
    <cellStyle name="Comma 10 2 2 2 2" xfId="4100" xr:uid="{4F1A8AD0-695D-41B4-A82F-47291273131D}"/>
    <cellStyle name="Comma 10 2 2 3" xfId="1318" xr:uid="{DB44D132-0AAC-40E8-8523-FF30C4C5564C}"/>
    <cellStyle name="Comma 10 2 2 3 2" xfId="4545" xr:uid="{7C4FF870-29A6-4B80-A224-39B39CD67E97}"/>
    <cellStyle name="Comma 10 2 2 4" xfId="1770" xr:uid="{9876CA2D-6F91-4EE8-AA56-1B0631BFDEA4}"/>
    <cellStyle name="Comma 10 2 2 4 2" xfId="4990" xr:uid="{C1281CC6-3E14-4D43-9168-18284BA7DFA5}"/>
    <cellStyle name="Comma 10 2 2 5" xfId="2222" xr:uid="{9E1A8AAB-539C-42A7-8784-7C434F68330A}"/>
    <cellStyle name="Comma 10 2 2 5 2" xfId="5435" xr:uid="{6EC543B9-F3CB-4D7F-90A3-3B10C30CE9B6}"/>
    <cellStyle name="Comma 10 2 2 6" xfId="2674" xr:uid="{F67812C0-EE46-458E-9923-2A29596209CB}"/>
    <cellStyle name="Comma 10 2 2 6 2" xfId="5880" xr:uid="{25E0A193-F5E5-4ACF-B0F1-A7173EACD701}"/>
    <cellStyle name="Comma 10 2 2 7" xfId="3126" xr:uid="{AB2923C7-22A0-4584-9245-77E854BDE0B8}"/>
    <cellStyle name="Comma 10 2 2 7 2" xfId="6325" xr:uid="{4A10A5F5-85F0-4E11-967A-2610335D0B8D}"/>
    <cellStyle name="Comma 10 2 2 8" xfId="3655" xr:uid="{E6EEE695-4481-4211-A9EA-CFF00D3A6604}"/>
    <cellStyle name="Comma 10 2 3" xfId="642" xr:uid="{F067A459-5805-4B58-BFF0-33B2AD0660C1}"/>
    <cellStyle name="Comma 10 2 3 2" xfId="3878" xr:uid="{306767BA-579F-45DF-A6DF-B6DEA8E36624}"/>
    <cellStyle name="Comma 10 2 4" xfId="1094" xr:uid="{B1FDB556-2E00-44B2-BF48-9F42E76C3E56}"/>
    <cellStyle name="Comma 10 2 4 2" xfId="4323" xr:uid="{0CDEC5A0-F953-45EC-941A-F973FAF965B3}"/>
    <cellStyle name="Comma 10 2 5" xfId="1546" xr:uid="{EB770099-C870-43FD-8787-C68BCA9F97EE}"/>
    <cellStyle name="Comma 10 2 5 2" xfId="4768" xr:uid="{E99BE828-561C-4401-B993-DFBCB728EF4F}"/>
    <cellStyle name="Comma 10 2 6" xfId="1998" xr:uid="{F8C75CE5-2A68-4CB7-B196-922911516E11}"/>
    <cellStyle name="Comma 10 2 6 2" xfId="5213" xr:uid="{CE7D6456-7CBC-4DD3-85AA-302D6A3BDABB}"/>
    <cellStyle name="Comma 10 2 7" xfId="2450" xr:uid="{08F09BBE-2C22-4AA3-91A8-28E92FFA04D0}"/>
    <cellStyle name="Comma 10 2 7 2" xfId="5658" xr:uid="{A7BBC62A-EDED-4BBD-9B15-5788D6F09F4B}"/>
    <cellStyle name="Comma 10 2 8" xfId="2902" xr:uid="{86920A96-3799-4F34-B047-183F255CCDC1}"/>
    <cellStyle name="Comma 10 2 8 2" xfId="6103" xr:uid="{89221C00-8626-4196-8A59-D9E196CAC78F}"/>
    <cellStyle name="Comma 10 2 9" xfId="3432" xr:uid="{B2CC2465-7135-4E2F-B956-C18651F65944}"/>
    <cellStyle name="Comma 10 3" xfId="413" xr:uid="{5CEBED24-C910-4A7C-9B04-E4039BE20A33}"/>
    <cellStyle name="Comma 10 3 2" xfId="865" xr:uid="{30B08E22-EF99-4BD7-9C32-ADF4390A0079}"/>
    <cellStyle name="Comma 10 3 2 2" xfId="4099" xr:uid="{8A9AFBB8-BE32-4347-A6E6-F754B1F24D3F}"/>
    <cellStyle name="Comma 10 3 3" xfId="1317" xr:uid="{B64C9153-8205-4BEB-81BD-DA3AD645955E}"/>
    <cellStyle name="Comma 10 3 3 2" xfId="4544" xr:uid="{29A71009-8158-4270-B5C5-12F514153FD3}"/>
    <cellStyle name="Comma 10 3 4" xfId="1769" xr:uid="{F85743A6-FAB7-4B76-9448-7F020301466D}"/>
    <cellStyle name="Comma 10 3 4 2" xfId="4989" xr:uid="{05C3B173-AF37-40FA-BE12-56251E93B9ED}"/>
    <cellStyle name="Comma 10 3 5" xfId="2221" xr:uid="{8D30A6F9-3705-4E45-90C2-31F2ABE40BC7}"/>
    <cellStyle name="Comma 10 3 5 2" xfId="5434" xr:uid="{D0561212-9E40-4221-88D1-C5F1CEC01E72}"/>
    <cellStyle name="Comma 10 3 6" xfId="2673" xr:uid="{2B84402F-E511-4D45-AC66-52D40E3141A4}"/>
    <cellStyle name="Comma 10 3 6 2" xfId="5879" xr:uid="{FA9443CE-4F2E-4C1D-B0E1-CA6ED01D5F6B}"/>
    <cellStyle name="Comma 10 3 7" xfId="3125" xr:uid="{85604ECD-3792-4961-B985-C4950AA92769}"/>
    <cellStyle name="Comma 10 3 7 2" xfId="6324" xr:uid="{2F807E4F-5561-4464-ABAD-5ED3DEC98AC5}"/>
    <cellStyle name="Comma 10 3 8" xfId="3654" xr:uid="{4FB7E298-A5EE-4CFD-B441-B1A7E04F71DB}"/>
    <cellStyle name="Comma 10 4" xfId="641" xr:uid="{706CA904-F28F-4682-AA36-96A9A630B23E}"/>
    <cellStyle name="Comma 10 4 2" xfId="3877" xr:uid="{8CE89E2E-EB70-46DE-B1A1-CDC3FD925DAE}"/>
    <cellStyle name="Comma 10 5" xfId="1093" xr:uid="{91D3B62D-DF11-4920-A633-3C7BCF344C61}"/>
    <cellStyle name="Comma 10 5 2" xfId="4322" xr:uid="{67AFDAB8-F708-45C3-A2A8-26352B406023}"/>
    <cellStyle name="Comma 10 6" xfId="1545" xr:uid="{CC446417-899B-4F6D-AB14-97990073FA6F}"/>
    <cellStyle name="Comma 10 6 2" xfId="4767" xr:uid="{A9E39765-F779-495E-B58B-E11191A5A9B3}"/>
    <cellStyle name="Comma 10 7" xfId="1997" xr:uid="{D447E00C-406E-4E52-A67E-DFE4407724DE}"/>
    <cellStyle name="Comma 10 7 2" xfId="5212" xr:uid="{0320848F-CFEF-42F0-B479-99FB9F561A7B}"/>
    <cellStyle name="Comma 10 8" xfId="2449" xr:uid="{E6C48707-CA2F-4A15-9431-2C5E6DE49C8A}"/>
    <cellStyle name="Comma 10 8 2" xfId="5657" xr:uid="{AE08A9E9-338C-4CB2-BE70-419C8149F9AB}"/>
    <cellStyle name="Comma 10 9" xfId="2901" xr:uid="{D495DA70-38B4-4153-BACD-904107613C0C}"/>
    <cellStyle name="Comma 10 9 2" xfId="6102" xr:uid="{2F2D28E6-740A-4793-9200-D48B0A82286E}"/>
    <cellStyle name="Comma 11" xfId="152" xr:uid="{77D13EFF-5DFF-4AA2-8247-101CD1F6B690}"/>
    <cellStyle name="Comma 11 10" xfId="3433" xr:uid="{FD5238C6-3CE7-4307-8960-0FAFAB693DE0}"/>
    <cellStyle name="Comma 11 2" xfId="153" xr:uid="{EB428FAA-7359-4AAC-81BC-40640E0952F9}"/>
    <cellStyle name="Comma 11 2 2" xfId="416" xr:uid="{087D7AE4-8718-4E6B-B537-D237358AC166}"/>
    <cellStyle name="Comma 11 2 2 2" xfId="868" xr:uid="{773499EC-EB78-4FC7-B7D9-67DE18B8B3D2}"/>
    <cellStyle name="Comma 11 2 2 2 2" xfId="4102" xr:uid="{C678A1C6-8A51-400B-AAF1-D81028B5FC09}"/>
    <cellStyle name="Comma 11 2 2 3" xfId="1320" xr:uid="{A69D14A7-E39E-49A1-8893-A815728F5816}"/>
    <cellStyle name="Comma 11 2 2 3 2" xfId="4547" xr:uid="{07F2EA78-6088-435C-8B6F-9AD17DDACEC3}"/>
    <cellStyle name="Comma 11 2 2 4" xfId="1772" xr:uid="{98E28E80-B315-4069-886B-22AC9E935190}"/>
    <cellStyle name="Comma 11 2 2 4 2" xfId="4992" xr:uid="{05552D70-F494-4D16-8BF1-E05800E0AD1E}"/>
    <cellStyle name="Comma 11 2 2 5" xfId="2224" xr:uid="{3016C82B-0A8B-4877-AFCD-19763BC7CF86}"/>
    <cellStyle name="Comma 11 2 2 5 2" xfId="5437" xr:uid="{4A4B947D-5B67-4179-95F6-2F015AE3395F}"/>
    <cellStyle name="Comma 11 2 2 6" xfId="2676" xr:uid="{F6DF1D3A-88B1-4B49-A232-6D7ADAB9C98C}"/>
    <cellStyle name="Comma 11 2 2 6 2" xfId="5882" xr:uid="{85780128-9423-4B1F-8223-97963EC007B7}"/>
    <cellStyle name="Comma 11 2 2 7" xfId="3128" xr:uid="{085B9778-C4E5-4B57-A71D-8806C796B98F}"/>
    <cellStyle name="Comma 11 2 2 7 2" xfId="6327" xr:uid="{DB92A1EC-EE5D-4A0F-A378-00276A0B2152}"/>
    <cellStyle name="Comma 11 2 2 8" xfId="3657" xr:uid="{72D30D7F-D909-479F-BDF7-C350E2C26F22}"/>
    <cellStyle name="Comma 11 2 3" xfId="644" xr:uid="{9A91DB6A-7586-4B50-A1DE-1AA78C78E834}"/>
    <cellStyle name="Comma 11 2 3 2" xfId="3880" xr:uid="{F650A096-2D18-4AA4-890A-0F94395F1FE0}"/>
    <cellStyle name="Comma 11 2 4" xfId="1096" xr:uid="{FC97704D-22AC-4003-AD77-015B41C83BC7}"/>
    <cellStyle name="Comma 11 2 4 2" xfId="4325" xr:uid="{95179BB3-F38B-499B-A9F2-3F89B6FCF862}"/>
    <cellStyle name="Comma 11 2 5" xfId="1548" xr:uid="{8E40F368-F6C6-42F5-81D9-5A845F0B1C89}"/>
    <cellStyle name="Comma 11 2 5 2" xfId="4770" xr:uid="{DD64C113-9B3D-4FB7-B393-1771BF8AFC33}"/>
    <cellStyle name="Comma 11 2 6" xfId="2000" xr:uid="{5711089A-1510-4BDC-8010-39338DD2A1BE}"/>
    <cellStyle name="Comma 11 2 6 2" xfId="5215" xr:uid="{D05749B8-A003-4207-B3D1-197669554AFF}"/>
    <cellStyle name="Comma 11 2 7" xfId="2452" xr:uid="{3DAF402A-534E-4076-BCF5-F81BFACD1D89}"/>
    <cellStyle name="Comma 11 2 7 2" xfId="5660" xr:uid="{89B621AC-0EEA-4FDD-A990-FE2CAA7151EB}"/>
    <cellStyle name="Comma 11 2 8" xfId="2904" xr:uid="{25FF31FE-CFD2-4D58-8FFA-02BF7501FC24}"/>
    <cellStyle name="Comma 11 2 8 2" xfId="6105" xr:uid="{30AB8E0D-F095-4EE4-B41F-83F638F158BA}"/>
    <cellStyle name="Comma 11 2 9" xfId="3434" xr:uid="{7EAEE25A-29A3-4F7F-B3D8-AFDE5164ABF4}"/>
    <cellStyle name="Comma 11 3" xfId="415" xr:uid="{B4ECFA4A-14A6-49D4-BE62-B52807A76391}"/>
    <cellStyle name="Comma 11 3 2" xfId="867" xr:uid="{E6401779-0CA3-4236-846C-90F69A9D80C9}"/>
    <cellStyle name="Comma 11 3 2 2" xfId="4101" xr:uid="{836F0F9D-E978-4A0D-BE20-35F787C09F4A}"/>
    <cellStyle name="Comma 11 3 3" xfId="1319" xr:uid="{2EB71479-872D-423B-AF6A-3BD6C4A13F33}"/>
    <cellStyle name="Comma 11 3 3 2" xfId="4546" xr:uid="{88634CE4-4CFC-4D63-815A-9D11E43CCBB1}"/>
    <cellStyle name="Comma 11 3 4" xfId="1771" xr:uid="{4826CF4E-FE6E-48B8-AE72-CEBEF7AD33D4}"/>
    <cellStyle name="Comma 11 3 4 2" xfId="4991" xr:uid="{274F6117-1451-4795-8D14-C2206CECEB58}"/>
    <cellStyle name="Comma 11 3 5" xfId="2223" xr:uid="{4C14D6D3-E86A-4E8C-A5A5-962C977C4BC5}"/>
    <cellStyle name="Comma 11 3 5 2" xfId="5436" xr:uid="{CBCA57AB-5E55-4843-9BB6-156E7657A4F3}"/>
    <cellStyle name="Comma 11 3 6" xfId="2675" xr:uid="{AE0EBFBF-BB6D-41C9-A334-5EDBACDC959A}"/>
    <cellStyle name="Comma 11 3 6 2" xfId="5881" xr:uid="{06BBD269-EDAF-4B51-9E11-3A3D8821E411}"/>
    <cellStyle name="Comma 11 3 7" xfId="3127" xr:uid="{7A09ABA4-63C6-4B47-AAC8-42D32DB3FF38}"/>
    <cellStyle name="Comma 11 3 7 2" xfId="6326" xr:uid="{141AD800-B535-4602-9B00-B5906DC5931E}"/>
    <cellStyle name="Comma 11 3 8" xfId="3656" xr:uid="{8DD6857F-7403-43B1-987F-AED69018640C}"/>
    <cellStyle name="Comma 11 4" xfId="643" xr:uid="{EE4366A3-F1ED-44CD-BD91-F45FC88B8EBB}"/>
    <cellStyle name="Comma 11 4 2" xfId="3879" xr:uid="{A31200E9-5DFB-445C-AEEC-BC44C5F942E9}"/>
    <cellStyle name="Comma 11 5" xfId="1095" xr:uid="{C3D8AA1D-D7DE-49BE-80DD-F4CDD72E3C41}"/>
    <cellStyle name="Comma 11 5 2" xfId="4324" xr:uid="{FF4014BD-E1EF-415F-BC01-8BDB9C8C4259}"/>
    <cellStyle name="Comma 11 6" xfId="1547" xr:uid="{0E7C0CC2-C057-4658-9696-54427D676549}"/>
    <cellStyle name="Comma 11 6 2" xfId="4769" xr:uid="{40A0BD10-EF76-430B-8F1E-EA1AF63E916A}"/>
    <cellStyle name="Comma 11 7" xfId="1999" xr:uid="{39913B56-2552-4BA4-8AA9-70DE3FD393B2}"/>
    <cellStyle name="Comma 11 7 2" xfId="5214" xr:uid="{F01EA041-2BE8-437C-8347-B352672FDEDC}"/>
    <cellStyle name="Comma 11 8" xfId="2451" xr:uid="{7A862517-0EF5-4956-9D79-44CF7A3DC067}"/>
    <cellStyle name="Comma 11 8 2" xfId="5659" xr:uid="{13BECFD2-F896-4BCF-BB8C-D0867814B0DE}"/>
    <cellStyle name="Comma 11 9" xfId="2903" xr:uid="{366C9796-CE3E-41BF-80BF-86C4E995D779}"/>
    <cellStyle name="Comma 11 9 2" xfId="6104" xr:uid="{139BCD27-0DB0-470A-B161-E8B767757009}"/>
    <cellStyle name="Comma 12" xfId="154" xr:uid="{C89337B4-7E9E-45F9-A440-0C69CBC408C3}"/>
    <cellStyle name="Comma 12 10" xfId="3435" xr:uid="{1B9553E7-8F6A-42B3-9CF7-8AF310CEAC67}"/>
    <cellStyle name="Comma 12 2" xfId="155" xr:uid="{C2EF1917-297D-487B-A1A0-478FE5DF5466}"/>
    <cellStyle name="Comma 12 2 2" xfId="418" xr:uid="{C90CB377-BEDB-492A-BCBF-7616B9FB1211}"/>
    <cellStyle name="Comma 12 2 2 2" xfId="870" xr:uid="{AE5558B3-2804-40DF-B47C-743D7B004B23}"/>
    <cellStyle name="Comma 12 2 2 2 2" xfId="4104" xr:uid="{FD6A4ABC-A5FE-4FE0-8848-F85AF44A5147}"/>
    <cellStyle name="Comma 12 2 2 3" xfId="1322" xr:uid="{86B2BA6A-0824-41D7-A7DB-89C57B2F6164}"/>
    <cellStyle name="Comma 12 2 2 3 2" xfId="4549" xr:uid="{A6C2F311-0D0F-41F6-B28B-9F933C5D3376}"/>
    <cellStyle name="Comma 12 2 2 4" xfId="1774" xr:uid="{96A72737-C30F-4658-87AA-ED389DB4E1AB}"/>
    <cellStyle name="Comma 12 2 2 4 2" xfId="4994" xr:uid="{B81D8EE9-5DD7-495D-976E-3CF9D0C82C27}"/>
    <cellStyle name="Comma 12 2 2 5" xfId="2226" xr:uid="{309B9E20-D74B-483D-9224-68ACC2C30196}"/>
    <cellStyle name="Comma 12 2 2 5 2" xfId="5439" xr:uid="{87EB976F-52F9-4402-8802-5BCE8D85317A}"/>
    <cellStyle name="Comma 12 2 2 6" xfId="2678" xr:uid="{33091623-F53E-4483-B3DE-124FCECAF38A}"/>
    <cellStyle name="Comma 12 2 2 6 2" xfId="5884" xr:uid="{E4DF7F98-4E5F-4850-9458-2B0A5CC00DEC}"/>
    <cellStyle name="Comma 12 2 2 7" xfId="3130" xr:uid="{27E4E4D5-0FF9-450B-AED0-D4089859C04A}"/>
    <cellStyle name="Comma 12 2 2 7 2" xfId="6329" xr:uid="{9D233432-6160-4F6F-935A-8D82D3B43BAF}"/>
    <cellStyle name="Comma 12 2 2 8" xfId="3659" xr:uid="{AC3E43A1-074B-4667-92D1-42A73C803F34}"/>
    <cellStyle name="Comma 12 2 3" xfId="646" xr:uid="{2B3EADD7-82A9-43F8-810C-F02A49C53255}"/>
    <cellStyle name="Comma 12 2 3 2" xfId="3882" xr:uid="{D363E2ED-332D-439D-923C-7415A6DF2475}"/>
    <cellStyle name="Comma 12 2 4" xfId="1098" xr:uid="{0973F330-FC9C-4F2A-8E45-B4B0C6D5A538}"/>
    <cellStyle name="Comma 12 2 4 2" xfId="4327" xr:uid="{14B33E6B-66C3-4F4B-ABEF-CF5C9454DC9E}"/>
    <cellStyle name="Comma 12 2 5" xfId="1550" xr:uid="{023B6AB0-2A08-43FF-BBF2-F40EE7066E76}"/>
    <cellStyle name="Comma 12 2 5 2" xfId="4772" xr:uid="{B7FC93FA-E127-4464-B3A3-7B000C3F5F11}"/>
    <cellStyle name="Comma 12 2 6" xfId="2002" xr:uid="{94E8B3E8-9A33-4020-B439-C9F0BD0CFFD2}"/>
    <cellStyle name="Comma 12 2 6 2" xfId="5217" xr:uid="{3CC41803-56B0-41A6-9959-00EDD6283A80}"/>
    <cellStyle name="Comma 12 2 7" xfId="2454" xr:uid="{88770C91-7A13-4579-95B1-9C28362AE2B1}"/>
    <cellStyle name="Comma 12 2 7 2" xfId="5662" xr:uid="{73E6CAAF-BC52-466A-9D79-3F2C98AD9B59}"/>
    <cellStyle name="Comma 12 2 8" xfId="2906" xr:uid="{2E2FAE5E-50E0-4B14-A6BB-8DA6B1B9A039}"/>
    <cellStyle name="Comma 12 2 8 2" xfId="6107" xr:uid="{56E55629-DC41-49CB-B3F0-50FFE2CD0DA0}"/>
    <cellStyle name="Comma 12 2 9" xfId="3436" xr:uid="{B33E8E91-037E-4F6D-9D6A-CC825FFA4EF3}"/>
    <cellStyle name="Comma 12 3" xfId="417" xr:uid="{0BDD369F-0073-400B-A2B4-941628FD5D21}"/>
    <cellStyle name="Comma 12 3 2" xfId="869" xr:uid="{FDEEAA3C-486C-4D16-9B8B-8D8046A97868}"/>
    <cellStyle name="Comma 12 3 2 2" xfId="4103" xr:uid="{06E71D62-EFD9-48B6-95F5-EE0862673259}"/>
    <cellStyle name="Comma 12 3 3" xfId="1321" xr:uid="{A8E4D22E-8DCB-403D-BC05-7B39088BD4DC}"/>
    <cellStyle name="Comma 12 3 3 2" xfId="4548" xr:uid="{B6FED0FF-6128-4D3A-ACE9-C045327C5371}"/>
    <cellStyle name="Comma 12 3 4" xfId="1773" xr:uid="{7DB5A885-A47B-4D77-A334-8233679CA298}"/>
    <cellStyle name="Comma 12 3 4 2" xfId="4993" xr:uid="{8C2B2FF1-E4C7-4B2F-897E-AF573BA2C6AF}"/>
    <cellStyle name="Comma 12 3 5" xfId="2225" xr:uid="{94D26AC2-F68C-4FB9-A285-90A29B3CB123}"/>
    <cellStyle name="Comma 12 3 5 2" xfId="5438" xr:uid="{8C270F70-3504-41D2-AD19-1154776074BF}"/>
    <cellStyle name="Comma 12 3 6" xfId="2677" xr:uid="{3D333A0B-CED3-4685-BDC8-878B644D45B8}"/>
    <cellStyle name="Comma 12 3 6 2" xfId="5883" xr:uid="{4A082B4F-DE98-4193-8D54-0C6E474DA121}"/>
    <cellStyle name="Comma 12 3 7" xfId="3129" xr:uid="{704D6CD3-38C3-4ED9-8FBE-136B227A1425}"/>
    <cellStyle name="Comma 12 3 7 2" xfId="6328" xr:uid="{141390EA-7428-42FA-8EA2-E320FE3E1299}"/>
    <cellStyle name="Comma 12 3 8" xfId="3658" xr:uid="{2269FDD7-1B59-4624-B157-27C788B9CBFC}"/>
    <cellStyle name="Comma 12 4" xfId="645" xr:uid="{3B111896-8506-4953-ACDD-70916D346476}"/>
    <cellStyle name="Comma 12 4 2" xfId="3881" xr:uid="{23C53E2B-2E4F-42C9-A583-A2D8FA94D5AF}"/>
    <cellStyle name="Comma 12 5" xfId="1097" xr:uid="{9DEE10C0-37D1-45EF-9B7C-FF435D62D06D}"/>
    <cellStyle name="Comma 12 5 2" xfId="4326" xr:uid="{217C97AA-907B-4841-9B9E-AACA8D23CE2D}"/>
    <cellStyle name="Comma 12 6" xfId="1549" xr:uid="{AAEB56C9-6A07-46DD-8420-0B2BA50A0FF9}"/>
    <cellStyle name="Comma 12 6 2" xfId="4771" xr:uid="{B5429531-097F-4B1A-9359-570A21001DF1}"/>
    <cellStyle name="Comma 12 7" xfId="2001" xr:uid="{FF1F55F8-F72A-4EA8-BA79-16801326B39A}"/>
    <cellStyle name="Comma 12 7 2" xfId="5216" xr:uid="{200B3047-8C52-4FC1-ACD7-5A32EB157802}"/>
    <cellStyle name="Comma 12 8" xfId="2453" xr:uid="{EE6BFE1D-0B77-42E8-B3D9-4AF120BB1651}"/>
    <cellStyle name="Comma 12 8 2" xfId="5661" xr:uid="{B5FFEB19-DCE5-477D-9D10-B00EFFA229B0}"/>
    <cellStyle name="Comma 12 9" xfId="2905" xr:uid="{D7F68BA8-FE01-4F28-AA8F-89422908DF65}"/>
    <cellStyle name="Comma 12 9 2" xfId="6106" xr:uid="{61E60203-B836-4E51-B479-70FEAB160A06}"/>
    <cellStyle name="Comma 13" xfId="156" xr:uid="{76B7FE16-E346-4AE6-8056-3F0457BAEC2C}"/>
    <cellStyle name="Comma 13 10" xfId="3437" xr:uid="{DAC36681-F046-4808-91FB-42148E0B2FA1}"/>
    <cellStyle name="Comma 13 2" xfId="157" xr:uid="{CF1C0AE1-5343-49A9-8D1F-FAD4E2B36121}"/>
    <cellStyle name="Comma 13 2 2" xfId="420" xr:uid="{B63A22EE-37CD-4354-8B34-321B01235D33}"/>
    <cellStyle name="Comma 13 2 2 2" xfId="872" xr:uid="{E76B0FED-4D44-4BDB-8DA6-9317BBCB5167}"/>
    <cellStyle name="Comma 13 2 2 2 2" xfId="4106" xr:uid="{4648B3FD-6A04-4A55-B172-900E03C2D2B9}"/>
    <cellStyle name="Comma 13 2 2 3" xfId="1324" xr:uid="{AF2482D9-5A14-4094-A4CA-BFE33B75BAA3}"/>
    <cellStyle name="Comma 13 2 2 3 2" xfId="4551" xr:uid="{360B54B0-9CF2-48E5-831A-6E182B273808}"/>
    <cellStyle name="Comma 13 2 2 4" xfId="1776" xr:uid="{08AA68F5-A9FA-41CA-AB47-3D4379A23A6C}"/>
    <cellStyle name="Comma 13 2 2 4 2" xfId="4996" xr:uid="{97D29519-7617-4F13-B2B2-8C7031A136BF}"/>
    <cellStyle name="Comma 13 2 2 5" xfId="2228" xr:uid="{18DA2127-358B-43D4-B433-814CB1CAE07F}"/>
    <cellStyle name="Comma 13 2 2 5 2" xfId="5441" xr:uid="{68E8FCCF-CBEE-46C3-BC2A-5BD8A2ABCC4B}"/>
    <cellStyle name="Comma 13 2 2 6" xfId="2680" xr:uid="{BA4742A9-FEAF-453F-BFE6-6D7C2F9FDB10}"/>
    <cellStyle name="Comma 13 2 2 6 2" xfId="5886" xr:uid="{EF0505D6-8198-4463-9A7C-67D7414EAA5A}"/>
    <cellStyle name="Comma 13 2 2 7" xfId="3132" xr:uid="{3EECBEA6-4D59-4937-884A-3CD2E1663567}"/>
    <cellStyle name="Comma 13 2 2 7 2" xfId="6331" xr:uid="{25B1F319-C528-4F05-936B-41CD3535A2EA}"/>
    <cellStyle name="Comma 13 2 2 8" xfId="3661" xr:uid="{9E0C1AFA-FCE6-455A-BA56-7FD73121751B}"/>
    <cellStyle name="Comma 13 2 3" xfId="648" xr:uid="{F3EE4626-E3FE-4CE1-851C-B8E19AD0700D}"/>
    <cellStyle name="Comma 13 2 3 2" xfId="3884" xr:uid="{94FCD010-E148-49A0-8AC8-878FB0BA8E1A}"/>
    <cellStyle name="Comma 13 2 4" xfId="1100" xr:uid="{7CB93108-7FC4-41C4-BE09-7EFD00048609}"/>
    <cellStyle name="Comma 13 2 4 2" xfId="4329" xr:uid="{55625752-4E5C-4394-9FBF-8545E337961D}"/>
    <cellStyle name="Comma 13 2 5" xfId="1552" xr:uid="{6F0F4AD2-27FF-490E-8606-766C56FFF90D}"/>
    <cellStyle name="Comma 13 2 5 2" xfId="4774" xr:uid="{7821F87D-F233-435D-804D-8D150A418D56}"/>
    <cellStyle name="Comma 13 2 6" xfId="2004" xr:uid="{3571A9E3-D9F2-4F28-9C8D-4C6E09ABEF81}"/>
    <cellStyle name="Comma 13 2 6 2" xfId="5219" xr:uid="{D88FDC62-A206-494D-89EC-39839EC21DFB}"/>
    <cellStyle name="Comma 13 2 7" xfId="2456" xr:uid="{C4ACB3CA-5ED9-4452-BEB6-523F304C576B}"/>
    <cellStyle name="Comma 13 2 7 2" xfId="5664" xr:uid="{D067B3BD-6A6D-45CD-AE8E-FCCA7AEFD5B3}"/>
    <cellStyle name="Comma 13 2 8" xfId="2908" xr:uid="{D66E48DF-398A-4A9D-A5C8-7D306565E53F}"/>
    <cellStyle name="Comma 13 2 8 2" xfId="6109" xr:uid="{4CB5EAEF-39B8-4D19-BC29-FD3E1C9E4707}"/>
    <cellStyle name="Comma 13 2 9" xfId="3438" xr:uid="{BEE6832A-0D50-4CA5-8FEC-7846B4701231}"/>
    <cellStyle name="Comma 13 3" xfId="419" xr:uid="{E7F87910-9D42-48A3-AFEA-8C82A8672478}"/>
    <cellStyle name="Comma 13 3 2" xfId="871" xr:uid="{4B138A78-D5CB-47C5-BEF0-F22BB976F39C}"/>
    <cellStyle name="Comma 13 3 2 2" xfId="4105" xr:uid="{87101AD2-209F-47B5-9749-8D6279ACBC8F}"/>
    <cellStyle name="Comma 13 3 3" xfId="1323" xr:uid="{CEB6E434-96B7-41B8-9136-ADC7E6022558}"/>
    <cellStyle name="Comma 13 3 3 2" xfId="4550" xr:uid="{D42A308B-81B3-40DB-87CF-46B716E456A1}"/>
    <cellStyle name="Comma 13 3 4" xfId="1775" xr:uid="{B81C7DF2-51C7-43F1-A180-19E87F6B7600}"/>
    <cellStyle name="Comma 13 3 4 2" xfId="4995" xr:uid="{0F00C9FA-A30A-44C9-955C-98406CEF212F}"/>
    <cellStyle name="Comma 13 3 5" xfId="2227" xr:uid="{12DDD01F-E976-4959-AE6B-E552F50A5AA8}"/>
    <cellStyle name="Comma 13 3 5 2" xfId="5440" xr:uid="{35167749-C0A0-4486-B4D3-4C0E858F07A8}"/>
    <cellStyle name="Comma 13 3 6" xfId="2679" xr:uid="{82263D98-109D-4129-BB84-B5A272259A40}"/>
    <cellStyle name="Comma 13 3 6 2" xfId="5885" xr:uid="{E75A2D72-8A6A-417E-93DC-F5E66CAE347A}"/>
    <cellStyle name="Comma 13 3 7" xfId="3131" xr:uid="{5AFEB88D-F4FE-4960-8BF0-CEA8CBB2D9A2}"/>
    <cellStyle name="Comma 13 3 7 2" xfId="6330" xr:uid="{E2ABC031-2235-4F4A-A93A-2E7822EB8EF3}"/>
    <cellStyle name="Comma 13 3 8" xfId="3660" xr:uid="{A4D5AF2D-59C7-47FC-9CC2-AB12925A6B09}"/>
    <cellStyle name="Comma 13 4" xfId="647" xr:uid="{CF054C49-11B1-4BFA-964D-80AC01D7778F}"/>
    <cellStyle name="Comma 13 4 2" xfId="3883" xr:uid="{238D888E-652D-4394-81C9-A449FF93CD7C}"/>
    <cellStyle name="Comma 13 5" xfId="1099" xr:uid="{620C4B21-F0CF-4857-A66E-CF37C7D944FE}"/>
    <cellStyle name="Comma 13 5 2" xfId="4328" xr:uid="{633EB453-D305-4D32-B12F-4261655F49E6}"/>
    <cellStyle name="Comma 13 6" xfId="1551" xr:uid="{7A78E096-D77C-4DBE-A50A-E5C92B1CCBC4}"/>
    <cellStyle name="Comma 13 6 2" xfId="4773" xr:uid="{31703E4F-7E4B-45D9-863F-366B28AB22C2}"/>
    <cellStyle name="Comma 13 7" xfId="2003" xr:uid="{E98C68E1-C574-4DFA-9A6A-A05FF625591F}"/>
    <cellStyle name="Comma 13 7 2" xfId="5218" xr:uid="{68F3C35E-87BB-42C9-B0AA-9FAAE5D289DA}"/>
    <cellStyle name="Comma 13 8" xfId="2455" xr:uid="{821FBAF9-3BE9-48C2-9060-FE513DAE8F41}"/>
    <cellStyle name="Comma 13 8 2" xfId="5663" xr:uid="{55A4C3A2-84C6-4D01-B656-D7CF18D00644}"/>
    <cellStyle name="Comma 13 9" xfId="2907" xr:uid="{3E2F25E8-A551-4388-8502-AEE40982854B}"/>
    <cellStyle name="Comma 13 9 2" xfId="6108" xr:uid="{393E86FE-B6D6-4BCE-A113-F4D3EAE2FAB4}"/>
    <cellStyle name="Comma 14" xfId="158" xr:uid="{29361CB2-E4F2-4E0E-84A1-DAC53EE24155}"/>
    <cellStyle name="Comma 14 10" xfId="3439" xr:uid="{31C46AB5-FEAB-43F3-A1B9-129955B03B33}"/>
    <cellStyle name="Comma 14 2" xfId="159" xr:uid="{CA0AB4FC-10E3-402A-8030-CFFD5B2B1493}"/>
    <cellStyle name="Comma 14 2 2" xfId="422" xr:uid="{81BA8206-1BA2-4654-AFA3-B0CFEF05BEC7}"/>
    <cellStyle name="Comma 14 2 2 2" xfId="874" xr:uid="{B6CB6499-0BD0-42A2-B98D-91D29CCA2342}"/>
    <cellStyle name="Comma 14 2 2 2 2" xfId="4108" xr:uid="{A0C36798-A820-400F-BD0C-37CF0254EF9C}"/>
    <cellStyle name="Comma 14 2 2 3" xfId="1326" xr:uid="{6B7EAF99-9349-49C3-BC2F-7A0DD3CB52BF}"/>
    <cellStyle name="Comma 14 2 2 3 2" xfId="4553" xr:uid="{A0ABB5CB-CD18-47A7-B4C4-D425B609AB1E}"/>
    <cellStyle name="Comma 14 2 2 4" xfId="1778" xr:uid="{CC63AFCD-06BF-471D-B063-75408C0A80E1}"/>
    <cellStyle name="Comma 14 2 2 4 2" xfId="4998" xr:uid="{0581FF8A-426F-473F-BFB7-8ACACFAFF40E}"/>
    <cellStyle name="Comma 14 2 2 5" xfId="2230" xr:uid="{B2B11E1A-9A21-4AF3-9A3A-6A6DD13A3AA0}"/>
    <cellStyle name="Comma 14 2 2 5 2" xfId="5443" xr:uid="{A6A83D9A-5C80-49E8-B4C9-852931186474}"/>
    <cellStyle name="Comma 14 2 2 6" xfId="2682" xr:uid="{EFE6E5C8-4133-42C0-896F-181B61BD2A7F}"/>
    <cellStyle name="Comma 14 2 2 6 2" xfId="5888" xr:uid="{1394D58C-5EDB-4351-828E-B74A2AC2FCDD}"/>
    <cellStyle name="Comma 14 2 2 7" xfId="3134" xr:uid="{05B705DB-D61C-41A7-BB44-6C7459CEEE34}"/>
    <cellStyle name="Comma 14 2 2 7 2" xfId="6333" xr:uid="{3B37CC99-EAAA-459F-9EA9-79794DE1492E}"/>
    <cellStyle name="Comma 14 2 2 8" xfId="3663" xr:uid="{18DB766D-BBCB-43A3-8EC4-94DB272CF17D}"/>
    <cellStyle name="Comma 14 2 3" xfId="650" xr:uid="{420FA997-47B2-4F17-8231-2E4C1E63275C}"/>
    <cellStyle name="Comma 14 2 3 2" xfId="3886" xr:uid="{E3AD5542-7675-4BA5-82B6-DE32D279695D}"/>
    <cellStyle name="Comma 14 2 4" xfId="1102" xr:uid="{D980C3AF-7B8F-4403-A0A5-E2B826721599}"/>
    <cellStyle name="Comma 14 2 4 2" xfId="4331" xr:uid="{7AD0F6E6-441B-4028-86AC-F7D6688B590B}"/>
    <cellStyle name="Comma 14 2 5" xfId="1554" xr:uid="{14C54DF5-BEFD-456F-B544-6B6D70EB7B4C}"/>
    <cellStyle name="Comma 14 2 5 2" xfId="4776" xr:uid="{6EEE7334-7BC3-4762-8DDB-6624D79F62A9}"/>
    <cellStyle name="Comma 14 2 6" xfId="2006" xr:uid="{88851EB4-6772-462E-83C2-00BF6912C7EE}"/>
    <cellStyle name="Comma 14 2 6 2" xfId="5221" xr:uid="{F219B3DA-9399-44EA-B2AA-444FE6EBA622}"/>
    <cellStyle name="Comma 14 2 7" xfId="2458" xr:uid="{2CBC3E94-4EB0-45D9-B1BF-A269C2A67051}"/>
    <cellStyle name="Comma 14 2 7 2" xfId="5666" xr:uid="{25B365E2-F987-4647-A347-166C1161F09E}"/>
    <cellStyle name="Comma 14 2 8" xfId="2910" xr:uid="{389569A4-12D5-4032-A04C-96A9E45886CF}"/>
    <cellStyle name="Comma 14 2 8 2" xfId="6111" xr:uid="{F5376615-B4E4-45BA-B951-B96134C9CD1B}"/>
    <cellStyle name="Comma 14 2 9" xfId="3440" xr:uid="{9007E2B5-2FD3-4F1D-83C5-00C54324F861}"/>
    <cellStyle name="Comma 14 3" xfId="421" xr:uid="{041BA5A1-1391-4ABC-B39B-8A575DCA95D6}"/>
    <cellStyle name="Comma 14 3 2" xfId="873" xr:uid="{AD4043B8-E1BC-4CA6-A45F-CD8770A43136}"/>
    <cellStyle name="Comma 14 3 2 2" xfId="4107" xr:uid="{527FDAF5-8A86-4476-8B00-3DA9A1DB93EC}"/>
    <cellStyle name="Comma 14 3 3" xfId="1325" xr:uid="{26CAB1A2-69C3-4B38-A944-65AE32B54955}"/>
    <cellStyle name="Comma 14 3 3 2" xfId="4552" xr:uid="{CDD7331A-16D8-4604-BEBA-8D692D7613AF}"/>
    <cellStyle name="Comma 14 3 4" xfId="1777" xr:uid="{31392D77-D7C0-44FE-8B49-526F627BB771}"/>
    <cellStyle name="Comma 14 3 4 2" xfId="4997" xr:uid="{C068D05A-09E0-48D6-80CB-83012BE60DCB}"/>
    <cellStyle name="Comma 14 3 5" xfId="2229" xr:uid="{B454D204-4DD8-4158-AA87-1DCE36703ECF}"/>
    <cellStyle name="Comma 14 3 5 2" xfId="5442" xr:uid="{482661C0-F0A3-4495-98E9-B1829B235238}"/>
    <cellStyle name="Comma 14 3 6" xfId="2681" xr:uid="{7C880363-C4CF-41E8-A6D4-FD03B955E148}"/>
    <cellStyle name="Comma 14 3 6 2" xfId="5887" xr:uid="{95E04914-89F4-4660-A8AE-17C0E411C9B2}"/>
    <cellStyle name="Comma 14 3 7" xfId="3133" xr:uid="{B14E2E06-5970-4939-B9EE-2AD78B63482B}"/>
    <cellStyle name="Comma 14 3 7 2" xfId="6332" xr:uid="{A315075D-CC85-4C75-8522-FDC29286B6B4}"/>
    <cellStyle name="Comma 14 3 8" xfId="3662" xr:uid="{32C1B2DE-9DC9-43BB-A22C-3306AED1B0D6}"/>
    <cellStyle name="Comma 14 4" xfId="649" xr:uid="{E47C31DD-4C23-4C4D-A1B6-C4172D6E2DC4}"/>
    <cellStyle name="Comma 14 4 2" xfId="3885" xr:uid="{C593668D-91BB-4D04-92B2-E5E658901E29}"/>
    <cellStyle name="Comma 14 5" xfId="1101" xr:uid="{E746B419-9EE4-44EC-B6AA-D085AEADFCF4}"/>
    <cellStyle name="Comma 14 5 2" xfId="4330" xr:uid="{C7F21D2F-75B1-425E-A706-E344DEAFE6D8}"/>
    <cellStyle name="Comma 14 6" xfId="1553" xr:uid="{BBFFD6EA-A23C-4E9A-A376-5CA9E4D7B5CF}"/>
    <cellStyle name="Comma 14 6 2" xfId="4775" xr:uid="{4CFE4C3C-4E07-43BB-A16B-3745852FA0C7}"/>
    <cellStyle name="Comma 14 7" xfId="2005" xr:uid="{EF140F1F-0FFE-48F5-AD09-8DD563571CA9}"/>
    <cellStyle name="Comma 14 7 2" xfId="5220" xr:uid="{F63BE33A-B194-4C51-995C-D5FCDBF45674}"/>
    <cellStyle name="Comma 14 8" xfId="2457" xr:uid="{B8284FCB-474E-4C2C-A225-068C494EFC92}"/>
    <cellStyle name="Comma 14 8 2" xfId="5665" xr:uid="{6FA9198A-EF07-4FE4-9180-58520BD8FF73}"/>
    <cellStyle name="Comma 14 9" xfId="2909" xr:uid="{14843707-BD8A-49B1-A099-02F6010B5AA8}"/>
    <cellStyle name="Comma 14 9 2" xfId="6110" xr:uid="{C8E544DC-B125-4AC8-8845-47EB6A0FD94D}"/>
    <cellStyle name="Comma 15" xfId="160" xr:uid="{1F4A8FEB-9391-47CB-8F3D-A5CBB40242D5}"/>
    <cellStyle name="Comma 15 10" xfId="3441" xr:uid="{E08C5AC2-190C-4D02-9100-A396E1833015}"/>
    <cellStyle name="Comma 15 2" xfId="161" xr:uid="{1589012D-2BC8-4B28-9E87-F2AF091AF27F}"/>
    <cellStyle name="Comma 15 2 2" xfId="424" xr:uid="{C4E2ED39-10F2-4741-A818-605BBD5757B6}"/>
    <cellStyle name="Comma 15 2 2 2" xfId="876" xr:uid="{99B32421-F9E2-4F52-871D-828D893255C6}"/>
    <cellStyle name="Comma 15 2 2 2 2" xfId="4110" xr:uid="{5C5FF790-215C-44EE-A68B-680787A2FEC5}"/>
    <cellStyle name="Comma 15 2 2 3" xfId="1328" xr:uid="{9D0D3E86-AF39-463C-BF0C-F0130105B884}"/>
    <cellStyle name="Comma 15 2 2 3 2" xfId="4555" xr:uid="{416081DC-667B-4FF6-B986-733F40B7B8F3}"/>
    <cellStyle name="Comma 15 2 2 4" xfId="1780" xr:uid="{D47B768E-2930-4BFF-A177-ABB72F051876}"/>
    <cellStyle name="Comma 15 2 2 4 2" xfId="5000" xr:uid="{F169E918-55DB-4BFF-9333-BE5C6BBB0761}"/>
    <cellStyle name="Comma 15 2 2 5" xfId="2232" xr:uid="{2398AE24-0745-41B6-A37B-650458CB3F05}"/>
    <cellStyle name="Comma 15 2 2 5 2" xfId="5445" xr:uid="{800994CE-EF4B-4C5B-B67E-4E1906E0162B}"/>
    <cellStyle name="Comma 15 2 2 6" xfId="2684" xr:uid="{716B10B7-70AA-437E-8D68-EEEFD4173166}"/>
    <cellStyle name="Comma 15 2 2 6 2" xfId="5890" xr:uid="{5A231B60-5D13-4C13-891A-447E61009C2B}"/>
    <cellStyle name="Comma 15 2 2 7" xfId="3136" xr:uid="{2E1E8E8D-CF3F-4C04-9294-4D6858DA545D}"/>
    <cellStyle name="Comma 15 2 2 7 2" xfId="6335" xr:uid="{91C17B9B-1B85-4F77-BFC9-1BA1CAC80AEE}"/>
    <cellStyle name="Comma 15 2 2 8" xfId="3665" xr:uid="{C9AF2BE3-6090-4C67-8C18-88F53D515E43}"/>
    <cellStyle name="Comma 15 2 3" xfId="652" xr:uid="{2DDDB11C-82BE-413C-B032-BEA860049F18}"/>
    <cellStyle name="Comma 15 2 3 2" xfId="3888" xr:uid="{3BEEB9DB-D3D9-4408-98DE-0A3B3F5C2229}"/>
    <cellStyle name="Comma 15 2 4" xfId="1104" xr:uid="{4C8A17DD-99FC-4913-B17E-7DD468C94EEF}"/>
    <cellStyle name="Comma 15 2 4 2" xfId="4333" xr:uid="{CDEC313C-E8E2-4E41-BA8F-95D0D84D77D8}"/>
    <cellStyle name="Comma 15 2 5" xfId="1556" xr:uid="{BEA042F8-18AC-45AA-AA5E-5C4D6314F492}"/>
    <cellStyle name="Comma 15 2 5 2" xfId="4778" xr:uid="{5D7D5874-7A7B-4DDB-80B4-78E66BB23D91}"/>
    <cellStyle name="Comma 15 2 6" xfId="2008" xr:uid="{1BE10543-9AE0-4B05-8208-B808F18C6C90}"/>
    <cellStyle name="Comma 15 2 6 2" xfId="5223" xr:uid="{82F5AD06-CCE5-4420-9BAF-2692D8FD1B56}"/>
    <cellStyle name="Comma 15 2 7" xfId="2460" xr:uid="{97DD1352-23FA-495B-B433-E7624BFFC47A}"/>
    <cellStyle name="Comma 15 2 7 2" xfId="5668" xr:uid="{E83F7291-8F2A-4563-AD61-298E8A350C47}"/>
    <cellStyle name="Comma 15 2 8" xfId="2912" xr:uid="{7A392423-E709-42E4-8512-8A99BC6724C6}"/>
    <cellStyle name="Comma 15 2 8 2" xfId="6113" xr:uid="{4B8B2639-5C0F-4939-BCC6-4A4455C3CE9F}"/>
    <cellStyle name="Comma 15 2 9" xfId="3442" xr:uid="{D6026D65-8C65-4B8C-9B34-A8B76D9C0B55}"/>
    <cellStyle name="Comma 15 3" xfId="423" xr:uid="{1473B538-B399-4C46-9B79-C341D192C946}"/>
    <cellStyle name="Comma 15 3 2" xfId="875" xr:uid="{3FB7209A-3D4C-487C-BF29-81C77F367FCD}"/>
    <cellStyle name="Comma 15 3 2 2" xfId="4109" xr:uid="{68011A0B-E396-4B3C-9E6D-BDA84286ABC5}"/>
    <cellStyle name="Comma 15 3 3" xfId="1327" xr:uid="{F2BDB160-FC41-4514-93B3-BB6116AA0EFD}"/>
    <cellStyle name="Comma 15 3 3 2" xfId="4554" xr:uid="{BA27477D-B3C7-4456-9386-B45C730F21D2}"/>
    <cellStyle name="Comma 15 3 4" xfId="1779" xr:uid="{C0500CC8-9115-4882-BC23-D29E4565B3F7}"/>
    <cellStyle name="Comma 15 3 4 2" xfId="4999" xr:uid="{7C75A50E-FBFA-4182-BFED-A1A3BC0D8DA8}"/>
    <cellStyle name="Comma 15 3 5" xfId="2231" xr:uid="{0F420BFC-0E97-4E7C-BBDA-3C350736F5B1}"/>
    <cellStyle name="Comma 15 3 5 2" xfId="5444" xr:uid="{8F0557F4-4893-415E-8495-A2FF3CE69AF3}"/>
    <cellStyle name="Comma 15 3 6" xfId="2683" xr:uid="{30836304-4DD5-4843-B697-B2C204A18C4B}"/>
    <cellStyle name="Comma 15 3 6 2" xfId="5889" xr:uid="{5502BB0F-9C87-49FA-AC98-B860F31AF8CA}"/>
    <cellStyle name="Comma 15 3 7" xfId="3135" xr:uid="{F8C50BCB-C2BA-4CBD-B012-09BA1E269303}"/>
    <cellStyle name="Comma 15 3 7 2" xfId="6334" xr:uid="{0FF3DF3F-B850-4244-9A3A-55A2BBE96961}"/>
    <cellStyle name="Comma 15 3 8" xfId="3664" xr:uid="{80BCA1AA-E123-409D-9227-40EEA83E9BE9}"/>
    <cellStyle name="Comma 15 4" xfId="651" xr:uid="{5C8D5281-FC66-4660-B48E-F82AB5B07586}"/>
    <cellStyle name="Comma 15 4 2" xfId="3887" xr:uid="{2636CEBD-4066-48DC-9914-91870128625A}"/>
    <cellStyle name="Comma 15 5" xfId="1103" xr:uid="{90DB3F44-635E-49CB-BD8C-A5DD8AAA041F}"/>
    <cellStyle name="Comma 15 5 2" xfId="4332" xr:uid="{47AB5966-1A92-4104-A054-1DEBDF14AFB9}"/>
    <cellStyle name="Comma 15 6" xfId="1555" xr:uid="{C56A288B-F849-4655-B9E5-C07A17BD4341}"/>
    <cellStyle name="Comma 15 6 2" xfId="4777" xr:uid="{9C6427ED-7876-4BFB-B360-6C6B3E1DB0A4}"/>
    <cellStyle name="Comma 15 7" xfId="2007" xr:uid="{DBB432FF-6627-4E22-9200-479E22EEA8FE}"/>
    <cellStyle name="Comma 15 7 2" xfId="5222" xr:uid="{B0668809-5ACE-4B3E-8FBA-369EFDCE7367}"/>
    <cellStyle name="Comma 15 8" xfId="2459" xr:uid="{D0168DD6-86A6-4CEB-89C7-459A909CB4FA}"/>
    <cellStyle name="Comma 15 8 2" xfId="5667" xr:uid="{1D702070-7A88-44A2-BA04-0E943AA230BE}"/>
    <cellStyle name="Comma 15 9" xfId="2911" xr:uid="{A524BFF2-82AB-4C07-817C-E22BF5101F89}"/>
    <cellStyle name="Comma 15 9 2" xfId="6112" xr:uid="{3D47B782-DBA8-4262-9D5A-E569AD8B405C}"/>
    <cellStyle name="Comma 16" xfId="162" xr:uid="{56441C89-BBD3-4089-ADC8-8E0B6ACA81E5}"/>
    <cellStyle name="Comma 16 10" xfId="3443" xr:uid="{7F3D3FF1-555E-4C59-A329-53EDBF52E133}"/>
    <cellStyle name="Comma 16 2" xfId="163" xr:uid="{A26E13AE-AEA2-430E-AD78-CD2CA563CC8B}"/>
    <cellStyle name="Comma 16 2 2" xfId="426" xr:uid="{49779CD8-9B9A-44F1-BFB0-F0C0C0F621CB}"/>
    <cellStyle name="Comma 16 2 2 2" xfId="878" xr:uid="{6FC73F22-9DB6-49C0-A0E9-30D431846952}"/>
    <cellStyle name="Comma 16 2 2 2 2" xfId="4112" xr:uid="{23C5B8FF-22E5-477D-967D-37E57E8B46CA}"/>
    <cellStyle name="Comma 16 2 2 3" xfId="1330" xr:uid="{87FAE37F-00AF-4BB0-9C92-D870412DF9ED}"/>
    <cellStyle name="Comma 16 2 2 3 2" xfId="4557" xr:uid="{4325CCCF-C801-4415-9576-89F9AE826C37}"/>
    <cellStyle name="Comma 16 2 2 4" xfId="1782" xr:uid="{5280C831-0981-4BA8-8674-4B0212EA036E}"/>
    <cellStyle name="Comma 16 2 2 4 2" xfId="5002" xr:uid="{BB73CC54-C461-440B-A8EE-E08A613EAEA6}"/>
    <cellStyle name="Comma 16 2 2 5" xfId="2234" xr:uid="{B83F1E8C-852B-4FF6-B932-C0CCD96F54E5}"/>
    <cellStyle name="Comma 16 2 2 5 2" xfId="5447" xr:uid="{8152F900-1491-4BD3-92BC-6AC9D1B798D3}"/>
    <cellStyle name="Comma 16 2 2 6" xfId="2686" xr:uid="{FA2E1458-25C4-428D-B13B-156FCBED6C10}"/>
    <cellStyle name="Comma 16 2 2 6 2" xfId="5892" xr:uid="{180BFC6E-7262-4569-92B4-F5E70744FA48}"/>
    <cellStyle name="Comma 16 2 2 7" xfId="3138" xr:uid="{971C9EF7-C8E9-4103-8BC0-6629707E5A58}"/>
    <cellStyle name="Comma 16 2 2 7 2" xfId="6337" xr:uid="{A6205669-6927-4874-AEAA-1CC404921FA5}"/>
    <cellStyle name="Comma 16 2 2 8" xfId="3667" xr:uid="{2E2C2535-36E1-4D83-8A63-3BB3EAA64D9C}"/>
    <cellStyle name="Comma 16 2 3" xfId="654" xr:uid="{48E53897-C1A4-424F-BBB3-2DE3532600F1}"/>
    <cellStyle name="Comma 16 2 3 2" xfId="3890" xr:uid="{C0D9D9F5-32FA-439A-8294-D7E69CA063D0}"/>
    <cellStyle name="Comma 16 2 4" xfId="1106" xr:uid="{5F179A5A-2C0C-4A19-A8DC-D677224E0297}"/>
    <cellStyle name="Comma 16 2 4 2" xfId="4335" xr:uid="{C8347115-D710-4241-93C3-A34A5428EE45}"/>
    <cellStyle name="Comma 16 2 5" xfId="1558" xr:uid="{09883D2D-3178-4A33-A2F4-88303DF29E9A}"/>
    <cellStyle name="Comma 16 2 5 2" xfId="4780" xr:uid="{E780F209-A6D2-4ADB-9398-E08117927F36}"/>
    <cellStyle name="Comma 16 2 6" xfId="2010" xr:uid="{CCAF2721-D95F-4BC6-8A9E-6993F8B45871}"/>
    <cellStyle name="Comma 16 2 6 2" xfId="5225" xr:uid="{6853250D-ED91-47D6-9D4E-0257DFB629DB}"/>
    <cellStyle name="Comma 16 2 7" xfId="2462" xr:uid="{E8BFB0BD-A461-477C-B16F-4189DEF770FB}"/>
    <cellStyle name="Comma 16 2 7 2" xfId="5670" xr:uid="{21FA0496-432D-446D-8E46-0F8574F8B6D4}"/>
    <cellStyle name="Comma 16 2 8" xfId="2914" xr:uid="{CAF03AA8-8FDB-4018-BAB3-4B7451AADF70}"/>
    <cellStyle name="Comma 16 2 8 2" xfId="6115" xr:uid="{15364912-C688-4707-836B-F06D98DEB2DB}"/>
    <cellStyle name="Comma 16 2 9" xfId="3444" xr:uid="{99FACE9C-BF76-4335-ADB3-34B2F69BDB12}"/>
    <cellStyle name="Comma 16 3" xfId="425" xr:uid="{2EF976CD-BFA4-4A22-8839-14A29E9F04A8}"/>
    <cellStyle name="Comma 16 3 2" xfId="877" xr:uid="{E374B0B6-6758-4522-81BE-536E504CE482}"/>
    <cellStyle name="Comma 16 3 2 2" xfId="4111" xr:uid="{0F38B8EB-5599-4F19-9F4A-4DF15F88DC2E}"/>
    <cellStyle name="Comma 16 3 3" xfId="1329" xr:uid="{86146670-BBE6-418F-8416-24ACD700BFF7}"/>
    <cellStyle name="Comma 16 3 3 2" xfId="4556" xr:uid="{822A50BB-85D7-4912-87BF-C41904CA1DE9}"/>
    <cellStyle name="Comma 16 3 4" xfId="1781" xr:uid="{12BBE119-F2D4-460A-B968-1189098B8916}"/>
    <cellStyle name="Comma 16 3 4 2" xfId="5001" xr:uid="{E58965C7-0C3D-4004-8675-DD5B2284731D}"/>
    <cellStyle name="Comma 16 3 5" xfId="2233" xr:uid="{C55904FB-DC24-4EC6-B42D-DCF2EC26AEEF}"/>
    <cellStyle name="Comma 16 3 5 2" xfId="5446" xr:uid="{12CC793D-7F23-4912-88DB-73441FA4C6FC}"/>
    <cellStyle name="Comma 16 3 6" xfId="2685" xr:uid="{0A4A6E62-ABBF-4E33-B3C8-F4E528EFBC2F}"/>
    <cellStyle name="Comma 16 3 6 2" xfId="5891" xr:uid="{9D0F1A5E-5C64-4DBA-A3E1-1DD3C71B666F}"/>
    <cellStyle name="Comma 16 3 7" xfId="3137" xr:uid="{3FCE6F0F-065F-4389-80BB-FD952B21A8BF}"/>
    <cellStyle name="Comma 16 3 7 2" xfId="6336" xr:uid="{844B9239-7171-42C4-A5EA-2A36261F75F6}"/>
    <cellStyle name="Comma 16 3 8" xfId="3666" xr:uid="{28D226D1-482B-4258-80F6-E08EB1076DAE}"/>
    <cellStyle name="Comma 16 4" xfId="653" xr:uid="{7F2065EC-6082-4DB0-9F83-EB6368EA6C9E}"/>
    <cellStyle name="Comma 16 4 2" xfId="3889" xr:uid="{FBCA64DF-1FA4-42EC-9A3D-567F7C398BAD}"/>
    <cellStyle name="Comma 16 5" xfId="1105" xr:uid="{30B6259E-0EF2-43F0-A44B-34D255E9978B}"/>
    <cellStyle name="Comma 16 5 2" xfId="4334" xr:uid="{A0512FF5-FC5B-4EBE-8AAC-97C5C07D1132}"/>
    <cellStyle name="Comma 16 6" xfId="1557" xr:uid="{BE941E24-686B-4EF4-B31B-13BEAACADF10}"/>
    <cellStyle name="Comma 16 6 2" xfId="4779" xr:uid="{BA0AA6B2-2435-45F4-9D00-9C50EA333B78}"/>
    <cellStyle name="Comma 16 7" xfId="2009" xr:uid="{D595758A-8B13-42A9-A513-326B3DD6FD65}"/>
    <cellStyle name="Comma 16 7 2" xfId="5224" xr:uid="{07466DC4-9AEC-4D5D-9A23-A29AB499B849}"/>
    <cellStyle name="Comma 16 8" xfId="2461" xr:uid="{7C4F2EF3-FCD4-42EF-85DA-97DF820389EB}"/>
    <cellStyle name="Comma 16 8 2" xfId="5669" xr:uid="{C703B69C-4DBA-40F4-A439-BD84E56B5D68}"/>
    <cellStyle name="Comma 16 9" xfId="2913" xr:uid="{A74281AC-38F5-4FB2-8949-A17E51CFD1BA}"/>
    <cellStyle name="Comma 16 9 2" xfId="6114" xr:uid="{6A085EC4-00E0-40E2-9B14-3C400E804D1D}"/>
    <cellStyle name="Comma 17" xfId="164" xr:uid="{88F9ED78-357B-4E8A-98FA-BCA917F7929C}"/>
    <cellStyle name="Comma 17 10" xfId="3445" xr:uid="{DD252152-67FC-46F2-85D4-8B442AA27B3C}"/>
    <cellStyle name="Comma 17 2" xfId="165" xr:uid="{ECF81A17-2214-4A69-A55B-C6C3C6D71142}"/>
    <cellStyle name="Comma 17 2 2" xfId="428" xr:uid="{F239D7DA-9E66-4880-9337-93491FE10CE8}"/>
    <cellStyle name="Comma 17 2 2 2" xfId="880" xr:uid="{D2269EE9-7A27-4C11-B4D3-CC8D6F88606A}"/>
    <cellStyle name="Comma 17 2 2 2 2" xfId="4114" xr:uid="{FC5DAE6D-C941-4EA1-B638-DA18F4AAEECF}"/>
    <cellStyle name="Comma 17 2 2 3" xfId="1332" xr:uid="{8A00E0D0-051F-4E6D-B2CA-855CDEEBE515}"/>
    <cellStyle name="Comma 17 2 2 3 2" xfId="4559" xr:uid="{4E56390E-2B2D-415E-9BC8-380FFF7C3FE9}"/>
    <cellStyle name="Comma 17 2 2 4" xfId="1784" xr:uid="{084CF450-9AC2-4467-9DFB-E79560805F43}"/>
    <cellStyle name="Comma 17 2 2 4 2" xfId="5004" xr:uid="{76A08A10-509A-497A-9D1B-0E90503A199E}"/>
    <cellStyle name="Comma 17 2 2 5" xfId="2236" xr:uid="{036550AA-F4DD-462B-AC44-07C9D20F0246}"/>
    <cellStyle name="Comma 17 2 2 5 2" xfId="5449" xr:uid="{787218F2-E18D-4703-B6DE-781FC7326457}"/>
    <cellStyle name="Comma 17 2 2 6" xfId="2688" xr:uid="{4E422C55-003C-4EDB-BB8B-2F40334B3DEC}"/>
    <cellStyle name="Comma 17 2 2 6 2" xfId="5894" xr:uid="{91DA4BD9-0C82-4C7F-B1DB-582059FEE76E}"/>
    <cellStyle name="Comma 17 2 2 7" xfId="3140" xr:uid="{C5518205-FC8B-4454-8DCD-5E531980203E}"/>
    <cellStyle name="Comma 17 2 2 7 2" xfId="6339" xr:uid="{CE2F2BFA-1832-4B7C-B49A-9DB549624607}"/>
    <cellStyle name="Comma 17 2 2 8" xfId="3669" xr:uid="{9958793F-8B8E-4C1D-A243-82B490B5BBFC}"/>
    <cellStyle name="Comma 17 2 3" xfId="656" xr:uid="{559C5E1E-2DD8-41C7-A00E-AE4DFC3D3BF4}"/>
    <cellStyle name="Comma 17 2 3 2" xfId="3892" xr:uid="{A12BAE0D-AE9D-4B75-BE9E-C201903AC957}"/>
    <cellStyle name="Comma 17 2 4" xfId="1108" xr:uid="{FB02EFCF-A960-4A38-8498-8F7E1AEFB0E4}"/>
    <cellStyle name="Comma 17 2 4 2" xfId="4337" xr:uid="{EF2BAB7A-59B5-4108-A716-D3C0CDFC2671}"/>
    <cellStyle name="Comma 17 2 5" xfId="1560" xr:uid="{C99C0E3D-577A-4139-8EBE-BE838396187E}"/>
    <cellStyle name="Comma 17 2 5 2" xfId="4782" xr:uid="{A1BA2AF2-B95D-42F4-AB0F-928267F3459B}"/>
    <cellStyle name="Comma 17 2 6" xfId="2012" xr:uid="{1EEEB2D3-2E69-4C05-BFFE-238C20B5FB58}"/>
    <cellStyle name="Comma 17 2 6 2" xfId="5227" xr:uid="{F4E9E450-DDA0-4040-A475-FA53C34CE17D}"/>
    <cellStyle name="Comma 17 2 7" xfId="2464" xr:uid="{ACB503E8-538E-4798-918C-5B56326F299D}"/>
    <cellStyle name="Comma 17 2 7 2" xfId="5672" xr:uid="{C3952173-290A-41EB-8320-857DCBE82414}"/>
    <cellStyle name="Comma 17 2 8" xfId="2916" xr:uid="{2AE778DF-B29C-41C2-8838-06FF6502088F}"/>
    <cellStyle name="Comma 17 2 8 2" xfId="6117" xr:uid="{DE0E8224-748F-45C8-A59E-CF776B8A9444}"/>
    <cellStyle name="Comma 17 2 9" xfId="3446" xr:uid="{78DD0CBE-C81D-4E7F-9DE8-84EFD231B8C8}"/>
    <cellStyle name="Comma 17 3" xfId="427" xr:uid="{E1D43192-BE15-4F75-901F-0A5D7409B622}"/>
    <cellStyle name="Comma 17 3 2" xfId="879" xr:uid="{D25F66E2-E1E6-4035-9DA7-42C2F20E2D48}"/>
    <cellStyle name="Comma 17 3 2 2" xfId="4113" xr:uid="{86BBF6C2-ACD9-4559-8BD0-B2523A6FF9C2}"/>
    <cellStyle name="Comma 17 3 3" xfId="1331" xr:uid="{B7B66530-0C8B-45CD-BA16-C4F2058BB8DD}"/>
    <cellStyle name="Comma 17 3 3 2" xfId="4558" xr:uid="{9C467360-4C58-41E5-86D8-3D8C67780D5B}"/>
    <cellStyle name="Comma 17 3 4" xfId="1783" xr:uid="{75158649-39F0-46AA-925B-595787111B51}"/>
    <cellStyle name="Comma 17 3 4 2" xfId="5003" xr:uid="{8015843D-F7D0-47E3-86E7-EA6F346E3A8D}"/>
    <cellStyle name="Comma 17 3 5" xfId="2235" xr:uid="{59A74E2B-F0F4-4E95-AB0E-646CCDB88410}"/>
    <cellStyle name="Comma 17 3 5 2" xfId="5448" xr:uid="{740CE142-4A21-4AA6-90F2-7CA3758BE2E4}"/>
    <cellStyle name="Comma 17 3 6" xfId="2687" xr:uid="{3DA2C30D-884D-4793-919E-E86FF1A5F9CC}"/>
    <cellStyle name="Comma 17 3 6 2" xfId="5893" xr:uid="{812FB651-8C0A-49A0-85F8-3569CD7DC74B}"/>
    <cellStyle name="Comma 17 3 7" xfId="3139" xr:uid="{884C2904-A305-459C-9B34-F111AF51636B}"/>
    <cellStyle name="Comma 17 3 7 2" xfId="6338" xr:uid="{773F7E13-C225-4D25-BF34-A780FB0030FC}"/>
    <cellStyle name="Comma 17 3 8" xfId="3668" xr:uid="{9642C0A7-F23D-43BC-BF33-0C61A6ED641C}"/>
    <cellStyle name="Comma 17 4" xfId="655" xr:uid="{E39243F4-D204-407C-B960-39D21A1C63BB}"/>
    <cellStyle name="Comma 17 4 2" xfId="3891" xr:uid="{F85CE867-174E-4D25-9306-54E8B40D6374}"/>
    <cellStyle name="Comma 17 5" xfId="1107" xr:uid="{A157CB75-C99F-4A6A-8E03-56DDB98F2CDA}"/>
    <cellStyle name="Comma 17 5 2" xfId="4336" xr:uid="{311B47BB-76CF-4988-81BE-C7DF905A3FD5}"/>
    <cellStyle name="Comma 17 6" xfId="1559" xr:uid="{CB845C16-B885-401B-9E2E-87CA0EDC249F}"/>
    <cellStyle name="Comma 17 6 2" xfId="4781" xr:uid="{047091E9-02DB-44AC-B7E3-51327192E85B}"/>
    <cellStyle name="Comma 17 7" xfId="2011" xr:uid="{4B9A1E3A-7CD5-43BE-B313-9E627CC707CA}"/>
    <cellStyle name="Comma 17 7 2" xfId="5226" xr:uid="{81FF11F7-27D2-4F72-8D80-59BB8C09AA6D}"/>
    <cellStyle name="Comma 17 8" xfId="2463" xr:uid="{0AE1E234-C7E1-469C-B527-F1EBDC29AD39}"/>
    <cellStyle name="Comma 17 8 2" xfId="5671" xr:uid="{42B87C9E-74BC-4884-85D3-1FC48484FDC4}"/>
    <cellStyle name="Comma 17 9" xfId="2915" xr:uid="{494EF241-644B-4DF9-996A-9B2B2776E8EF}"/>
    <cellStyle name="Comma 17 9 2" xfId="6116" xr:uid="{CD0B6632-8E61-41BB-BD8D-67208BFF8464}"/>
    <cellStyle name="Comma 18" xfId="166" xr:uid="{F81B3770-702C-48B6-A306-76C58F8B39AD}"/>
    <cellStyle name="Comma 18 10" xfId="3447" xr:uid="{619ADFA1-58AD-4E57-8BB3-C950EE011455}"/>
    <cellStyle name="Comma 18 2" xfId="167" xr:uid="{9C1056ED-CC68-4500-BF58-53CE43F10757}"/>
    <cellStyle name="Comma 18 2 2" xfId="430" xr:uid="{1326FDC0-FCDD-4B7D-B4EF-6F24A06C7B42}"/>
    <cellStyle name="Comma 18 2 2 2" xfId="882" xr:uid="{F2A28C16-6308-4D6C-8F2B-F257C3B9874D}"/>
    <cellStyle name="Comma 18 2 2 2 2" xfId="4116" xr:uid="{10954648-05EC-4D69-9D3F-7F54DA46021F}"/>
    <cellStyle name="Comma 18 2 2 3" xfId="1334" xr:uid="{4309265F-B120-4232-B0C2-AC3FBCB5B016}"/>
    <cellStyle name="Comma 18 2 2 3 2" xfId="4561" xr:uid="{CB979534-B5A8-4A04-ABBC-B970ED2E2F60}"/>
    <cellStyle name="Comma 18 2 2 4" xfId="1786" xr:uid="{D22B5738-407D-4E63-BAE5-9586D5076E85}"/>
    <cellStyle name="Comma 18 2 2 4 2" xfId="5006" xr:uid="{0308E4AE-036E-4327-9FED-E693DCB2B212}"/>
    <cellStyle name="Comma 18 2 2 5" xfId="2238" xr:uid="{AA0404AC-FDA1-40A7-B153-5C40770C3D0C}"/>
    <cellStyle name="Comma 18 2 2 5 2" xfId="5451" xr:uid="{093701FD-19E5-47DD-ACA5-304FE63CF10E}"/>
    <cellStyle name="Comma 18 2 2 6" xfId="2690" xr:uid="{081CDD24-055B-43F0-9E90-A69C634F5314}"/>
    <cellStyle name="Comma 18 2 2 6 2" xfId="5896" xr:uid="{46A02AC4-CB11-4C58-8319-2E926AD26C49}"/>
    <cellStyle name="Comma 18 2 2 7" xfId="3142" xr:uid="{217BC517-1105-431C-8189-A395B60434BB}"/>
    <cellStyle name="Comma 18 2 2 7 2" xfId="6341" xr:uid="{FC77CC25-86F4-4B19-8122-D7077D716A5C}"/>
    <cellStyle name="Comma 18 2 2 8" xfId="3671" xr:uid="{6426BF7E-3772-4CF5-8F1A-0D0181735C90}"/>
    <cellStyle name="Comma 18 2 3" xfId="658" xr:uid="{08331D47-48BF-46E6-885A-4C293E02F26B}"/>
    <cellStyle name="Comma 18 2 3 2" xfId="3894" xr:uid="{24DCE062-FCCB-45AF-BF81-452651FDFCAF}"/>
    <cellStyle name="Comma 18 2 4" xfId="1110" xr:uid="{280C0010-0B8E-421F-900E-0831762E194B}"/>
    <cellStyle name="Comma 18 2 4 2" xfId="4339" xr:uid="{5503CE98-AC1A-47C3-8130-427D25123499}"/>
    <cellStyle name="Comma 18 2 5" xfId="1562" xr:uid="{6D630291-315D-464D-897B-282DC75575A3}"/>
    <cellStyle name="Comma 18 2 5 2" xfId="4784" xr:uid="{9548BBC0-0283-4691-924A-392DE05CCA83}"/>
    <cellStyle name="Comma 18 2 6" xfId="2014" xr:uid="{E92978CF-9D01-4375-BBF6-6D968ED49A2A}"/>
    <cellStyle name="Comma 18 2 6 2" xfId="5229" xr:uid="{8F0A42F5-1BD1-434D-BA57-4C6D07F5C3F3}"/>
    <cellStyle name="Comma 18 2 7" xfId="2466" xr:uid="{ABF101DA-8890-4A66-B842-51CB9EFD2E32}"/>
    <cellStyle name="Comma 18 2 7 2" xfId="5674" xr:uid="{CA7C42E8-0F7E-41F5-8565-29DEF628E2D6}"/>
    <cellStyle name="Comma 18 2 8" xfId="2918" xr:uid="{62DEDAE5-8109-40F4-8D4D-9618A84A69D9}"/>
    <cellStyle name="Comma 18 2 8 2" xfId="6119" xr:uid="{2EFFE506-03A9-4C20-9A98-20649E377DAD}"/>
    <cellStyle name="Comma 18 2 9" xfId="3448" xr:uid="{C7A180F9-74EE-45D1-AC95-2B6E6045C002}"/>
    <cellStyle name="Comma 18 3" xfId="429" xr:uid="{3E2C86FE-AB46-4BA8-BD2A-3B7AAC2D4130}"/>
    <cellStyle name="Comma 18 3 2" xfId="881" xr:uid="{6CF6A7A5-02E8-46FF-AC18-B60371E4DD27}"/>
    <cellStyle name="Comma 18 3 2 2" xfId="4115" xr:uid="{2B5CAD45-86B5-4279-BAB6-96B1EDA23B1C}"/>
    <cellStyle name="Comma 18 3 3" xfId="1333" xr:uid="{79B62BC8-3CCF-4BCB-8324-DB13A78DE25B}"/>
    <cellStyle name="Comma 18 3 3 2" xfId="4560" xr:uid="{6094F169-5B1E-4CAC-B6A0-77554F546EC9}"/>
    <cellStyle name="Comma 18 3 4" xfId="1785" xr:uid="{0BECCED8-81A4-45E5-9C06-34CD766EC151}"/>
    <cellStyle name="Comma 18 3 4 2" xfId="5005" xr:uid="{06BC1197-B5B6-4B65-AC04-24E9274226E3}"/>
    <cellStyle name="Comma 18 3 5" xfId="2237" xr:uid="{7E19FB18-2020-4CD4-AFBD-E1070E3DBA1A}"/>
    <cellStyle name="Comma 18 3 5 2" xfId="5450" xr:uid="{0DD0EE90-921E-4EB4-BD66-D6859811815B}"/>
    <cellStyle name="Comma 18 3 6" xfId="2689" xr:uid="{D4CDC5A2-2758-48AC-832C-3732415E4BCE}"/>
    <cellStyle name="Comma 18 3 6 2" xfId="5895" xr:uid="{7A9F61B2-9FB9-4EFC-B1D6-2D3B95FC8BBA}"/>
    <cellStyle name="Comma 18 3 7" xfId="3141" xr:uid="{9A4944A6-2F08-42C5-9F90-136D6B2BC8D7}"/>
    <cellStyle name="Comma 18 3 7 2" xfId="6340" xr:uid="{C6F66AE9-AB81-4AEE-BD12-C8D2FFC65B85}"/>
    <cellStyle name="Comma 18 3 8" xfId="3670" xr:uid="{E5695952-A7C9-4DD7-AD05-9B90D51C3E56}"/>
    <cellStyle name="Comma 18 4" xfId="657" xr:uid="{161CCC8B-399F-4A16-A7EA-E43C734D9E09}"/>
    <cellStyle name="Comma 18 4 2" xfId="3893" xr:uid="{B5CA5EA7-BD52-4A07-BA88-5D21B9B64A55}"/>
    <cellStyle name="Comma 18 5" xfId="1109" xr:uid="{6FFD663F-2BDF-4859-847A-00FB9916B061}"/>
    <cellStyle name="Comma 18 5 2" xfId="4338" xr:uid="{1F8422E8-6B36-41AB-B98A-6652D2BEBA66}"/>
    <cellStyle name="Comma 18 6" xfId="1561" xr:uid="{543D423B-7344-4457-AD74-1B365537512D}"/>
    <cellStyle name="Comma 18 6 2" xfId="4783" xr:uid="{5D9798C3-4BA1-44A0-87D5-2F4BE3A871E4}"/>
    <cellStyle name="Comma 18 7" xfId="2013" xr:uid="{8CE87746-7D20-4035-86ED-5AD66DC825F5}"/>
    <cellStyle name="Comma 18 7 2" xfId="5228" xr:uid="{B202F278-3944-4F40-8364-F26B38CA6DCA}"/>
    <cellStyle name="Comma 18 8" xfId="2465" xr:uid="{A8321FA1-DA5E-4651-9B5D-27A8F1E625BD}"/>
    <cellStyle name="Comma 18 8 2" xfId="5673" xr:uid="{630B724D-C114-4978-9905-A787F4468AE2}"/>
    <cellStyle name="Comma 18 9" xfId="2917" xr:uid="{9BCCB06E-2E85-4EC7-89E3-A601D32089CE}"/>
    <cellStyle name="Comma 18 9 2" xfId="6118" xr:uid="{05AF5B08-48F4-4EB7-A74B-83163A341654}"/>
    <cellStyle name="Comma 19" xfId="168" xr:uid="{A408A475-944C-44C9-BC10-26D066FE638C}"/>
    <cellStyle name="Comma 19 10" xfId="3449" xr:uid="{E5EE5EF3-AF80-42E1-BCD6-7C6DF0D44B90}"/>
    <cellStyle name="Comma 19 2" xfId="169" xr:uid="{883F5D4F-28E7-43FF-AB21-B758FA42FDE4}"/>
    <cellStyle name="Comma 19 2 2" xfId="432" xr:uid="{27DEECD1-4296-4575-AC55-65E78A1A609A}"/>
    <cellStyle name="Comma 19 2 2 2" xfId="884" xr:uid="{0FF61110-8573-4D0D-B746-2D5D2C808235}"/>
    <cellStyle name="Comma 19 2 2 2 2" xfId="4118" xr:uid="{FDC74D5C-881A-4E57-9236-BA4CB0F90247}"/>
    <cellStyle name="Comma 19 2 2 3" xfId="1336" xr:uid="{38C23289-B948-441A-901C-501590F15237}"/>
    <cellStyle name="Comma 19 2 2 3 2" xfId="4563" xr:uid="{3AE7B752-F5B7-475D-859B-F4FA9E658EF5}"/>
    <cellStyle name="Comma 19 2 2 4" xfId="1788" xr:uid="{071859F4-8D92-4C17-A491-522CA7486277}"/>
    <cellStyle name="Comma 19 2 2 4 2" xfId="5008" xr:uid="{C924F68C-A667-428F-9F2D-67BF78EF8458}"/>
    <cellStyle name="Comma 19 2 2 5" xfId="2240" xr:uid="{6490A383-6601-40DF-BBBC-A65BC9BB50DD}"/>
    <cellStyle name="Comma 19 2 2 5 2" xfId="5453" xr:uid="{84F1CE46-2A52-4359-AEE5-5EE0A988A57D}"/>
    <cellStyle name="Comma 19 2 2 6" xfId="2692" xr:uid="{8D326B00-69C8-42C6-ADEA-134DF4BFAFE2}"/>
    <cellStyle name="Comma 19 2 2 6 2" xfId="5898" xr:uid="{5B79F6AC-1968-4F6C-8141-57FF81E75059}"/>
    <cellStyle name="Comma 19 2 2 7" xfId="3144" xr:uid="{A78A8399-0E15-4911-88C0-DEDC929BE4B3}"/>
    <cellStyle name="Comma 19 2 2 7 2" xfId="6343" xr:uid="{F944E374-9324-45D8-9EB2-CA2C67CA19CE}"/>
    <cellStyle name="Comma 19 2 2 8" xfId="3673" xr:uid="{82520605-0C26-475D-9AB0-1001BC6DAB11}"/>
    <cellStyle name="Comma 19 2 3" xfId="660" xr:uid="{433E29EB-CC04-47BE-8D40-665528830782}"/>
    <cellStyle name="Comma 19 2 3 2" xfId="3896" xr:uid="{C5FE202F-F980-42F0-8E1A-E80DDEB49D50}"/>
    <cellStyle name="Comma 19 2 4" xfId="1112" xr:uid="{8A56538A-049C-400C-AEC7-7A04EDE1F5F5}"/>
    <cellStyle name="Comma 19 2 4 2" xfId="4341" xr:uid="{7DFFEC86-8275-4796-BFD4-8F8557B8C3DE}"/>
    <cellStyle name="Comma 19 2 5" xfId="1564" xr:uid="{A3C477D6-5EE9-4956-9ED3-D6A2139452E2}"/>
    <cellStyle name="Comma 19 2 5 2" xfId="4786" xr:uid="{1F651ADE-35DC-4ACE-AC21-AC13232B5649}"/>
    <cellStyle name="Comma 19 2 6" xfId="2016" xr:uid="{41DBFC5B-48BD-4C0B-A0DA-9AA4171F6BF9}"/>
    <cellStyle name="Comma 19 2 6 2" xfId="5231" xr:uid="{D9568404-C4D6-498A-AEBF-0972BDC757C5}"/>
    <cellStyle name="Comma 19 2 7" xfId="2468" xr:uid="{CEC551EA-38E4-4A49-A34E-CB8DEC7800FC}"/>
    <cellStyle name="Comma 19 2 7 2" xfId="5676" xr:uid="{26282D6E-3559-4E84-AC24-560B532E6D42}"/>
    <cellStyle name="Comma 19 2 8" xfId="2920" xr:uid="{8BCCA885-2A27-419B-BF24-B772439EDF74}"/>
    <cellStyle name="Comma 19 2 8 2" xfId="6121" xr:uid="{806B2C80-1BE9-49B8-8748-690CD1F701F9}"/>
    <cellStyle name="Comma 19 2 9" xfId="3450" xr:uid="{39A52B89-A474-423E-8E77-D9D43015FFD2}"/>
    <cellStyle name="Comma 19 3" xfId="431" xr:uid="{2972CE50-E7DD-4966-BC8A-1CF6088EBA32}"/>
    <cellStyle name="Comma 19 3 2" xfId="883" xr:uid="{F3B664FB-B9F1-43B7-943B-36D61B0A50FD}"/>
    <cellStyle name="Comma 19 3 2 2" xfId="4117" xr:uid="{1E7DB301-B87D-4DC1-840F-D6390C3260F5}"/>
    <cellStyle name="Comma 19 3 3" xfId="1335" xr:uid="{DD91963F-5A28-4C5B-B06D-BA9E070EA129}"/>
    <cellStyle name="Comma 19 3 3 2" xfId="4562" xr:uid="{641A60B5-729C-4D8C-9DA5-DC61AF1F9A2B}"/>
    <cellStyle name="Comma 19 3 4" xfId="1787" xr:uid="{9654AC92-4267-4CC3-9756-1A9449B0C78B}"/>
    <cellStyle name="Comma 19 3 4 2" xfId="5007" xr:uid="{4C87F2FF-1D1F-4AAF-AFAC-D1208C0718B9}"/>
    <cellStyle name="Comma 19 3 5" xfId="2239" xr:uid="{438704F6-FDEB-4618-B933-FB94A799A19A}"/>
    <cellStyle name="Comma 19 3 5 2" xfId="5452" xr:uid="{033E946E-BA46-47E5-887C-A1A143AB07B5}"/>
    <cellStyle name="Comma 19 3 6" xfId="2691" xr:uid="{7295CCD9-8572-4723-8D5A-84D77D54FCEE}"/>
    <cellStyle name="Comma 19 3 6 2" xfId="5897" xr:uid="{C0B9A3E7-22D7-45C7-8D73-B1DDA87CAE94}"/>
    <cellStyle name="Comma 19 3 7" xfId="3143" xr:uid="{54F393CA-21AB-48CC-89F4-4164ECE2D33E}"/>
    <cellStyle name="Comma 19 3 7 2" xfId="6342" xr:uid="{DB357DC3-5170-4FEF-B0F0-F2748ADBDDC2}"/>
    <cellStyle name="Comma 19 3 8" xfId="3672" xr:uid="{BE3FE6E5-17F7-438B-BA65-DB5A352D04AF}"/>
    <cellStyle name="Comma 19 4" xfId="659" xr:uid="{6414D515-15D9-4F82-96DA-DC9614C4634C}"/>
    <cellStyle name="Comma 19 4 2" xfId="3895" xr:uid="{BB311212-84FB-4872-8B0D-01335854FB91}"/>
    <cellStyle name="Comma 19 5" xfId="1111" xr:uid="{2F841DD9-82DE-4331-91D8-C4CD354A246C}"/>
    <cellStyle name="Comma 19 5 2" xfId="4340" xr:uid="{ED021383-FD65-4D4E-944E-726034CE2B83}"/>
    <cellStyle name="Comma 19 6" xfId="1563" xr:uid="{87EFA2FE-33B6-4C5E-9B15-4640A6AA7C9A}"/>
    <cellStyle name="Comma 19 6 2" xfId="4785" xr:uid="{FAF9DF1C-BC82-4DC4-8E65-937C7ED359C3}"/>
    <cellStyle name="Comma 19 7" xfId="2015" xr:uid="{9B5E5BE3-6BE4-4B26-8E2F-F75452604FF7}"/>
    <cellStyle name="Comma 19 7 2" xfId="5230" xr:uid="{1BEDF157-E771-45F4-B794-798E568C59EE}"/>
    <cellStyle name="Comma 19 8" xfId="2467" xr:uid="{94D90AC4-A2EF-49E3-BFE6-D2B28F5A991C}"/>
    <cellStyle name="Comma 19 8 2" xfId="5675" xr:uid="{3A4EACEA-4FE9-4BA2-81B8-140581D63D76}"/>
    <cellStyle name="Comma 19 9" xfId="2919" xr:uid="{6F87B77B-E8B7-4F10-AE5F-21BA36E436A4}"/>
    <cellStyle name="Comma 19 9 2" xfId="6120" xr:uid="{ECA5701A-54B0-4F1C-A2E9-12CABCC8DE67}"/>
    <cellStyle name="Comma 2" xfId="19" xr:uid="{BE13CF4A-8EA3-482C-A1BB-688089CF2F85}"/>
    <cellStyle name="Comma 2 10" xfId="2017" xr:uid="{897E0AB9-3831-4477-8419-B4EBCABDEE8F}"/>
    <cellStyle name="Comma 2 10 2" xfId="5232" xr:uid="{1914EDE5-01BE-4B10-A547-329360A8B7F5}"/>
    <cellStyle name="Comma 2 11" xfId="2469" xr:uid="{095D3373-75FF-42B8-AD5A-38F28E1AA27B}"/>
    <cellStyle name="Comma 2 11 2" xfId="5677" xr:uid="{21939EE0-73BA-4672-AB0B-227D7A651BBF}"/>
    <cellStyle name="Comma 2 12" xfId="2921" xr:uid="{9100B56F-7EA2-480F-8554-E9B430E07A8A}"/>
    <cellStyle name="Comma 2 12 2" xfId="6122" xr:uid="{4C0335D3-A07E-4A3B-A0AE-7BD77D505268}"/>
    <cellStyle name="Comma 2 13" xfId="3373" xr:uid="{71A89472-DE4F-4C43-AF00-7EC611262424}"/>
    <cellStyle name="Comma 2 2" xfId="5" xr:uid="{4DCCD6D5-8E6C-4BD7-AC11-540E6B7737A2}"/>
    <cellStyle name="Comma 2 2 10" xfId="171" xr:uid="{29938120-7575-43BD-8786-240B7CD21F5D}"/>
    <cellStyle name="Comma 2 2 10 2" xfId="3452" xr:uid="{EC961501-55EA-4319-AC99-2926E1B291FF}"/>
    <cellStyle name="Comma 2 2 2" xfId="172" xr:uid="{907E9944-D918-4222-8AB3-85661923ECEB}"/>
    <cellStyle name="Comma 2 2 2 2" xfId="435" xr:uid="{1230EF7F-71F6-461F-9B94-42E9347D23DE}"/>
    <cellStyle name="Comma 2 2 2 2 2" xfId="887" xr:uid="{D70B8C6F-74E4-4173-8422-E5AC4CDA9932}"/>
    <cellStyle name="Comma 2 2 2 2 2 2" xfId="4121" xr:uid="{F2979D26-8AEE-4530-AE4C-8C8B79B5ADBC}"/>
    <cellStyle name="Comma 2 2 2 2 3" xfId="1339" xr:uid="{454306CC-1C96-4DA0-9B06-D85C8D907252}"/>
    <cellStyle name="Comma 2 2 2 2 3 2" xfId="4566" xr:uid="{41517E40-E26C-4AF1-B6C2-878959A1DC5F}"/>
    <cellStyle name="Comma 2 2 2 2 4" xfId="1791" xr:uid="{A73869B0-9288-406C-AF58-C0C041DD9044}"/>
    <cellStyle name="Comma 2 2 2 2 4 2" xfId="5011" xr:uid="{945DCF2F-9987-4EB3-BCF3-ED29EA7286E1}"/>
    <cellStyle name="Comma 2 2 2 2 5" xfId="2243" xr:uid="{A40DFBF9-4C27-4471-8D65-6FF9DF7757DE}"/>
    <cellStyle name="Comma 2 2 2 2 5 2" xfId="5456" xr:uid="{0EDDF569-3530-4FF6-B734-0D4F8068300A}"/>
    <cellStyle name="Comma 2 2 2 2 6" xfId="2695" xr:uid="{75FC5BC9-2210-48C0-AEE0-E442A5DE6304}"/>
    <cellStyle name="Comma 2 2 2 2 6 2" xfId="5901" xr:uid="{8DE62EED-679E-4CF7-8954-FDEB38AAB71E}"/>
    <cellStyle name="Comma 2 2 2 2 7" xfId="3147" xr:uid="{C937440C-F350-408B-A06F-4F8531A0C017}"/>
    <cellStyle name="Comma 2 2 2 2 7 2" xfId="6346" xr:uid="{E5666BBE-A907-488C-9B0F-AF5AEDD8FC7A}"/>
    <cellStyle name="Comma 2 2 2 2 8" xfId="3676" xr:uid="{3FFC6C3E-5AFD-4080-A09B-E85209382379}"/>
    <cellStyle name="Comma 2 2 2 3" xfId="663" xr:uid="{F032DD49-D79E-4364-B1CE-D3CDE8FCFCC0}"/>
    <cellStyle name="Comma 2 2 2 3 2" xfId="3899" xr:uid="{FB081CDC-7C66-42C3-9D1B-DF0791D62511}"/>
    <cellStyle name="Comma 2 2 2 4" xfId="1115" xr:uid="{1773269D-A871-4E21-A4E5-158A84B64579}"/>
    <cellStyle name="Comma 2 2 2 4 2" xfId="4344" xr:uid="{814967FF-8C92-4033-AB92-2A2A7D5B79F0}"/>
    <cellStyle name="Comma 2 2 2 5" xfId="1567" xr:uid="{49C66991-0E8B-44B3-9F2B-063F3B8A322F}"/>
    <cellStyle name="Comma 2 2 2 5 2" xfId="4789" xr:uid="{7AD921E4-7BA5-4F20-86C9-279C54405E04}"/>
    <cellStyle name="Comma 2 2 2 6" xfId="2019" xr:uid="{363D8F08-00D6-4D5C-8E39-522E7504815B}"/>
    <cellStyle name="Comma 2 2 2 6 2" xfId="5234" xr:uid="{BF1BBC94-FE47-419C-9A02-DCC3B2B14D87}"/>
    <cellStyle name="Comma 2 2 2 7" xfId="2471" xr:uid="{6D886472-5B8B-440A-937F-C4F343816915}"/>
    <cellStyle name="Comma 2 2 2 7 2" xfId="5679" xr:uid="{188941CF-47CC-40D9-977A-6FDAA2117A78}"/>
    <cellStyle name="Comma 2 2 2 8" xfId="2923" xr:uid="{7AEB5DA5-6332-4C74-A44E-7A8D529B68A0}"/>
    <cellStyle name="Comma 2 2 2 8 2" xfId="6124" xr:uid="{7B3FB183-BA3F-4B70-B485-E839AC91D01F}"/>
    <cellStyle name="Comma 2 2 2 9" xfId="3453" xr:uid="{29FE635D-254A-47C1-8326-B15E01FE7D0C}"/>
    <cellStyle name="Comma 2 2 3" xfId="434" xr:uid="{354DE309-6707-4D0E-9E2D-2A9762360E38}"/>
    <cellStyle name="Comma 2 2 3 2" xfId="886" xr:uid="{311EEC1E-3D3A-4481-908B-316FB4154DBD}"/>
    <cellStyle name="Comma 2 2 3 2 2" xfId="4120" xr:uid="{788C8E61-D8C6-4D7A-90C1-7226323FB64C}"/>
    <cellStyle name="Comma 2 2 3 3" xfId="1338" xr:uid="{DB9B9496-EB3F-42C7-8C6C-8B87D36093DF}"/>
    <cellStyle name="Comma 2 2 3 3 2" xfId="4565" xr:uid="{6CFD7F9E-678A-4B41-B1D2-CAC1D06C4A90}"/>
    <cellStyle name="Comma 2 2 3 4" xfId="1790" xr:uid="{B298BD74-9F9E-48C5-B68D-B927F9BBF754}"/>
    <cellStyle name="Comma 2 2 3 4 2" xfId="5010" xr:uid="{1B0D93BD-FB2A-48C3-8250-754C4984A59F}"/>
    <cellStyle name="Comma 2 2 3 5" xfId="2242" xr:uid="{016A428A-0FE0-4E0A-86BB-3B143068352C}"/>
    <cellStyle name="Comma 2 2 3 5 2" xfId="5455" xr:uid="{7B610C81-75C0-4BCD-A4FA-0D6CF09B041D}"/>
    <cellStyle name="Comma 2 2 3 6" xfId="2694" xr:uid="{E78E3864-ADB1-4B28-ABA3-CA6353CA47B1}"/>
    <cellStyle name="Comma 2 2 3 6 2" xfId="5900" xr:uid="{31C7EC10-8832-4DD2-AAD1-99673DC6711A}"/>
    <cellStyle name="Comma 2 2 3 7" xfId="3146" xr:uid="{8BB9848B-FB2E-4344-B472-1D100B0C1D25}"/>
    <cellStyle name="Comma 2 2 3 7 2" xfId="6345" xr:uid="{B719F503-DCA8-4AA8-9594-61EE13A75037}"/>
    <cellStyle name="Comma 2 2 3 8" xfId="3675" xr:uid="{9C6338BE-7C8D-4CC8-AB6C-3854A4935C76}"/>
    <cellStyle name="Comma 2 2 4" xfId="662" xr:uid="{30B3EABB-47DA-4ECC-BFFF-A5FE5E4920DA}"/>
    <cellStyle name="Comma 2 2 4 2" xfId="3898" xr:uid="{DD9B5FDB-FAF7-42ED-BCC1-6DC7D843BC67}"/>
    <cellStyle name="Comma 2 2 5" xfId="1114" xr:uid="{682AC2CF-B0C3-4377-AA2B-ADD6BCBFDA39}"/>
    <cellStyle name="Comma 2 2 5 2" xfId="4343" xr:uid="{39412540-A0D5-4AC3-9435-01A7719F40A9}"/>
    <cellStyle name="Comma 2 2 6" xfId="1566" xr:uid="{1B6D95FE-9490-40A1-AE5A-3D54235CFA4A}"/>
    <cellStyle name="Comma 2 2 6 2" xfId="4788" xr:uid="{D38244E4-53C0-4461-B9BD-1705AFEF5FDB}"/>
    <cellStyle name="Comma 2 2 7" xfId="2018" xr:uid="{CC50B9E2-3382-48CD-8DBE-1412F22D327B}"/>
    <cellStyle name="Comma 2 2 7 2" xfId="5233" xr:uid="{5D74DD02-4147-4E10-969A-C1F06113F171}"/>
    <cellStyle name="Comma 2 2 8" xfId="2470" xr:uid="{AE6A62E2-14FB-4152-BBF4-6DBB35735819}"/>
    <cellStyle name="Comma 2 2 8 2" xfId="5678" xr:uid="{FC642FB5-B876-441C-8B1A-06160083F3A5}"/>
    <cellStyle name="Comma 2 2 9" xfId="2922" xr:uid="{22875D82-B446-487D-ACB5-FD3428A3203A}"/>
    <cellStyle name="Comma 2 2 9 2" xfId="6123" xr:uid="{2B87A72E-732E-4C6F-8934-F85223668E9C}"/>
    <cellStyle name="Comma 2 3" xfId="173" xr:uid="{49833377-4570-465C-867F-348C2D81882D}"/>
    <cellStyle name="Comma 2 3 2" xfId="436" xr:uid="{0F363F9A-05F4-4A56-BC9C-5545359B6318}"/>
    <cellStyle name="Comma 2 3 2 2" xfId="888" xr:uid="{4D670146-55C7-4A0D-B059-FDF4996E74A2}"/>
    <cellStyle name="Comma 2 3 2 2 2" xfId="4122" xr:uid="{B6F57F60-5495-43C7-8DF3-5C2881DBB5F9}"/>
    <cellStyle name="Comma 2 3 2 3" xfId="1340" xr:uid="{F1FD261E-4B5E-419D-88E9-F59D632EC488}"/>
    <cellStyle name="Comma 2 3 2 3 2" xfId="4567" xr:uid="{ABF3A4ED-8C1C-402B-A156-066266F255D3}"/>
    <cellStyle name="Comma 2 3 2 4" xfId="1792" xr:uid="{34F83264-6E37-4C24-99C6-4B237D05C35F}"/>
    <cellStyle name="Comma 2 3 2 4 2" xfId="5012" xr:uid="{20DDC06B-F18C-46D5-89AF-2194FF76F53B}"/>
    <cellStyle name="Comma 2 3 2 5" xfId="2244" xr:uid="{AF00AAB9-C6A4-4F2B-B879-1340AB0A3CFB}"/>
    <cellStyle name="Comma 2 3 2 5 2" xfId="5457" xr:uid="{4E6AFCC3-0EC6-497F-8DC7-75D3BC09067E}"/>
    <cellStyle name="Comma 2 3 2 6" xfId="2696" xr:uid="{86805741-53B9-4830-B99D-84B221A93D23}"/>
    <cellStyle name="Comma 2 3 2 6 2" xfId="5902" xr:uid="{12614D60-8718-4284-8B98-F9210AA5A8FA}"/>
    <cellStyle name="Comma 2 3 2 7" xfId="3148" xr:uid="{D58F328E-0CFB-4BE1-906F-C35BBBE44C5F}"/>
    <cellStyle name="Comma 2 3 2 7 2" xfId="6347" xr:uid="{CE1024DF-4B60-4EAD-B135-550C1276C3F9}"/>
    <cellStyle name="Comma 2 3 2 8" xfId="3677" xr:uid="{FFB15528-0D2E-4906-9E5A-B1B5FA37D54F}"/>
    <cellStyle name="Comma 2 3 3" xfId="664" xr:uid="{12C5E1CC-B777-4AC3-A54C-D5E337C51A0C}"/>
    <cellStyle name="Comma 2 3 3 2" xfId="3900" xr:uid="{20B55B4E-9AB8-46FA-A4DD-7AA0C7E7532A}"/>
    <cellStyle name="Comma 2 3 4" xfId="1116" xr:uid="{C8D5BBBC-9D5A-4F97-BFA4-757E7F3D666E}"/>
    <cellStyle name="Comma 2 3 4 2" xfId="4345" xr:uid="{5EC3CDE4-7688-4FA5-9AA7-1A8C880DB8AE}"/>
    <cellStyle name="Comma 2 3 5" xfId="1568" xr:uid="{AEEE83DE-7000-4C76-AD84-5B5F62868932}"/>
    <cellStyle name="Comma 2 3 5 2" xfId="4790" xr:uid="{8A5CF53D-CFEA-4E4D-A922-6C532DD01EC1}"/>
    <cellStyle name="Comma 2 3 6" xfId="2020" xr:uid="{96B4F6B9-5BD1-43D7-A987-AACF3E6E0376}"/>
    <cellStyle name="Comma 2 3 6 2" xfId="5235" xr:uid="{E8758D59-0E9A-4FC3-AA73-8B407AEFB93B}"/>
    <cellStyle name="Comma 2 3 7" xfId="2472" xr:uid="{D02EDF0A-0258-4446-B764-E47A1BB31B18}"/>
    <cellStyle name="Comma 2 3 7 2" xfId="5680" xr:uid="{99F9AD86-19BA-4234-B68E-B11BB5CB2F5A}"/>
    <cellStyle name="Comma 2 3 8" xfId="2924" xr:uid="{39FB1B54-6507-45E4-B007-2C305EFAEB78}"/>
    <cellStyle name="Comma 2 3 8 2" xfId="6125" xr:uid="{2CF01CF9-2A4C-4FB4-9452-94C8CFC5C49E}"/>
    <cellStyle name="Comma 2 3 9" xfId="3454" xr:uid="{9D9A96B6-F2F0-4924-ABD3-D35F2A8187A9}"/>
    <cellStyle name="Comma 2 4" xfId="174" xr:uid="{EE05E1ED-2C74-4B82-93AF-86F372A6A37C}"/>
    <cellStyle name="Comma 2 4 2" xfId="437" xr:uid="{8F357EA6-93E7-4B0F-BAC0-E7576ACB31F1}"/>
    <cellStyle name="Comma 2 4 2 2" xfId="889" xr:uid="{DE53BD4F-D34D-4E31-81D7-A2709C943218}"/>
    <cellStyle name="Comma 2 4 2 2 2" xfId="4123" xr:uid="{423D4CF5-DAD4-4CDB-A1E5-0CC415F9A12D}"/>
    <cellStyle name="Comma 2 4 2 3" xfId="1341" xr:uid="{40A2789D-C7FA-460C-89F4-BF06ECA892E2}"/>
    <cellStyle name="Comma 2 4 2 3 2" xfId="4568" xr:uid="{13605BF7-4A3D-4242-A61C-0B744005D057}"/>
    <cellStyle name="Comma 2 4 2 4" xfId="1793" xr:uid="{BFFA5BB0-859C-4ED0-8534-D27A648C4D92}"/>
    <cellStyle name="Comma 2 4 2 4 2" xfId="5013" xr:uid="{71DE6E0E-0DB3-44A3-B3C1-51D2D11E4F46}"/>
    <cellStyle name="Comma 2 4 2 5" xfId="2245" xr:uid="{B1EBC9EE-78A8-4137-A749-9590B576D76C}"/>
    <cellStyle name="Comma 2 4 2 5 2" xfId="5458" xr:uid="{A854B279-FA6E-4724-8E37-C1DFDE3C3C45}"/>
    <cellStyle name="Comma 2 4 2 6" xfId="2697" xr:uid="{C57B36D8-C482-4345-AFA3-FBDB14D74562}"/>
    <cellStyle name="Comma 2 4 2 6 2" xfId="5903" xr:uid="{86797C6E-E7AB-40B2-A99C-760F9BBF1517}"/>
    <cellStyle name="Comma 2 4 2 7" xfId="3149" xr:uid="{E5200199-934F-4E45-900D-9F10BDEBCD70}"/>
    <cellStyle name="Comma 2 4 2 7 2" xfId="6348" xr:uid="{B9A009F3-28E1-487D-83F5-BC8622AC9D88}"/>
    <cellStyle name="Comma 2 4 2 8" xfId="3678" xr:uid="{95750F9D-DCC5-4E12-A3BD-F92AC15E6E37}"/>
    <cellStyle name="Comma 2 4 3" xfId="665" xr:uid="{1C096E92-FF30-4D64-BCC1-990DFA637A83}"/>
    <cellStyle name="Comma 2 4 3 2" xfId="3901" xr:uid="{A6119CAC-471B-4A0F-9C48-736B95C942BA}"/>
    <cellStyle name="Comma 2 4 4" xfId="1117" xr:uid="{71D411B2-4103-4F03-949B-764764AB821F}"/>
    <cellStyle name="Comma 2 4 4 2" xfId="4346" xr:uid="{DFF10AF2-86FB-4EB2-9A07-7120930CFD9A}"/>
    <cellStyle name="Comma 2 4 5" xfId="1569" xr:uid="{4AD0E1AD-C18A-4473-9AAF-A7153EFC02C6}"/>
    <cellStyle name="Comma 2 4 5 2" xfId="4791" xr:uid="{019C2E14-29A0-4474-A8C2-2C1C692E0F3D}"/>
    <cellStyle name="Comma 2 4 6" xfId="2021" xr:uid="{D046E459-3B61-43F7-8D36-CA04DA4788EF}"/>
    <cellStyle name="Comma 2 4 6 2" xfId="5236" xr:uid="{452752D5-9C79-419E-83C8-B7F82540B2E0}"/>
    <cellStyle name="Comma 2 4 7" xfId="2473" xr:uid="{D543C41B-95C1-475D-AEE6-1E3827813D48}"/>
    <cellStyle name="Comma 2 4 7 2" xfId="5681" xr:uid="{CC1E031A-D9DE-48A7-8A57-786F74E2FD58}"/>
    <cellStyle name="Comma 2 4 8" xfId="2925" xr:uid="{8E339FF0-742C-4F5A-AC3E-7B8D0A95691C}"/>
    <cellStyle name="Comma 2 4 8 2" xfId="6126" xr:uid="{F06D3DD0-B08E-40E2-8633-EF4FC6D23D80}"/>
    <cellStyle name="Comma 2 4 9" xfId="3455" xr:uid="{0094C752-99F2-487E-A360-90371A800FE6}"/>
    <cellStyle name="Comma 2 5" xfId="433" xr:uid="{506139E7-1BEE-49E7-9E75-08078CCE0EE4}"/>
    <cellStyle name="Comma 2 5 2" xfId="885" xr:uid="{FBF08DF1-A2C9-4C96-A9B0-E8433081E1D5}"/>
    <cellStyle name="Comma 2 5 2 2" xfId="4119" xr:uid="{DA659FED-1CBB-4451-8A47-B442543CF8DB}"/>
    <cellStyle name="Comma 2 5 3" xfId="1337" xr:uid="{2C7FEA06-FB45-4EB8-938E-8A7C18ACEFFE}"/>
    <cellStyle name="Comma 2 5 3 2" xfId="4564" xr:uid="{E58F4B7A-5417-4B43-B3D8-43DFB29641B0}"/>
    <cellStyle name="Comma 2 5 4" xfId="1789" xr:uid="{F3285FD1-0587-448C-A5E9-BF1DD36589DF}"/>
    <cellStyle name="Comma 2 5 4 2" xfId="5009" xr:uid="{B8790E45-70F9-41C8-B434-2BB2C31BE312}"/>
    <cellStyle name="Comma 2 5 5" xfId="2241" xr:uid="{D69599FB-E741-48B5-8EA5-C39CD7D623F5}"/>
    <cellStyle name="Comma 2 5 5 2" xfId="5454" xr:uid="{BAB168BC-B35C-46FA-BE89-CEC5F9728CEF}"/>
    <cellStyle name="Comma 2 5 6" xfId="2693" xr:uid="{1CCE1838-A20C-4807-875A-B9E4471B0F65}"/>
    <cellStyle name="Comma 2 5 6 2" xfId="5899" xr:uid="{B4E677EC-2A20-4F70-A639-7A81E0491D6A}"/>
    <cellStyle name="Comma 2 5 7" xfId="3145" xr:uid="{48744F41-6CDA-41EC-9983-530F150EB059}"/>
    <cellStyle name="Comma 2 5 7 2" xfId="6344" xr:uid="{3E3E75BB-C27E-440D-A42C-900A2C8CD460}"/>
    <cellStyle name="Comma 2 5 8" xfId="3674" xr:uid="{963F029E-4223-44C0-BF2B-528F7C1DD6D0}"/>
    <cellStyle name="Comma 2 6" xfId="170" xr:uid="{54EC203C-B1FD-4E09-A819-1733CC9FE8BE}"/>
    <cellStyle name="Comma 2 6 2" xfId="3451" xr:uid="{59B6936B-5013-45A5-A4AE-B5EEAAFEC610}"/>
    <cellStyle name="Comma 2 7" xfId="661" xr:uid="{534E4329-6D01-4776-A074-E81B8F1415BA}"/>
    <cellStyle name="Comma 2 7 2" xfId="3897" xr:uid="{50790539-FBD1-4DCA-B71B-BCD1889A7CA3}"/>
    <cellStyle name="Comma 2 8" xfId="1113" xr:uid="{EA0E6385-2CF8-4FC5-A7A8-5E445BC65DDC}"/>
    <cellStyle name="Comma 2 8 2" xfId="4342" xr:uid="{16E0D029-7E90-40DD-B4CC-960662F06C6C}"/>
    <cellStyle name="Comma 2 9" xfId="1565" xr:uid="{E9338C81-D1A5-4BDF-8427-BE19A29F9C13}"/>
    <cellStyle name="Comma 2 9 2" xfId="4787" xr:uid="{972E125B-DE00-412A-B447-713B86A79E6A}"/>
    <cellStyle name="Comma 20" xfId="175" xr:uid="{77469259-DD8C-4198-9909-C234798700CE}"/>
    <cellStyle name="Comma 20 10" xfId="3456" xr:uid="{EF430923-36AD-4D8E-AABB-1550B4111B9A}"/>
    <cellStyle name="Comma 20 2" xfId="176" xr:uid="{73C2640F-D7BB-424B-A214-EBCE69C343B8}"/>
    <cellStyle name="Comma 20 2 2" xfId="439" xr:uid="{2DC3063C-6E39-4D73-8F8A-6678C3FBA4E0}"/>
    <cellStyle name="Comma 20 2 2 2" xfId="891" xr:uid="{A34CF6E3-0974-4EB4-9363-B42F378722CE}"/>
    <cellStyle name="Comma 20 2 2 2 2" xfId="4125" xr:uid="{B6CAC21D-56B3-4329-821F-EF2023C16324}"/>
    <cellStyle name="Comma 20 2 2 3" xfId="1343" xr:uid="{CF123485-FBBA-49D1-9613-359EE921FA72}"/>
    <cellStyle name="Comma 20 2 2 3 2" xfId="4570" xr:uid="{E8B9BB7C-94C9-4C2F-A97C-3C76B67B5F91}"/>
    <cellStyle name="Comma 20 2 2 4" xfId="1795" xr:uid="{93951690-A657-4958-AEFB-06B1FD18A858}"/>
    <cellStyle name="Comma 20 2 2 4 2" xfId="5015" xr:uid="{633D859B-694E-4970-B30A-06A041B8F697}"/>
    <cellStyle name="Comma 20 2 2 5" xfId="2247" xr:uid="{EE4F5069-C143-4AE5-B697-B81FF80491E7}"/>
    <cellStyle name="Comma 20 2 2 5 2" xfId="5460" xr:uid="{EBC7A9EA-6CD4-4966-97F5-71E8E2070CD8}"/>
    <cellStyle name="Comma 20 2 2 6" xfId="2699" xr:uid="{78C32843-B24E-4145-AEA2-0AACEB9F22D9}"/>
    <cellStyle name="Comma 20 2 2 6 2" xfId="5905" xr:uid="{2ACCC5C9-53BF-4E38-8BF2-067D1BF74047}"/>
    <cellStyle name="Comma 20 2 2 7" xfId="3151" xr:uid="{1E8350AF-B2E1-4E01-85EF-90B16D363FAF}"/>
    <cellStyle name="Comma 20 2 2 7 2" xfId="6350" xr:uid="{0CD854D7-518E-41F3-92A1-693101679749}"/>
    <cellStyle name="Comma 20 2 2 8" xfId="3680" xr:uid="{F5240D7A-E4FD-4864-8BA8-CB7E14CBCB56}"/>
    <cellStyle name="Comma 20 2 3" xfId="667" xr:uid="{3925B625-0B9F-4A89-8AB7-FD1FC74B28C6}"/>
    <cellStyle name="Comma 20 2 3 2" xfId="3903" xr:uid="{42D8A513-35B5-4416-8292-C2FF5A302C1D}"/>
    <cellStyle name="Comma 20 2 4" xfId="1119" xr:uid="{EEA60822-2302-4494-A30B-F318800A2EB3}"/>
    <cellStyle name="Comma 20 2 4 2" xfId="4348" xr:uid="{DAFB841D-0058-4C68-AEA1-E96EFAC6E981}"/>
    <cellStyle name="Comma 20 2 5" xfId="1571" xr:uid="{7EF52A53-5F5A-4A9F-B5D3-AE6A28DEA912}"/>
    <cellStyle name="Comma 20 2 5 2" xfId="4793" xr:uid="{D74D965A-46A1-4ADB-A717-5DCFCBCEDA54}"/>
    <cellStyle name="Comma 20 2 6" xfId="2023" xr:uid="{01B356E5-AD36-41B4-A52E-E18DC095F2DF}"/>
    <cellStyle name="Comma 20 2 6 2" xfId="5238" xr:uid="{59F045BB-F0E6-4FD1-BD23-28CB4765018A}"/>
    <cellStyle name="Comma 20 2 7" xfId="2475" xr:uid="{AB9113E0-8B04-4030-92EB-53C862C5F259}"/>
    <cellStyle name="Comma 20 2 7 2" xfId="5683" xr:uid="{4EDCCF7E-BA74-4C9B-ACEB-46A49D066ACE}"/>
    <cellStyle name="Comma 20 2 8" xfId="2927" xr:uid="{FE546BE6-A4BB-4F83-A11F-20A3F297EA38}"/>
    <cellStyle name="Comma 20 2 8 2" xfId="6128" xr:uid="{1B480232-69AE-435B-85B3-1F628867E40B}"/>
    <cellStyle name="Comma 20 2 9" xfId="3457" xr:uid="{12EB3DE7-931A-4142-A12D-EB2C9C846126}"/>
    <cellStyle name="Comma 20 3" xfId="438" xr:uid="{26C6F6A0-B287-45C5-93EB-A8C955E12C21}"/>
    <cellStyle name="Comma 20 3 2" xfId="890" xr:uid="{2D7E42AD-B2BF-40C1-969D-AB3E2EEE782C}"/>
    <cellStyle name="Comma 20 3 2 2" xfId="4124" xr:uid="{7DD9D9B0-463F-4141-AF1B-E88104D5B01B}"/>
    <cellStyle name="Comma 20 3 3" xfId="1342" xr:uid="{53A5779C-49D3-47BE-ADC7-F046E8E03491}"/>
    <cellStyle name="Comma 20 3 3 2" xfId="4569" xr:uid="{D84ADC93-7DD1-4183-8116-31FAF42A3651}"/>
    <cellStyle name="Comma 20 3 4" xfId="1794" xr:uid="{0E96E50E-2586-4ABC-89C9-DF72AFDB7B93}"/>
    <cellStyle name="Comma 20 3 4 2" xfId="5014" xr:uid="{8882854B-6301-4189-BA06-C1291C673685}"/>
    <cellStyle name="Comma 20 3 5" xfId="2246" xr:uid="{AAA1AF0E-410F-4CCB-BB92-25B03DF6D40D}"/>
    <cellStyle name="Comma 20 3 5 2" xfId="5459" xr:uid="{F9B1FAD8-3B53-4D6D-9B59-C94F0202A2C9}"/>
    <cellStyle name="Comma 20 3 6" xfId="2698" xr:uid="{8A51E654-7B10-4004-B467-7A9ED26FCB23}"/>
    <cellStyle name="Comma 20 3 6 2" xfId="5904" xr:uid="{038B009F-572C-4ABE-BA8A-B3DF2101A5C1}"/>
    <cellStyle name="Comma 20 3 7" xfId="3150" xr:uid="{8A795A70-4DD2-4D44-8F1F-EC31F287A61E}"/>
    <cellStyle name="Comma 20 3 7 2" xfId="6349" xr:uid="{FCC2B758-9AE1-4EA3-B36C-F09552ADB307}"/>
    <cellStyle name="Comma 20 3 8" xfId="3679" xr:uid="{948F11E7-CB6A-4C73-9C28-A9DFF9B07A50}"/>
    <cellStyle name="Comma 20 4" xfId="666" xr:uid="{BC7B8D0C-F60F-4585-8F74-0F4F9B51387B}"/>
    <cellStyle name="Comma 20 4 2" xfId="3902" xr:uid="{EEA7BB09-0294-4FBB-9E15-AB93C15A1FB4}"/>
    <cellStyle name="Comma 20 5" xfId="1118" xr:uid="{BC74DB8D-EF12-4326-99F2-4051AFE9D359}"/>
    <cellStyle name="Comma 20 5 2" xfId="4347" xr:uid="{E3EB1C0C-AF18-4C76-98B8-4869E6B991DD}"/>
    <cellStyle name="Comma 20 6" xfId="1570" xr:uid="{CB59E954-F3E3-447C-AFBA-569749DE0EF9}"/>
    <cellStyle name="Comma 20 6 2" xfId="4792" xr:uid="{0AB52664-5E14-4767-A75E-99297F2D1538}"/>
    <cellStyle name="Comma 20 7" xfId="2022" xr:uid="{ECAF9CCF-2AAC-46FE-A717-84EFC913A7CF}"/>
    <cellStyle name="Comma 20 7 2" xfId="5237" xr:uid="{6601BC7C-2A6A-4B05-A87C-CC92A46A3FC6}"/>
    <cellStyle name="Comma 20 8" xfId="2474" xr:uid="{CD569C59-DFA4-4234-B216-60C80F6EAF92}"/>
    <cellStyle name="Comma 20 8 2" xfId="5682" xr:uid="{0E9F7D37-225C-44DD-9A72-2A0A90BAB145}"/>
    <cellStyle name="Comma 20 9" xfId="2926" xr:uid="{30386DB8-E08E-451F-9565-E4902DA331AF}"/>
    <cellStyle name="Comma 20 9 2" xfId="6127" xr:uid="{46A5A996-C3FF-420B-9BDC-4099DB4E76A4}"/>
    <cellStyle name="Comma 21" xfId="177" xr:uid="{44E2AC98-0E2F-476C-92F2-5E2ED78AC055}"/>
    <cellStyle name="Comma 21 10" xfId="3458" xr:uid="{CDA77DA0-3637-40C0-A54C-A02FF29059A7}"/>
    <cellStyle name="Comma 21 2" xfId="178" xr:uid="{6B5AB971-B396-41DD-BC28-D08A63E809D8}"/>
    <cellStyle name="Comma 21 2 2" xfId="441" xr:uid="{075932D5-03BE-474A-8101-4A88CC1AF2F6}"/>
    <cellStyle name="Comma 21 2 2 2" xfId="893" xr:uid="{F2B51171-767A-4726-8813-62C6C4294262}"/>
    <cellStyle name="Comma 21 2 2 2 2" xfId="4127" xr:uid="{3F7A461B-230D-4793-AEBF-98D95C4DE4B9}"/>
    <cellStyle name="Comma 21 2 2 3" xfId="1345" xr:uid="{9C102045-84F7-4E03-A67B-E702C964CF81}"/>
    <cellStyle name="Comma 21 2 2 3 2" xfId="4572" xr:uid="{7E1ED665-DBEE-4E27-957F-B9E8B97DFA19}"/>
    <cellStyle name="Comma 21 2 2 4" xfId="1797" xr:uid="{0991222F-A9B6-4BB1-BDCB-AB84FCA7A55F}"/>
    <cellStyle name="Comma 21 2 2 4 2" xfId="5017" xr:uid="{37B3061A-86AB-427D-9D39-9C20B008B92B}"/>
    <cellStyle name="Comma 21 2 2 5" xfId="2249" xr:uid="{ABCB1FA3-3BE6-4347-BC42-D5F52E79B301}"/>
    <cellStyle name="Comma 21 2 2 5 2" xfId="5462" xr:uid="{41E1124A-7297-492A-B26A-5C468CCBD26D}"/>
    <cellStyle name="Comma 21 2 2 6" xfId="2701" xr:uid="{CE5F0A00-B89D-4AC6-AFD1-923E6CA0AFA3}"/>
    <cellStyle name="Comma 21 2 2 6 2" xfId="5907" xr:uid="{A92BD2E8-345C-4131-BE1A-6BCFD9D7ACFA}"/>
    <cellStyle name="Comma 21 2 2 7" xfId="3153" xr:uid="{F2CAB431-0A73-4077-B78E-D0EC2CFFDD77}"/>
    <cellStyle name="Comma 21 2 2 7 2" xfId="6352" xr:uid="{7A209295-A619-4FCC-9A1F-6747C4B69899}"/>
    <cellStyle name="Comma 21 2 2 8" xfId="3682" xr:uid="{1D5A9749-730F-4370-817C-C1DDEE54FC9E}"/>
    <cellStyle name="Comma 21 2 3" xfId="669" xr:uid="{56DE58AD-FAD4-4C9F-BDF9-13EE9E62859A}"/>
    <cellStyle name="Comma 21 2 3 2" xfId="3905" xr:uid="{1BB2CAF4-D763-4AFE-99B3-0C2EF7FDCC25}"/>
    <cellStyle name="Comma 21 2 4" xfId="1121" xr:uid="{B58034B1-0BA4-485C-898C-A9CC85157818}"/>
    <cellStyle name="Comma 21 2 4 2" xfId="4350" xr:uid="{7E3305CA-AF67-4D3B-A9C0-BFF9BD6A13EE}"/>
    <cellStyle name="Comma 21 2 5" xfId="1573" xr:uid="{0E786CC2-EA3E-436E-AEAF-21AF8823A2D4}"/>
    <cellStyle name="Comma 21 2 5 2" xfId="4795" xr:uid="{D479EB50-8732-4DC4-A37F-DB22FD2F5A1D}"/>
    <cellStyle name="Comma 21 2 6" xfId="2025" xr:uid="{DEF9E4E4-DDFF-43D8-AAC8-480F952DCADB}"/>
    <cellStyle name="Comma 21 2 6 2" xfId="5240" xr:uid="{F4857AAF-BA54-4771-9719-C2655E3D6E6A}"/>
    <cellStyle name="Comma 21 2 7" xfId="2477" xr:uid="{09110280-7E8F-49BF-BB82-E3BD7DBEB27D}"/>
    <cellStyle name="Comma 21 2 7 2" xfId="5685" xr:uid="{C466FB6D-59A1-4923-B7E8-4467171663C5}"/>
    <cellStyle name="Comma 21 2 8" xfId="2929" xr:uid="{8B3388A5-5AFF-4B66-BDFA-80A3A0501629}"/>
    <cellStyle name="Comma 21 2 8 2" xfId="6130" xr:uid="{62F4AAD9-4FBB-430A-A36A-7C7AA790834A}"/>
    <cellStyle name="Comma 21 2 9" xfId="3459" xr:uid="{46184962-EBB5-4F4D-AAE9-13DE7C8A5226}"/>
    <cellStyle name="Comma 21 3" xfId="440" xr:uid="{865F219F-910C-49DB-B3B4-7C8495164828}"/>
    <cellStyle name="Comma 21 3 2" xfId="892" xr:uid="{7F87ADEB-3B70-467A-A640-AF6BFD770317}"/>
    <cellStyle name="Comma 21 3 2 2" xfId="4126" xr:uid="{F0008933-56FE-4258-AEB5-A90B85F9A3DF}"/>
    <cellStyle name="Comma 21 3 3" xfId="1344" xr:uid="{16B2651C-3CAE-4729-BBAE-D716C8085493}"/>
    <cellStyle name="Comma 21 3 3 2" xfId="4571" xr:uid="{5D57154E-3465-4392-8207-BE2F702B3BA9}"/>
    <cellStyle name="Comma 21 3 4" xfId="1796" xr:uid="{8481FCB2-AE37-4BB3-8F80-4AF275A80988}"/>
    <cellStyle name="Comma 21 3 4 2" xfId="5016" xr:uid="{C1ACD1FD-F416-4379-AA67-D988FB6552EE}"/>
    <cellStyle name="Comma 21 3 5" xfId="2248" xr:uid="{F95F3566-357B-4EA0-A9CD-12F0EA2EFE81}"/>
    <cellStyle name="Comma 21 3 5 2" xfId="5461" xr:uid="{6BC414FC-1840-4AF4-A7B6-14DF896476AB}"/>
    <cellStyle name="Comma 21 3 6" xfId="2700" xr:uid="{4E2F231D-68AA-469A-89D5-B706A1685AC9}"/>
    <cellStyle name="Comma 21 3 6 2" xfId="5906" xr:uid="{7C7B3391-6486-4579-BA15-B67F1044675C}"/>
    <cellStyle name="Comma 21 3 7" xfId="3152" xr:uid="{8C0A84D4-AB1C-48DE-AA1A-B099360ACC7A}"/>
    <cellStyle name="Comma 21 3 7 2" xfId="6351" xr:uid="{835F440C-437C-4A9D-9637-62E1CF23EFCA}"/>
    <cellStyle name="Comma 21 3 8" xfId="3681" xr:uid="{08476865-FFAD-4779-B412-6F4BFE46BC69}"/>
    <cellStyle name="Comma 21 4" xfId="668" xr:uid="{8B16131E-1DCD-4358-92E4-3DACA9EF301A}"/>
    <cellStyle name="Comma 21 4 2" xfId="3904" xr:uid="{4F94FA04-E1C9-42F2-BFE9-EAE02A38B6EE}"/>
    <cellStyle name="Comma 21 5" xfId="1120" xr:uid="{58681ECD-C683-4FBF-9383-C4058F865D93}"/>
    <cellStyle name="Comma 21 5 2" xfId="4349" xr:uid="{C779E653-8916-4EFC-9AD1-7E0D7CD0C99D}"/>
    <cellStyle name="Comma 21 6" xfId="1572" xr:uid="{1777A77D-4D69-400B-9D9F-27AA9A43FF64}"/>
    <cellStyle name="Comma 21 6 2" xfId="4794" xr:uid="{BEE40FD9-F1AE-4E89-8659-AC0B531A76DF}"/>
    <cellStyle name="Comma 21 7" xfId="2024" xr:uid="{9F3735D6-3B23-4CE5-A357-D8A0E28E1E31}"/>
    <cellStyle name="Comma 21 7 2" xfId="5239" xr:uid="{22F94503-6935-4B3F-8BA7-2A24B12B67B6}"/>
    <cellStyle name="Comma 21 8" xfId="2476" xr:uid="{F92A0A25-6373-4C58-93E9-2FED826C0E5D}"/>
    <cellStyle name="Comma 21 8 2" xfId="5684" xr:uid="{A9D2AF14-FBF8-4344-A531-09474C3936AE}"/>
    <cellStyle name="Comma 21 9" xfId="2928" xr:uid="{A4DA0375-98AA-493D-B670-124BE9A9B633}"/>
    <cellStyle name="Comma 21 9 2" xfId="6129" xr:uid="{B88F306E-E8EA-453E-8D0B-6A081D507919}"/>
    <cellStyle name="Comma 22" xfId="179" xr:uid="{6C335FF2-08D1-4E4D-AB7B-0798DB9C2BC0}"/>
    <cellStyle name="Comma 22 10" xfId="3460" xr:uid="{14E84D9E-3623-414B-B9DC-20A226EEF7CF}"/>
    <cellStyle name="Comma 22 2" xfId="180" xr:uid="{BC230607-C4B0-439B-8872-8D04C06B085F}"/>
    <cellStyle name="Comma 22 2 2" xfId="443" xr:uid="{C09C637A-315B-4A45-9C88-1AF9599380E3}"/>
    <cellStyle name="Comma 22 2 2 2" xfId="895" xr:uid="{1F0B7381-BD7E-4CE4-A1B6-25753F7C0847}"/>
    <cellStyle name="Comma 22 2 2 2 2" xfId="4129" xr:uid="{C5CA24C5-93C4-4FBF-A466-04F7F662B28C}"/>
    <cellStyle name="Comma 22 2 2 3" xfId="1347" xr:uid="{5FAD1DFA-ED58-4B5C-9607-DBDAC0A285B3}"/>
    <cellStyle name="Comma 22 2 2 3 2" xfId="4574" xr:uid="{F66F177B-F7DF-4309-A4CB-A95232507085}"/>
    <cellStyle name="Comma 22 2 2 4" xfId="1799" xr:uid="{D3AC8CD4-4272-4DB8-8C7B-C5394B1616EB}"/>
    <cellStyle name="Comma 22 2 2 4 2" xfId="5019" xr:uid="{538EFCA8-83B2-4EDD-B44C-5EC358FC0A54}"/>
    <cellStyle name="Comma 22 2 2 5" xfId="2251" xr:uid="{FA245E90-5D7A-47F0-8C5B-C2201CD52359}"/>
    <cellStyle name="Comma 22 2 2 5 2" xfId="5464" xr:uid="{A03EDFE4-71D1-4362-8655-54DBDF6394FB}"/>
    <cellStyle name="Comma 22 2 2 6" xfId="2703" xr:uid="{288B83DA-5A90-481B-8876-14F5B7574753}"/>
    <cellStyle name="Comma 22 2 2 6 2" xfId="5909" xr:uid="{89687901-B6A3-4D89-A2E3-DCA8B0C055D6}"/>
    <cellStyle name="Comma 22 2 2 7" xfId="3155" xr:uid="{68E71FB3-B8B7-44AA-8AF3-53D137E95B7D}"/>
    <cellStyle name="Comma 22 2 2 7 2" xfId="6354" xr:uid="{E2E9D471-6E8E-47F9-936F-F8E012EA2A75}"/>
    <cellStyle name="Comma 22 2 2 8" xfId="3684" xr:uid="{60013134-6C54-4C47-A5BD-C2478B8866FC}"/>
    <cellStyle name="Comma 22 2 3" xfId="671" xr:uid="{40B7BBB8-6C27-450F-BD61-F840ABBEF348}"/>
    <cellStyle name="Comma 22 2 3 2" xfId="3907" xr:uid="{F23737DC-806F-4C3F-8318-F20B04C2B6BF}"/>
    <cellStyle name="Comma 22 2 4" xfId="1123" xr:uid="{69B2A8E1-40E3-4630-B3B4-A9A241BD600B}"/>
    <cellStyle name="Comma 22 2 4 2" xfId="4352" xr:uid="{294EAD79-61E6-48D3-A92A-E062DEABB27D}"/>
    <cellStyle name="Comma 22 2 5" xfId="1575" xr:uid="{4BF67B4A-A041-4C11-9AD6-BAC9CD119F80}"/>
    <cellStyle name="Comma 22 2 5 2" xfId="4797" xr:uid="{95774129-BE30-45D0-8BBE-0E39E278959E}"/>
    <cellStyle name="Comma 22 2 6" xfId="2027" xr:uid="{49C2D253-1953-4286-B1F1-6A8853E5D52F}"/>
    <cellStyle name="Comma 22 2 6 2" xfId="5242" xr:uid="{BC3D84CA-F562-4D50-B8DB-AE550AA8845C}"/>
    <cellStyle name="Comma 22 2 7" xfId="2479" xr:uid="{89635765-4B09-43D2-8E2F-B0D7229A01B3}"/>
    <cellStyle name="Comma 22 2 7 2" xfId="5687" xr:uid="{FE00BB73-DB00-410E-A011-31D5B777FBB0}"/>
    <cellStyle name="Comma 22 2 8" xfId="2931" xr:uid="{5B9F1A58-1807-412A-A3CE-1600DEA90614}"/>
    <cellStyle name="Comma 22 2 8 2" xfId="6132" xr:uid="{F17C567F-CC7C-4E47-A0A4-9A81C3DB3B4A}"/>
    <cellStyle name="Comma 22 2 9" xfId="3461" xr:uid="{0CB15166-0569-4BD8-8827-AB0D73086EF1}"/>
    <cellStyle name="Comma 22 3" xfId="442" xr:uid="{97590F77-4FED-4353-AFD7-012A870BC3C7}"/>
    <cellStyle name="Comma 22 3 2" xfId="894" xr:uid="{D7D78440-F59D-489D-9812-F82AAEC9F491}"/>
    <cellStyle name="Comma 22 3 2 2" xfId="4128" xr:uid="{E1C30AA4-56FC-4417-A9EB-39261FD65D04}"/>
    <cellStyle name="Comma 22 3 3" xfId="1346" xr:uid="{E6B09048-1F5A-40E7-A6C4-020D699BEF6E}"/>
    <cellStyle name="Comma 22 3 3 2" xfId="4573" xr:uid="{ED56EDFB-4343-4EB8-B8D5-0DA3ADC1E288}"/>
    <cellStyle name="Comma 22 3 4" xfId="1798" xr:uid="{31AD519D-A30A-4344-9631-4032D4231978}"/>
    <cellStyle name="Comma 22 3 4 2" xfId="5018" xr:uid="{5910F703-75CC-4CE7-A9F7-09C7D235D386}"/>
    <cellStyle name="Comma 22 3 5" xfId="2250" xr:uid="{BFF0F200-DA6B-4B3F-9B49-B20EA96C2F9A}"/>
    <cellStyle name="Comma 22 3 5 2" xfId="5463" xr:uid="{7404C6C5-7056-4B46-BE2C-265FBB23F8A4}"/>
    <cellStyle name="Comma 22 3 6" xfId="2702" xr:uid="{309F79AE-4508-4684-B9AF-72D1FBAC68E2}"/>
    <cellStyle name="Comma 22 3 6 2" xfId="5908" xr:uid="{A85DDAB7-618D-408D-B7B1-7E61C353E507}"/>
    <cellStyle name="Comma 22 3 7" xfId="3154" xr:uid="{9E6FF01C-647C-487B-91B6-92BFAC35B8FF}"/>
    <cellStyle name="Comma 22 3 7 2" xfId="6353" xr:uid="{A92FB99D-A6B2-4022-BCDC-1D25C27DCB23}"/>
    <cellStyle name="Comma 22 3 8" xfId="3683" xr:uid="{BE40CDC9-43C2-4C5B-984D-6972CF0E7441}"/>
    <cellStyle name="Comma 22 4" xfId="670" xr:uid="{D972E283-B189-44A0-9039-76BEF450E1C8}"/>
    <cellStyle name="Comma 22 4 2" xfId="3906" xr:uid="{08DFD279-5DBE-4CBF-83DF-5B0E26B49888}"/>
    <cellStyle name="Comma 22 5" xfId="1122" xr:uid="{5C632159-6651-49A2-BB60-5209B0EEEB48}"/>
    <cellStyle name="Comma 22 5 2" xfId="4351" xr:uid="{0F6C9E57-DD68-4264-8CF5-A09213E246E7}"/>
    <cellStyle name="Comma 22 6" xfId="1574" xr:uid="{C03BF296-93B0-4A0C-85FF-838622F96881}"/>
    <cellStyle name="Comma 22 6 2" xfId="4796" xr:uid="{81BB925C-4896-484D-ADD3-93542D053B2E}"/>
    <cellStyle name="Comma 22 7" xfId="2026" xr:uid="{1269292B-7CB3-4367-8075-FB17EB93A435}"/>
    <cellStyle name="Comma 22 7 2" xfId="5241" xr:uid="{FD33E2B9-3ABD-4A14-B520-BE59492BC297}"/>
    <cellStyle name="Comma 22 8" xfId="2478" xr:uid="{2646DB72-91B8-491D-B8AB-5E37B3DE1FA8}"/>
    <cellStyle name="Comma 22 8 2" xfId="5686" xr:uid="{D97F8939-5AB9-4AD3-90E8-4746365B9DA0}"/>
    <cellStyle name="Comma 22 9" xfId="2930" xr:uid="{C92629FF-415D-4185-967D-FB3EBFE4F0C4}"/>
    <cellStyle name="Comma 22 9 2" xfId="6131" xr:uid="{CD729B4A-B024-4017-8285-BEAF0357579A}"/>
    <cellStyle name="Comma 23" xfId="181" xr:uid="{954AAB6D-637A-4C1E-BE97-948EE66B1E3D}"/>
    <cellStyle name="Comma 23 10" xfId="3462" xr:uid="{7C360490-54A9-47AE-8B0D-B3EB794C69C8}"/>
    <cellStyle name="Comma 23 2" xfId="182" xr:uid="{1554E1E4-DE90-476E-80C1-A90C808C1E2F}"/>
    <cellStyle name="Comma 23 2 2" xfId="445" xr:uid="{E66D6202-6788-4197-80B9-1AEDA1016641}"/>
    <cellStyle name="Comma 23 2 2 2" xfId="897" xr:uid="{EAB77EA7-2164-4E96-B9F4-FA68E0716AEB}"/>
    <cellStyle name="Comma 23 2 2 2 2" xfId="4131" xr:uid="{93FEDFF0-622B-425F-B720-15DF69003A52}"/>
    <cellStyle name="Comma 23 2 2 3" xfId="1349" xr:uid="{C3F53407-7080-42DB-BB32-221AAE751E01}"/>
    <cellStyle name="Comma 23 2 2 3 2" xfId="4576" xr:uid="{744485FB-20C0-47C8-A2E2-E53C7B5A7663}"/>
    <cellStyle name="Comma 23 2 2 4" xfId="1801" xr:uid="{4ADDE9A3-E624-4790-875C-66F088140E5F}"/>
    <cellStyle name="Comma 23 2 2 4 2" xfId="5021" xr:uid="{5864AC40-793F-4214-A718-DFDC07DEA01A}"/>
    <cellStyle name="Comma 23 2 2 5" xfId="2253" xr:uid="{140DB60D-9630-4B3D-B0D1-CFD3CC0F80C6}"/>
    <cellStyle name="Comma 23 2 2 5 2" xfId="5466" xr:uid="{8E482EE1-BBAA-45AB-A928-476EAC3459EC}"/>
    <cellStyle name="Comma 23 2 2 6" xfId="2705" xr:uid="{3627A770-FD0F-458D-8849-0B45F26ECF40}"/>
    <cellStyle name="Comma 23 2 2 6 2" xfId="5911" xr:uid="{A1B03969-BDDB-4008-9ABA-7A6B2D766920}"/>
    <cellStyle name="Comma 23 2 2 7" xfId="3157" xr:uid="{5BAB61D7-00A1-41D1-8588-CE6034843B86}"/>
    <cellStyle name="Comma 23 2 2 7 2" xfId="6356" xr:uid="{D25EF3E8-FD80-4C77-BD9C-DE32C6875EA5}"/>
    <cellStyle name="Comma 23 2 2 8" xfId="3686" xr:uid="{1DE13A31-CBF2-4926-8BE0-253A09C10807}"/>
    <cellStyle name="Comma 23 2 3" xfId="673" xr:uid="{60C5D88D-0BB6-4DC9-913A-AD5D3E15D5F4}"/>
    <cellStyle name="Comma 23 2 3 2" xfId="3909" xr:uid="{19B9067D-5ECB-40C0-A6DB-B3EF80C69DD5}"/>
    <cellStyle name="Comma 23 2 4" xfId="1125" xr:uid="{BE21FCE4-735C-4701-B509-1CBE2BAA051A}"/>
    <cellStyle name="Comma 23 2 4 2" xfId="4354" xr:uid="{5AFD39C0-23A1-41DF-9462-0A9B725AC3E6}"/>
    <cellStyle name="Comma 23 2 5" xfId="1577" xr:uid="{798EDB0A-D743-4B56-8840-C479E0EC032C}"/>
    <cellStyle name="Comma 23 2 5 2" xfId="4799" xr:uid="{7C806F80-4623-4F24-B070-40961BC2248F}"/>
    <cellStyle name="Comma 23 2 6" xfId="2029" xr:uid="{2351F629-14AC-4726-9436-9E53D9C4D465}"/>
    <cellStyle name="Comma 23 2 6 2" xfId="5244" xr:uid="{63A1A1C6-064F-4361-9C8C-C4C99E635E2F}"/>
    <cellStyle name="Comma 23 2 7" xfId="2481" xr:uid="{02A8B63A-2FE0-460B-9D9C-2C8A658E3963}"/>
    <cellStyle name="Comma 23 2 7 2" xfId="5689" xr:uid="{50166AEB-AB6B-4495-82A8-57EA8F67ACD0}"/>
    <cellStyle name="Comma 23 2 8" xfId="2933" xr:uid="{3E0D9EB0-AF48-4DF5-BC6B-EED31D2423F5}"/>
    <cellStyle name="Comma 23 2 8 2" xfId="6134" xr:uid="{C0ABA356-A161-4670-A20F-1CBC26885782}"/>
    <cellStyle name="Comma 23 2 9" xfId="3463" xr:uid="{84F44C82-9FD9-4813-B7D7-0AB50D0E6432}"/>
    <cellStyle name="Comma 23 3" xfId="444" xr:uid="{901EC20E-9286-44A3-BA4F-8527D0827783}"/>
    <cellStyle name="Comma 23 3 2" xfId="896" xr:uid="{E0C137D6-2FEF-47F7-ACA7-2A32CD273C30}"/>
    <cellStyle name="Comma 23 3 2 2" xfId="4130" xr:uid="{2B304CD7-A917-45B1-9265-9AA551F896EB}"/>
    <cellStyle name="Comma 23 3 3" xfId="1348" xr:uid="{592B802D-53AD-4667-9BCF-86C2C45C1601}"/>
    <cellStyle name="Comma 23 3 3 2" xfId="4575" xr:uid="{1AEF251E-9826-440A-949D-337088024DDA}"/>
    <cellStyle name="Comma 23 3 4" xfId="1800" xr:uid="{A6982B7E-115C-4BC6-9C74-8AC276C91925}"/>
    <cellStyle name="Comma 23 3 4 2" xfId="5020" xr:uid="{2092BACB-E99C-4A2B-824A-EC50ED52329F}"/>
    <cellStyle name="Comma 23 3 5" xfId="2252" xr:uid="{66AE2372-F4FB-4090-8998-C17EF2FDAFEC}"/>
    <cellStyle name="Comma 23 3 5 2" xfId="5465" xr:uid="{6D11E45B-03F0-4456-A959-F1F04B2F5FF2}"/>
    <cellStyle name="Comma 23 3 6" xfId="2704" xr:uid="{F6BC87E3-4C93-4AE4-A361-749BACD666D8}"/>
    <cellStyle name="Comma 23 3 6 2" xfId="5910" xr:uid="{70AF4EF4-8C68-4E06-AF3C-FCCE1038C7AE}"/>
    <cellStyle name="Comma 23 3 7" xfId="3156" xr:uid="{8433D96C-9B6F-49DF-9663-610A4C4EF539}"/>
    <cellStyle name="Comma 23 3 7 2" xfId="6355" xr:uid="{86F04C34-D461-4F42-8D04-22FD1DF19BEF}"/>
    <cellStyle name="Comma 23 3 8" xfId="3685" xr:uid="{E2AE386E-C048-4F90-9C64-E12CD1C258F0}"/>
    <cellStyle name="Comma 23 4" xfId="672" xr:uid="{2DDB4780-7CC2-48A3-B64E-DAF2E0FC75C4}"/>
    <cellStyle name="Comma 23 4 2" xfId="3908" xr:uid="{935C5857-33BF-4203-B624-8AE0E3159251}"/>
    <cellStyle name="Comma 23 5" xfId="1124" xr:uid="{57013045-A481-4A0A-88B5-4012319361D8}"/>
    <cellStyle name="Comma 23 5 2" xfId="4353" xr:uid="{31E8E034-8BA5-4151-A5CB-2ED267A2458A}"/>
    <cellStyle name="Comma 23 6" xfId="1576" xr:uid="{EDCC6086-6093-43F9-9DB2-1E7CA4A11440}"/>
    <cellStyle name="Comma 23 6 2" xfId="4798" xr:uid="{A3367971-D964-429E-90E5-05DD8F6AC066}"/>
    <cellStyle name="Comma 23 7" xfId="2028" xr:uid="{5F928D3C-6727-4890-8BB2-AF93D9B55771}"/>
    <cellStyle name="Comma 23 7 2" xfId="5243" xr:uid="{A6B5EAC4-1319-44B1-B222-53C65C04CB9A}"/>
    <cellStyle name="Comma 23 8" xfId="2480" xr:uid="{14F49E94-8807-455F-9C52-71B5CB1C72B8}"/>
    <cellStyle name="Comma 23 8 2" xfId="5688" xr:uid="{44A888BA-01EF-47BD-B8AE-CD37300461FB}"/>
    <cellStyle name="Comma 23 9" xfId="2932" xr:uid="{A54CFDF4-2CF8-4DDB-868F-4277FDE8A250}"/>
    <cellStyle name="Comma 23 9 2" xfId="6133" xr:uid="{457B1CC1-5335-43E1-970B-4EC54D79955C}"/>
    <cellStyle name="Comma 24" xfId="183" xr:uid="{59B45E4D-05AD-48AA-B59E-C056A009D5E5}"/>
    <cellStyle name="Comma 24 10" xfId="3464" xr:uid="{35F54F63-37C0-4AB5-A0E3-F5E7968D0F29}"/>
    <cellStyle name="Comma 24 2" xfId="184" xr:uid="{149107E5-AE47-4E50-BBE8-3D6B207C3846}"/>
    <cellStyle name="Comma 24 2 2" xfId="447" xr:uid="{346DCF25-A49C-400B-8FF4-FE2A59F9B48B}"/>
    <cellStyle name="Comma 24 2 2 2" xfId="899" xr:uid="{0F6F7849-09BC-45B2-B95D-DE4757B3F2B8}"/>
    <cellStyle name="Comma 24 2 2 2 2" xfId="4133" xr:uid="{332EA1D4-892A-4CF7-B0B1-08AD280E8C86}"/>
    <cellStyle name="Comma 24 2 2 3" xfId="1351" xr:uid="{098D953E-BB1A-45CF-B14A-4E1DD3D0177E}"/>
    <cellStyle name="Comma 24 2 2 3 2" xfId="4578" xr:uid="{6C6B21D8-84EF-4291-BE60-E053145B1E78}"/>
    <cellStyle name="Comma 24 2 2 4" xfId="1803" xr:uid="{C5F13D46-404F-4F90-B5AB-A6233F9F87A3}"/>
    <cellStyle name="Comma 24 2 2 4 2" xfId="5023" xr:uid="{EB6EE69C-2C09-440C-BDF0-2C29E3E3C590}"/>
    <cellStyle name="Comma 24 2 2 5" xfId="2255" xr:uid="{BE4855EC-05A8-437D-9277-4A8855DDE5C8}"/>
    <cellStyle name="Comma 24 2 2 5 2" xfId="5468" xr:uid="{33FC6A8F-C24C-4025-97C4-95069417191F}"/>
    <cellStyle name="Comma 24 2 2 6" xfId="2707" xr:uid="{B18799FC-9186-4309-991A-AE8EDBC09E13}"/>
    <cellStyle name="Comma 24 2 2 6 2" xfId="5913" xr:uid="{51B42C51-BBF7-45FF-A486-AAD14E83CFC9}"/>
    <cellStyle name="Comma 24 2 2 7" xfId="3159" xr:uid="{554ACE46-F819-42FC-9E7E-EC30C0695C65}"/>
    <cellStyle name="Comma 24 2 2 7 2" xfId="6358" xr:uid="{28B99AD1-7B90-4A71-8E07-8E773C20415F}"/>
    <cellStyle name="Comma 24 2 2 8" xfId="3688" xr:uid="{02156EF9-A420-4B82-B22C-2545D270A5C3}"/>
    <cellStyle name="Comma 24 2 3" xfId="675" xr:uid="{E031B630-46EC-4ED3-A9F4-572ABBF89D5D}"/>
    <cellStyle name="Comma 24 2 3 2" xfId="3911" xr:uid="{254857CF-898A-4F46-B262-6FDBABA61330}"/>
    <cellStyle name="Comma 24 2 4" xfId="1127" xr:uid="{B80A322C-C2A4-4A2C-81D5-01236216BD2C}"/>
    <cellStyle name="Comma 24 2 4 2" xfId="4356" xr:uid="{3983D233-5C9B-4ED0-B3DE-34C49F065502}"/>
    <cellStyle name="Comma 24 2 5" xfId="1579" xr:uid="{374BF8BA-9FB9-44E9-BCA2-3D55EE5B16FA}"/>
    <cellStyle name="Comma 24 2 5 2" xfId="4801" xr:uid="{2CE47ED6-6C56-4983-A73A-9DD258AC0787}"/>
    <cellStyle name="Comma 24 2 6" xfId="2031" xr:uid="{4E015BC8-3D8A-48ED-B0ED-28EC032C75DA}"/>
    <cellStyle name="Comma 24 2 6 2" xfId="5246" xr:uid="{997B9669-B2C8-4A5C-99C2-35AF82788614}"/>
    <cellStyle name="Comma 24 2 7" xfId="2483" xr:uid="{92299535-E51D-415B-85EF-B02D413DA831}"/>
    <cellStyle name="Comma 24 2 7 2" xfId="5691" xr:uid="{6A82C75E-75AE-425F-BDA1-7C6B85441497}"/>
    <cellStyle name="Comma 24 2 8" xfId="2935" xr:uid="{E3BABE95-0417-457F-8C58-66C102DC8440}"/>
    <cellStyle name="Comma 24 2 8 2" xfId="6136" xr:uid="{CCE00EFE-1FC8-412E-953F-F108DCC2588D}"/>
    <cellStyle name="Comma 24 2 9" xfId="3465" xr:uid="{908E21FA-1F1A-438C-8EEB-DCD79C1790FB}"/>
    <cellStyle name="Comma 24 3" xfId="446" xr:uid="{69289E59-F824-45F6-BC96-1A831C89344C}"/>
    <cellStyle name="Comma 24 3 2" xfId="898" xr:uid="{3832E9D9-4235-4F5F-9DBC-559088A82485}"/>
    <cellStyle name="Comma 24 3 2 2" xfId="4132" xr:uid="{8E42469C-9E1B-41A5-9790-AE84299A7237}"/>
    <cellStyle name="Comma 24 3 3" xfId="1350" xr:uid="{63B03F32-6E1E-4D83-A08D-427EF7DA50C9}"/>
    <cellStyle name="Comma 24 3 3 2" xfId="4577" xr:uid="{F628E0D4-27E7-4286-8BB6-9CCD705EE28D}"/>
    <cellStyle name="Comma 24 3 4" xfId="1802" xr:uid="{C1F1268B-D051-402A-965D-E866D3875C9A}"/>
    <cellStyle name="Comma 24 3 4 2" xfId="5022" xr:uid="{4B8FC3BA-3302-40B1-AC63-7595DA294137}"/>
    <cellStyle name="Comma 24 3 5" xfId="2254" xr:uid="{4F03CAAD-E42F-4C18-AD11-3A30D8A0AE06}"/>
    <cellStyle name="Comma 24 3 5 2" xfId="5467" xr:uid="{6C905B97-AB51-4E29-BB56-2A3E8F7F3FF2}"/>
    <cellStyle name="Comma 24 3 6" xfId="2706" xr:uid="{12408BD0-BE33-4C17-9769-14D1AB702AA2}"/>
    <cellStyle name="Comma 24 3 6 2" xfId="5912" xr:uid="{C14C9D9C-25BC-48D0-8E2A-C17AF5F356A7}"/>
    <cellStyle name="Comma 24 3 7" xfId="3158" xr:uid="{E2197F44-3855-4810-A2AF-884A12FE3169}"/>
    <cellStyle name="Comma 24 3 7 2" xfId="6357" xr:uid="{B244D2EC-BC89-4C0A-A68C-281CA20C4EEF}"/>
    <cellStyle name="Comma 24 3 8" xfId="3687" xr:uid="{7CEC73B9-4907-451E-9435-23093C3691B2}"/>
    <cellStyle name="Comma 24 4" xfId="674" xr:uid="{F9244486-9DE3-41AD-BF84-D2DF7119DFC1}"/>
    <cellStyle name="Comma 24 4 2" xfId="3910" xr:uid="{5FE5C0FB-6159-4688-A405-D449538E6A5D}"/>
    <cellStyle name="Comma 24 5" xfId="1126" xr:uid="{98EFCDE8-DA01-43F5-A9EC-653BF4E2A4F6}"/>
    <cellStyle name="Comma 24 5 2" xfId="4355" xr:uid="{9362ABA7-411B-40A5-BC50-AAF3C36DCF93}"/>
    <cellStyle name="Comma 24 6" xfId="1578" xr:uid="{701D3D7B-C3C7-4623-AD29-12D659217141}"/>
    <cellStyle name="Comma 24 6 2" xfId="4800" xr:uid="{BAF378A3-C1B2-4B05-98CF-504BA24079E3}"/>
    <cellStyle name="Comma 24 7" xfId="2030" xr:uid="{7BCC6570-7B1D-470E-882C-C43DC3E37F6F}"/>
    <cellStyle name="Comma 24 7 2" xfId="5245" xr:uid="{DF764209-8209-461D-A5C5-101B21888FE0}"/>
    <cellStyle name="Comma 24 8" xfId="2482" xr:uid="{A3E12FC0-207A-46B6-85B7-A326BD329A28}"/>
    <cellStyle name="Comma 24 8 2" xfId="5690" xr:uid="{A52FE019-0F9C-4482-BC06-9C30DD2E770C}"/>
    <cellStyle name="Comma 24 9" xfId="2934" xr:uid="{979F3378-F0CC-46FC-B74B-AAD4C1B83A12}"/>
    <cellStyle name="Comma 24 9 2" xfId="6135" xr:uid="{97837BE7-8AD5-44AC-BF6B-8590A5406E28}"/>
    <cellStyle name="Comma 25" xfId="185" xr:uid="{FBFF3A1D-AE2E-4C8C-9221-C4BC937AA4D1}"/>
    <cellStyle name="Comma 25 10" xfId="3466" xr:uid="{5DE7790A-E17D-419F-BF82-70655DE16431}"/>
    <cellStyle name="Comma 25 2" xfId="186" xr:uid="{CC55ADDD-63E0-4A3D-8830-0A6C2F523F19}"/>
    <cellStyle name="Comma 25 2 2" xfId="449" xr:uid="{8F9C69DE-1840-4930-8827-A46FBCF3CDA2}"/>
    <cellStyle name="Comma 25 2 2 2" xfId="901" xr:uid="{2B32DD55-99D4-43AA-B054-5E1DF117F864}"/>
    <cellStyle name="Comma 25 2 2 2 2" xfId="4135" xr:uid="{A0628AA8-B450-49F6-8C12-AC78AB3EE87C}"/>
    <cellStyle name="Comma 25 2 2 3" xfId="1353" xr:uid="{9C7D5668-0817-41E0-8F0D-7C03D2C05C1B}"/>
    <cellStyle name="Comma 25 2 2 3 2" xfId="4580" xr:uid="{D3967A61-3C3A-4BC4-9698-11A635671DE0}"/>
    <cellStyle name="Comma 25 2 2 4" xfId="1805" xr:uid="{CA431192-9442-40B9-A3E3-98990AFD1F6A}"/>
    <cellStyle name="Comma 25 2 2 4 2" xfId="5025" xr:uid="{ADDEB3A7-8C8E-4C7E-8437-C795099D5513}"/>
    <cellStyle name="Comma 25 2 2 5" xfId="2257" xr:uid="{D2171CE5-63B9-4270-83CC-D6E3914BEE1E}"/>
    <cellStyle name="Comma 25 2 2 5 2" xfId="5470" xr:uid="{5EB382FF-7FC9-446E-B6FA-95994B30EC1A}"/>
    <cellStyle name="Comma 25 2 2 6" xfId="2709" xr:uid="{4C548EE2-3E05-4893-A339-A5EE029EEC52}"/>
    <cellStyle name="Comma 25 2 2 6 2" xfId="5915" xr:uid="{88D86F5D-9C7F-4139-9174-84A6F68E02F7}"/>
    <cellStyle name="Comma 25 2 2 7" xfId="3161" xr:uid="{19B80871-DABD-43D0-AB3B-EFE55B9AD05B}"/>
    <cellStyle name="Comma 25 2 2 7 2" xfId="6360" xr:uid="{2431A372-12B2-41F0-A8FD-4E7232827404}"/>
    <cellStyle name="Comma 25 2 2 8" xfId="3690" xr:uid="{372EFAEF-354B-4163-89AE-B888B4BC41D7}"/>
    <cellStyle name="Comma 25 2 3" xfId="677" xr:uid="{5B68CE1B-A4E4-498D-8728-227D81356BDC}"/>
    <cellStyle name="Comma 25 2 3 2" xfId="3913" xr:uid="{435BF110-DEDA-4FF6-BDFB-BBD52A432D90}"/>
    <cellStyle name="Comma 25 2 4" xfId="1129" xr:uid="{804027E9-902F-4646-B3CE-5BBAFC70778B}"/>
    <cellStyle name="Comma 25 2 4 2" xfId="4358" xr:uid="{D28B1DE9-E28A-4256-8B48-B3ABFD2C9166}"/>
    <cellStyle name="Comma 25 2 5" xfId="1581" xr:uid="{5FF7434E-5F13-4B74-AC79-68F6E6D92551}"/>
    <cellStyle name="Comma 25 2 5 2" xfId="4803" xr:uid="{AE761177-6EB3-4488-BCBC-574D5B386444}"/>
    <cellStyle name="Comma 25 2 6" xfId="2033" xr:uid="{9C7B8D26-CC6B-44DF-AF6E-4CA84E529139}"/>
    <cellStyle name="Comma 25 2 6 2" xfId="5248" xr:uid="{F23F7339-C910-44B6-9A27-5AD39E183D24}"/>
    <cellStyle name="Comma 25 2 7" xfId="2485" xr:uid="{5EB37DCA-0DA1-4BD6-AF4C-7782065DBF62}"/>
    <cellStyle name="Comma 25 2 7 2" xfId="5693" xr:uid="{B34C3486-6F64-4AB0-B40B-B57B33C2534D}"/>
    <cellStyle name="Comma 25 2 8" xfId="2937" xr:uid="{784C7313-999D-4DB0-A3AE-A04E82C8D7A9}"/>
    <cellStyle name="Comma 25 2 8 2" xfId="6138" xr:uid="{022CD7B8-E713-4D07-978F-8A75D3A4EC5E}"/>
    <cellStyle name="Comma 25 2 9" xfId="3467" xr:uid="{42270B13-D96E-44E0-B97D-66B46F13A166}"/>
    <cellStyle name="Comma 25 3" xfId="448" xr:uid="{8FE75E62-0C99-43D1-8CEA-5B6247A05645}"/>
    <cellStyle name="Comma 25 3 2" xfId="900" xr:uid="{3DA3476C-9C0C-49D1-BC0C-20173EBF8836}"/>
    <cellStyle name="Comma 25 3 2 2" xfId="4134" xr:uid="{E4198BF5-4464-4AB8-A64E-CA858AF54A27}"/>
    <cellStyle name="Comma 25 3 3" xfId="1352" xr:uid="{21A6C8BD-93C6-4473-900E-C3A7644C5A69}"/>
    <cellStyle name="Comma 25 3 3 2" xfId="4579" xr:uid="{9B30C05D-6A7C-4757-B3C7-65D3054E9236}"/>
    <cellStyle name="Comma 25 3 4" xfId="1804" xr:uid="{BC67B381-7CF3-4A2E-873B-68756D4BED63}"/>
    <cellStyle name="Comma 25 3 4 2" xfId="5024" xr:uid="{6CAE06AE-0482-4383-8242-E6A7BBDA130D}"/>
    <cellStyle name="Comma 25 3 5" xfId="2256" xr:uid="{2CDD9409-6E06-49AD-8B70-E5BE9CFBD253}"/>
    <cellStyle name="Comma 25 3 5 2" xfId="5469" xr:uid="{918567BD-BC07-4DF4-872F-B2F60403F404}"/>
    <cellStyle name="Comma 25 3 6" xfId="2708" xr:uid="{E0A5BFD3-7149-4EDA-829A-77F45BAE1811}"/>
    <cellStyle name="Comma 25 3 6 2" xfId="5914" xr:uid="{1A933D51-6E89-4517-8891-F4B7C1DCF8EA}"/>
    <cellStyle name="Comma 25 3 7" xfId="3160" xr:uid="{DDBB42AA-0448-436D-97D4-D7185E0D404F}"/>
    <cellStyle name="Comma 25 3 7 2" xfId="6359" xr:uid="{807AB283-010A-43AF-B411-20C4928D6D15}"/>
    <cellStyle name="Comma 25 3 8" xfId="3689" xr:uid="{388D5E05-A3E9-4E97-B238-9A0F436FEE3E}"/>
    <cellStyle name="Comma 25 4" xfId="676" xr:uid="{C3A63CD4-EDDD-40A6-92CE-0F07BD706F24}"/>
    <cellStyle name="Comma 25 4 2" xfId="3912" xr:uid="{5A918F08-DDD0-4527-817D-46C1DDB2A249}"/>
    <cellStyle name="Comma 25 5" xfId="1128" xr:uid="{EE2836F5-04AE-4FFD-BBE6-DE5BED937F5E}"/>
    <cellStyle name="Comma 25 5 2" xfId="4357" xr:uid="{79498566-86AD-49C0-9370-43D91D718ADA}"/>
    <cellStyle name="Comma 25 6" xfId="1580" xr:uid="{929082E6-6CAB-4FE8-9199-E9B3D9D3A387}"/>
    <cellStyle name="Comma 25 6 2" xfId="4802" xr:uid="{740C5055-8C9C-46EF-ABC5-3ACBC1A0E992}"/>
    <cellStyle name="Comma 25 7" xfId="2032" xr:uid="{FE5E5E24-400E-4AAB-BEB7-134F0A8CF21E}"/>
    <cellStyle name="Comma 25 7 2" xfId="5247" xr:uid="{39529A2D-682D-46DD-8AFC-34C7AA7D479F}"/>
    <cellStyle name="Comma 25 8" xfId="2484" xr:uid="{3E5E54D4-69FE-44BB-B776-D5DFCAC5CF1A}"/>
    <cellStyle name="Comma 25 8 2" xfId="5692" xr:uid="{EE980856-57DD-4E63-B12B-5DDCD8B21150}"/>
    <cellStyle name="Comma 25 9" xfId="2936" xr:uid="{39F67964-FC44-4BD3-9EAB-5F641FA2564A}"/>
    <cellStyle name="Comma 25 9 2" xfId="6137" xr:uid="{DF36A471-55F3-4EC0-8B45-2181DEB43150}"/>
    <cellStyle name="Comma 26" xfId="187" xr:uid="{C011CD35-E3DA-4904-987F-F203820DEC45}"/>
    <cellStyle name="Comma 26 10" xfId="3468" xr:uid="{711E4C75-C7A8-44B5-A0E3-70B2CFD4EE57}"/>
    <cellStyle name="Comma 26 2" xfId="188" xr:uid="{6DB00F5B-365D-4437-B907-FCD700B5AD20}"/>
    <cellStyle name="Comma 26 2 2" xfId="451" xr:uid="{2C11FA1A-EA47-46EF-94E8-20CBD8374BB1}"/>
    <cellStyle name="Comma 26 2 2 2" xfId="903" xr:uid="{A7BA176C-16DB-4D7D-B07D-CD39D83DEFE1}"/>
    <cellStyle name="Comma 26 2 2 2 2" xfId="4137" xr:uid="{4E50C147-AAF3-44D3-9310-EED1DE259B97}"/>
    <cellStyle name="Comma 26 2 2 3" xfId="1355" xr:uid="{2CBDBB02-5632-4F3E-9270-7D7DD86234A1}"/>
    <cellStyle name="Comma 26 2 2 3 2" xfId="4582" xr:uid="{3970D6CA-B848-48B2-8A7D-5894CB815441}"/>
    <cellStyle name="Comma 26 2 2 4" xfId="1807" xr:uid="{6CA8203D-1391-4D13-9BDB-8C330DDD9781}"/>
    <cellStyle name="Comma 26 2 2 4 2" xfId="5027" xr:uid="{C6E39540-75BE-4693-80CE-EDCBABA9C004}"/>
    <cellStyle name="Comma 26 2 2 5" xfId="2259" xr:uid="{286530B7-7875-4668-8708-27C3E39BB184}"/>
    <cellStyle name="Comma 26 2 2 5 2" xfId="5472" xr:uid="{F165E5DD-CF5A-48F8-B68E-04AF98BA6F86}"/>
    <cellStyle name="Comma 26 2 2 6" xfId="2711" xr:uid="{8D3D90D8-CA72-45BF-8BAA-BF69D6258E15}"/>
    <cellStyle name="Comma 26 2 2 6 2" xfId="5917" xr:uid="{A1861F49-694A-45D3-8043-5F4F90BBBC02}"/>
    <cellStyle name="Comma 26 2 2 7" xfId="3163" xr:uid="{1B6A05E2-4676-4D42-9401-66392BAC65F4}"/>
    <cellStyle name="Comma 26 2 2 7 2" xfId="6362" xr:uid="{B3EF6F1F-115D-4B57-929A-49ABEE0B1CE7}"/>
    <cellStyle name="Comma 26 2 2 8" xfId="3692" xr:uid="{3CED2373-FF21-4921-ADB0-F50F2FE15522}"/>
    <cellStyle name="Comma 26 2 3" xfId="679" xr:uid="{77B313DB-5B6E-4731-80C3-3C850D547A3D}"/>
    <cellStyle name="Comma 26 2 3 2" xfId="3915" xr:uid="{660F885D-2065-4178-AE56-00A62103F75A}"/>
    <cellStyle name="Comma 26 2 4" xfId="1131" xr:uid="{53AF6433-2715-4EE2-B81A-E07A3F19A76D}"/>
    <cellStyle name="Comma 26 2 4 2" xfId="4360" xr:uid="{71A95064-A2DF-42B0-BA99-37C585983043}"/>
    <cellStyle name="Comma 26 2 5" xfId="1583" xr:uid="{72DA5FD7-43E8-4C63-AFAA-20AF6A5E27A8}"/>
    <cellStyle name="Comma 26 2 5 2" xfId="4805" xr:uid="{07639B6F-FDD2-4098-8B61-5C9BC854809B}"/>
    <cellStyle name="Comma 26 2 6" xfId="2035" xr:uid="{FA7AEBDC-851B-4902-A826-A5EB6C752E7E}"/>
    <cellStyle name="Comma 26 2 6 2" xfId="5250" xr:uid="{A24E1C85-6512-46C6-9585-11D21FB06E5B}"/>
    <cellStyle name="Comma 26 2 7" xfId="2487" xr:uid="{C159840C-12A7-4506-BAF1-97F261A2CE15}"/>
    <cellStyle name="Comma 26 2 7 2" xfId="5695" xr:uid="{EABAFA6E-9C98-4BCB-B226-5D71659643D6}"/>
    <cellStyle name="Comma 26 2 8" xfId="2939" xr:uid="{96D7DA94-FD1E-4EA3-BB8D-2977651D32E0}"/>
    <cellStyle name="Comma 26 2 8 2" xfId="6140" xr:uid="{A2A9C158-DA6B-4C2E-8125-523980D8BD8E}"/>
    <cellStyle name="Comma 26 2 9" xfId="3469" xr:uid="{9A87820D-72CF-4B54-B303-A51D29E03A0D}"/>
    <cellStyle name="Comma 26 3" xfId="450" xr:uid="{9BF3251A-FA3F-41F1-8E15-F0EC9EDFB068}"/>
    <cellStyle name="Comma 26 3 2" xfId="902" xr:uid="{C59E8867-71F9-4A90-9A1B-D2ADEB289E20}"/>
    <cellStyle name="Comma 26 3 2 2" xfId="4136" xr:uid="{03A234BF-672E-4A2A-BEEF-C9C81FC17A8E}"/>
    <cellStyle name="Comma 26 3 3" xfId="1354" xr:uid="{BDA2A8C1-DD43-4861-A1DF-5E397526E8B1}"/>
    <cellStyle name="Comma 26 3 3 2" xfId="4581" xr:uid="{BA7AE822-A68E-41A4-AB63-EEA9FDD51341}"/>
    <cellStyle name="Comma 26 3 4" xfId="1806" xr:uid="{0DABB6DD-A45F-45C9-B23C-B443060122E6}"/>
    <cellStyle name="Comma 26 3 4 2" xfId="5026" xr:uid="{F3F6353D-BDE3-44EF-A477-59A71C28E43B}"/>
    <cellStyle name="Comma 26 3 5" xfId="2258" xr:uid="{54A4F9F7-A5DE-4845-A6AE-FB84075E4729}"/>
    <cellStyle name="Comma 26 3 5 2" xfId="5471" xr:uid="{C35B5CE8-8275-445A-90A3-151E18762A08}"/>
    <cellStyle name="Comma 26 3 6" xfId="2710" xr:uid="{B7202585-AFF6-49E3-A047-088403452C3E}"/>
    <cellStyle name="Comma 26 3 6 2" xfId="5916" xr:uid="{EAB51FB5-98A1-4548-BFB6-6B659F4AE48C}"/>
    <cellStyle name="Comma 26 3 7" xfId="3162" xr:uid="{1775BA10-C90A-4780-A61E-D571A020AADF}"/>
    <cellStyle name="Comma 26 3 7 2" xfId="6361" xr:uid="{791674B2-A4C4-4F28-996E-3BA81D02DC45}"/>
    <cellStyle name="Comma 26 3 8" xfId="3691" xr:uid="{35156A32-9D78-4C70-8D7C-A5332A22A09D}"/>
    <cellStyle name="Comma 26 4" xfId="678" xr:uid="{D3EBEC39-274E-47B5-ADFD-41DCDB3CD51A}"/>
    <cellStyle name="Comma 26 4 2" xfId="3914" xr:uid="{32404CA8-60A0-4905-B725-D66D2607590E}"/>
    <cellStyle name="Comma 26 5" xfId="1130" xr:uid="{889AEE22-0763-475E-85D6-AB4621E04A0F}"/>
    <cellStyle name="Comma 26 5 2" xfId="4359" xr:uid="{1BA42043-E902-464A-9E5A-41C91FEBA273}"/>
    <cellStyle name="Comma 26 6" xfId="1582" xr:uid="{4DE927CA-C500-49AA-9A4C-46DB04B80F45}"/>
    <cellStyle name="Comma 26 6 2" xfId="4804" xr:uid="{58D66CF8-B1D2-439F-97F9-EAFF6C5218E1}"/>
    <cellStyle name="Comma 26 7" xfId="2034" xr:uid="{08CF6ED0-A84B-41F0-B926-CD7E09169CC2}"/>
    <cellStyle name="Comma 26 7 2" xfId="5249" xr:uid="{4C7348BF-F128-4B80-9EC3-B4F2AD81785A}"/>
    <cellStyle name="Comma 26 8" xfId="2486" xr:uid="{76495A55-E1F2-4D87-8ED8-E2417009B030}"/>
    <cellStyle name="Comma 26 8 2" xfId="5694" xr:uid="{C99EBAC7-98DC-4713-AFC9-7B662C1A2D26}"/>
    <cellStyle name="Comma 26 9" xfId="2938" xr:uid="{BC2A3AB4-28B2-4AD3-B592-7832EECF7EBC}"/>
    <cellStyle name="Comma 26 9 2" xfId="6139" xr:uid="{DB5FE9FD-F14F-4EB3-9CF0-040DD741D882}"/>
    <cellStyle name="Comma 27" xfId="189" xr:uid="{79E568B0-1F6D-4DB7-9DF1-2B7AD0C6CCD8}"/>
    <cellStyle name="Comma 27 10" xfId="3470" xr:uid="{F0894184-022C-4838-BBDD-3229D9DB0FC4}"/>
    <cellStyle name="Comma 27 2" xfId="190" xr:uid="{8C850F80-798F-4F2C-B15C-9484436ED359}"/>
    <cellStyle name="Comma 27 2 2" xfId="453" xr:uid="{1FC4EF03-628B-4DD6-819B-ABAF3D05FE52}"/>
    <cellStyle name="Comma 27 2 2 2" xfId="905" xr:uid="{B982AE38-1142-43CE-83AF-C95345C00874}"/>
    <cellStyle name="Comma 27 2 2 2 2" xfId="4139" xr:uid="{141034D0-4E3B-4BD9-807B-79AE34F7121F}"/>
    <cellStyle name="Comma 27 2 2 3" xfId="1357" xr:uid="{E2657B54-8813-43A4-AA9F-156EB7424864}"/>
    <cellStyle name="Comma 27 2 2 3 2" xfId="4584" xr:uid="{520E46DC-FFE3-4C10-933A-C17A669F5D69}"/>
    <cellStyle name="Comma 27 2 2 4" xfId="1809" xr:uid="{99BFFE0E-3D4B-4345-879F-5E0490FBC26B}"/>
    <cellStyle name="Comma 27 2 2 4 2" xfId="5029" xr:uid="{242292C8-EA08-4F54-AA5D-EF77EB468ED5}"/>
    <cellStyle name="Comma 27 2 2 5" xfId="2261" xr:uid="{4CA61614-9576-4460-AEEA-12361D61B144}"/>
    <cellStyle name="Comma 27 2 2 5 2" xfId="5474" xr:uid="{1CB64E82-5157-49A1-8420-A4AE0FCE7522}"/>
    <cellStyle name="Comma 27 2 2 6" xfId="2713" xr:uid="{7C42D48C-0868-48F2-97AB-69C3F881CD99}"/>
    <cellStyle name="Comma 27 2 2 6 2" xfId="5919" xr:uid="{2E0FE223-BBB5-461B-8338-3894F2A8002E}"/>
    <cellStyle name="Comma 27 2 2 7" xfId="3165" xr:uid="{29DBA689-7AE7-41D8-9F21-309413EFBADC}"/>
    <cellStyle name="Comma 27 2 2 7 2" xfId="6364" xr:uid="{930C2BAD-A49C-499A-A54D-9AC06A6A772A}"/>
    <cellStyle name="Comma 27 2 2 8" xfId="3694" xr:uid="{D354E1DB-5A0D-4BEB-A1E7-81997C6D254B}"/>
    <cellStyle name="Comma 27 2 3" xfId="681" xr:uid="{04024BCD-5C1F-4C97-99D4-6FA9BA27AA53}"/>
    <cellStyle name="Comma 27 2 3 2" xfId="3917" xr:uid="{12A30CFA-76DA-410C-B6D1-152BE8E5515D}"/>
    <cellStyle name="Comma 27 2 4" xfId="1133" xr:uid="{8BC6BEDB-2A77-457D-BAF6-32D73DC2B938}"/>
    <cellStyle name="Comma 27 2 4 2" xfId="4362" xr:uid="{AB8A0A68-B90C-4102-8573-D35BB3127903}"/>
    <cellStyle name="Comma 27 2 5" xfId="1585" xr:uid="{0253D291-C075-4DB3-9C3A-7E3AA12B7B18}"/>
    <cellStyle name="Comma 27 2 5 2" xfId="4807" xr:uid="{999DCD88-6648-46DA-95AD-60DEA9073D99}"/>
    <cellStyle name="Comma 27 2 6" xfId="2037" xr:uid="{36E989AB-F647-450B-8647-007E502A0FBC}"/>
    <cellStyle name="Comma 27 2 6 2" xfId="5252" xr:uid="{5BBCF0AD-209E-4EB4-BDEE-1A686CEF0312}"/>
    <cellStyle name="Comma 27 2 7" xfId="2489" xr:uid="{1437DE58-A0BC-4751-BF71-0B465F9BBD34}"/>
    <cellStyle name="Comma 27 2 7 2" xfId="5697" xr:uid="{EBD924DF-9F24-4C44-913C-43C9852A195E}"/>
    <cellStyle name="Comma 27 2 8" xfId="2941" xr:uid="{48E9B34B-75D7-4494-920C-70F362C71C7A}"/>
    <cellStyle name="Comma 27 2 8 2" xfId="6142" xr:uid="{3FF28BA8-C588-47DC-B486-6563AE7FB01D}"/>
    <cellStyle name="Comma 27 2 9" xfId="3471" xr:uid="{894A263E-F471-433F-B213-90A9E8A5EF8C}"/>
    <cellStyle name="Comma 27 3" xfId="452" xr:uid="{36E77DCF-AD7A-4AE1-AA7B-E7F72998A2F9}"/>
    <cellStyle name="Comma 27 3 2" xfId="904" xr:uid="{B319E548-584B-4F6E-9C9C-D5EBC6CDDFD7}"/>
    <cellStyle name="Comma 27 3 2 2" xfId="4138" xr:uid="{A0F71AF1-18FA-4810-9785-6FD3959D2487}"/>
    <cellStyle name="Comma 27 3 3" xfId="1356" xr:uid="{C96837C7-76D5-436E-AF6F-D30729E3DC9D}"/>
    <cellStyle name="Comma 27 3 3 2" xfId="4583" xr:uid="{1AE316AB-8EAC-4E7B-AEAF-386E919B7114}"/>
    <cellStyle name="Comma 27 3 4" xfId="1808" xr:uid="{7618DC22-60DF-46D3-9C18-6C8E13B61A95}"/>
    <cellStyle name="Comma 27 3 4 2" xfId="5028" xr:uid="{92FE6CE9-08CD-4263-9DE9-DD901E9F3567}"/>
    <cellStyle name="Comma 27 3 5" xfId="2260" xr:uid="{E54E5F6F-2B58-4E35-A5A6-62D9C96C5873}"/>
    <cellStyle name="Comma 27 3 5 2" xfId="5473" xr:uid="{027F6BC9-9794-4C15-A77D-04D917F0D3B1}"/>
    <cellStyle name="Comma 27 3 6" xfId="2712" xr:uid="{57B8B834-E109-43D9-BF0E-25D24CC7950C}"/>
    <cellStyle name="Comma 27 3 6 2" xfId="5918" xr:uid="{CDF108E5-D924-4DDB-83D2-5A11D05E7DFE}"/>
    <cellStyle name="Comma 27 3 7" xfId="3164" xr:uid="{A5710268-FA7F-4072-99CE-D8239228F6DF}"/>
    <cellStyle name="Comma 27 3 7 2" xfId="6363" xr:uid="{8A23B3DD-6C7E-4626-AEEF-A76B008023E4}"/>
    <cellStyle name="Comma 27 3 8" xfId="3693" xr:uid="{42D85A47-7495-4C33-AA3E-BE8F8AE09C28}"/>
    <cellStyle name="Comma 27 4" xfId="680" xr:uid="{414C6F00-8DEF-412B-B7EF-549484B7C4A7}"/>
    <cellStyle name="Comma 27 4 2" xfId="3916" xr:uid="{3EA508D5-EA5A-4147-B183-6973CFB389EE}"/>
    <cellStyle name="Comma 27 5" xfId="1132" xr:uid="{A97A5F09-EADC-46D3-A87A-EF6124399E2F}"/>
    <cellStyle name="Comma 27 5 2" xfId="4361" xr:uid="{C32201B2-ECC5-4634-83D0-0CF29A8DD027}"/>
    <cellStyle name="Comma 27 6" xfId="1584" xr:uid="{A4C21C2F-A7AB-4B5C-B1E9-E8471A58921D}"/>
    <cellStyle name="Comma 27 6 2" xfId="4806" xr:uid="{EDE5C2A4-C0DE-47B6-89AF-5B9F79674963}"/>
    <cellStyle name="Comma 27 7" xfId="2036" xr:uid="{00CCBE45-8331-4F53-910C-491DCEAAC19A}"/>
    <cellStyle name="Comma 27 7 2" xfId="5251" xr:uid="{4F3FCE7D-E812-450B-ADFB-D4E46DA06217}"/>
    <cellStyle name="Comma 27 8" xfId="2488" xr:uid="{B7AE6E43-B94C-494E-A29C-D0FCDC9B64BC}"/>
    <cellStyle name="Comma 27 8 2" xfId="5696" xr:uid="{E55638E9-94A9-41DF-A38D-489C88329237}"/>
    <cellStyle name="Comma 27 9" xfId="2940" xr:uid="{08FE9692-3711-404D-A076-90F35DE3E0D3}"/>
    <cellStyle name="Comma 27 9 2" xfId="6141" xr:uid="{2836BFC7-1E7B-4ACB-93DD-8298273473D3}"/>
    <cellStyle name="Comma 28" xfId="191" xr:uid="{3E8EF545-6748-495B-B052-B6DC6963ABC1}"/>
    <cellStyle name="Comma 28 10" xfId="3472" xr:uid="{1527BEDD-8B79-46D4-95D3-02EC4059CADC}"/>
    <cellStyle name="Comma 28 2" xfId="192" xr:uid="{58C83F23-A5E3-42DC-B52C-FEC7D9F887FB}"/>
    <cellStyle name="Comma 28 2 2" xfId="455" xr:uid="{5C7E2CD3-4EEB-4BEB-AC1C-A6CB48319612}"/>
    <cellStyle name="Comma 28 2 2 2" xfId="907" xr:uid="{19C43E44-23DB-4C8B-A98F-B8D1C6A2BF90}"/>
    <cellStyle name="Comma 28 2 2 2 2" xfId="4141" xr:uid="{F040A0CA-BAAC-433B-BE58-1AD91B9A8CF2}"/>
    <cellStyle name="Comma 28 2 2 3" xfId="1359" xr:uid="{78579B8E-2999-4AB1-B98F-2DAA381DADCF}"/>
    <cellStyle name="Comma 28 2 2 3 2" xfId="4586" xr:uid="{6D460F91-CCE9-42FF-A303-79B3A6F24287}"/>
    <cellStyle name="Comma 28 2 2 4" xfId="1811" xr:uid="{78319CD8-8F32-4E37-BB75-6D8CA09B23F8}"/>
    <cellStyle name="Comma 28 2 2 4 2" xfId="5031" xr:uid="{421A6DD6-B385-4307-8D37-4F914AEBB9D8}"/>
    <cellStyle name="Comma 28 2 2 5" xfId="2263" xr:uid="{2E2BDE43-1F86-4B26-B25D-791BE93E2395}"/>
    <cellStyle name="Comma 28 2 2 5 2" xfId="5476" xr:uid="{6A2B0FE5-1366-417A-9599-158B63A14DA2}"/>
    <cellStyle name="Comma 28 2 2 6" xfId="2715" xr:uid="{08B4FBEA-1E5D-4975-A142-53C3A0049367}"/>
    <cellStyle name="Comma 28 2 2 6 2" xfId="5921" xr:uid="{9BAD6EDD-B212-4C7B-AA44-23BB27C7FB53}"/>
    <cellStyle name="Comma 28 2 2 7" xfId="3167" xr:uid="{0C1215FB-E362-4FE5-BCB9-CDD6247365DB}"/>
    <cellStyle name="Comma 28 2 2 7 2" xfId="6366" xr:uid="{406444FD-B263-4AEF-BA19-7A245FC5331C}"/>
    <cellStyle name="Comma 28 2 2 8" xfId="3696" xr:uid="{719556EF-54B1-43D7-AA01-CE7479A66A54}"/>
    <cellStyle name="Comma 28 2 3" xfId="683" xr:uid="{36C32037-7E87-41E3-AE1E-8A4B814A2396}"/>
    <cellStyle name="Comma 28 2 3 2" xfId="3919" xr:uid="{0E347C39-F1A5-4436-BF39-2C27DB482761}"/>
    <cellStyle name="Comma 28 2 4" xfId="1135" xr:uid="{01D6C0AD-C7D7-472D-B5DD-E565ECD87335}"/>
    <cellStyle name="Comma 28 2 4 2" xfId="4364" xr:uid="{CCF89394-4B94-4E55-B8BE-5D0BB149354E}"/>
    <cellStyle name="Comma 28 2 5" xfId="1587" xr:uid="{4921DECB-EC3D-416D-8B9D-DF06396F40D5}"/>
    <cellStyle name="Comma 28 2 5 2" xfId="4809" xr:uid="{313FB6A9-9672-4BA4-8F9D-3ECBFDB56AEC}"/>
    <cellStyle name="Comma 28 2 6" xfId="2039" xr:uid="{597ABA11-A888-4543-9976-58859562EE0A}"/>
    <cellStyle name="Comma 28 2 6 2" xfId="5254" xr:uid="{D1CE631D-A28A-4F4A-A5E3-274625C8949D}"/>
    <cellStyle name="Comma 28 2 7" xfId="2491" xr:uid="{B5C931FB-50F5-4C3D-A07B-B5C1F1FA6A39}"/>
    <cellStyle name="Comma 28 2 7 2" xfId="5699" xr:uid="{45FB96B8-7347-43C5-9F93-4A5C0215D9DF}"/>
    <cellStyle name="Comma 28 2 8" xfId="2943" xr:uid="{20F2D01B-CED4-4B27-8EBB-BAFCAED41D92}"/>
    <cellStyle name="Comma 28 2 8 2" xfId="6144" xr:uid="{C4C62353-14D8-46A5-9274-6A7BFD432261}"/>
    <cellStyle name="Comma 28 2 9" xfId="3473" xr:uid="{E7E1A6B0-6A04-409E-941B-BF6E11A65F37}"/>
    <cellStyle name="Comma 28 3" xfId="454" xr:uid="{B884CBC9-1EDB-48F9-86AD-B15381092FBA}"/>
    <cellStyle name="Comma 28 3 2" xfId="906" xr:uid="{0FD835D5-A8E6-47D8-90C8-EE3171536714}"/>
    <cellStyle name="Comma 28 3 2 2" xfId="4140" xr:uid="{43140ED7-47B7-4936-8FAD-887588D34909}"/>
    <cellStyle name="Comma 28 3 3" xfId="1358" xr:uid="{01D9890B-3A7F-47EB-9335-76D32CB4005B}"/>
    <cellStyle name="Comma 28 3 3 2" xfId="4585" xr:uid="{7DE59864-A912-4E4A-B957-1FD85298B834}"/>
    <cellStyle name="Comma 28 3 4" xfId="1810" xr:uid="{854E10B4-AA13-4234-A7E8-6FA0D690A166}"/>
    <cellStyle name="Comma 28 3 4 2" xfId="5030" xr:uid="{F132AAA1-D30F-4FFA-896E-BD4616CFA229}"/>
    <cellStyle name="Comma 28 3 5" xfId="2262" xr:uid="{DB6B1958-C7C9-494D-A31A-77870053EB94}"/>
    <cellStyle name="Comma 28 3 5 2" xfId="5475" xr:uid="{76815BF0-829F-4459-95A4-1830EAD7460B}"/>
    <cellStyle name="Comma 28 3 6" xfId="2714" xr:uid="{89E30836-44BD-4AC8-970A-7788A484145D}"/>
    <cellStyle name="Comma 28 3 6 2" xfId="5920" xr:uid="{D38EF1DF-B275-4418-A126-B100DFE98548}"/>
    <cellStyle name="Comma 28 3 7" xfId="3166" xr:uid="{4D5197BB-4E88-4893-A16F-F70E6C71AB35}"/>
    <cellStyle name="Comma 28 3 7 2" xfId="6365" xr:uid="{55977D78-D0C7-4885-9BA7-EF11D2859850}"/>
    <cellStyle name="Comma 28 3 8" xfId="3695" xr:uid="{7FD4E9BA-1DA9-4151-87BB-1D53F9B10C7C}"/>
    <cellStyle name="Comma 28 4" xfId="682" xr:uid="{7B15458B-E233-4E87-85EF-CE1FBDA8CC72}"/>
    <cellStyle name="Comma 28 4 2" xfId="3918" xr:uid="{A1E18BE0-38CA-4B0D-ABD3-02166938E2C9}"/>
    <cellStyle name="Comma 28 5" xfId="1134" xr:uid="{FDC96DCA-7AC7-4D06-B19D-3925F299F53F}"/>
    <cellStyle name="Comma 28 5 2" xfId="4363" xr:uid="{931DAF29-CB61-4B39-A117-8F966BF8A5EE}"/>
    <cellStyle name="Comma 28 6" xfId="1586" xr:uid="{47FE4D8F-AB3E-46A3-9BB1-D62D08FAAB37}"/>
    <cellStyle name="Comma 28 6 2" xfId="4808" xr:uid="{92CB74C9-1B68-4CC7-95E6-04C9AC91A389}"/>
    <cellStyle name="Comma 28 7" xfId="2038" xr:uid="{FF07F7FD-AAB0-4897-9260-9E9F9DA86325}"/>
    <cellStyle name="Comma 28 7 2" xfId="5253" xr:uid="{815B3273-A43A-417A-BCFD-D955242E1E96}"/>
    <cellStyle name="Comma 28 8" xfId="2490" xr:uid="{EAF0D0D9-D9FA-4BC9-925F-1689E61A18CF}"/>
    <cellStyle name="Comma 28 8 2" xfId="5698" xr:uid="{606499B0-487C-492A-B9DD-500F25D32C0F}"/>
    <cellStyle name="Comma 28 9" xfId="2942" xr:uid="{53D32D5E-334B-4EA3-9F03-BC80853EC60A}"/>
    <cellStyle name="Comma 28 9 2" xfId="6143" xr:uid="{F1A3C7CC-0F9E-46AE-A8A0-FB095FF5D83E}"/>
    <cellStyle name="Comma 29" xfId="193" xr:uid="{E9754F4F-AFDA-4AEF-9D1C-53BB5B860D6F}"/>
    <cellStyle name="Comma 29 10" xfId="3474" xr:uid="{2863F0D1-2BF6-4B2E-9300-317C5DD41102}"/>
    <cellStyle name="Comma 29 2" xfId="194" xr:uid="{20A505EC-27C7-4280-9443-EF5131FD36B0}"/>
    <cellStyle name="Comma 29 2 2" xfId="457" xr:uid="{12205AC5-38F5-4BE5-8A3F-C78CE91891B0}"/>
    <cellStyle name="Comma 29 2 2 2" xfId="909" xr:uid="{C58E4AA1-EBC4-4F3E-8D3C-3FDC7AD55F59}"/>
    <cellStyle name="Comma 29 2 2 2 2" xfId="4143" xr:uid="{08014328-BB4C-4E85-BC87-E1B946D1FD23}"/>
    <cellStyle name="Comma 29 2 2 3" xfId="1361" xr:uid="{E6951A5D-844D-4D0C-A539-387BF5219574}"/>
    <cellStyle name="Comma 29 2 2 3 2" xfId="4588" xr:uid="{76974193-8DD1-4445-AC6C-373265750736}"/>
    <cellStyle name="Comma 29 2 2 4" xfId="1813" xr:uid="{E22C3301-057D-4ABD-8651-9D9824A0E6EE}"/>
    <cellStyle name="Comma 29 2 2 4 2" xfId="5033" xr:uid="{6583A0AA-609A-41BC-8A98-2461383BD6EA}"/>
    <cellStyle name="Comma 29 2 2 5" xfId="2265" xr:uid="{3EFCE92D-EA51-4F78-B090-A480941AF60E}"/>
    <cellStyle name="Comma 29 2 2 5 2" xfId="5478" xr:uid="{3A497256-EF29-45F7-9AAE-AE76BDFDA252}"/>
    <cellStyle name="Comma 29 2 2 6" xfId="2717" xr:uid="{3CAABB90-874A-4AE7-A266-C18E292D5E5A}"/>
    <cellStyle name="Comma 29 2 2 6 2" xfId="5923" xr:uid="{40D53505-D40A-4438-8332-66B3752A81B8}"/>
    <cellStyle name="Comma 29 2 2 7" xfId="3169" xr:uid="{389FB630-8FC6-4731-9510-1DA95280BAA5}"/>
    <cellStyle name="Comma 29 2 2 7 2" xfId="6368" xr:uid="{5624BCCE-3805-4E9A-9E54-531B1C2A096E}"/>
    <cellStyle name="Comma 29 2 2 8" xfId="3698" xr:uid="{6ED9E564-C367-4C2B-ACCE-64C2BBB5F125}"/>
    <cellStyle name="Comma 29 2 3" xfId="685" xr:uid="{BFBBB4B1-89FF-4B45-8C53-C108C2DA95DE}"/>
    <cellStyle name="Comma 29 2 3 2" xfId="3921" xr:uid="{51BC03FD-5EDF-4303-9F61-EB70EB44AA90}"/>
    <cellStyle name="Comma 29 2 4" xfId="1137" xr:uid="{20F81E60-9BD8-41A5-BBF1-2111381B86F2}"/>
    <cellStyle name="Comma 29 2 4 2" xfId="4366" xr:uid="{F6AAA278-4F8A-4601-B28E-EC60651075A6}"/>
    <cellStyle name="Comma 29 2 5" xfId="1589" xr:uid="{C35B79CA-99FB-4ADC-B277-0D3D678208BF}"/>
    <cellStyle name="Comma 29 2 5 2" xfId="4811" xr:uid="{304B97AC-3526-483A-B715-35C1E5B00D19}"/>
    <cellStyle name="Comma 29 2 6" xfId="2041" xr:uid="{32E0687C-C2B8-43E3-8E93-1D85853E3651}"/>
    <cellStyle name="Comma 29 2 6 2" xfId="5256" xr:uid="{DDD116E6-7A5B-4AEF-8678-569DCD1952F2}"/>
    <cellStyle name="Comma 29 2 7" xfId="2493" xr:uid="{B482CDEA-56AB-4359-99D6-2C44A6CB6DA3}"/>
    <cellStyle name="Comma 29 2 7 2" xfId="5701" xr:uid="{D18C77DB-73B9-4B5B-98F0-E370D6B56A3F}"/>
    <cellStyle name="Comma 29 2 8" xfId="2945" xr:uid="{60E8C40F-88DB-49DE-964A-6FE6B4AF1299}"/>
    <cellStyle name="Comma 29 2 8 2" xfId="6146" xr:uid="{C8D57473-AA4C-42C2-A1C5-BC536843E2FB}"/>
    <cellStyle name="Comma 29 2 9" xfId="3475" xr:uid="{7CD68938-C7AF-4F32-A5D3-DAA85B4A9634}"/>
    <cellStyle name="Comma 29 3" xfId="456" xr:uid="{2A4F589D-7C93-4E38-8A9E-966839BFCB2E}"/>
    <cellStyle name="Comma 29 3 2" xfId="908" xr:uid="{1D197B6C-A7AB-4E2F-95B4-829F8ED8E297}"/>
    <cellStyle name="Comma 29 3 2 2" xfId="4142" xr:uid="{E541ACA3-2361-406F-AC75-7F9EE594D052}"/>
    <cellStyle name="Comma 29 3 3" xfId="1360" xr:uid="{ACA33206-1C12-436E-ADA6-667214ED298A}"/>
    <cellStyle name="Comma 29 3 3 2" xfId="4587" xr:uid="{CB29EBE8-6F4B-471E-9B82-1E5389CDCE76}"/>
    <cellStyle name="Comma 29 3 4" xfId="1812" xr:uid="{6FEFA7FC-A749-41F1-8069-F9315531F5E4}"/>
    <cellStyle name="Comma 29 3 4 2" xfId="5032" xr:uid="{F1A31800-E068-4EED-956D-E765DFB956DC}"/>
    <cellStyle name="Comma 29 3 5" xfId="2264" xr:uid="{D78BC2BC-12BB-421F-8DB8-10AD0AD5F131}"/>
    <cellStyle name="Comma 29 3 5 2" xfId="5477" xr:uid="{A5D28E34-E62F-411A-ABBC-3CE0FC045378}"/>
    <cellStyle name="Comma 29 3 6" xfId="2716" xr:uid="{D94E249E-F6E2-4AD2-A148-CFD0FFF999EC}"/>
    <cellStyle name="Comma 29 3 6 2" xfId="5922" xr:uid="{6E9FB517-0F5B-43B0-9673-223F7C78B62A}"/>
    <cellStyle name="Comma 29 3 7" xfId="3168" xr:uid="{C5AEF6C6-D10F-487C-BB74-EC7730FEB266}"/>
    <cellStyle name="Comma 29 3 7 2" xfId="6367" xr:uid="{790A800D-0CF1-4A5B-807E-70001AFAEDB4}"/>
    <cellStyle name="Comma 29 3 8" xfId="3697" xr:uid="{51C16504-92EB-4CD1-8BA1-E7783859A07B}"/>
    <cellStyle name="Comma 29 4" xfId="684" xr:uid="{17CEAD91-BA94-48B9-8675-08741F041683}"/>
    <cellStyle name="Comma 29 4 2" xfId="3920" xr:uid="{A00E4B5D-9147-433B-88C7-A710409748E1}"/>
    <cellStyle name="Comma 29 5" xfId="1136" xr:uid="{2842B51E-CDB7-4597-98D6-6D4EA7A51A92}"/>
    <cellStyle name="Comma 29 5 2" xfId="4365" xr:uid="{40E998D7-F631-48F5-A82F-C124C6E4F1E8}"/>
    <cellStyle name="Comma 29 6" xfId="1588" xr:uid="{D202B21B-B9A1-45B8-A3A6-06DD84D9820A}"/>
    <cellStyle name="Comma 29 6 2" xfId="4810" xr:uid="{09C1AFBD-9FA4-4F2F-AC85-71622830CF93}"/>
    <cellStyle name="Comma 29 7" xfId="2040" xr:uid="{A9B582EA-415D-4011-A578-F568AD52FD82}"/>
    <cellStyle name="Comma 29 7 2" xfId="5255" xr:uid="{81383B6A-FEEC-49D5-ACC4-EFED97F1EB33}"/>
    <cellStyle name="Comma 29 8" xfId="2492" xr:uid="{15E9D625-0A7C-42B3-9CF0-DEC2919E7AA8}"/>
    <cellStyle name="Comma 29 8 2" xfId="5700" xr:uid="{EB90E1D9-419C-47C1-851C-4CA35C4A6C51}"/>
    <cellStyle name="Comma 29 9" xfId="2944" xr:uid="{3ED50444-131E-4886-A6C2-D31B444E72D2}"/>
    <cellStyle name="Comma 29 9 2" xfId="6145" xr:uid="{9251C668-E371-4F58-A2C9-BF6379A6055D}"/>
    <cellStyle name="Comma 3" xfId="23" xr:uid="{484B23F0-30D4-4750-8F55-86E0ADB3B09E}"/>
    <cellStyle name="Comma 3 10" xfId="2494" xr:uid="{16A2B691-A54B-4D21-B45D-685AD313A3AC}"/>
    <cellStyle name="Comma 3 10 2" xfId="5702" xr:uid="{2CE067E1-F939-4302-9DEA-65EC498766C5}"/>
    <cellStyle name="Comma 3 11" xfId="2946" xr:uid="{35D1EF0E-41E4-45B5-AEBA-C3AAF4F81FC2}"/>
    <cellStyle name="Comma 3 11 2" xfId="6147" xr:uid="{0E116999-6D7A-40E7-A8ED-351506B94ABC}"/>
    <cellStyle name="Comma 3 12" xfId="3376" xr:uid="{04509C9E-965A-4679-BA93-EDD285095BEB}"/>
    <cellStyle name="Comma 3 2" xfId="196" xr:uid="{D5C1C926-5E30-442E-B0D3-672BCBAAA0FE}"/>
    <cellStyle name="Comma 3 2 10" xfId="3477" xr:uid="{090BF536-9374-49AD-B87D-9F17C1FF0A6B}"/>
    <cellStyle name="Comma 3 2 2" xfId="197" xr:uid="{4805E03C-C3CF-4743-8CF6-DFE43590AF5C}"/>
    <cellStyle name="Comma 3 2 2 2" xfId="460" xr:uid="{4CBFE1BA-B787-4E7A-8A25-31C9E540562A}"/>
    <cellStyle name="Comma 3 2 2 2 2" xfId="912" xr:uid="{87E9E268-A901-464C-A91A-5B54BA71C302}"/>
    <cellStyle name="Comma 3 2 2 2 2 2" xfId="4146" xr:uid="{2000DC27-92CF-43B1-A8A4-FB370CD10172}"/>
    <cellStyle name="Comma 3 2 2 2 3" xfId="1364" xr:uid="{33C28A06-D703-44BE-9706-CF222BC6E4B4}"/>
    <cellStyle name="Comma 3 2 2 2 3 2" xfId="4591" xr:uid="{68CEAB50-DAD4-4105-9192-99EC0E273FCE}"/>
    <cellStyle name="Comma 3 2 2 2 4" xfId="1816" xr:uid="{DD134D5A-A23F-4C49-B9CB-8E513FD29D46}"/>
    <cellStyle name="Comma 3 2 2 2 4 2" xfId="5036" xr:uid="{61EDF39A-04C4-47A3-9DEC-B3807FF07578}"/>
    <cellStyle name="Comma 3 2 2 2 5" xfId="2268" xr:uid="{FABDE827-F2F8-4AF5-8106-103013A615DE}"/>
    <cellStyle name="Comma 3 2 2 2 5 2" xfId="5481" xr:uid="{1D088CB6-97E3-4A41-A9F3-DAFA693BB483}"/>
    <cellStyle name="Comma 3 2 2 2 6" xfId="2720" xr:uid="{CF2339B1-5911-4475-B6AF-52F3F9BD93C4}"/>
    <cellStyle name="Comma 3 2 2 2 6 2" xfId="5926" xr:uid="{F658CDF4-51B6-4086-A516-27A4990D0EC0}"/>
    <cellStyle name="Comma 3 2 2 2 7" xfId="3172" xr:uid="{BAF26020-09F4-442D-86C1-3B00C509B79A}"/>
    <cellStyle name="Comma 3 2 2 2 7 2" xfId="6371" xr:uid="{4DD4CA11-8FF5-42B3-8EC3-AA10A648D319}"/>
    <cellStyle name="Comma 3 2 2 2 8" xfId="3701" xr:uid="{1BE76A38-48AC-46A5-823E-38EA83F0B709}"/>
    <cellStyle name="Comma 3 2 2 3" xfId="688" xr:uid="{DE52D4EB-D60B-4D55-9B26-0029003ABA50}"/>
    <cellStyle name="Comma 3 2 2 3 2" xfId="3924" xr:uid="{BBE72807-13C9-4B9F-9EB4-BFE97EFB7F49}"/>
    <cellStyle name="Comma 3 2 2 4" xfId="1140" xr:uid="{7DC80537-2029-4474-A4E0-162DC3F0BA63}"/>
    <cellStyle name="Comma 3 2 2 4 2" xfId="4369" xr:uid="{BA6E6B4E-B77F-43BC-A524-DCC9EDB3B2C1}"/>
    <cellStyle name="Comma 3 2 2 5" xfId="1592" xr:uid="{9EF95C51-08E3-479E-AD06-A82B1F0702BC}"/>
    <cellStyle name="Comma 3 2 2 5 2" xfId="4814" xr:uid="{A2D41355-5CEB-4164-B9BD-3D8A70669F61}"/>
    <cellStyle name="Comma 3 2 2 6" xfId="2044" xr:uid="{4F37E0DC-FCBE-4560-8860-560F4F7F8EE9}"/>
    <cellStyle name="Comma 3 2 2 6 2" xfId="5259" xr:uid="{0976E5AB-F948-4C72-986F-6329F38CBD92}"/>
    <cellStyle name="Comma 3 2 2 7" xfId="2496" xr:uid="{51757E58-FBFE-40AE-9D6C-AEADD94FBFEB}"/>
    <cellStyle name="Comma 3 2 2 7 2" xfId="5704" xr:uid="{940B4C21-7C0D-4394-9897-C43DD54FF6EC}"/>
    <cellStyle name="Comma 3 2 2 8" xfId="2948" xr:uid="{54D002A9-4FC2-4BF5-87BC-9DECAF7C5274}"/>
    <cellStyle name="Comma 3 2 2 8 2" xfId="6149" xr:uid="{01BE09B5-D3B1-4040-9A10-3B8F19C15BB8}"/>
    <cellStyle name="Comma 3 2 2 9" xfId="3478" xr:uid="{55D728F7-DF90-452F-8AF5-9AD56AC5778C}"/>
    <cellStyle name="Comma 3 2 3" xfId="459" xr:uid="{1600FA77-B27D-4E8C-96A0-17C2F893453E}"/>
    <cellStyle name="Comma 3 2 3 2" xfId="911" xr:uid="{8EAEFEAD-D8BD-4C47-B42D-A237AECDF445}"/>
    <cellStyle name="Comma 3 2 3 2 2" xfId="4145" xr:uid="{9B0C396C-CA58-4364-9BA6-056DC9CE5CD8}"/>
    <cellStyle name="Comma 3 2 3 3" xfId="1363" xr:uid="{5656A6CA-7E5C-4AD0-9CFE-E526D46A93F6}"/>
    <cellStyle name="Comma 3 2 3 3 2" xfId="4590" xr:uid="{80C311BF-13E1-4B24-9449-C86B92C63BAC}"/>
    <cellStyle name="Comma 3 2 3 4" xfId="1815" xr:uid="{0B51442C-2C4A-4DE8-B285-491DF2C4BBC4}"/>
    <cellStyle name="Comma 3 2 3 4 2" xfId="5035" xr:uid="{1CD8241D-0B2E-4DBA-99CB-BFC3CB3F1C2A}"/>
    <cellStyle name="Comma 3 2 3 5" xfId="2267" xr:uid="{2AD88C96-61F0-4A29-B8F6-383CE05D7557}"/>
    <cellStyle name="Comma 3 2 3 5 2" xfId="5480" xr:uid="{22F9AE37-25E8-4C08-AD9E-EAAD36FB1CC1}"/>
    <cellStyle name="Comma 3 2 3 6" xfId="2719" xr:uid="{D7CB024D-5253-4596-81B3-F047C28883D1}"/>
    <cellStyle name="Comma 3 2 3 6 2" xfId="5925" xr:uid="{22E9B0FD-43DF-4658-BD92-702AA00F1E96}"/>
    <cellStyle name="Comma 3 2 3 7" xfId="3171" xr:uid="{23B00718-19BE-463C-AF0A-0A1E3EE5656F}"/>
    <cellStyle name="Comma 3 2 3 7 2" xfId="6370" xr:uid="{AFCDC8C6-C052-4C16-8ED6-7BE5CA958DB5}"/>
    <cellStyle name="Comma 3 2 3 8" xfId="3700" xr:uid="{3D6DF29E-0689-402C-908B-3E2E565D9F4C}"/>
    <cellStyle name="Comma 3 2 4" xfId="687" xr:uid="{DC45DEEC-EAAB-44B9-A04E-7887DC4608F4}"/>
    <cellStyle name="Comma 3 2 4 2" xfId="3923" xr:uid="{4CE7C7C1-8BB2-4DE9-85A7-7695A54F5716}"/>
    <cellStyle name="Comma 3 2 5" xfId="1139" xr:uid="{1D5D3550-188F-4F6B-8984-3F2C61509671}"/>
    <cellStyle name="Comma 3 2 5 2" xfId="4368" xr:uid="{CF771A12-8058-4A7B-B11A-BC306CF5F603}"/>
    <cellStyle name="Comma 3 2 6" xfId="1591" xr:uid="{F2FB1BC3-BEF8-40C6-9769-07A87379309F}"/>
    <cellStyle name="Comma 3 2 6 2" xfId="4813" xr:uid="{FFA586EF-AFD9-4E46-BE28-404670F67CCC}"/>
    <cellStyle name="Comma 3 2 7" xfId="2043" xr:uid="{FD5825EC-EA61-48BB-BE10-65D417A241BD}"/>
    <cellStyle name="Comma 3 2 7 2" xfId="5258" xr:uid="{8B1612FE-20D1-4487-9BCF-A9FEB6308E91}"/>
    <cellStyle name="Comma 3 2 8" xfId="2495" xr:uid="{D4482B11-FC1C-42F4-9D0A-FD87757BDD14}"/>
    <cellStyle name="Comma 3 2 8 2" xfId="5703" xr:uid="{286020B5-8F6E-49A0-A1FD-A8D4394EDCB2}"/>
    <cellStyle name="Comma 3 2 9" xfId="2947" xr:uid="{BC6D7A8F-E363-4E36-91EE-78BCFA52D724}"/>
    <cellStyle name="Comma 3 2 9 2" xfId="6148" xr:uid="{590C9A95-2960-46DC-A3FD-4E98935DDA57}"/>
    <cellStyle name="Comma 3 3" xfId="198" xr:uid="{1055896F-42A4-4176-A080-B224A2BA775C}"/>
    <cellStyle name="Comma 3 3 2" xfId="461" xr:uid="{F3F94FF9-A578-4AA6-AD43-0169930E79F3}"/>
    <cellStyle name="Comma 3 3 2 2" xfId="913" xr:uid="{157C9F9A-15BD-45A2-99C0-79815323421B}"/>
    <cellStyle name="Comma 3 3 2 2 2" xfId="4147" xr:uid="{841F44BF-721D-4B3A-B090-8297B9E044F9}"/>
    <cellStyle name="Comma 3 3 2 3" xfId="1365" xr:uid="{575B64A9-9AF5-494B-BC97-274E30F8097D}"/>
    <cellStyle name="Comma 3 3 2 3 2" xfId="4592" xr:uid="{D96A1763-56C7-4C50-9859-1902546AE77C}"/>
    <cellStyle name="Comma 3 3 2 4" xfId="1817" xr:uid="{71450046-0181-40F2-B9C8-846FC5863729}"/>
    <cellStyle name="Comma 3 3 2 4 2" xfId="5037" xr:uid="{205B9689-8BFD-43B9-9E69-E48779D318F1}"/>
    <cellStyle name="Comma 3 3 2 5" xfId="2269" xr:uid="{6EB82214-B09F-4443-A44A-49F161979182}"/>
    <cellStyle name="Comma 3 3 2 5 2" xfId="5482" xr:uid="{B6AC854B-436E-4F8F-A307-B2EDC7D604A2}"/>
    <cellStyle name="Comma 3 3 2 6" xfId="2721" xr:uid="{DE1568E1-077B-4567-99F9-DB0585A53B08}"/>
    <cellStyle name="Comma 3 3 2 6 2" xfId="5927" xr:uid="{2589E2A4-A126-4A76-B06D-8F2841572EAE}"/>
    <cellStyle name="Comma 3 3 2 7" xfId="3173" xr:uid="{22C0B9FA-4D11-4182-BC31-1EA7EF845926}"/>
    <cellStyle name="Comma 3 3 2 7 2" xfId="6372" xr:uid="{75C634ED-3EB1-4D17-BE61-B86DD7D53776}"/>
    <cellStyle name="Comma 3 3 2 8" xfId="3702" xr:uid="{6F9ED434-F86F-4695-B3CC-E494663D448A}"/>
    <cellStyle name="Comma 3 3 3" xfId="689" xr:uid="{F4107999-A3C1-4F72-81E6-EDD4A449B00B}"/>
    <cellStyle name="Comma 3 3 3 2" xfId="3925" xr:uid="{47A62236-4C2E-4644-8CEE-4CCE6F7086BE}"/>
    <cellStyle name="Comma 3 3 4" xfId="1141" xr:uid="{57A44443-2E1D-4E36-A4BF-0DA3B6A5A8DA}"/>
    <cellStyle name="Comma 3 3 4 2" xfId="4370" xr:uid="{D5795AD8-0491-4268-AED9-CCC4DDC8EF12}"/>
    <cellStyle name="Comma 3 3 5" xfId="1593" xr:uid="{C7F89FC2-4714-4F3D-966D-4CE263B29AC6}"/>
    <cellStyle name="Comma 3 3 5 2" xfId="4815" xr:uid="{B09563EB-3DC9-45A5-8250-5C2F41541D58}"/>
    <cellStyle name="Comma 3 3 6" xfId="2045" xr:uid="{60AC9505-1A41-427C-93C6-9818BB7AD476}"/>
    <cellStyle name="Comma 3 3 6 2" xfId="5260" xr:uid="{E684DA45-5A8B-40A5-A4A2-29FF176B87B1}"/>
    <cellStyle name="Comma 3 3 7" xfId="2497" xr:uid="{9A9BB1C5-BA53-4E9D-9DB9-9B8DF1569602}"/>
    <cellStyle name="Comma 3 3 7 2" xfId="5705" xr:uid="{F1FDB324-5308-4CA7-8A1A-A726ADCDA120}"/>
    <cellStyle name="Comma 3 3 8" xfId="2949" xr:uid="{B28F176D-F814-4047-BD85-0C5A344B7C99}"/>
    <cellStyle name="Comma 3 3 8 2" xfId="6150" xr:uid="{D33153F9-653E-4846-9432-7BC22DDB44AA}"/>
    <cellStyle name="Comma 3 3 9" xfId="3479" xr:uid="{5E18CB5C-5CA6-4542-8831-DAFA54C18A08}"/>
    <cellStyle name="Comma 3 4" xfId="458" xr:uid="{1EEE72AE-B5A7-46E8-A643-9C80BC32DEC4}"/>
    <cellStyle name="Comma 3 4 2" xfId="910" xr:uid="{C63F5624-9836-4985-AFF4-6C59B894F786}"/>
    <cellStyle name="Comma 3 4 2 2" xfId="4144" xr:uid="{91F3FC26-FEDB-43F1-B657-3F6BB4C35140}"/>
    <cellStyle name="Comma 3 4 3" xfId="1362" xr:uid="{4EFD9AC0-D6A8-428A-A1FC-28D8C8A52544}"/>
    <cellStyle name="Comma 3 4 3 2" xfId="4589" xr:uid="{2DD25BD6-E70E-4CE3-AA01-AEAF0DACA4E6}"/>
    <cellStyle name="Comma 3 4 4" xfId="1814" xr:uid="{0A6A0CB3-86FF-485C-9F6E-A1B233FEFD04}"/>
    <cellStyle name="Comma 3 4 4 2" xfId="5034" xr:uid="{65891C8C-3AEC-4948-AD2D-25288B793CA2}"/>
    <cellStyle name="Comma 3 4 5" xfId="2266" xr:uid="{0247A94B-41DC-4D06-94A7-C1F81176F210}"/>
    <cellStyle name="Comma 3 4 5 2" xfId="5479" xr:uid="{0ABBDB82-4224-49D6-AD01-C634542D8065}"/>
    <cellStyle name="Comma 3 4 6" xfId="2718" xr:uid="{6FEE6CDE-8E45-48D5-B995-33B3EED3416B}"/>
    <cellStyle name="Comma 3 4 6 2" xfId="5924" xr:uid="{73EE854C-CFB2-4DCF-A2D8-399B32F3E863}"/>
    <cellStyle name="Comma 3 4 7" xfId="3170" xr:uid="{0CE9988D-EA62-480C-8D99-9E8E619804B7}"/>
    <cellStyle name="Comma 3 4 7 2" xfId="6369" xr:uid="{420B49BF-3153-4B53-8017-B28EBEC0F65A}"/>
    <cellStyle name="Comma 3 4 8" xfId="3699" xr:uid="{54FBC883-290B-488D-90C1-0451FC38F701}"/>
    <cellStyle name="Comma 3 5" xfId="195" xr:uid="{1B8B7A4A-F3BF-4942-8648-D6DDE2211969}"/>
    <cellStyle name="Comma 3 5 2" xfId="3476" xr:uid="{DACE5ABC-373A-4E29-9B46-0B41D465E0D1}"/>
    <cellStyle name="Comma 3 6" xfId="686" xr:uid="{F23CB76C-359E-4632-B122-76E09FA69563}"/>
    <cellStyle name="Comma 3 6 2" xfId="3922" xr:uid="{11013E51-2368-4E5B-BC11-64F73881DB2A}"/>
    <cellStyle name="Comma 3 7" xfId="1138" xr:uid="{4BC383BE-77D6-4429-8FCC-9DC312EC8C1D}"/>
    <cellStyle name="Comma 3 7 2" xfId="4367" xr:uid="{3DAFB0BE-5540-456E-9D8B-7C1CD9C91001}"/>
    <cellStyle name="Comma 3 8" xfId="1590" xr:uid="{276F8DD4-F9E8-4B69-8C4A-DC47BB0A7221}"/>
    <cellStyle name="Comma 3 8 2" xfId="4812" xr:uid="{C75B8079-8280-411F-8651-1CEB7F00F2DD}"/>
    <cellStyle name="Comma 3 9" xfId="2042" xr:uid="{E8CB62EF-784C-4ECE-9D8A-B538AD93CDA1}"/>
    <cellStyle name="Comma 3 9 2" xfId="5257" xr:uid="{6B71FC2B-D7AC-44D9-A48C-614170C4C883}"/>
    <cellStyle name="Comma 30" xfId="199" xr:uid="{D0E465A5-6279-4715-944A-05FF0E23724F}"/>
    <cellStyle name="Comma 30 10" xfId="3480" xr:uid="{E273B473-738F-43D4-BD06-EB0CE336B120}"/>
    <cellStyle name="Comma 30 2" xfId="200" xr:uid="{83F71AA9-A910-440F-B37F-2AFE89EC7EA1}"/>
    <cellStyle name="Comma 30 2 2" xfId="463" xr:uid="{491ADBA9-F1D5-4154-9B58-13B697F61068}"/>
    <cellStyle name="Comma 30 2 2 2" xfId="915" xr:uid="{76AC007E-862D-40F1-95A8-704B53CAA3BA}"/>
    <cellStyle name="Comma 30 2 2 2 2" xfId="4149" xr:uid="{427B7665-F59D-4DB5-9435-44A7C7BDDA94}"/>
    <cellStyle name="Comma 30 2 2 3" xfId="1367" xr:uid="{86EA0A4E-0AB7-4F72-9BDB-305458487105}"/>
    <cellStyle name="Comma 30 2 2 3 2" xfId="4594" xr:uid="{1E2943D9-5D93-48E5-8AE7-C0325AE55295}"/>
    <cellStyle name="Comma 30 2 2 4" xfId="1819" xr:uid="{A7DAF5A4-B88B-41F4-8AD1-59B6195D25E7}"/>
    <cellStyle name="Comma 30 2 2 4 2" xfId="5039" xr:uid="{AD72CBDA-A454-4BA6-A2A9-2ACEC8011EF4}"/>
    <cellStyle name="Comma 30 2 2 5" xfId="2271" xr:uid="{D8E66A2B-2C69-4D72-903B-99174D24B690}"/>
    <cellStyle name="Comma 30 2 2 5 2" xfId="5484" xr:uid="{3E9D4E84-FF42-47FB-A047-15C754874598}"/>
    <cellStyle name="Comma 30 2 2 6" xfId="2723" xr:uid="{30282293-9FB1-495B-BE59-0FCC1E750265}"/>
    <cellStyle name="Comma 30 2 2 6 2" xfId="5929" xr:uid="{B5471B42-894F-436F-B8E0-76CD4673958D}"/>
    <cellStyle name="Comma 30 2 2 7" xfId="3175" xr:uid="{B2300A58-CB0E-440D-A45B-FC5E476AF8EA}"/>
    <cellStyle name="Comma 30 2 2 7 2" xfId="6374" xr:uid="{EAD1E6BA-9DDD-4989-AF5C-D93BDC96DCA0}"/>
    <cellStyle name="Comma 30 2 2 8" xfId="3704" xr:uid="{BBF38A1C-4846-4830-B772-4E1A236C6DAE}"/>
    <cellStyle name="Comma 30 2 3" xfId="691" xr:uid="{526AA7F2-A9B7-4CF9-9636-B4FE0FCBFEA8}"/>
    <cellStyle name="Comma 30 2 3 2" xfId="3927" xr:uid="{37999B98-6AF9-4848-9296-68B66539ED99}"/>
    <cellStyle name="Comma 30 2 4" xfId="1143" xr:uid="{466DF111-1172-4BF4-9BCD-5126C7C37468}"/>
    <cellStyle name="Comma 30 2 4 2" xfId="4372" xr:uid="{7C0E4430-DA99-4B91-9127-025CFF2E30C7}"/>
    <cellStyle name="Comma 30 2 5" xfId="1595" xr:uid="{38358960-9DF8-4678-A0B0-3A6CC98A4222}"/>
    <cellStyle name="Comma 30 2 5 2" xfId="4817" xr:uid="{91DCC722-DD39-4DFC-A76C-5C596BB99A18}"/>
    <cellStyle name="Comma 30 2 6" xfId="2047" xr:uid="{62D8A7CB-9C69-4702-AAE4-C6FD1F6696DD}"/>
    <cellStyle name="Comma 30 2 6 2" xfId="5262" xr:uid="{FE891634-84F0-493D-A81D-074E89F4AA37}"/>
    <cellStyle name="Comma 30 2 7" xfId="2499" xr:uid="{31E0E2FE-DBD8-4E2D-B8E6-01D99296E654}"/>
    <cellStyle name="Comma 30 2 7 2" xfId="5707" xr:uid="{DA91F5AE-67D6-409C-8D5A-4A7B5D16B966}"/>
    <cellStyle name="Comma 30 2 8" xfId="2951" xr:uid="{3B69CC16-13A0-4E8C-B30F-B70A45540F39}"/>
    <cellStyle name="Comma 30 2 8 2" xfId="6152" xr:uid="{0CA64186-3AA0-4E0E-B43C-3A496D941CEA}"/>
    <cellStyle name="Comma 30 2 9" xfId="3481" xr:uid="{2B464471-B272-40A6-8C71-3EEABBAA3283}"/>
    <cellStyle name="Comma 30 3" xfId="462" xr:uid="{7E510A2E-17CC-48C4-9920-BBAA6BC617FF}"/>
    <cellStyle name="Comma 30 3 2" xfId="914" xr:uid="{D03F5EB2-DCE9-4331-AED8-107748C47D39}"/>
    <cellStyle name="Comma 30 3 2 2" xfId="4148" xr:uid="{2BE5152A-BCFA-4356-956A-B9A0F9C1B1B1}"/>
    <cellStyle name="Comma 30 3 3" xfId="1366" xr:uid="{9E0C070E-94CE-473C-8A0A-B173662F4353}"/>
    <cellStyle name="Comma 30 3 3 2" xfId="4593" xr:uid="{D82807E8-B866-4B3E-A96E-1C5DE2EBC0E8}"/>
    <cellStyle name="Comma 30 3 4" xfId="1818" xr:uid="{4AAC539D-853B-42D2-9EFD-5F3D52F766D9}"/>
    <cellStyle name="Comma 30 3 4 2" xfId="5038" xr:uid="{CB9B4A52-D305-4D35-A2FC-BA5B378D2719}"/>
    <cellStyle name="Comma 30 3 5" xfId="2270" xr:uid="{EBCDACB1-D5E9-4634-8ADD-97E790305E35}"/>
    <cellStyle name="Comma 30 3 5 2" xfId="5483" xr:uid="{ABD37B38-5E9F-45AB-A607-BA2A54A607AF}"/>
    <cellStyle name="Comma 30 3 6" xfId="2722" xr:uid="{4681B97B-79DE-4F73-A578-8353F1F3E09C}"/>
    <cellStyle name="Comma 30 3 6 2" xfId="5928" xr:uid="{09D81BBA-6CED-4D61-9282-F30C95313985}"/>
    <cellStyle name="Comma 30 3 7" xfId="3174" xr:uid="{70C6F1C0-A6B4-4111-8A8B-3A8BF7A0462E}"/>
    <cellStyle name="Comma 30 3 7 2" xfId="6373" xr:uid="{D2E8EFD6-5529-453C-8EF2-49ED4B1C04F0}"/>
    <cellStyle name="Comma 30 3 8" xfId="3703" xr:uid="{A362D989-3AA2-4363-9107-9AE907E50B6C}"/>
    <cellStyle name="Comma 30 4" xfId="690" xr:uid="{B64668DD-A72F-42B0-9726-C81E2A35B144}"/>
    <cellStyle name="Comma 30 4 2" xfId="3926" xr:uid="{D6449B76-A7CC-4BB1-8623-407FBAED8F55}"/>
    <cellStyle name="Comma 30 5" xfId="1142" xr:uid="{F0B89565-2933-49D2-A1F1-280376CC1CDD}"/>
    <cellStyle name="Comma 30 5 2" xfId="4371" xr:uid="{BB41DA53-5DDC-455A-8EE7-66010843D6BF}"/>
    <cellStyle name="Comma 30 6" xfId="1594" xr:uid="{7E502B9E-10B5-4B84-A6F4-37C33B9BAE9C}"/>
    <cellStyle name="Comma 30 6 2" xfId="4816" xr:uid="{69AB9236-6D7A-4B2A-8352-E6FA338A232C}"/>
    <cellStyle name="Comma 30 7" xfId="2046" xr:uid="{34A90DDF-F329-4C49-838C-5E504C90FEF2}"/>
    <cellStyle name="Comma 30 7 2" xfId="5261" xr:uid="{B091D3A2-C6B4-4689-9660-91DE21043770}"/>
    <cellStyle name="Comma 30 8" xfId="2498" xr:uid="{6B77B0A0-073E-49AA-A77F-3D19F4600AFA}"/>
    <cellStyle name="Comma 30 8 2" xfId="5706" xr:uid="{A6353CE1-ECB1-48F3-968F-7BA2DF13436F}"/>
    <cellStyle name="Comma 30 9" xfId="2950" xr:uid="{DAD71B1B-E269-4066-8A12-EBD31039AA5E}"/>
    <cellStyle name="Comma 30 9 2" xfId="6151" xr:uid="{3ECC5909-8649-4B9B-B8D4-BF28B5FA040C}"/>
    <cellStyle name="Comma 31" xfId="201" xr:uid="{010AE38B-062C-46DA-B3E6-4E7F5D80302F}"/>
    <cellStyle name="Comma 31 10" xfId="3482" xr:uid="{DEEC2A23-8BC3-4DA2-9E53-D1F37735BF62}"/>
    <cellStyle name="Comma 31 2" xfId="202" xr:uid="{D0EA4825-0973-4860-A63A-CCB339EABB38}"/>
    <cellStyle name="Comma 31 2 2" xfId="465" xr:uid="{FD8F5DB9-094E-4E06-B093-E97964A9A0C7}"/>
    <cellStyle name="Comma 31 2 2 2" xfId="917" xr:uid="{5F3D3383-98F7-4A48-88C4-C3ED87F264DA}"/>
    <cellStyle name="Comma 31 2 2 2 2" xfId="4151" xr:uid="{6A74586E-84EA-4512-9EA7-C112F7EC415E}"/>
    <cellStyle name="Comma 31 2 2 3" xfId="1369" xr:uid="{496CD98E-9AAE-449A-BCDC-47BB25707332}"/>
    <cellStyle name="Comma 31 2 2 3 2" xfId="4596" xr:uid="{CC657F4A-8A8C-43FC-90E4-16E58D2522F5}"/>
    <cellStyle name="Comma 31 2 2 4" xfId="1821" xr:uid="{40C7B217-BA48-448F-99C2-2B73A3A0F074}"/>
    <cellStyle name="Comma 31 2 2 4 2" xfId="5041" xr:uid="{B2085737-BA61-41DA-8F06-675966AA281F}"/>
    <cellStyle name="Comma 31 2 2 5" xfId="2273" xr:uid="{F4BF0FC8-0C1F-4466-83A0-B9A37C3682E4}"/>
    <cellStyle name="Comma 31 2 2 5 2" xfId="5486" xr:uid="{F83FCEC6-08B8-4B26-A74B-4549CA99F3B5}"/>
    <cellStyle name="Comma 31 2 2 6" xfId="2725" xr:uid="{EC476B8C-FCA3-4DA7-B131-AE731E056A4E}"/>
    <cellStyle name="Comma 31 2 2 6 2" xfId="5931" xr:uid="{6FB324A4-2239-4499-8419-BB31373CD3A2}"/>
    <cellStyle name="Comma 31 2 2 7" xfId="3177" xr:uid="{0190B6A3-C217-42F7-B274-18AC0956B2DD}"/>
    <cellStyle name="Comma 31 2 2 7 2" xfId="6376" xr:uid="{FB8DAFE5-D04A-43A2-B2CF-C2995726E795}"/>
    <cellStyle name="Comma 31 2 2 8" xfId="3706" xr:uid="{EC26D45B-4643-4575-8BB2-D3074DDCCA86}"/>
    <cellStyle name="Comma 31 2 3" xfId="693" xr:uid="{AD2CE803-03BD-4805-A542-296FCC11A024}"/>
    <cellStyle name="Comma 31 2 3 2" xfId="3929" xr:uid="{DC5C3B00-DC73-45B8-91D8-3413D5327B66}"/>
    <cellStyle name="Comma 31 2 4" xfId="1145" xr:uid="{D031C39D-CE16-4A57-8222-F3359012EE93}"/>
    <cellStyle name="Comma 31 2 4 2" xfId="4374" xr:uid="{E4C5B2A7-5F3D-4662-9CF4-8FA8D4BC86AA}"/>
    <cellStyle name="Comma 31 2 5" xfId="1597" xr:uid="{D2E92969-F34E-42EA-B266-6891CFA9760D}"/>
    <cellStyle name="Comma 31 2 5 2" xfId="4819" xr:uid="{8FDA90B0-8295-4710-800F-50C7ADFC8F1E}"/>
    <cellStyle name="Comma 31 2 6" xfId="2049" xr:uid="{881A3B34-368C-43A8-B79F-C27F12BBD94A}"/>
    <cellStyle name="Comma 31 2 6 2" xfId="5264" xr:uid="{01C85624-265B-4D35-9A48-2039CB9E8BA3}"/>
    <cellStyle name="Comma 31 2 7" xfId="2501" xr:uid="{D4DA3C9C-B9AB-4CCF-B70B-9DD78560A803}"/>
    <cellStyle name="Comma 31 2 7 2" xfId="5709" xr:uid="{74C608C2-5B78-474D-88CB-5F5D86028B06}"/>
    <cellStyle name="Comma 31 2 8" xfId="2953" xr:uid="{D73FF15E-DB99-4B2A-87D2-7F05DC5DBFF6}"/>
    <cellStyle name="Comma 31 2 8 2" xfId="6154" xr:uid="{6D60945E-599D-4230-B5BB-E8500637DD21}"/>
    <cellStyle name="Comma 31 2 9" xfId="3483" xr:uid="{2DEC761D-AB0F-47AB-A3A2-894D728CAB31}"/>
    <cellStyle name="Comma 31 3" xfId="464" xr:uid="{086E1882-C51D-4BBA-9EAC-F5AAAE5004EF}"/>
    <cellStyle name="Comma 31 3 2" xfId="916" xr:uid="{E3EB7171-CB3E-42E2-9B84-5031596F4520}"/>
    <cellStyle name="Comma 31 3 2 2" xfId="4150" xr:uid="{C42EB26F-E7B1-45BF-A61C-213F3A2A48BD}"/>
    <cellStyle name="Comma 31 3 3" xfId="1368" xr:uid="{A90DD221-C722-4E24-A0C7-DB04EB1A0B01}"/>
    <cellStyle name="Comma 31 3 3 2" xfId="4595" xr:uid="{39658793-A817-4EB1-8C0C-22C993E1458E}"/>
    <cellStyle name="Comma 31 3 4" xfId="1820" xr:uid="{57E8597A-B00F-46DD-B2C3-0FDA14E6DD84}"/>
    <cellStyle name="Comma 31 3 4 2" xfId="5040" xr:uid="{8F554E03-26A5-47FE-8F55-BDE8EEE5AB27}"/>
    <cellStyle name="Comma 31 3 5" xfId="2272" xr:uid="{50481513-A990-4CEE-9FBC-97C5CED5CF67}"/>
    <cellStyle name="Comma 31 3 5 2" xfId="5485" xr:uid="{79DDC84A-D3F9-40AC-9882-E8E535A86A4C}"/>
    <cellStyle name="Comma 31 3 6" xfId="2724" xr:uid="{D19541DE-4777-41A8-93B0-682C76325F78}"/>
    <cellStyle name="Comma 31 3 6 2" xfId="5930" xr:uid="{5C9FCC70-7948-43CF-B3C9-560059027067}"/>
    <cellStyle name="Comma 31 3 7" xfId="3176" xr:uid="{42104C68-D5BF-46B1-8916-E25BC05325FE}"/>
    <cellStyle name="Comma 31 3 7 2" xfId="6375" xr:uid="{73814FCF-CEC9-4B32-99D0-C4E0A759B41E}"/>
    <cellStyle name="Comma 31 3 8" xfId="3705" xr:uid="{978E745C-5119-4D67-B925-81D9D142EEA9}"/>
    <cellStyle name="Comma 31 4" xfId="692" xr:uid="{F113026E-80CB-4450-8CD9-398F3F3D3EE8}"/>
    <cellStyle name="Comma 31 4 2" xfId="3928" xr:uid="{BDA98C4C-13E1-4F55-995B-22327F16631C}"/>
    <cellStyle name="Comma 31 5" xfId="1144" xr:uid="{0E62C99A-4A13-41C3-8563-E75B9C5E8689}"/>
    <cellStyle name="Comma 31 5 2" xfId="4373" xr:uid="{86724B09-ACA3-4FEF-8B60-3C0E84E57959}"/>
    <cellStyle name="Comma 31 6" xfId="1596" xr:uid="{0E57A4EA-347F-4BC8-A3E5-A533F7105CFC}"/>
    <cellStyle name="Comma 31 6 2" xfId="4818" xr:uid="{3D8D7668-876B-4BE6-B0AE-2C17A3598720}"/>
    <cellStyle name="Comma 31 7" xfId="2048" xr:uid="{C5CDAAF1-A835-4F18-9757-6075F56A8283}"/>
    <cellStyle name="Comma 31 7 2" xfId="5263" xr:uid="{3DD92E9E-D24D-4B35-AEB4-D87BA96C510D}"/>
    <cellStyle name="Comma 31 8" xfId="2500" xr:uid="{89C634E0-348A-481F-AAA5-D249F091B3D6}"/>
    <cellStyle name="Comma 31 8 2" xfId="5708" xr:uid="{7F7F7CEB-F377-4360-81AD-716ABE470F27}"/>
    <cellStyle name="Comma 31 9" xfId="2952" xr:uid="{07D3B3C4-07D2-4340-8840-93512C493441}"/>
    <cellStyle name="Comma 31 9 2" xfId="6153" xr:uid="{0A3FCC21-93F4-4EAD-B9A0-F4C2E9B470AA}"/>
    <cellStyle name="Comma 32" xfId="203" xr:uid="{CDCD3931-8EE2-4E61-B8C0-9EC6E7BA23DD}"/>
    <cellStyle name="Comma 32 10" xfId="3484" xr:uid="{F1112A31-BEDD-41C6-8276-35344A6C5032}"/>
    <cellStyle name="Comma 32 2" xfId="204" xr:uid="{626C6772-E374-450D-86C3-068101A4FF8F}"/>
    <cellStyle name="Comma 32 2 2" xfId="467" xr:uid="{523842A4-C5B2-450B-924A-C72CD3604EF7}"/>
    <cellStyle name="Comma 32 2 2 2" xfId="919" xr:uid="{31C0E0D6-8A1C-4BFD-A5D4-77A0ACE0AD60}"/>
    <cellStyle name="Comma 32 2 2 2 2" xfId="4153" xr:uid="{6D195515-793F-489A-8C9D-AA7554641D90}"/>
    <cellStyle name="Comma 32 2 2 3" xfId="1371" xr:uid="{5C5DD16E-1829-49AB-8ECF-B8500F76C4AD}"/>
    <cellStyle name="Comma 32 2 2 3 2" xfId="4598" xr:uid="{D8B9B5C4-01E2-492A-B672-673887A99C80}"/>
    <cellStyle name="Comma 32 2 2 4" xfId="1823" xr:uid="{F8DFF291-89FA-487C-94E8-244D682FE48F}"/>
    <cellStyle name="Comma 32 2 2 4 2" xfId="5043" xr:uid="{59D5DC6E-D7DB-4502-931F-527C8EBBF897}"/>
    <cellStyle name="Comma 32 2 2 5" xfId="2275" xr:uid="{96BC30DE-53A7-4058-9EDF-0A7271C7E7A7}"/>
    <cellStyle name="Comma 32 2 2 5 2" xfId="5488" xr:uid="{229014DD-2531-4D78-B14C-CADCAB8D7CFD}"/>
    <cellStyle name="Comma 32 2 2 6" xfId="2727" xr:uid="{6F831BD1-5879-4418-8CA7-C7546E67FEC9}"/>
    <cellStyle name="Comma 32 2 2 6 2" xfId="5933" xr:uid="{6396AF7B-56A6-49A0-8900-6C998AE76D45}"/>
    <cellStyle name="Comma 32 2 2 7" xfId="3179" xr:uid="{8918E3DF-3B13-49CC-8131-7FB55088BD08}"/>
    <cellStyle name="Comma 32 2 2 7 2" xfId="6378" xr:uid="{E089E254-A018-4D3B-ACE2-FE33DB4F12EF}"/>
    <cellStyle name="Comma 32 2 2 8" xfId="3708" xr:uid="{B28256C9-D51F-41CB-A808-8794A0D9B0DF}"/>
    <cellStyle name="Comma 32 2 3" xfId="695" xr:uid="{E2F35930-4225-4DE3-BC38-DD3FC3390CCF}"/>
    <cellStyle name="Comma 32 2 3 2" xfId="3931" xr:uid="{2E462BEC-28AC-4C7D-A79F-341C0F9E9182}"/>
    <cellStyle name="Comma 32 2 4" xfId="1147" xr:uid="{B214011C-468D-4B73-880A-8B34239818E9}"/>
    <cellStyle name="Comma 32 2 4 2" xfId="4376" xr:uid="{F604B689-0265-4D1D-9096-A86440A93271}"/>
    <cellStyle name="Comma 32 2 5" xfId="1599" xr:uid="{DBC7C847-8A6A-49EF-B7D1-10DA6D4BA9EE}"/>
    <cellStyle name="Comma 32 2 5 2" xfId="4821" xr:uid="{E96F722E-737E-4052-BFCC-6DD5753453FA}"/>
    <cellStyle name="Comma 32 2 6" xfId="2051" xr:uid="{EEC61BA0-E56B-41AD-96B5-C0FBC1140967}"/>
    <cellStyle name="Comma 32 2 6 2" xfId="5266" xr:uid="{1E9A1BEB-7DF9-4D1D-A5C1-63A4AF0E3312}"/>
    <cellStyle name="Comma 32 2 7" xfId="2503" xr:uid="{3D5359AB-FBEC-4378-A3E1-5D9DEC10BA8B}"/>
    <cellStyle name="Comma 32 2 7 2" xfId="5711" xr:uid="{EC181648-410A-446C-8AAE-2E9810CD4EA8}"/>
    <cellStyle name="Comma 32 2 8" xfId="2955" xr:uid="{D8C03D26-5B0E-4CAE-A923-30556FD27452}"/>
    <cellStyle name="Comma 32 2 8 2" xfId="6156" xr:uid="{2DA2A342-769E-427B-9B93-72FB135B76B8}"/>
    <cellStyle name="Comma 32 2 9" xfId="3485" xr:uid="{C5F722C1-D647-43D0-A07F-43F686036295}"/>
    <cellStyle name="Comma 32 3" xfId="466" xr:uid="{D4A203DE-2649-46E8-A563-6E3C8DDD74A4}"/>
    <cellStyle name="Comma 32 3 2" xfId="918" xr:uid="{30AB0273-6512-4BB5-B0F4-50EE4F091330}"/>
    <cellStyle name="Comma 32 3 2 2" xfId="4152" xr:uid="{0FC85A5A-F4E2-4C94-84E2-BC25C4CFC73A}"/>
    <cellStyle name="Comma 32 3 3" xfId="1370" xr:uid="{8787F651-BEE1-41D3-9F4E-AA15D9BA0DB7}"/>
    <cellStyle name="Comma 32 3 3 2" xfId="4597" xr:uid="{9D5C92DD-A2E2-4BCF-B19B-DB7149FECFDB}"/>
    <cellStyle name="Comma 32 3 4" xfId="1822" xr:uid="{1AE7D028-468E-4385-B029-F20BE41644C5}"/>
    <cellStyle name="Comma 32 3 4 2" xfId="5042" xr:uid="{02E09DF4-D740-4B96-BB67-0E12FAE3F560}"/>
    <cellStyle name="Comma 32 3 5" xfId="2274" xr:uid="{3BF856CD-034B-4992-9C5B-67B6469E3C37}"/>
    <cellStyle name="Comma 32 3 5 2" xfId="5487" xr:uid="{6DC7087B-DFC8-4E17-A0EA-0183A98C6469}"/>
    <cellStyle name="Comma 32 3 6" xfId="2726" xr:uid="{CD8F593A-53C7-4E98-AC5D-0010DDE8327F}"/>
    <cellStyle name="Comma 32 3 6 2" xfId="5932" xr:uid="{BD5B8394-4AF3-41AA-862F-B82564760ACC}"/>
    <cellStyle name="Comma 32 3 7" xfId="3178" xr:uid="{139D4F3D-CD1F-41EC-A072-51AD15108789}"/>
    <cellStyle name="Comma 32 3 7 2" xfId="6377" xr:uid="{6B6348CF-3EFC-417F-B357-ADF419FC18D2}"/>
    <cellStyle name="Comma 32 3 8" xfId="3707" xr:uid="{DD761ECB-1F0D-4B53-A7DE-202A1E4667A0}"/>
    <cellStyle name="Comma 32 4" xfId="694" xr:uid="{A9E7E30C-5F2E-4204-B2AC-E112D9BCF776}"/>
    <cellStyle name="Comma 32 4 2" xfId="3930" xr:uid="{58F22211-8AF0-4592-98FA-BC65AA967A84}"/>
    <cellStyle name="Comma 32 5" xfId="1146" xr:uid="{4B30E191-5F4B-4A3A-99E4-F688ECAE27A6}"/>
    <cellStyle name="Comma 32 5 2" xfId="4375" xr:uid="{3CC6E5C8-E8C9-4FF1-8B15-C9CBE827FE9A}"/>
    <cellStyle name="Comma 32 6" xfId="1598" xr:uid="{9A23A7BD-BB0A-45D5-A78E-D81937EE5C7A}"/>
    <cellStyle name="Comma 32 6 2" xfId="4820" xr:uid="{FBCA5B72-6659-4920-B8BB-DE96076B3F06}"/>
    <cellStyle name="Comma 32 7" xfId="2050" xr:uid="{2B36BF83-F02F-4E0C-9C94-C7541A7C126D}"/>
    <cellStyle name="Comma 32 7 2" xfId="5265" xr:uid="{B520110F-2459-4208-884E-63ADB45B3010}"/>
    <cellStyle name="Comma 32 8" xfId="2502" xr:uid="{0D3F17A2-5E78-4D99-A802-E4D956C8A627}"/>
    <cellStyle name="Comma 32 8 2" xfId="5710" xr:uid="{DFD183C9-1D43-42E3-8E34-DC427DF41AF9}"/>
    <cellStyle name="Comma 32 9" xfId="2954" xr:uid="{50698BE1-3CBD-47D5-9424-597C7101D01D}"/>
    <cellStyle name="Comma 32 9 2" xfId="6155" xr:uid="{2B738D62-8756-48F2-903C-6F5E5B359388}"/>
    <cellStyle name="Comma 33" xfId="205" xr:uid="{561FB895-F253-446D-A533-5408B632D1B7}"/>
    <cellStyle name="Comma 33 10" xfId="3486" xr:uid="{DEE93E87-CDBD-4467-9193-2BC903636479}"/>
    <cellStyle name="Comma 33 2" xfId="206" xr:uid="{2C2597F6-B535-4270-ACFF-D3DE65C1C013}"/>
    <cellStyle name="Comma 33 2 2" xfId="469" xr:uid="{D6BBB9EB-BBCB-4890-B6D2-C1C7E16AA137}"/>
    <cellStyle name="Comma 33 2 2 2" xfId="921" xr:uid="{683ED0E2-B165-470B-84A2-81EC557B6D9B}"/>
    <cellStyle name="Comma 33 2 2 2 2" xfId="4155" xr:uid="{E1631E41-7244-45D5-84EB-07FA6A3FC380}"/>
    <cellStyle name="Comma 33 2 2 3" xfId="1373" xr:uid="{7A850384-F017-4BF1-831A-2D654B244390}"/>
    <cellStyle name="Comma 33 2 2 3 2" xfId="4600" xr:uid="{325641A1-09EF-45EF-A987-A93C8216927E}"/>
    <cellStyle name="Comma 33 2 2 4" xfId="1825" xr:uid="{C1F8CDD5-E8B8-4ADF-A4CC-AE04CB7C2DDD}"/>
    <cellStyle name="Comma 33 2 2 4 2" xfId="5045" xr:uid="{12DEA683-936E-48FF-BFC3-FC825A5B49DD}"/>
    <cellStyle name="Comma 33 2 2 5" xfId="2277" xr:uid="{970DF9DD-CAF7-4F2C-A681-063B78EE3F15}"/>
    <cellStyle name="Comma 33 2 2 5 2" xfId="5490" xr:uid="{B0E52C5D-495D-49ED-9675-826720484B66}"/>
    <cellStyle name="Comma 33 2 2 6" xfId="2729" xr:uid="{DB59DC1A-CD27-4D05-AA89-49FA4F73DBAE}"/>
    <cellStyle name="Comma 33 2 2 6 2" xfId="5935" xr:uid="{FAC982DE-1CB6-4946-8D96-BA067B1D80A1}"/>
    <cellStyle name="Comma 33 2 2 7" xfId="3181" xr:uid="{145DA7CD-850E-41E3-BE8D-6FE99ECE2F42}"/>
    <cellStyle name="Comma 33 2 2 7 2" xfId="6380" xr:uid="{55CB8760-E516-4292-B18B-CC965929F038}"/>
    <cellStyle name="Comma 33 2 2 8" xfId="3710" xr:uid="{5609E19A-C5B1-45AF-A8C7-248E18A9866A}"/>
    <cellStyle name="Comma 33 2 3" xfId="697" xr:uid="{77120705-700D-4F03-8E16-0319B5F2DB73}"/>
    <cellStyle name="Comma 33 2 3 2" xfId="3933" xr:uid="{02E10D5C-A593-4720-92B7-401263107EDB}"/>
    <cellStyle name="Comma 33 2 4" xfId="1149" xr:uid="{1404083A-B175-468E-AA4F-1552DA87A951}"/>
    <cellStyle name="Comma 33 2 4 2" xfId="4378" xr:uid="{29BBDAB3-3BA1-47F1-A6FC-CBE43E03069E}"/>
    <cellStyle name="Comma 33 2 5" xfId="1601" xr:uid="{A78CE0F1-8705-4CF1-BC9F-0EA1A6CDA9EE}"/>
    <cellStyle name="Comma 33 2 5 2" xfId="4823" xr:uid="{D05D82CC-D800-4BE5-8CD9-EAD5EE54AE81}"/>
    <cellStyle name="Comma 33 2 6" xfId="2053" xr:uid="{8B5DD1E9-03B9-491A-A58C-5676C8C4B883}"/>
    <cellStyle name="Comma 33 2 6 2" xfId="5268" xr:uid="{62EA2056-6E0C-4058-9FF4-81032F6C5202}"/>
    <cellStyle name="Comma 33 2 7" xfId="2505" xr:uid="{76049582-9928-40F9-8B7C-A23814109673}"/>
    <cellStyle name="Comma 33 2 7 2" xfId="5713" xr:uid="{503D7C23-33A1-4695-95DE-548C654DC935}"/>
    <cellStyle name="Comma 33 2 8" xfId="2957" xr:uid="{7AFABE58-336A-42FD-9DA3-1A7FF6F659C4}"/>
    <cellStyle name="Comma 33 2 8 2" xfId="6158" xr:uid="{2C70FC39-5DF8-40C2-866D-FD40729FDDA4}"/>
    <cellStyle name="Comma 33 2 9" xfId="3487" xr:uid="{94314A48-E997-4DCB-93C1-0DF7ACC4EF60}"/>
    <cellStyle name="Comma 33 3" xfId="468" xr:uid="{66DDC164-6294-4904-8983-CC8B383E59D3}"/>
    <cellStyle name="Comma 33 3 2" xfId="920" xr:uid="{5CD7124A-5A22-4E2D-8A47-FB1E40D5D59D}"/>
    <cellStyle name="Comma 33 3 2 2" xfId="4154" xr:uid="{122E6A00-A085-4365-ACA4-9E8A4597DE6C}"/>
    <cellStyle name="Comma 33 3 3" xfId="1372" xr:uid="{395EC48D-2EB3-451C-9C56-B934248AF692}"/>
    <cellStyle name="Comma 33 3 3 2" xfId="4599" xr:uid="{79FE8181-B759-43DB-8632-EED1DF76C4ED}"/>
    <cellStyle name="Comma 33 3 4" xfId="1824" xr:uid="{9BFEA093-6E8F-45F0-8A7D-F7BAB488A6E3}"/>
    <cellStyle name="Comma 33 3 4 2" xfId="5044" xr:uid="{BC06695E-9BFD-40CA-A53D-30BDA75B6754}"/>
    <cellStyle name="Comma 33 3 5" xfId="2276" xr:uid="{78DEA94E-9175-4F10-B84A-B41CE520A3CA}"/>
    <cellStyle name="Comma 33 3 5 2" xfId="5489" xr:uid="{5F1D3490-956A-497C-A0D2-6C12282A8E88}"/>
    <cellStyle name="Comma 33 3 6" xfId="2728" xr:uid="{1A396A79-7429-49B4-BB6B-74594E734C08}"/>
    <cellStyle name="Comma 33 3 6 2" xfId="5934" xr:uid="{767D8CD2-AE10-4497-AF4C-C38571C8499B}"/>
    <cellStyle name="Comma 33 3 7" xfId="3180" xr:uid="{07781F0D-715E-4FF2-BE5C-CE54F906D8AF}"/>
    <cellStyle name="Comma 33 3 7 2" xfId="6379" xr:uid="{A67F15BE-DC16-44DB-8C2B-85F52F24495B}"/>
    <cellStyle name="Comma 33 3 8" xfId="3709" xr:uid="{0D62D416-50F0-4BD8-B43A-E9D559AB16E4}"/>
    <cellStyle name="Comma 33 4" xfId="696" xr:uid="{34C73E16-6385-4A64-AF53-4758637D5FC6}"/>
    <cellStyle name="Comma 33 4 2" xfId="3932" xr:uid="{5B266084-4BDC-42BF-9FE9-563AC817280A}"/>
    <cellStyle name="Comma 33 5" xfId="1148" xr:uid="{59EBD2B1-4482-4A95-9941-BE482FB08E75}"/>
    <cellStyle name="Comma 33 5 2" xfId="4377" xr:uid="{6B7364A7-8EFD-4104-9D3D-7FD8F8F3BBCF}"/>
    <cellStyle name="Comma 33 6" xfId="1600" xr:uid="{6BDA2729-C03D-4AFC-A976-F78EB64625E6}"/>
    <cellStyle name="Comma 33 6 2" xfId="4822" xr:uid="{1CFB81FE-C65F-40F7-A8E5-3E161437ED52}"/>
    <cellStyle name="Comma 33 7" xfId="2052" xr:uid="{10BB3C5B-2102-4BB3-ACF3-0883F7E01305}"/>
    <cellStyle name="Comma 33 7 2" xfId="5267" xr:uid="{726A04C1-7202-4A2F-AFD2-25B81813128A}"/>
    <cellStyle name="Comma 33 8" xfId="2504" xr:uid="{27D96B9E-F3E9-4798-A5EF-28C0326DBE79}"/>
    <cellStyle name="Comma 33 8 2" xfId="5712" xr:uid="{46421CC4-7391-4F86-94C4-9FEC92D87E9C}"/>
    <cellStyle name="Comma 33 9" xfId="2956" xr:uid="{78532E53-2BBD-4B8C-8761-580DCA233C5E}"/>
    <cellStyle name="Comma 33 9 2" xfId="6157" xr:uid="{BE2753C3-F531-4E35-8C02-07191DB6D345}"/>
    <cellStyle name="Comma 34" xfId="207" xr:uid="{AFDFF677-64CE-433A-8BF2-5E15134542F5}"/>
    <cellStyle name="Comma 34 10" xfId="3488" xr:uid="{5EAA1C8F-F25A-45BB-B5D1-6445ADF7FAA9}"/>
    <cellStyle name="Comma 34 2" xfId="208" xr:uid="{82336F15-70D9-430E-88FF-E931582BEE8A}"/>
    <cellStyle name="Comma 34 2 2" xfId="471" xr:uid="{2E49C73E-CF79-4A91-8659-D26220CBD477}"/>
    <cellStyle name="Comma 34 2 2 2" xfId="923" xr:uid="{387196FF-59F8-4DCE-9E2B-F3D04D6C753D}"/>
    <cellStyle name="Comma 34 2 2 2 2" xfId="4157" xr:uid="{BAF9B1AD-854A-4EF4-A288-5A6FD21E2F61}"/>
    <cellStyle name="Comma 34 2 2 3" xfId="1375" xr:uid="{3AA80444-198D-4449-9A8C-ACE533258F4B}"/>
    <cellStyle name="Comma 34 2 2 3 2" xfId="4602" xr:uid="{9E74A0A8-F76B-4E8A-BC68-3AEDAD63A620}"/>
    <cellStyle name="Comma 34 2 2 4" xfId="1827" xr:uid="{F16C5FB0-3D61-4B13-80A5-BFF701250276}"/>
    <cellStyle name="Comma 34 2 2 4 2" xfId="5047" xr:uid="{4D9B85FD-ADA4-4A34-AE00-8AD547204191}"/>
    <cellStyle name="Comma 34 2 2 5" xfId="2279" xr:uid="{E59CA7B9-A761-4E45-96E9-B5CF53E2500E}"/>
    <cellStyle name="Comma 34 2 2 5 2" xfId="5492" xr:uid="{DFDF99AB-0E48-4118-9F5C-E97204D11725}"/>
    <cellStyle name="Comma 34 2 2 6" xfId="2731" xr:uid="{72445ECB-820B-4AC1-B816-0152BC1B066C}"/>
    <cellStyle name="Comma 34 2 2 6 2" xfId="5937" xr:uid="{DE89717B-1582-4D48-9D00-7E411510CB59}"/>
    <cellStyle name="Comma 34 2 2 7" xfId="3183" xr:uid="{99A77908-958A-40A7-9C3E-224E26F3D419}"/>
    <cellStyle name="Comma 34 2 2 7 2" xfId="6382" xr:uid="{D3FB613D-2750-45F5-8A81-88F8F9805D89}"/>
    <cellStyle name="Comma 34 2 2 8" xfId="3712" xr:uid="{B226ED99-0485-4B76-9C85-DC5918D8C45B}"/>
    <cellStyle name="Comma 34 2 3" xfId="699" xr:uid="{A25C8998-2988-4ABC-8C8B-BEF1A716DA1F}"/>
    <cellStyle name="Comma 34 2 3 2" xfId="3935" xr:uid="{1E1D409A-7049-476F-8079-7AF294F87E63}"/>
    <cellStyle name="Comma 34 2 4" xfId="1151" xr:uid="{6308A6DD-B83A-4879-990F-99441041D0B7}"/>
    <cellStyle name="Comma 34 2 4 2" xfId="4380" xr:uid="{38840A44-2F04-4585-B9B3-73AAEFC2605C}"/>
    <cellStyle name="Comma 34 2 5" xfId="1603" xr:uid="{CFA0CA58-068E-42E9-8EB0-7B585F1BA814}"/>
    <cellStyle name="Comma 34 2 5 2" xfId="4825" xr:uid="{90690AFC-9F32-4AC9-AE5D-4FD22168C490}"/>
    <cellStyle name="Comma 34 2 6" xfId="2055" xr:uid="{976082DD-67B5-4DFD-9177-FE932F63C2C4}"/>
    <cellStyle name="Comma 34 2 6 2" xfId="5270" xr:uid="{A8696143-7EF8-492B-B780-B0741EC23624}"/>
    <cellStyle name="Comma 34 2 7" xfId="2507" xr:uid="{217AAF26-56A5-4A29-8852-667F8A3E4CB8}"/>
    <cellStyle name="Comma 34 2 7 2" xfId="5715" xr:uid="{3C6E1C0A-A061-4D0B-8E73-1666F77369A8}"/>
    <cellStyle name="Comma 34 2 8" xfId="2959" xr:uid="{B59FBB73-5DDB-4D24-85B8-A515176A14CC}"/>
    <cellStyle name="Comma 34 2 8 2" xfId="6160" xr:uid="{E6BCE3D5-7F6D-48E2-A7C1-F459841195AE}"/>
    <cellStyle name="Comma 34 2 9" xfId="3489" xr:uid="{FA3856D8-20B9-43B0-86E4-A55D6DDB0B40}"/>
    <cellStyle name="Comma 34 3" xfId="470" xr:uid="{112BAB3B-2887-4580-820E-BECF4B6A6D3A}"/>
    <cellStyle name="Comma 34 3 2" xfId="922" xr:uid="{51155492-52A8-48FF-9457-F04092ED2860}"/>
    <cellStyle name="Comma 34 3 2 2" xfId="4156" xr:uid="{B72AC2F6-643D-4DC1-AB05-0A60472EBD0A}"/>
    <cellStyle name="Comma 34 3 3" xfId="1374" xr:uid="{AD48EF9C-3D56-42CB-8971-F8B26E8616FB}"/>
    <cellStyle name="Comma 34 3 3 2" xfId="4601" xr:uid="{092D28E6-4E98-4E81-A9F1-FEE6186B3A14}"/>
    <cellStyle name="Comma 34 3 4" xfId="1826" xr:uid="{59A64CAB-C10E-4420-81B7-9443053A13F0}"/>
    <cellStyle name="Comma 34 3 4 2" xfId="5046" xr:uid="{194C2B9A-35AA-4CE7-9B39-F95D7F8440A4}"/>
    <cellStyle name="Comma 34 3 5" xfId="2278" xr:uid="{AEC5CBA6-CC7E-4838-A8F2-69D03C015D56}"/>
    <cellStyle name="Comma 34 3 5 2" xfId="5491" xr:uid="{8A8CF9FC-80B7-4D50-A94A-29380123D3D0}"/>
    <cellStyle name="Comma 34 3 6" xfId="2730" xr:uid="{80A93D08-D940-469F-8617-32A1F77DB24B}"/>
    <cellStyle name="Comma 34 3 6 2" xfId="5936" xr:uid="{C2E2E125-8C02-4FFE-B8A8-08967895BEC6}"/>
    <cellStyle name="Comma 34 3 7" xfId="3182" xr:uid="{E861028B-B555-4A92-AEEE-D06B900C0C09}"/>
    <cellStyle name="Comma 34 3 7 2" xfId="6381" xr:uid="{B328F3D3-AD2C-47D3-8B7D-51DD9A8EDE9C}"/>
    <cellStyle name="Comma 34 3 8" xfId="3711" xr:uid="{C125037D-89D0-4B1E-8A0C-219DDACFDA1A}"/>
    <cellStyle name="Comma 34 4" xfId="698" xr:uid="{918794CE-125E-4551-B532-930B667476B4}"/>
    <cellStyle name="Comma 34 4 2" xfId="3934" xr:uid="{6734D2B6-FDE9-4753-8C17-E5FD54A70CB1}"/>
    <cellStyle name="Comma 34 5" xfId="1150" xr:uid="{1150738F-9453-4730-8D7F-3F558A21E0A6}"/>
    <cellStyle name="Comma 34 5 2" xfId="4379" xr:uid="{7250DA98-1D3B-4C43-B669-79703E893C79}"/>
    <cellStyle name="Comma 34 6" xfId="1602" xr:uid="{0D833433-8FA9-4586-9B18-68E0FF380F58}"/>
    <cellStyle name="Comma 34 6 2" xfId="4824" xr:uid="{430A417A-431C-450C-9B96-613EF9CE0C9C}"/>
    <cellStyle name="Comma 34 7" xfId="2054" xr:uid="{4211EB29-5B60-400C-AFB3-8531E1F08C20}"/>
    <cellStyle name="Comma 34 7 2" xfId="5269" xr:uid="{C12F58AF-1406-44E9-BBC5-5BCF5B2549A8}"/>
    <cellStyle name="Comma 34 8" xfId="2506" xr:uid="{98B9105D-9F8C-449C-BD02-70C8C4F4559D}"/>
    <cellStyle name="Comma 34 8 2" xfId="5714" xr:uid="{46E049F1-F1E6-4EAC-87DD-6B1304BC1830}"/>
    <cellStyle name="Comma 34 9" xfId="2958" xr:uid="{1A5991DA-6A0D-48D3-8E7A-B77C623953DB}"/>
    <cellStyle name="Comma 34 9 2" xfId="6159" xr:uid="{62410875-FB0B-449E-8BB1-993F6FE4EE3D}"/>
    <cellStyle name="Comma 35" xfId="209" xr:uid="{37374AC6-AE07-4BC7-91D8-DEDFA44F69AC}"/>
    <cellStyle name="Comma 35 10" xfId="3490" xr:uid="{72471792-736D-47E8-AD64-10FFF8FC4EDE}"/>
    <cellStyle name="Comma 35 2" xfId="210" xr:uid="{78E7BDC9-A44D-4FD1-917D-FC964A87F2AD}"/>
    <cellStyle name="Comma 35 2 2" xfId="473" xr:uid="{085F5D1C-D8CF-44B9-BAA2-6B30CDC44B5C}"/>
    <cellStyle name="Comma 35 2 2 2" xfId="925" xr:uid="{578E1179-525B-4286-9379-41E2B33AD1B7}"/>
    <cellStyle name="Comma 35 2 2 2 2" xfId="4159" xr:uid="{887C6BB1-3837-4BDB-94D8-9D6D67EF19A1}"/>
    <cellStyle name="Comma 35 2 2 3" xfId="1377" xr:uid="{D9136BC6-7461-49E0-90AB-4B57F608F39B}"/>
    <cellStyle name="Comma 35 2 2 3 2" xfId="4604" xr:uid="{7097F162-6424-44E1-91F6-BB0672DF5E3B}"/>
    <cellStyle name="Comma 35 2 2 4" xfId="1829" xr:uid="{55176669-2C9A-4497-BCE0-FA8F5BDC973B}"/>
    <cellStyle name="Comma 35 2 2 4 2" xfId="5049" xr:uid="{D4156AAD-27A5-44D6-88FD-37D1FA05CC08}"/>
    <cellStyle name="Comma 35 2 2 5" xfId="2281" xr:uid="{D5F1A7B4-7421-428E-84B8-0C8DEBC05D33}"/>
    <cellStyle name="Comma 35 2 2 5 2" xfId="5494" xr:uid="{B1974852-1F60-4674-9546-6513E778453C}"/>
    <cellStyle name="Comma 35 2 2 6" xfId="2733" xr:uid="{9791E591-9946-4EE7-8122-47491F3D1DA0}"/>
    <cellStyle name="Comma 35 2 2 6 2" xfId="5939" xr:uid="{08ACE31B-8C91-46AE-B25E-BA0BB1AAF752}"/>
    <cellStyle name="Comma 35 2 2 7" xfId="3185" xr:uid="{1F18B58B-5C8E-4909-B001-A31A7B256CE0}"/>
    <cellStyle name="Comma 35 2 2 7 2" xfId="6384" xr:uid="{490D3842-CB34-4D86-9283-8AEFED8452DC}"/>
    <cellStyle name="Comma 35 2 2 8" xfId="3714" xr:uid="{82F2F810-DB6D-41C2-BCD2-00E97308807E}"/>
    <cellStyle name="Comma 35 2 3" xfId="701" xr:uid="{F68FE66D-3E4B-480D-9DD5-82FFEA99685B}"/>
    <cellStyle name="Comma 35 2 3 2" xfId="3937" xr:uid="{C965D0ED-1FB7-42A7-9A1F-C927F6762BBC}"/>
    <cellStyle name="Comma 35 2 4" xfId="1153" xr:uid="{26D1625E-54EB-469A-8399-EC259B794327}"/>
    <cellStyle name="Comma 35 2 4 2" xfId="4382" xr:uid="{55C4D81D-16ED-483D-B5FD-29444961F478}"/>
    <cellStyle name="Comma 35 2 5" xfId="1605" xr:uid="{19C4FD3E-D12E-4ADD-B170-054C31A986F9}"/>
    <cellStyle name="Comma 35 2 5 2" xfId="4827" xr:uid="{9B497517-3065-44A7-9A65-CAF33F6E2F97}"/>
    <cellStyle name="Comma 35 2 6" xfId="2057" xr:uid="{54D9316C-3E21-4ADB-8AB8-825310BDD36B}"/>
    <cellStyle name="Comma 35 2 6 2" xfId="5272" xr:uid="{E9047109-285B-4CF1-A5E6-CC602CAB1A7D}"/>
    <cellStyle name="Comma 35 2 7" xfId="2509" xr:uid="{B07029EA-BD03-4E9B-88BE-8F5A1C4B088B}"/>
    <cellStyle name="Comma 35 2 7 2" xfId="5717" xr:uid="{08E672C2-F40F-4136-9BAC-05DA10AA5218}"/>
    <cellStyle name="Comma 35 2 8" xfId="2961" xr:uid="{202B980F-77A2-4065-A395-44A3F98AAA41}"/>
    <cellStyle name="Comma 35 2 8 2" xfId="6162" xr:uid="{10BC2048-974C-4C70-BB60-1B9284D9142D}"/>
    <cellStyle name="Comma 35 2 9" xfId="3491" xr:uid="{9CE40F89-3477-4E78-A8BF-965A4E833E1C}"/>
    <cellStyle name="Comma 35 3" xfId="472" xr:uid="{53952FA0-2B7A-4EB3-953B-02F71D85C079}"/>
    <cellStyle name="Comma 35 3 2" xfId="924" xr:uid="{EC06D96C-F859-47FF-8D0D-6644D24181EC}"/>
    <cellStyle name="Comma 35 3 2 2" xfId="4158" xr:uid="{E28FA86B-C4A6-4BED-92F0-B35DA98D950C}"/>
    <cellStyle name="Comma 35 3 3" xfId="1376" xr:uid="{A72DA237-3901-41C5-B80A-41B7D62E5FEB}"/>
    <cellStyle name="Comma 35 3 3 2" xfId="4603" xr:uid="{5CA58B23-63A7-4C18-8152-F965B937CD2C}"/>
    <cellStyle name="Comma 35 3 4" xfId="1828" xr:uid="{AC5630DB-7CA3-47EB-A265-836F2C282B14}"/>
    <cellStyle name="Comma 35 3 4 2" xfId="5048" xr:uid="{2224E7AA-E0B0-4680-9B69-23158E0196F5}"/>
    <cellStyle name="Comma 35 3 5" xfId="2280" xr:uid="{D0B6C4D5-FD07-4561-914A-1995B47D900F}"/>
    <cellStyle name="Comma 35 3 5 2" xfId="5493" xr:uid="{2B79BCA8-2EDE-4909-96F0-281AACCA592B}"/>
    <cellStyle name="Comma 35 3 6" xfId="2732" xr:uid="{1B92410B-AA14-466C-A05B-3B2AE5EBA85D}"/>
    <cellStyle name="Comma 35 3 6 2" xfId="5938" xr:uid="{1234B3BF-5A92-4D46-9B87-7F63320E42B3}"/>
    <cellStyle name="Comma 35 3 7" xfId="3184" xr:uid="{62D06308-0ED4-4AF9-9A9A-B1AC00737974}"/>
    <cellStyle name="Comma 35 3 7 2" xfId="6383" xr:uid="{A8B560D6-44CB-4920-A7E4-77FD299D403B}"/>
    <cellStyle name="Comma 35 3 8" xfId="3713" xr:uid="{D4F8227C-D6B5-4870-B90B-3BFE47AE97B6}"/>
    <cellStyle name="Comma 35 4" xfId="700" xr:uid="{E11BD716-2E90-4F8C-8E98-FF9E551EE802}"/>
    <cellStyle name="Comma 35 4 2" xfId="3936" xr:uid="{63A8F238-7F42-4D82-8590-38D91B2AB956}"/>
    <cellStyle name="Comma 35 5" xfId="1152" xr:uid="{247A3FE9-5528-44B0-ABE2-A8E42993A5C5}"/>
    <cellStyle name="Comma 35 5 2" xfId="4381" xr:uid="{E6FF83D4-6344-4634-8BAB-6D1E554D63D5}"/>
    <cellStyle name="Comma 35 6" xfId="1604" xr:uid="{ADB81ACB-3525-4D93-9198-C1B2D9A76AFC}"/>
    <cellStyle name="Comma 35 6 2" xfId="4826" xr:uid="{DFD35D28-A6C8-41F3-AB0B-AB6C26FEB1CF}"/>
    <cellStyle name="Comma 35 7" xfId="2056" xr:uid="{C88632DA-1074-4579-B20B-63A5186AFA4A}"/>
    <cellStyle name="Comma 35 7 2" xfId="5271" xr:uid="{37611409-7259-4C72-B25F-3760FA69EA57}"/>
    <cellStyle name="Comma 35 8" xfId="2508" xr:uid="{1868B347-321E-4DA4-A9B6-99B02A88331C}"/>
    <cellStyle name="Comma 35 8 2" xfId="5716" xr:uid="{FDD4E850-A3E0-463D-B217-2AD90DA23EB0}"/>
    <cellStyle name="Comma 35 9" xfId="2960" xr:uid="{E7C15FF8-0E09-4AE1-8CE0-2EDE268C355F}"/>
    <cellStyle name="Comma 35 9 2" xfId="6161" xr:uid="{EA1D6FF2-11A5-416B-B707-F7B0A2B7EB6C}"/>
    <cellStyle name="Comma 36" xfId="211" xr:uid="{565102C2-07ED-4902-B0E6-3EADBE3024CC}"/>
    <cellStyle name="Comma 36 10" xfId="3492" xr:uid="{1BFB512F-D0D7-4CA3-BB15-3D0BB7C7B350}"/>
    <cellStyle name="Comma 36 2" xfId="212" xr:uid="{1BDFEEDD-D136-4791-B7B6-915238A7159B}"/>
    <cellStyle name="Comma 36 2 2" xfId="475" xr:uid="{F2FC3711-D4AA-40DB-B391-6EBB9936DE2E}"/>
    <cellStyle name="Comma 36 2 2 2" xfId="927" xr:uid="{CD71BAA8-DEBE-447E-B738-95A38C60D34D}"/>
    <cellStyle name="Comma 36 2 2 2 2" xfId="4161" xr:uid="{675E21B1-87F0-4E30-A841-93D763FD4D7D}"/>
    <cellStyle name="Comma 36 2 2 3" xfId="1379" xr:uid="{A77A8694-E8BF-41C3-BCFB-A566CD27DEA3}"/>
    <cellStyle name="Comma 36 2 2 3 2" xfId="4606" xr:uid="{D38161DB-9787-4B71-8EE2-12C0DBA9DCA5}"/>
    <cellStyle name="Comma 36 2 2 4" xfId="1831" xr:uid="{2547924F-FFB0-4DDD-8355-9CCA66A33C31}"/>
    <cellStyle name="Comma 36 2 2 4 2" xfId="5051" xr:uid="{FEC4747F-914E-4F50-83C9-541F416CC0E3}"/>
    <cellStyle name="Comma 36 2 2 5" xfId="2283" xr:uid="{44469C1F-756F-4030-9825-1628DD3E8345}"/>
    <cellStyle name="Comma 36 2 2 5 2" xfId="5496" xr:uid="{A93D569C-560D-48B8-9197-D8AF9DA1EC1A}"/>
    <cellStyle name="Comma 36 2 2 6" xfId="2735" xr:uid="{472CB80A-9681-488F-8F36-7D8FCB8B9670}"/>
    <cellStyle name="Comma 36 2 2 6 2" xfId="5941" xr:uid="{B1B9636C-94F8-4F45-884F-7D230B1825C0}"/>
    <cellStyle name="Comma 36 2 2 7" xfId="3187" xr:uid="{A272385B-50B1-423B-8870-C2DDA419C92E}"/>
    <cellStyle name="Comma 36 2 2 7 2" xfId="6386" xr:uid="{0F2257E0-F94D-48AD-A1AB-4264A56DE0F6}"/>
    <cellStyle name="Comma 36 2 2 8" xfId="3716" xr:uid="{4F7F5413-B84C-49E8-AD6B-E0E602CD0400}"/>
    <cellStyle name="Comma 36 2 3" xfId="703" xr:uid="{31B009C3-7759-402E-A5F7-E4D333D7F953}"/>
    <cellStyle name="Comma 36 2 3 2" xfId="3939" xr:uid="{5C44E3A1-947F-4992-B051-350E4A73BCE1}"/>
    <cellStyle name="Comma 36 2 4" xfId="1155" xr:uid="{3A53504B-4715-438F-9707-A8276E479997}"/>
    <cellStyle name="Comma 36 2 4 2" xfId="4384" xr:uid="{D4E592B6-7383-416F-833B-1864B186952F}"/>
    <cellStyle name="Comma 36 2 5" xfId="1607" xr:uid="{A48D12C6-8714-46B2-BFE6-B96A15E57710}"/>
    <cellStyle name="Comma 36 2 5 2" xfId="4829" xr:uid="{28002F04-31C9-4166-B00F-B87EE695D3C7}"/>
    <cellStyle name="Comma 36 2 6" xfId="2059" xr:uid="{209A35D3-2F52-40B6-873D-C362AAF4CCD2}"/>
    <cellStyle name="Comma 36 2 6 2" xfId="5274" xr:uid="{371FDF7C-3170-4DE2-A7DF-D7B1CCE37BFA}"/>
    <cellStyle name="Comma 36 2 7" xfId="2511" xr:uid="{9D3E6A64-1A9F-4F29-88CB-AA84AAC0E014}"/>
    <cellStyle name="Comma 36 2 7 2" xfId="5719" xr:uid="{4205D330-BDEA-435F-ACB3-E27821BD8556}"/>
    <cellStyle name="Comma 36 2 8" xfId="2963" xr:uid="{701D087E-94B4-44CD-959B-3E0A3024A15A}"/>
    <cellStyle name="Comma 36 2 8 2" xfId="6164" xr:uid="{5FD54215-4AA6-432B-8E18-616678D79FAE}"/>
    <cellStyle name="Comma 36 2 9" xfId="3493" xr:uid="{BC4E088F-9FFF-430A-80F9-E316953CC34C}"/>
    <cellStyle name="Comma 36 3" xfId="474" xr:uid="{76900394-BF53-4484-9263-D5A05C4771BB}"/>
    <cellStyle name="Comma 36 3 2" xfId="926" xr:uid="{20B518E8-5E72-4497-95CC-68BEC2E7B637}"/>
    <cellStyle name="Comma 36 3 2 2" xfId="4160" xr:uid="{9A20BC06-DE80-450E-A0DE-AD46D2C9D0BD}"/>
    <cellStyle name="Comma 36 3 3" xfId="1378" xr:uid="{D41BE237-88EB-436F-9880-0750D65137C8}"/>
    <cellStyle name="Comma 36 3 3 2" xfId="4605" xr:uid="{4B2461F6-11A7-4177-9669-24D273F43699}"/>
    <cellStyle name="Comma 36 3 4" xfId="1830" xr:uid="{7F387F5C-9596-492F-9EDF-5B1CE0A08427}"/>
    <cellStyle name="Comma 36 3 4 2" xfId="5050" xr:uid="{A9C3D59D-D4A8-4F3C-ADF6-7488A6D55F62}"/>
    <cellStyle name="Comma 36 3 5" xfId="2282" xr:uid="{025D20AD-F663-4F69-A596-5DE805C9626E}"/>
    <cellStyle name="Comma 36 3 5 2" xfId="5495" xr:uid="{195AB37F-4D47-4454-84B7-449C43C31CA7}"/>
    <cellStyle name="Comma 36 3 6" xfId="2734" xr:uid="{8B75A25F-3C5C-437B-80FD-F6FC248471A4}"/>
    <cellStyle name="Comma 36 3 6 2" xfId="5940" xr:uid="{EFA20020-6AAC-4A65-9060-D5255251BD6A}"/>
    <cellStyle name="Comma 36 3 7" xfId="3186" xr:uid="{FF2A84F7-62F3-437B-8950-97F61FE0FCDA}"/>
    <cellStyle name="Comma 36 3 7 2" xfId="6385" xr:uid="{5C9A24BE-3692-42E4-A6C2-EB086F7F4DE8}"/>
    <cellStyle name="Comma 36 3 8" xfId="3715" xr:uid="{BE939AED-8B8B-49E2-8F6C-D4ADA01F2ED6}"/>
    <cellStyle name="Comma 36 4" xfId="702" xr:uid="{66B63991-6E8E-4B3B-BF35-5BB09673EF8E}"/>
    <cellStyle name="Comma 36 4 2" xfId="3938" xr:uid="{6692312D-B056-4204-AAEC-A2530DE80DF2}"/>
    <cellStyle name="Comma 36 5" xfId="1154" xr:uid="{E1F39F6E-E742-4273-93A2-E51CFF508D2D}"/>
    <cellStyle name="Comma 36 5 2" xfId="4383" xr:uid="{2D555F5F-21CD-42C2-8D91-E04F6B38BBBD}"/>
    <cellStyle name="Comma 36 6" xfId="1606" xr:uid="{CDBADCBD-08A1-4B4D-9B54-FEBBBBA426E0}"/>
    <cellStyle name="Comma 36 6 2" xfId="4828" xr:uid="{C40422D6-C2A6-4BEA-9A02-A084CF81FB01}"/>
    <cellStyle name="Comma 36 7" xfId="2058" xr:uid="{1B445815-EA3D-491C-A18A-AFE34FBC7C18}"/>
    <cellStyle name="Comma 36 7 2" xfId="5273" xr:uid="{230E00E3-97F9-4268-B468-AD5D4241ACC9}"/>
    <cellStyle name="Comma 36 8" xfId="2510" xr:uid="{237A39E3-36C6-4D53-B9C3-21C8D984A093}"/>
    <cellStyle name="Comma 36 8 2" xfId="5718" xr:uid="{717030AA-FCB9-41C2-800A-D5A8B5308BB6}"/>
    <cellStyle name="Comma 36 9" xfId="2962" xr:uid="{5CBA609F-EAD5-4A7F-A0EC-2F41C80D866A}"/>
    <cellStyle name="Comma 36 9 2" xfId="6163" xr:uid="{75CF4949-3D01-461D-8603-820486C68ABF}"/>
    <cellStyle name="Comma 37" xfId="213" xr:uid="{5975DFC3-5EE5-4CDD-AF16-471A06B98E65}"/>
    <cellStyle name="Comma 37 10" xfId="3494" xr:uid="{43519121-64D4-4299-9FF8-31F303720210}"/>
    <cellStyle name="Comma 37 2" xfId="214" xr:uid="{9955EE32-D2FB-428B-915F-2F72D01EEFBF}"/>
    <cellStyle name="Comma 37 2 2" xfId="477" xr:uid="{287ECD1B-D3C2-4D92-93DB-6B7CD0D851E5}"/>
    <cellStyle name="Comma 37 2 2 2" xfId="929" xr:uid="{53D2AD2F-4C68-4782-93BD-137295417823}"/>
    <cellStyle name="Comma 37 2 2 2 2" xfId="4163" xr:uid="{C8965425-3EF4-4BC7-A017-ADED64438A45}"/>
    <cellStyle name="Comma 37 2 2 3" xfId="1381" xr:uid="{B7579B4B-D99F-4B85-A8F9-DCFD74149716}"/>
    <cellStyle name="Comma 37 2 2 3 2" xfId="4608" xr:uid="{BA1CE28F-C7C6-49C1-9EF3-9AC156508A45}"/>
    <cellStyle name="Comma 37 2 2 4" xfId="1833" xr:uid="{7A3AADE5-A215-425B-9E97-5C619F470319}"/>
    <cellStyle name="Comma 37 2 2 4 2" xfId="5053" xr:uid="{B9D42372-5367-44D1-A948-2327B21F0CD7}"/>
    <cellStyle name="Comma 37 2 2 5" xfId="2285" xr:uid="{A332122E-8444-4309-A394-7B0F99997C3D}"/>
    <cellStyle name="Comma 37 2 2 5 2" xfId="5498" xr:uid="{C0E38663-0D84-4A9F-9996-511FF3A39AB1}"/>
    <cellStyle name="Comma 37 2 2 6" xfId="2737" xr:uid="{7443D1DC-5AF9-42BD-8FB2-3BC249454F78}"/>
    <cellStyle name="Comma 37 2 2 6 2" xfId="5943" xr:uid="{2617DF0C-391F-4FD9-915B-D7BE6AE960A1}"/>
    <cellStyle name="Comma 37 2 2 7" xfId="3189" xr:uid="{2DDF08C7-C9BE-43DC-8F3E-212B43C80545}"/>
    <cellStyle name="Comma 37 2 2 7 2" xfId="6388" xr:uid="{97DD4BA9-EAB2-4AA7-9BF9-6602E001020E}"/>
    <cellStyle name="Comma 37 2 2 8" xfId="3718" xr:uid="{E24AE730-FE66-43CF-9EBC-B329BCF2BDEF}"/>
    <cellStyle name="Comma 37 2 3" xfId="705" xr:uid="{F55FE824-14D2-42CF-A595-70B2F4C730FB}"/>
    <cellStyle name="Comma 37 2 3 2" xfId="3941" xr:uid="{5E985D17-DEB1-4D7F-A420-DE2BC0FBABAD}"/>
    <cellStyle name="Comma 37 2 4" xfId="1157" xr:uid="{796B5245-F828-47E7-A1E2-7F6761C2A57F}"/>
    <cellStyle name="Comma 37 2 4 2" xfId="4386" xr:uid="{A4F975EC-CC08-4435-AFE6-187D8320D34C}"/>
    <cellStyle name="Comma 37 2 5" xfId="1609" xr:uid="{68649BFC-6EEF-4BFB-846D-59F7E6A4259B}"/>
    <cellStyle name="Comma 37 2 5 2" xfId="4831" xr:uid="{4A4363CD-BCB1-4FF9-BE3C-0BFE5F6FD4E5}"/>
    <cellStyle name="Comma 37 2 6" xfId="2061" xr:uid="{E4B7C5A0-65EF-4841-A1AF-568597B54138}"/>
    <cellStyle name="Comma 37 2 6 2" xfId="5276" xr:uid="{4D7B18AC-637D-4401-B0F2-1CFFF837F022}"/>
    <cellStyle name="Comma 37 2 7" xfId="2513" xr:uid="{8CC04870-4FCB-424D-8303-4EF8E50D80FE}"/>
    <cellStyle name="Comma 37 2 7 2" xfId="5721" xr:uid="{5230CD50-DCCB-4D8C-8275-4F38CF0EF4C2}"/>
    <cellStyle name="Comma 37 2 8" xfId="2965" xr:uid="{2D53C839-B9BF-41C9-84CB-217B88CA0196}"/>
    <cellStyle name="Comma 37 2 8 2" xfId="6166" xr:uid="{BDC61E45-F45A-44B8-8FAE-A975806DB3D6}"/>
    <cellStyle name="Comma 37 2 9" xfId="3495" xr:uid="{5FBA9F71-5A76-4D7E-B5CD-F7449B4819A7}"/>
    <cellStyle name="Comma 37 3" xfId="476" xr:uid="{A5A2687A-8398-4971-8398-392140B7149C}"/>
    <cellStyle name="Comma 37 3 2" xfId="928" xr:uid="{EBD5FFA7-9128-46A4-9714-77D14124A51C}"/>
    <cellStyle name="Comma 37 3 2 2" xfId="4162" xr:uid="{25CF359A-8BE5-432C-846F-D960EC7F3CAC}"/>
    <cellStyle name="Comma 37 3 3" xfId="1380" xr:uid="{DE038FCB-A15E-4299-B36A-0F62DA91C59F}"/>
    <cellStyle name="Comma 37 3 3 2" xfId="4607" xr:uid="{82264860-62C8-42B0-993B-9B6376A13949}"/>
    <cellStyle name="Comma 37 3 4" xfId="1832" xr:uid="{18615C0D-DAD9-4047-A46C-8DB01234A4CE}"/>
    <cellStyle name="Comma 37 3 4 2" xfId="5052" xr:uid="{C2CE2A50-CD96-44C8-9CCB-7618A048447B}"/>
    <cellStyle name="Comma 37 3 5" xfId="2284" xr:uid="{827F82B8-178D-48A9-8557-C542C52856CE}"/>
    <cellStyle name="Comma 37 3 5 2" xfId="5497" xr:uid="{9099EEB2-E5FA-4DA9-93FD-36448903466E}"/>
    <cellStyle name="Comma 37 3 6" xfId="2736" xr:uid="{1C24B69A-7A92-4F4B-963F-5E2A14309961}"/>
    <cellStyle name="Comma 37 3 6 2" xfId="5942" xr:uid="{9FD73867-A4A8-4D26-8B57-AC4D542ADA77}"/>
    <cellStyle name="Comma 37 3 7" xfId="3188" xr:uid="{8A2923DE-962B-486D-ADA9-CA99E9549331}"/>
    <cellStyle name="Comma 37 3 7 2" xfId="6387" xr:uid="{0454BFD5-E681-4024-AB1F-4AD3C5EDFA27}"/>
    <cellStyle name="Comma 37 3 8" xfId="3717" xr:uid="{2C4F16E0-3275-499E-91C0-6E3BB1792CB9}"/>
    <cellStyle name="Comma 37 4" xfId="704" xr:uid="{05739696-E472-4102-BDC3-67BF564369EA}"/>
    <cellStyle name="Comma 37 4 2" xfId="3940" xr:uid="{8679EC81-A351-4B6C-8D9C-3A1D950163A1}"/>
    <cellStyle name="Comma 37 5" xfId="1156" xr:uid="{C21DC109-0FD9-4130-A412-A8411DE09D39}"/>
    <cellStyle name="Comma 37 5 2" xfId="4385" xr:uid="{B73A9BB6-CC04-4097-91AF-26A256221BFB}"/>
    <cellStyle name="Comma 37 6" xfId="1608" xr:uid="{44988AB0-F314-4FDC-941C-BA8165A49DDC}"/>
    <cellStyle name="Comma 37 6 2" xfId="4830" xr:uid="{ED745A72-D70D-46D9-95E2-02DAB42B10F5}"/>
    <cellStyle name="Comma 37 7" xfId="2060" xr:uid="{B52AFF62-CCC2-468D-B328-06EE8A7E8104}"/>
    <cellStyle name="Comma 37 7 2" xfId="5275" xr:uid="{1C36CA5A-5359-464E-A5AD-87B5C3EFD034}"/>
    <cellStyle name="Comma 37 8" xfId="2512" xr:uid="{B218300F-8BE2-4F9F-8F34-CB6B1B895757}"/>
    <cellStyle name="Comma 37 8 2" xfId="5720" xr:uid="{F7B8EDA2-F831-4E3F-A354-3F58CFE9DA8A}"/>
    <cellStyle name="Comma 37 9" xfId="2964" xr:uid="{CE8FEB63-292D-41B1-BC42-F711D973473C}"/>
    <cellStyle name="Comma 37 9 2" xfId="6165" xr:uid="{6014FB41-7032-438F-A514-E3DD5578EB7F}"/>
    <cellStyle name="Comma 38" xfId="215" xr:uid="{1E4C1F80-59E6-49C9-AF04-C657A50D1C9D}"/>
    <cellStyle name="Comma 38 10" xfId="3496" xr:uid="{9096983E-6DF9-4A2D-BBD4-ABE0D581E5E6}"/>
    <cellStyle name="Comma 38 2" xfId="216" xr:uid="{018DD482-36E9-493E-9CDF-4E6EB2B43260}"/>
    <cellStyle name="Comma 38 2 2" xfId="479" xr:uid="{81B4A716-DEFE-42F8-94B6-117351A00578}"/>
    <cellStyle name="Comma 38 2 2 2" xfId="931" xr:uid="{676E3442-D1B2-4299-8D20-167D23CB1C54}"/>
    <cellStyle name="Comma 38 2 2 2 2" xfId="4165" xr:uid="{FA22D3FA-D095-46DA-84E3-27A81190CE72}"/>
    <cellStyle name="Comma 38 2 2 3" xfId="1383" xr:uid="{54C8FB7D-0FBF-4F98-9D24-4E81B00F97C5}"/>
    <cellStyle name="Comma 38 2 2 3 2" xfId="4610" xr:uid="{2C821775-9345-4540-841A-E8A32F0B1AD3}"/>
    <cellStyle name="Comma 38 2 2 4" xfId="1835" xr:uid="{DDD1C34A-6590-4F9F-A431-9D05D5E6FAE9}"/>
    <cellStyle name="Comma 38 2 2 4 2" xfId="5055" xr:uid="{E15364EA-F13F-4DEA-B30B-C782A22C4105}"/>
    <cellStyle name="Comma 38 2 2 5" xfId="2287" xr:uid="{35558854-1BD7-4284-86A0-BADE8E1EC23B}"/>
    <cellStyle name="Comma 38 2 2 5 2" xfId="5500" xr:uid="{90821A15-6750-4BF0-85A9-0ECCB6D4E345}"/>
    <cellStyle name="Comma 38 2 2 6" xfId="2739" xr:uid="{CB1328E8-93C4-4269-862F-BB513D0F1FE5}"/>
    <cellStyle name="Comma 38 2 2 6 2" xfId="5945" xr:uid="{3F580D4B-4AA8-42CA-8650-331399B220AC}"/>
    <cellStyle name="Comma 38 2 2 7" xfId="3191" xr:uid="{29B15B85-2187-433D-9636-11644D7D2C1C}"/>
    <cellStyle name="Comma 38 2 2 7 2" xfId="6390" xr:uid="{A257F3B9-013D-406B-BAFD-947FE35B6ACE}"/>
    <cellStyle name="Comma 38 2 2 8" xfId="3720" xr:uid="{65245078-CAFF-4A5F-978D-78000475545E}"/>
    <cellStyle name="Comma 38 2 3" xfId="707" xr:uid="{8CE112F8-2262-4414-982C-6CD50DBD3CDB}"/>
    <cellStyle name="Comma 38 2 3 2" xfId="3943" xr:uid="{64D7DD7D-F5D2-4A42-A458-E858E8D115E0}"/>
    <cellStyle name="Comma 38 2 4" xfId="1159" xr:uid="{7EAEE749-C767-42EF-88DA-0D8C721F91AD}"/>
    <cellStyle name="Comma 38 2 4 2" xfId="4388" xr:uid="{8E33398E-C4DC-462D-9409-23E817905AE5}"/>
    <cellStyle name="Comma 38 2 5" xfId="1611" xr:uid="{6A8CB7B5-A5BA-413E-B246-5B124E84BE11}"/>
    <cellStyle name="Comma 38 2 5 2" xfId="4833" xr:uid="{C30C3733-D029-4E99-A6BC-9A1677BBE866}"/>
    <cellStyle name="Comma 38 2 6" xfId="2063" xr:uid="{950686BF-822A-4CF8-9C79-2729BA7F3385}"/>
    <cellStyle name="Comma 38 2 6 2" xfId="5278" xr:uid="{0E7BD161-95B7-45E1-BB21-ABF284E7F8CF}"/>
    <cellStyle name="Comma 38 2 7" xfId="2515" xr:uid="{B1B4B281-CDF0-467C-853B-A2DCD7ECA1A7}"/>
    <cellStyle name="Comma 38 2 7 2" xfId="5723" xr:uid="{E34CD300-8669-41DA-A0C6-2EF864414085}"/>
    <cellStyle name="Comma 38 2 8" xfId="2967" xr:uid="{9FFA0D1D-7F0D-43D4-B4AC-0876556BBD25}"/>
    <cellStyle name="Comma 38 2 8 2" xfId="6168" xr:uid="{89862463-35A9-4358-BDFF-17E51F6591D3}"/>
    <cellStyle name="Comma 38 2 9" xfId="3497" xr:uid="{9CBB83EA-A9B6-444E-BB51-3C61233472A4}"/>
    <cellStyle name="Comma 38 3" xfId="478" xr:uid="{3CCAE82E-4EE0-453D-8B24-656A341C0916}"/>
    <cellStyle name="Comma 38 3 2" xfId="930" xr:uid="{AD051CA1-5061-4B01-803D-45789E782604}"/>
    <cellStyle name="Comma 38 3 2 2" xfId="4164" xr:uid="{F8701F87-4E8E-449D-AFAA-0E348EA72DF8}"/>
    <cellStyle name="Comma 38 3 3" xfId="1382" xr:uid="{643959FB-6F5B-4FD1-AB9F-9CC201AC0251}"/>
    <cellStyle name="Comma 38 3 3 2" xfId="4609" xr:uid="{7ACF002E-A611-48E8-9C31-FFE9633DE950}"/>
    <cellStyle name="Comma 38 3 4" xfId="1834" xr:uid="{DFFA1B5B-2DF1-4F88-82A2-44966EDDA637}"/>
    <cellStyle name="Comma 38 3 4 2" xfId="5054" xr:uid="{F415D4A9-A2F3-4200-9207-0A85A45DD8AD}"/>
    <cellStyle name="Comma 38 3 5" xfId="2286" xr:uid="{A6238823-2581-4ED8-B339-57493F823A6C}"/>
    <cellStyle name="Comma 38 3 5 2" xfId="5499" xr:uid="{9C555210-F7FC-4A58-9538-A1EF43D8C73B}"/>
    <cellStyle name="Comma 38 3 6" xfId="2738" xr:uid="{8E07540C-0426-4994-85A8-4AFEF968518B}"/>
    <cellStyle name="Comma 38 3 6 2" xfId="5944" xr:uid="{CBB9D81D-3B94-405B-864A-9AE901B9DB43}"/>
    <cellStyle name="Comma 38 3 7" xfId="3190" xr:uid="{CB9609C0-D2CE-41F5-98ED-997E159CA4E4}"/>
    <cellStyle name="Comma 38 3 7 2" xfId="6389" xr:uid="{9BC8D183-940D-4340-B397-01505EA9F8C3}"/>
    <cellStyle name="Comma 38 3 8" xfId="3719" xr:uid="{6F9C4058-268F-4E2D-AFE4-520DFA3248FD}"/>
    <cellStyle name="Comma 38 4" xfId="706" xr:uid="{F178888D-7DB2-4930-A1CB-644DEE6F1866}"/>
    <cellStyle name="Comma 38 4 2" xfId="3942" xr:uid="{19259A77-7658-4A27-BBDB-F7C34C40105E}"/>
    <cellStyle name="Comma 38 5" xfId="1158" xr:uid="{400382F5-48E7-4C78-B1BF-8544EF3E9961}"/>
    <cellStyle name="Comma 38 5 2" xfId="4387" xr:uid="{382CB558-7F2A-470E-B58F-B32AB10D4877}"/>
    <cellStyle name="Comma 38 6" xfId="1610" xr:uid="{4AB5CBE1-E000-4FEA-88DB-3D32005AE927}"/>
    <cellStyle name="Comma 38 6 2" xfId="4832" xr:uid="{C0935C46-4E94-4C30-83B3-537A86F21DCC}"/>
    <cellStyle name="Comma 38 7" xfId="2062" xr:uid="{A846DC4C-DB9D-43EF-AFAC-2D4252E43FD2}"/>
    <cellStyle name="Comma 38 7 2" xfId="5277" xr:uid="{7284F417-1E3D-4055-A10E-B3B00D77FF8A}"/>
    <cellStyle name="Comma 38 8" xfId="2514" xr:uid="{415BD194-C9D6-4D1A-A7FE-90879A46313F}"/>
    <cellStyle name="Comma 38 8 2" xfId="5722" xr:uid="{71932FF6-E0D9-4A64-BECD-17CB911683FA}"/>
    <cellStyle name="Comma 38 9" xfId="2966" xr:uid="{5386E32F-FD1A-4B95-A420-40CFA1F9005C}"/>
    <cellStyle name="Comma 38 9 2" xfId="6167" xr:uid="{10CB0056-9E1F-4929-BE0E-3B545A89D50A}"/>
    <cellStyle name="Comma 39" xfId="217" xr:uid="{692B3ADC-6C36-4951-A86F-FDEF0D15A064}"/>
    <cellStyle name="Comma 39 10" xfId="3498" xr:uid="{C0088780-1E39-4B34-BF33-0CC2B112F873}"/>
    <cellStyle name="Comma 39 2" xfId="218" xr:uid="{282FCA7E-3247-47E9-A9E2-4681A8D2393A}"/>
    <cellStyle name="Comma 39 2 2" xfId="481" xr:uid="{CA6B843A-613C-442E-9511-4E4824C1DDD2}"/>
    <cellStyle name="Comma 39 2 2 2" xfId="933" xr:uid="{01FC6FAC-E37B-4004-97C4-949EC2B319FB}"/>
    <cellStyle name="Comma 39 2 2 2 2" xfId="4167" xr:uid="{6C5409F1-CBDA-4B63-8F98-1BCE9FE07504}"/>
    <cellStyle name="Comma 39 2 2 3" xfId="1385" xr:uid="{231ED7F9-2B1F-410B-9AA3-05ECBF572234}"/>
    <cellStyle name="Comma 39 2 2 3 2" xfId="4612" xr:uid="{62A668E4-FEC2-46FC-A403-560298A45AD7}"/>
    <cellStyle name="Comma 39 2 2 4" xfId="1837" xr:uid="{AE0414C4-F079-46C6-AA7D-6BF02CB5AFC5}"/>
    <cellStyle name="Comma 39 2 2 4 2" xfId="5057" xr:uid="{D60BCA85-F7DE-49FB-9683-B730B3D5A83A}"/>
    <cellStyle name="Comma 39 2 2 5" xfId="2289" xr:uid="{3A36BCF7-2C38-473B-82B4-BB03A7D02307}"/>
    <cellStyle name="Comma 39 2 2 5 2" xfId="5502" xr:uid="{A340C1AD-2412-42F7-98AF-017CFBA9C29E}"/>
    <cellStyle name="Comma 39 2 2 6" xfId="2741" xr:uid="{7E35CAA8-5691-41EC-9757-06CC90C4AA67}"/>
    <cellStyle name="Comma 39 2 2 6 2" xfId="5947" xr:uid="{1717A266-51C9-48EF-899A-776AB024E58E}"/>
    <cellStyle name="Comma 39 2 2 7" xfId="3193" xr:uid="{6D1A2C38-3761-446B-8E74-A7581AA8AAF2}"/>
    <cellStyle name="Comma 39 2 2 7 2" xfId="6392" xr:uid="{8AFA93DB-D836-4FCD-9E9C-6A6804CC4CCA}"/>
    <cellStyle name="Comma 39 2 2 8" xfId="3722" xr:uid="{29AD34FE-8756-4575-BD89-99C3012E8BC1}"/>
    <cellStyle name="Comma 39 2 3" xfId="709" xr:uid="{14A6F471-1BB1-47BB-B898-24D806D61401}"/>
    <cellStyle name="Comma 39 2 3 2" xfId="3945" xr:uid="{A0706D82-56AA-4C3C-AA89-EAB99A9E46CA}"/>
    <cellStyle name="Comma 39 2 4" xfId="1161" xr:uid="{D2158092-ECB0-4C5A-95ED-851DF4F6745C}"/>
    <cellStyle name="Comma 39 2 4 2" xfId="4390" xr:uid="{EF6A40E7-8F56-4546-93A5-EF5E33205A63}"/>
    <cellStyle name="Comma 39 2 5" xfId="1613" xr:uid="{E851F75A-4084-47AA-8FF4-3DC80B6BB4A6}"/>
    <cellStyle name="Comma 39 2 5 2" xfId="4835" xr:uid="{37E2DFE5-A8CE-47CF-A921-9449F8A88678}"/>
    <cellStyle name="Comma 39 2 6" xfId="2065" xr:uid="{A579991E-F3FB-4068-9964-B6F81B73F353}"/>
    <cellStyle name="Comma 39 2 6 2" xfId="5280" xr:uid="{DD0E4BB8-BF45-4349-BE0F-7F6376D6276A}"/>
    <cellStyle name="Comma 39 2 7" xfId="2517" xr:uid="{FACCFEF1-39F4-4351-BC81-26F5E6E0A040}"/>
    <cellStyle name="Comma 39 2 7 2" xfId="5725" xr:uid="{60D127A5-6687-4A7E-92EC-F4AAA5CC4D47}"/>
    <cellStyle name="Comma 39 2 8" xfId="2969" xr:uid="{AC8E8B67-D8F1-42DB-9067-2242284D60C6}"/>
    <cellStyle name="Comma 39 2 8 2" xfId="6170" xr:uid="{F25EE905-5E6A-43C4-A285-A96663DE0000}"/>
    <cellStyle name="Comma 39 2 9" xfId="3499" xr:uid="{146A2AC6-F6FA-43B0-A45D-B9909862C85A}"/>
    <cellStyle name="Comma 39 3" xfId="480" xr:uid="{055794D7-ACA6-4386-836B-3A80C4DE1EB4}"/>
    <cellStyle name="Comma 39 3 2" xfId="932" xr:uid="{A7DE7D7C-0737-49F0-BE6C-41DC4B0F3DC7}"/>
    <cellStyle name="Comma 39 3 2 2" xfId="4166" xr:uid="{04FE9246-61D4-4478-AF93-D9B569DB16C3}"/>
    <cellStyle name="Comma 39 3 3" xfId="1384" xr:uid="{DAC4ED4F-4A42-4D02-8396-D387ADEB88F4}"/>
    <cellStyle name="Comma 39 3 3 2" xfId="4611" xr:uid="{339C7A43-12FE-4A31-8C3F-18107A3E05CD}"/>
    <cellStyle name="Comma 39 3 4" xfId="1836" xr:uid="{EEA9339E-68A1-4C53-8A82-0BDCEC3A16A2}"/>
    <cellStyle name="Comma 39 3 4 2" xfId="5056" xr:uid="{BB782BBF-504E-4C80-AC1D-A60506CC3C39}"/>
    <cellStyle name="Comma 39 3 5" xfId="2288" xr:uid="{0244DFDB-8162-4EFD-A150-8E5D96435732}"/>
    <cellStyle name="Comma 39 3 5 2" xfId="5501" xr:uid="{564E8973-FC5C-48B3-BB3D-C3601C8DA9DB}"/>
    <cellStyle name="Comma 39 3 6" xfId="2740" xr:uid="{EB1B4A70-600A-4A60-91C6-C673BCB25705}"/>
    <cellStyle name="Comma 39 3 6 2" xfId="5946" xr:uid="{DD3A9826-693D-442F-9467-E9194863FAC9}"/>
    <cellStyle name="Comma 39 3 7" xfId="3192" xr:uid="{C6EE0359-041B-479F-8261-85FFC386D101}"/>
    <cellStyle name="Comma 39 3 7 2" xfId="6391" xr:uid="{A4221A3F-148A-4D3D-A105-38A5EE8B89C0}"/>
    <cellStyle name="Comma 39 3 8" xfId="3721" xr:uid="{A505D858-E89E-4145-B83D-7A9A4291E620}"/>
    <cellStyle name="Comma 39 4" xfId="708" xr:uid="{4A64EF20-EE1E-4734-94EC-218FD613ED1C}"/>
    <cellStyle name="Comma 39 4 2" xfId="3944" xr:uid="{60CE0EBC-E200-4AEA-8EFD-039C29A03FA9}"/>
    <cellStyle name="Comma 39 5" xfId="1160" xr:uid="{DA94F6FB-F69C-4A7B-BBCC-B637314A2F20}"/>
    <cellStyle name="Comma 39 5 2" xfId="4389" xr:uid="{F11C2234-1A4E-4508-8836-7A70CD5DC0EE}"/>
    <cellStyle name="Comma 39 6" xfId="1612" xr:uid="{C262158A-8DEF-456E-B55F-D32727D164CA}"/>
    <cellStyle name="Comma 39 6 2" xfId="4834" xr:uid="{779CCC5B-CCE3-4BF3-B147-83D327A04246}"/>
    <cellStyle name="Comma 39 7" xfId="2064" xr:uid="{7ADE36B5-BC35-44F6-A24E-2C431207563F}"/>
    <cellStyle name="Comma 39 7 2" xfId="5279" xr:uid="{41DFAB13-0DE5-4907-9F2F-70E388E41ECA}"/>
    <cellStyle name="Comma 39 8" xfId="2516" xr:uid="{239600BA-9B2B-41F1-913B-69BB9FD0CA8B}"/>
    <cellStyle name="Comma 39 8 2" xfId="5724" xr:uid="{4E08E3FA-DA39-4BD6-914F-104697F33873}"/>
    <cellStyle name="Comma 39 9" xfId="2968" xr:uid="{95CE3B88-F174-4A8A-80B1-37246686FBE9}"/>
    <cellStyle name="Comma 39 9 2" xfId="6169" xr:uid="{F99190D1-962F-4F6A-ACF5-BAFC458217C5}"/>
    <cellStyle name="Comma 4" xfId="27" xr:uid="{DC6DC393-562D-4DD2-8000-F9E5B9D2C912}"/>
    <cellStyle name="Comma 4 10" xfId="2518" xr:uid="{25675D24-FE9A-40AC-B96D-33DF6A6EAB2F}"/>
    <cellStyle name="Comma 4 10 2" xfId="5726" xr:uid="{EC36F8BD-5472-43DD-B605-CF08060BFDB8}"/>
    <cellStyle name="Comma 4 11" xfId="2970" xr:uid="{1C71AAD1-F42B-4C80-98A2-D5E533513C9B}"/>
    <cellStyle name="Comma 4 11 2" xfId="6171" xr:uid="{980B480B-E22B-4317-8CBF-EB1F2E49B1BA}"/>
    <cellStyle name="Comma 4 12" xfId="3379" xr:uid="{49B50F52-7B9C-46AD-BDCD-426A0FEF2455}"/>
    <cellStyle name="Comma 4 2" xfId="220" xr:uid="{A0DF70C7-ED6D-4C9B-8EE2-8BF571286E39}"/>
    <cellStyle name="Comma 4 2 10" xfId="3501" xr:uid="{810E79B5-0514-4CDC-9FE1-C232A7EBD95B}"/>
    <cellStyle name="Comma 4 2 2" xfId="221" xr:uid="{F1F7E9BA-29AA-4A29-A709-C66C01A755A5}"/>
    <cellStyle name="Comma 4 2 2 2" xfId="484" xr:uid="{65CA60AA-131E-4EBF-B935-D92F50DF327E}"/>
    <cellStyle name="Comma 4 2 2 2 2" xfId="936" xr:uid="{E865F7F0-DAB6-4ADC-8E85-D9354E10AA74}"/>
    <cellStyle name="Comma 4 2 2 2 2 2" xfId="4170" xr:uid="{AA309274-CB1F-472A-B08F-4DCE1E710494}"/>
    <cellStyle name="Comma 4 2 2 2 3" xfId="1388" xr:uid="{AE81A04E-BCBA-46E8-9196-D9DC2A12A0AB}"/>
    <cellStyle name="Comma 4 2 2 2 3 2" xfId="4615" xr:uid="{9B76DF71-2274-4AAC-9360-C21227BD87B9}"/>
    <cellStyle name="Comma 4 2 2 2 4" xfId="1840" xr:uid="{10D520D9-1D95-4F0B-A24E-61CB49A51FAA}"/>
    <cellStyle name="Comma 4 2 2 2 4 2" xfId="5060" xr:uid="{095F3543-2071-4623-87BB-65A8E306E1B4}"/>
    <cellStyle name="Comma 4 2 2 2 5" xfId="2292" xr:uid="{ABBAC036-2D15-4BD5-A0A5-6787D6927C33}"/>
    <cellStyle name="Comma 4 2 2 2 5 2" xfId="5505" xr:uid="{1FCB8365-4897-45D8-8CAC-EAEEA470D8CC}"/>
    <cellStyle name="Comma 4 2 2 2 6" xfId="2744" xr:uid="{7CE18EE9-F812-4C2C-9EBA-D3DA0F940B89}"/>
    <cellStyle name="Comma 4 2 2 2 6 2" xfId="5950" xr:uid="{F82A70C0-11E6-4E07-A8B0-39E2E0B82B18}"/>
    <cellStyle name="Comma 4 2 2 2 7" xfId="3196" xr:uid="{BB30A586-83AB-465A-BE7B-8A33C0AFD655}"/>
    <cellStyle name="Comma 4 2 2 2 7 2" xfId="6395" xr:uid="{4B1BF407-1CCE-48B4-AB2E-F24DE823EC7F}"/>
    <cellStyle name="Comma 4 2 2 2 8" xfId="3725" xr:uid="{1E2C0CAD-DDA5-4042-B533-9A77281AE7C3}"/>
    <cellStyle name="Comma 4 2 2 3" xfId="712" xr:uid="{CD4B587A-64FA-4BD0-8CD4-17448123E844}"/>
    <cellStyle name="Comma 4 2 2 3 2" xfId="3948" xr:uid="{798AF9DF-745E-49CC-A408-494F79D591C3}"/>
    <cellStyle name="Comma 4 2 2 4" xfId="1164" xr:uid="{51B51E27-D1A2-4679-B78A-0820BAEBB21D}"/>
    <cellStyle name="Comma 4 2 2 4 2" xfId="4393" xr:uid="{BC39CE90-A2E4-4939-8388-B9AEEAA7123A}"/>
    <cellStyle name="Comma 4 2 2 5" xfId="1616" xr:uid="{136760F1-639E-47B3-88B3-D49340BD7900}"/>
    <cellStyle name="Comma 4 2 2 5 2" xfId="4838" xr:uid="{EAF78532-B89B-49A3-8DAC-904E68C455E0}"/>
    <cellStyle name="Comma 4 2 2 6" xfId="2068" xr:uid="{4DC53A49-068A-432B-BC29-911C5D9296B3}"/>
    <cellStyle name="Comma 4 2 2 6 2" xfId="5283" xr:uid="{AFB3B2B0-2658-4A30-B78B-9A14EBCD6D52}"/>
    <cellStyle name="Comma 4 2 2 7" xfId="2520" xr:uid="{F1FF0192-D28B-4839-9E49-ED70746730BA}"/>
    <cellStyle name="Comma 4 2 2 7 2" xfId="5728" xr:uid="{2D1BAE55-116D-4D58-A40E-B55DD1AB9142}"/>
    <cellStyle name="Comma 4 2 2 8" xfId="2972" xr:uid="{808C9785-3007-457D-89AA-927CC70F8046}"/>
    <cellStyle name="Comma 4 2 2 8 2" xfId="6173" xr:uid="{D929C9FE-A9CD-4099-B92D-E590CD39424F}"/>
    <cellStyle name="Comma 4 2 2 9" xfId="3502" xr:uid="{353010B2-713F-406B-AB1B-3B15E7DF9287}"/>
    <cellStyle name="Comma 4 2 3" xfId="483" xr:uid="{5C695FB9-018A-4A03-898A-7F16E2C329D9}"/>
    <cellStyle name="Comma 4 2 3 2" xfId="935" xr:uid="{F8BBB364-8312-4C5F-87A7-E7F80BAD7DFA}"/>
    <cellStyle name="Comma 4 2 3 2 2" xfId="4169" xr:uid="{FB3CE90B-0948-4930-B683-9232CEFD7D6F}"/>
    <cellStyle name="Comma 4 2 3 3" xfId="1387" xr:uid="{109793E3-3DE9-42D5-AB6D-9019A4D4AFF3}"/>
    <cellStyle name="Comma 4 2 3 3 2" xfId="4614" xr:uid="{29DFF3D2-6B8B-48C0-9BC4-69B74331589D}"/>
    <cellStyle name="Comma 4 2 3 4" xfId="1839" xr:uid="{6B6F2951-208A-449B-8457-CD5FF40220D8}"/>
    <cellStyle name="Comma 4 2 3 4 2" xfId="5059" xr:uid="{932B5135-632F-44BA-962E-A817995F7EFA}"/>
    <cellStyle name="Comma 4 2 3 5" xfId="2291" xr:uid="{F90EC7A3-5324-4371-BC64-661012650A30}"/>
    <cellStyle name="Comma 4 2 3 5 2" xfId="5504" xr:uid="{40AE74AB-3BBD-4A70-B80E-21527B8D4C36}"/>
    <cellStyle name="Comma 4 2 3 6" xfId="2743" xr:uid="{F512CC90-3FE5-4183-B49F-DBB42EDC9872}"/>
    <cellStyle name="Comma 4 2 3 6 2" xfId="5949" xr:uid="{10CCEC2A-9236-4486-AD92-5A32B41A3613}"/>
    <cellStyle name="Comma 4 2 3 7" xfId="3195" xr:uid="{6F04451D-0D74-44DE-A135-96B63756161A}"/>
    <cellStyle name="Comma 4 2 3 7 2" xfId="6394" xr:uid="{66D49CCC-7E5F-473F-8475-E2C138513E02}"/>
    <cellStyle name="Comma 4 2 3 8" xfId="3724" xr:uid="{FAA84846-89A4-416F-B43F-928E1409854A}"/>
    <cellStyle name="Comma 4 2 4" xfId="711" xr:uid="{C7907AF8-29F1-4175-AA89-5578B76FAB65}"/>
    <cellStyle name="Comma 4 2 4 2" xfId="3947" xr:uid="{16481BCC-C53E-4808-AA06-BF1FE9E12FAA}"/>
    <cellStyle name="Comma 4 2 5" xfId="1163" xr:uid="{0D15E75B-F3FA-406E-A355-D67A8B3E47DD}"/>
    <cellStyle name="Comma 4 2 5 2" xfId="4392" xr:uid="{00DA237A-582F-4B2D-B383-02E1DC3AE56A}"/>
    <cellStyle name="Comma 4 2 6" xfId="1615" xr:uid="{0BA2A12C-5707-4EF8-A12E-7446771BE568}"/>
    <cellStyle name="Comma 4 2 6 2" xfId="4837" xr:uid="{91B1A44E-25CA-487D-9AE6-52E88C915E1B}"/>
    <cellStyle name="Comma 4 2 7" xfId="2067" xr:uid="{081491F0-2237-491E-A4C1-4DB35A337CF4}"/>
    <cellStyle name="Comma 4 2 7 2" xfId="5282" xr:uid="{0B463867-2B5E-40AF-9D7F-7DC06697D088}"/>
    <cellStyle name="Comma 4 2 8" xfId="2519" xr:uid="{A37C4FDC-FDF0-4D05-B094-0D0EF3CACFD5}"/>
    <cellStyle name="Comma 4 2 8 2" xfId="5727" xr:uid="{8541BFA8-187D-4BC1-B2AF-A7B69116082C}"/>
    <cellStyle name="Comma 4 2 9" xfId="2971" xr:uid="{F74B0A7E-8C35-4870-82F0-1F3A5623FF79}"/>
    <cellStyle name="Comma 4 2 9 2" xfId="6172" xr:uid="{0F5684EA-3FA2-477B-AC75-930A00E4BEAF}"/>
    <cellStyle name="Comma 4 3" xfId="222" xr:uid="{5FD620BC-C559-419C-97B2-6AAFD8511897}"/>
    <cellStyle name="Comma 4 3 2" xfId="485" xr:uid="{80A748E3-A1C0-4984-AA04-12426CDC9B80}"/>
    <cellStyle name="Comma 4 3 2 2" xfId="937" xr:uid="{D3C8DA37-6270-43CA-BCB3-9A4EFEFFA019}"/>
    <cellStyle name="Comma 4 3 2 2 2" xfId="4171" xr:uid="{C2DFA59A-9521-4AE7-A76E-677B8D48F56F}"/>
    <cellStyle name="Comma 4 3 2 3" xfId="1389" xr:uid="{81ED95EB-D00D-4BA0-B32C-A8AC0887875E}"/>
    <cellStyle name="Comma 4 3 2 3 2" xfId="4616" xr:uid="{22AAF312-56CF-47DD-A1B2-CBE8DBDACD39}"/>
    <cellStyle name="Comma 4 3 2 4" xfId="1841" xr:uid="{937F5867-C20C-4A61-9CCD-E04535BB9477}"/>
    <cellStyle name="Comma 4 3 2 4 2" xfId="5061" xr:uid="{B2138150-D2FD-4103-BDA9-AE16847090FC}"/>
    <cellStyle name="Comma 4 3 2 5" xfId="2293" xr:uid="{666A7D43-92F1-45AF-9312-80D318B7DB8D}"/>
    <cellStyle name="Comma 4 3 2 5 2" xfId="5506" xr:uid="{3CB36C65-EC0D-4AD7-B83D-3C5650755765}"/>
    <cellStyle name="Comma 4 3 2 6" xfId="2745" xr:uid="{85F9B134-0A7D-47E1-A169-C3C2593EBD1B}"/>
    <cellStyle name="Comma 4 3 2 6 2" xfId="5951" xr:uid="{42B414B0-1446-4880-AC50-0F0C66C6507A}"/>
    <cellStyle name="Comma 4 3 2 7" xfId="3197" xr:uid="{56FD47FE-FB93-474E-8DC5-102759C57833}"/>
    <cellStyle name="Comma 4 3 2 7 2" xfId="6396" xr:uid="{1EC8C17C-42ED-4B92-BA31-0D00380B2519}"/>
    <cellStyle name="Comma 4 3 2 8" xfId="3726" xr:uid="{BDE61A86-1E22-400B-BB65-0AA161E71E68}"/>
    <cellStyle name="Comma 4 3 3" xfId="713" xr:uid="{626C2C24-7DD1-41C1-96F6-4F6C02EF9187}"/>
    <cellStyle name="Comma 4 3 3 2" xfId="3949" xr:uid="{2D99AB4F-C8DB-4433-91B3-4497F436841C}"/>
    <cellStyle name="Comma 4 3 4" xfId="1165" xr:uid="{803E9CE1-A717-472A-8749-C385B64BA5D5}"/>
    <cellStyle name="Comma 4 3 4 2" xfId="4394" xr:uid="{2EF5C7D5-016C-4BA5-9CE3-C7BFC0BEAA52}"/>
    <cellStyle name="Comma 4 3 5" xfId="1617" xr:uid="{F8E412F2-948F-4AB6-89FB-88A215A04EA3}"/>
    <cellStyle name="Comma 4 3 5 2" xfId="4839" xr:uid="{929FDF8B-D5E5-482B-A038-FDA373B6FC01}"/>
    <cellStyle name="Comma 4 3 6" xfId="2069" xr:uid="{869C15ED-BE5C-4DBF-9438-F1D2601C4385}"/>
    <cellStyle name="Comma 4 3 6 2" xfId="5284" xr:uid="{A5B02CDC-34E4-4EC4-88FA-55EAE83D2A52}"/>
    <cellStyle name="Comma 4 3 7" xfId="2521" xr:uid="{B245240D-F7EB-4F8D-9AED-C932FDF65279}"/>
    <cellStyle name="Comma 4 3 7 2" xfId="5729" xr:uid="{E43EFC95-551B-4D33-BCBE-4DFE221102AA}"/>
    <cellStyle name="Comma 4 3 8" xfId="2973" xr:uid="{FCC8238B-FE78-456E-9F9C-3B50BE28A549}"/>
    <cellStyle name="Comma 4 3 8 2" xfId="6174" xr:uid="{942E6ED2-2C89-4235-9BFB-FFED6AAAF0DF}"/>
    <cellStyle name="Comma 4 3 9" xfId="3503" xr:uid="{6F0FD770-2232-4AA7-AD1C-46FDD5B219A5}"/>
    <cellStyle name="Comma 4 4" xfId="482" xr:uid="{6ABE9627-123E-4BB6-B7FF-6A97F3261BD4}"/>
    <cellStyle name="Comma 4 4 2" xfId="934" xr:uid="{B5694B44-307B-4987-862F-3DA3A034D8B7}"/>
    <cellStyle name="Comma 4 4 2 2" xfId="4168" xr:uid="{3A60F90C-324A-4515-B81F-ECE7BA823664}"/>
    <cellStyle name="Comma 4 4 3" xfId="1386" xr:uid="{7ABE0A37-4195-48E2-AFFA-D8CF183E77AE}"/>
    <cellStyle name="Comma 4 4 3 2" xfId="4613" xr:uid="{8A062445-7CE7-4DEF-AB54-4B343C496D64}"/>
    <cellStyle name="Comma 4 4 4" xfId="1838" xr:uid="{FD429734-C147-4F2B-8A60-0690DA2C2538}"/>
    <cellStyle name="Comma 4 4 4 2" xfId="5058" xr:uid="{0F35130A-5E6A-4E7E-A8B6-61ED13D90736}"/>
    <cellStyle name="Comma 4 4 5" xfId="2290" xr:uid="{D6DE8D0C-2097-4B07-8E02-F3DD79EE60FE}"/>
    <cellStyle name="Comma 4 4 5 2" xfId="5503" xr:uid="{5A37277C-8759-4988-8F76-89998124E5D1}"/>
    <cellStyle name="Comma 4 4 6" xfId="2742" xr:uid="{5C4059AD-CC5C-4279-85B3-6D68E33CB24A}"/>
    <cellStyle name="Comma 4 4 6 2" xfId="5948" xr:uid="{D1AA9F4E-052B-4018-A7FC-B74137EEA320}"/>
    <cellStyle name="Comma 4 4 7" xfId="3194" xr:uid="{3C738A8B-48F5-482C-BC0B-2B4135EA2048}"/>
    <cellStyle name="Comma 4 4 7 2" xfId="6393" xr:uid="{810909BC-75F7-4E0B-9F08-C4177C9B6869}"/>
    <cellStyle name="Comma 4 4 8" xfId="3723" xr:uid="{695E1511-4F77-4163-8276-7B7843F44105}"/>
    <cellStyle name="Comma 4 5" xfId="219" xr:uid="{8430E433-4ADD-4679-8A4B-CAAD16D8AAED}"/>
    <cellStyle name="Comma 4 5 2" xfId="3500" xr:uid="{6623AD05-4A6A-4D14-A614-5FA971A478EA}"/>
    <cellStyle name="Comma 4 6" xfId="710" xr:uid="{AB67BC12-D406-47EB-8E8E-BA6EF81CABD3}"/>
    <cellStyle name="Comma 4 6 2" xfId="3946" xr:uid="{9D0BF5D5-2FD1-40A5-8CD8-3DDB95485F94}"/>
    <cellStyle name="Comma 4 7" xfId="1162" xr:uid="{2CF85806-5733-4232-983E-3EA19E987623}"/>
    <cellStyle name="Comma 4 7 2" xfId="4391" xr:uid="{77AB7B2D-27AE-4AD2-B9BA-E934EC232359}"/>
    <cellStyle name="Comma 4 8" xfId="1614" xr:uid="{4EA63E39-4ECA-4837-AAB7-0DBF9630DB2A}"/>
    <cellStyle name="Comma 4 8 2" xfId="4836" xr:uid="{5E3214B6-3263-455C-AEAB-20E2D9370D48}"/>
    <cellStyle name="Comma 4 9" xfId="2066" xr:uid="{42D57053-1F37-43EF-B4C4-55B3D8926A15}"/>
    <cellStyle name="Comma 4 9 2" xfId="5281" xr:uid="{FA05317A-11A1-4AAC-8A3D-ACD6DC0378DB}"/>
    <cellStyle name="Comma 40" xfId="223" xr:uid="{88370870-8245-4DAF-9B42-5D1CDB12A1E8}"/>
    <cellStyle name="Comma 40 10" xfId="3504" xr:uid="{96E8E349-D659-4E55-B079-EEADAB01ABB5}"/>
    <cellStyle name="Comma 40 2" xfId="224" xr:uid="{ED8993FC-F436-491D-9B1E-3F6B3F8D637F}"/>
    <cellStyle name="Comma 40 2 2" xfId="487" xr:uid="{BEEC9126-AF2E-469E-80CB-E95D39D8764A}"/>
    <cellStyle name="Comma 40 2 2 2" xfId="939" xr:uid="{4F9B774C-FEAC-4EE6-A8D2-01C45C914DEA}"/>
    <cellStyle name="Comma 40 2 2 2 2" xfId="4173" xr:uid="{C40FEE3C-BA04-448D-B7DE-A079414947E5}"/>
    <cellStyle name="Comma 40 2 2 3" xfId="1391" xr:uid="{9920F803-E79E-4F7A-B934-6BD7E6BD23DB}"/>
    <cellStyle name="Comma 40 2 2 3 2" xfId="4618" xr:uid="{987A3134-BF3E-4C3A-AA4E-B33B8583BE30}"/>
    <cellStyle name="Comma 40 2 2 4" xfId="1843" xr:uid="{3F3AE7B4-E7F7-4D00-9D1F-AF125A57B75F}"/>
    <cellStyle name="Comma 40 2 2 4 2" xfId="5063" xr:uid="{70F3AEF2-6EFC-4B79-8FF9-07AA3A5EB82E}"/>
    <cellStyle name="Comma 40 2 2 5" xfId="2295" xr:uid="{378093FD-79BC-4ED3-90B2-67B84FD90CFB}"/>
    <cellStyle name="Comma 40 2 2 5 2" xfId="5508" xr:uid="{080C4FA8-3CC0-47ED-BFBB-6AF78571EDAB}"/>
    <cellStyle name="Comma 40 2 2 6" xfId="2747" xr:uid="{F19E6612-D1DB-45FB-95BD-8C5A88CE726D}"/>
    <cellStyle name="Comma 40 2 2 6 2" xfId="5953" xr:uid="{5F38CD8E-D6F2-4871-831A-C291B6D575F7}"/>
    <cellStyle name="Comma 40 2 2 7" xfId="3199" xr:uid="{EE252B3F-AFAC-4590-97CC-A67F039F8142}"/>
    <cellStyle name="Comma 40 2 2 7 2" xfId="6398" xr:uid="{EBA9FB75-FBAD-4D95-A952-48F027D27B3C}"/>
    <cellStyle name="Comma 40 2 2 8" xfId="3728" xr:uid="{8D6609E6-3A59-4F14-AC26-B29C428A80DE}"/>
    <cellStyle name="Comma 40 2 3" xfId="715" xr:uid="{AAF49EB7-CFD3-4E89-AF33-EBA322FE0278}"/>
    <cellStyle name="Comma 40 2 3 2" xfId="3951" xr:uid="{6721AE04-131E-4B28-9AE9-AE127223EE71}"/>
    <cellStyle name="Comma 40 2 4" xfId="1167" xr:uid="{21D86BEF-72E1-432A-9E37-D430144E8875}"/>
    <cellStyle name="Comma 40 2 4 2" xfId="4396" xr:uid="{C66A1095-9063-4F99-BF8B-3A54FA0BB04A}"/>
    <cellStyle name="Comma 40 2 5" xfId="1619" xr:uid="{FB3CA89A-52C7-43D8-AA47-0A3B0B97A9E1}"/>
    <cellStyle name="Comma 40 2 5 2" xfId="4841" xr:uid="{BA8A4619-75FB-4BC0-9103-ED58DDF32FD1}"/>
    <cellStyle name="Comma 40 2 6" xfId="2071" xr:uid="{A77C6169-674C-4899-8FB4-668A5245FE75}"/>
    <cellStyle name="Comma 40 2 6 2" xfId="5286" xr:uid="{70CF4B7E-327F-45E4-A37F-12567571C9F1}"/>
    <cellStyle name="Comma 40 2 7" xfId="2523" xr:uid="{B0C3C081-CEE0-4ADE-B629-62A63C5F4D42}"/>
    <cellStyle name="Comma 40 2 7 2" xfId="5731" xr:uid="{651302CA-FA2E-4797-84EB-1516511ADEE8}"/>
    <cellStyle name="Comma 40 2 8" xfId="2975" xr:uid="{E11D213F-1BDA-4F25-A9B0-052B70728CAD}"/>
    <cellStyle name="Comma 40 2 8 2" xfId="6176" xr:uid="{1D42009D-3211-4329-8367-93E809C048DD}"/>
    <cellStyle name="Comma 40 2 9" xfId="3505" xr:uid="{285BB52A-7862-4961-B4D7-DBB10EF02FF1}"/>
    <cellStyle name="Comma 40 3" xfId="486" xr:uid="{496560CA-4A2A-493E-902F-D8F22E562048}"/>
    <cellStyle name="Comma 40 3 2" xfId="938" xr:uid="{2CF774F6-EBA9-495C-98D4-BFD570EF4086}"/>
    <cellStyle name="Comma 40 3 2 2" xfId="4172" xr:uid="{598ECC88-F27C-40C0-916C-765C947509A6}"/>
    <cellStyle name="Comma 40 3 3" xfId="1390" xr:uid="{A3317F79-C785-4E28-8D14-C39584FB9181}"/>
    <cellStyle name="Comma 40 3 3 2" xfId="4617" xr:uid="{B4C7EFB7-70C0-4002-8F31-1EE836E087B1}"/>
    <cellStyle name="Comma 40 3 4" xfId="1842" xr:uid="{0FE666DF-2396-42A0-B57E-46AAECA2A653}"/>
    <cellStyle name="Comma 40 3 4 2" xfId="5062" xr:uid="{23AC5EC3-484D-4B0D-BAD7-7AE23B82A065}"/>
    <cellStyle name="Comma 40 3 5" xfId="2294" xr:uid="{A4FD1698-6BE2-4976-8D10-F37A9482A03D}"/>
    <cellStyle name="Comma 40 3 5 2" xfId="5507" xr:uid="{45FC0CE8-8D52-4DA6-972A-88BE4FA9A20E}"/>
    <cellStyle name="Comma 40 3 6" xfId="2746" xr:uid="{71676E67-EA6A-4559-9FB0-8E5F4A1931A4}"/>
    <cellStyle name="Comma 40 3 6 2" xfId="5952" xr:uid="{57A25F59-B560-4363-B957-5E414547C47A}"/>
    <cellStyle name="Comma 40 3 7" xfId="3198" xr:uid="{4827EA01-B355-46A8-9183-A9F3B9ABEB1F}"/>
    <cellStyle name="Comma 40 3 7 2" xfId="6397" xr:uid="{15A8C5D1-407B-44C7-BD02-6285CE573C2A}"/>
    <cellStyle name="Comma 40 3 8" xfId="3727" xr:uid="{22A76C92-A458-49D9-A5C7-A9AAB6E0727A}"/>
    <cellStyle name="Comma 40 4" xfId="714" xr:uid="{4CCF28D7-C1EC-4561-9499-2AE25ACC5AAF}"/>
    <cellStyle name="Comma 40 4 2" xfId="3950" xr:uid="{A6EAD4EA-79B1-4256-B100-370F2F98F541}"/>
    <cellStyle name="Comma 40 5" xfId="1166" xr:uid="{EF378D7F-85DF-45D4-81E4-3DA7ADE17417}"/>
    <cellStyle name="Comma 40 5 2" xfId="4395" xr:uid="{04BEF9E5-02FC-40D9-8184-65A8DAA2FE1D}"/>
    <cellStyle name="Comma 40 6" xfId="1618" xr:uid="{A85EDCDB-9375-45F3-8053-D72C0A944901}"/>
    <cellStyle name="Comma 40 6 2" xfId="4840" xr:uid="{B2EE09C0-89BA-4F50-8294-5CB0E409E621}"/>
    <cellStyle name="Comma 40 7" xfId="2070" xr:uid="{88DE3A72-4376-4A2A-9CFE-BB49E053264D}"/>
    <cellStyle name="Comma 40 7 2" xfId="5285" xr:uid="{54FE69E9-15E4-49F1-B76E-19AB4F64F32C}"/>
    <cellStyle name="Comma 40 8" xfId="2522" xr:uid="{BD7C0519-E249-4881-ADE8-6ACEEEB05973}"/>
    <cellStyle name="Comma 40 8 2" xfId="5730" xr:uid="{61DC4F1F-A1B4-4F1C-8BED-E747F6B91360}"/>
    <cellStyle name="Comma 40 9" xfId="2974" xr:uid="{9B749FF0-9F61-42EE-A8CA-DE0C0885A3A9}"/>
    <cellStyle name="Comma 40 9 2" xfId="6175" xr:uid="{1598B507-2DA0-4057-9BF4-564D71FC26E0}"/>
    <cellStyle name="Comma 41" xfId="225" xr:uid="{9775B1A7-51DE-41A6-8C1E-54B50BEFF613}"/>
    <cellStyle name="Comma 41 10" xfId="3506" xr:uid="{E8C4309E-62AA-4E3B-A132-96F7F4DFDF57}"/>
    <cellStyle name="Comma 41 2" xfId="226" xr:uid="{C6B8C668-EBFA-4444-B657-5B64379ACB52}"/>
    <cellStyle name="Comma 41 2 2" xfId="489" xr:uid="{8A8A689A-BC20-4AC0-A6EC-80C311AB21BD}"/>
    <cellStyle name="Comma 41 2 2 2" xfId="941" xr:uid="{5512F8B9-0180-4C2A-A6B3-DBB0659EC5F7}"/>
    <cellStyle name="Comma 41 2 2 2 2" xfId="4175" xr:uid="{F4CBD8EE-2C3A-488C-B273-254F81B70068}"/>
    <cellStyle name="Comma 41 2 2 3" xfId="1393" xr:uid="{BCA108B8-0129-4BE7-BC59-DFB9AF81B42E}"/>
    <cellStyle name="Comma 41 2 2 3 2" xfId="4620" xr:uid="{54BB3F4B-5799-4D6C-AE15-DC3DC4B04550}"/>
    <cellStyle name="Comma 41 2 2 4" xfId="1845" xr:uid="{70F9A3E8-CB31-4534-BBEA-4E06B09E3356}"/>
    <cellStyle name="Comma 41 2 2 4 2" xfId="5065" xr:uid="{4B95CDD5-8246-4D06-A98E-6153E1C7614D}"/>
    <cellStyle name="Comma 41 2 2 5" xfId="2297" xr:uid="{294CB60A-2642-41A6-BCF3-6B78B84BCC25}"/>
    <cellStyle name="Comma 41 2 2 5 2" xfId="5510" xr:uid="{B3B6D2FD-A15B-4863-BF95-7A89F8E758DE}"/>
    <cellStyle name="Comma 41 2 2 6" xfId="2749" xr:uid="{E3258021-27E6-4EF2-AF32-66465E802471}"/>
    <cellStyle name="Comma 41 2 2 6 2" xfId="5955" xr:uid="{4D378994-C257-4E48-962F-D1302C4B6729}"/>
    <cellStyle name="Comma 41 2 2 7" xfId="3201" xr:uid="{2DD1EB42-7A64-4195-B67C-664441FB5716}"/>
    <cellStyle name="Comma 41 2 2 7 2" xfId="6400" xr:uid="{11DA9259-0A19-49B1-B0D2-D8CA84E2EACB}"/>
    <cellStyle name="Comma 41 2 2 8" xfId="3730" xr:uid="{09E79F6A-10B3-4B22-AC70-F0F0F4326DE9}"/>
    <cellStyle name="Comma 41 2 3" xfId="717" xr:uid="{33510F22-9600-4644-B612-1CB7B1F722D2}"/>
    <cellStyle name="Comma 41 2 3 2" xfId="3953" xr:uid="{1E8592A6-530B-48BF-96F9-11CDD66611C4}"/>
    <cellStyle name="Comma 41 2 4" xfId="1169" xr:uid="{413377E1-88D8-4863-8E53-7C5EB2015902}"/>
    <cellStyle name="Comma 41 2 4 2" xfId="4398" xr:uid="{7CF8CF85-F64B-46C8-9AEE-B32A4BDF39C0}"/>
    <cellStyle name="Comma 41 2 5" xfId="1621" xr:uid="{CA9AA35D-F380-4C05-9E6E-EA230F5CAA39}"/>
    <cellStyle name="Comma 41 2 5 2" xfId="4843" xr:uid="{F1E1697E-303F-4396-A6B0-9DF985BFDE5E}"/>
    <cellStyle name="Comma 41 2 6" xfId="2073" xr:uid="{E27B68C6-80C8-4F3C-9F47-ADC1BF5ADAB0}"/>
    <cellStyle name="Comma 41 2 6 2" xfId="5288" xr:uid="{12C66B96-AE19-4A4F-89BC-D83706FBA6F2}"/>
    <cellStyle name="Comma 41 2 7" xfId="2525" xr:uid="{B5637A6C-C6BA-4A41-AE39-0F49D332DCD1}"/>
    <cellStyle name="Comma 41 2 7 2" xfId="5733" xr:uid="{2ADF6803-129E-4D5D-B939-F52BB3F6DC81}"/>
    <cellStyle name="Comma 41 2 8" xfId="2977" xr:uid="{FA985FC7-3E5B-4590-A1AF-6F0D9587A79C}"/>
    <cellStyle name="Comma 41 2 8 2" xfId="6178" xr:uid="{A48006FA-8467-429B-94B9-C312BFFBDDE8}"/>
    <cellStyle name="Comma 41 2 9" xfId="3507" xr:uid="{5458F710-1C47-44A5-8CB5-1C627ED35D0B}"/>
    <cellStyle name="Comma 41 3" xfId="488" xr:uid="{B7875A30-FC06-48A5-8688-1C82F1A312BF}"/>
    <cellStyle name="Comma 41 3 2" xfId="940" xr:uid="{17056A25-5BDE-4D46-B2D3-48AF34B68D52}"/>
    <cellStyle name="Comma 41 3 2 2" xfId="4174" xr:uid="{9B34FC11-880E-4237-9323-A2C5F9D2F795}"/>
    <cellStyle name="Comma 41 3 3" xfId="1392" xr:uid="{3A5EB117-691C-4484-A919-1BA151105EA0}"/>
    <cellStyle name="Comma 41 3 3 2" xfId="4619" xr:uid="{22FEC5CB-C6E3-4CA7-B7E4-1EF96F5D8E9D}"/>
    <cellStyle name="Comma 41 3 4" xfId="1844" xr:uid="{339524AE-234B-43E9-A33D-28502CE90DF6}"/>
    <cellStyle name="Comma 41 3 4 2" xfId="5064" xr:uid="{D4F6D503-C11B-471B-806A-DA7E6978DAD9}"/>
    <cellStyle name="Comma 41 3 5" xfId="2296" xr:uid="{9BD86F9E-18BD-4835-918D-4B53E95CE1A3}"/>
    <cellStyle name="Comma 41 3 5 2" xfId="5509" xr:uid="{706F77C1-1218-46B3-9573-FAFF4ACD0E79}"/>
    <cellStyle name="Comma 41 3 6" xfId="2748" xr:uid="{5DCD2242-3356-4F1A-94A5-98B3DA20488B}"/>
    <cellStyle name="Comma 41 3 6 2" xfId="5954" xr:uid="{BC9EAEF9-B426-4C3A-9D88-CE4F6FC8EA1D}"/>
    <cellStyle name="Comma 41 3 7" xfId="3200" xr:uid="{D56E2E91-7851-45B9-96E6-2143D873D632}"/>
    <cellStyle name="Comma 41 3 7 2" xfId="6399" xr:uid="{F065EA5A-DCAA-4344-AC29-98DB1C6F7371}"/>
    <cellStyle name="Comma 41 3 8" xfId="3729" xr:uid="{B99BC600-7F69-4828-8272-3FA670157F5F}"/>
    <cellStyle name="Comma 41 4" xfId="716" xr:uid="{9A82B665-1B23-49AD-815A-71ECDA6CE4CB}"/>
    <cellStyle name="Comma 41 4 2" xfId="3952" xr:uid="{C87CC0B7-F187-40F6-8D2F-EF1FBE7A3D6F}"/>
    <cellStyle name="Comma 41 5" xfId="1168" xr:uid="{9EB08EBD-83E7-4C43-B32B-D57BE60C219C}"/>
    <cellStyle name="Comma 41 5 2" xfId="4397" xr:uid="{A1BB9005-600E-462E-8428-346336E7FC2B}"/>
    <cellStyle name="Comma 41 6" xfId="1620" xr:uid="{4FD0F228-3FB0-4E0E-BEC9-3BC9EC469590}"/>
    <cellStyle name="Comma 41 6 2" xfId="4842" xr:uid="{9715CCF0-2233-4919-BB1D-94E8594835FD}"/>
    <cellStyle name="Comma 41 7" xfId="2072" xr:uid="{D5E1579C-C8CF-4F6A-A601-7102F66FBA05}"/>
    <cellStyle name="Comma 41 7 2" xfId="5287" xr:uid="{A3A68846-A4A4-4730-B93E-DFFECF756D18}"/>
    <cellStyle name="Comma 41 8" xfId="2524" xr:uid="{646569B1-432B-4BE1-8EDD-2314BF573653}"/>
    <cellStyle name="Comma 41 8 2" xfId="5732" xr:uid="{C54B173D-4598-4687-A538-69D5B969E7D4}"/>
    <cellStyle name="Comma 41 9" xfId="2976" xr:uid="{4D7BC793-E325-4994-B740-C11A63423DD0}"/>
    <cellStyle name="Comma 41 9 2" xfId="6177" xr:uid="{8D5A096F-EE19-41B1-8BE2-AE8CAC211324}"/>
    <cellStyle name="Comma 42" xfId="227" xr:uid="{68CABBFB-953C-405B-91D8-A55235C33BB0}"/>
    <cellStyle name="Comma 42 10" xfId="3508" xr:uid="{B3117E93-2525-48C6-8042-FC1ECD709944}"/>
    <cellStyle name="Comma 42 2" xfId="228" xr:uid="{F1B6D9E9-93EB-4100-86E4-1359E74A2D0B}"/>
    <cellStyle name="Comma 42 2 2" xfId="491" xr:uid="{E5F58925-4C97-47B9-9835-0DE8ABEBE507}"/>
    <cellStyle name="Comma 42 2 2 2" xfId="943" xr:uid="{1571A297-DB75-4DD9-B0D7-110AB495FDC0}"/>
    <cellStyle name="Comma 42 2 2 2 2" xfId="4177" xr:uid="{D9945675-1249-4287-8443-E1EA1666DE18}"/>
    <cellStyle name="Comma 42 2 2 3" xfId="1395" xr:uid="{81B53A3A-BC2B-4CE1-A393-F2104CE103CD}"/>
    <cellStyle name="Comma 42 2 2 3 2" xfId="4622" xr:uid="{99CA40E3-1B09-40BC-BCA1-5F43FFD4D96E}"/>
    <cellStyle name="Comma 42 2 2 4" xfId="1847" xr:uid="{E432A07E-DCCB-4006-8D77-1A66F595788C}"/>
    <cellStyle name="Comma 42 2 2 4 2" xfId="5067" xr:uid="{D80F462E-5BA4-4BC4-89FA-FDA260321140}"/>
    <cellStyle name="Comma 42 2 2 5" xfId="2299" xr:uid="{BF7EA11E-247A-4F33-ACD4-093D6C4D0D79}"/>
    <cellStyle name="Comma 42 2 2 5 2" xfId="5512" xr:uid="{E942FFDD-4F66-42D9-A466-1D324F1691DC}"/>
    <cellStyle name="Comma 42 2 2 6" xfId="2751" xr:uid="{22EA5532-47C1-4CF7-B9A6-D83F8556DB6A}"/>
    <cellStyle name="Comma 42 2 2 6 2" xfId="5957" xr:uid="{17707013-2582-4F42-9B38-048CB311D2FE}"/>
    <cellStyle name="Comma 42 2 2 7" xfId="3203" xr:uid="{3696FCC8-1B6A-499D-B97B-EB4566C0DFEB}"/>
    <cellStyle name="Comma 42 2 2 7 2" xfId="6402" xr:uid="{66B28B21-64C2-4123-B457-B2956F749705}"/>
    <cellStyle name="Comma 42 2 2 8" xfId="3732" xr:uid="{918B0391-8D43-4F66-9BD7-C58750A464FA}"/>
    <cellStyle name="Comma 42 2 3" xfId="719" xr:uid="{DE586FCC-47AB-48A5-B8AB-0C1149A888D5}"/>
    <cellStyle name="Comma 42 2 3 2" xfId="3955" xr:uid="{6A5B8B12-E62D-4C23-B69B-DF8FD00939E7}"/>
    <cellStyle name="Comma 42 2 4" xfId="1171" xr:uid="{504466AD-F719-4397-8CFF-1185EF6BE4DE}"/>
    <cellStyle name="Comma 42 2 4 2" xfId="4400" xr:uid="{B34D2F6D-F116-4762-A160-07D6B43C7C4C}"/>
    <cellStyle name="Comma 42 2 5" xfId="1623" xr:uid="{30094DF6-9A20-49F4-AAEB-6FEA00137ECD}"/>
    <cellStyle name="Comma 42 2 5 2" xfId="4845" xr:uid="{53CC9854-5C12-4571-871A-E985B9875391}"/>
    <cellStyle name="Comma 42 2 6" xfId="2075" xr:uid="{4CE5CEEA-B55F-4898-90B5-F8B3D8702459}"/>
    <cellStyle name="Comma 42 2 6 2" xfId="5290" xr:uid="{850A25D5-FC5D-4419-B60D-F49D80B560E0}"/>
    <cellStyle name="Comma 42 2 7" xfId="2527" xr:uid="{5FF3578D-99A4-45EF-AD0E-2530D591D3B3}"/>
    <cellStyle name="Comma 42 2 7 2" xfId="5735" xr:uid="{39FC3E87-E69F-4CC7-9338-674D84D18587}"/>
    <cellStyle name="Comma 42 2 8" xfId="2979" xr:uid="{ABD9E68E-B6E2-45A4-B4CE-87A0BB04A689}"/>
    <cellStyle name="Comma 42 2 8 2" xfId="6180" xr:uid="{F12D9AA1-D5DA-4F58-A6DC-1FF4FDFDA8B1}"/>
    <cellStyle name="Comma 42 2 9" xfId="3509" xr:uid="{932AB246-EC94-486C-A263-0D375B973486}"/>
    <cellStyle name="Comma 42 3" xfId="490" xr:uid="{E2F6EDA6-9DD1-421E-8208-A7062065F343}"/>
    <cellStyle name="Comma 42 3 2" xfId="942" xr:uid="{493A1089-9CD3-447B-881F-28F9660A2525}"/>
    <cellStyle name="Comma 42 3 2 2" xfId="4176" xr:uid="{AAC5E99B-8007-436D-A043-F3BFAF442CBB}"/>
    <cellStyle name="Comma 42 3 3" xfId="1394" xr:uid="{EBC4CD27-A02E-4DE6-A822-65ACB42393B3}"/>
    <cellStyle name="Comma 42 3 3 2" xfId="4621" xr:uid="{18E058C1-672E-43E5-8578-36575794EE86}"/>
    <cellStyle name="Comma 42 3 4" xfId="1846" xr:uid="{716251EC-8441-443F-A83A-608F0D99B227}"/>
    <cellStyle name="Comma 42 3 4 2" xfId="5066" xr:uid="{1B067B12-9752-4B3E-9754-D42396C774A7}"/>
    <cellStyle name="Comma 42 3 5" xfId="2298" xr:uid="{51848DD4-E161-4A30-8733-365D9AD9A4FC}"/>
    <cellStyle name="Comma 42 3 5 2" xfId="5511" xr:uid="{BA03B4BD-C6BC-4337-8132-0D2581AB2155}"/>
    <cellStyle name="Comma 42 3 6" xfId="2750" xr:uid="{9E5B4B8F-B8C6-4382-8BF4-548ADDA26826}"/>
    <cellStyle name="Comma 42 3 6 2" xfId="5956" xr:uid="{3C9FF0AF-B5C9-4C08-B140-55649A5E1A0F}"/>
    <cellStyle name="Comma 42 3 7" xfId="3202" xr:uid="{5B6C7BFA-D400-4C6B-9653-43888AF9C525}"/>
    <cellStyle name="Comma 42 3 7 2" xfId="6401" xr:uid="{6E4DCE76-7FF0-414E-B3B2-369D5886264F}"/>
    <cellStyle name="Comma 42 3 8" xfId="3731" xr:uid="{B82B4F6D-2268-4ABD-82F2-A8AD153D3179}"/>
    <cellStyle name="Comma 42 4" xfId="718" xr:uid="{8A2E2662-872C-4446-A656-4ABCF8612B5C}"/>
    <cellStyle name="Comma 42 4 2" xfId="3954" xr:uid="{1F242694-9BAE-4BD4-AE22-A517F549BB87}"/>
    <cellStyle name="Comma 42 5" xfId="1170" xr:uid="{50B465FB-A40A-4F82-97F4-939D852CAA46}"/>
    <cellStyle name="Comma 42 5 2" xfId="4399" xr:uid="{EE8D9092-09AA-4872-9020-3DD6E2F4545D}"/>
    <cellStyle name="Comma 42 6" xfId="1622" xr:uid="{53001A3C-ED55-4ED3-BFE9-A78DEE2B5021}"/>
    <cellStyle name="Comma 42 6 2" xfId="4844" xr:uid="{4C7B2329-D4B1-4CA1-9879-0EAB2D4EF3E9}"/>
    <cellStyle name="Comma 42 7" xfId="2074" xr:uid="{A7CBEBBC-E256-430E-8185-C1911BC4B53D}"/>
    <cellStyle name="Comma 42 7 2" xfId="5289" xr:uid="{E0B2D568-AC67-43CB-91FD-61119AE3DE09}"/>
    <cellStyle name="Comma 42 8" xfId="2526" xr:uid="{9FF59890-EAAC-47BE-A12C-4FCA518F06D1}"/>
    <cellStyle name="Comma 42 8 2" xfId="5734" xr:uid="{340FD9DF-A54C-40F7-8894-FABCC6F80A1C}"/>
    <cellStyle name="Comma 42 9" xfId="2978" xr:uid="{3B038703-6C95-4D47-9D85-51B580B9A7A2}"/>
    <cellStyle name="Comma 42 9 2" xfId="6179" xr:uid="{D7C44341-836B-4EBB-8657-35028FF12F11}"/>
    <cellStyle name="Comma 43" xfId="229" xr:uid="{4EC42419-21B6-4FF8-84B3-406F280795C7}"/>
    <cellStyle name="Comma 43 10" xfId="3510" xr:uid="{AACD302E-5252-41D8-9A7D-590883AC9F93}"/>
    <cellStyle name="Comma 43 2" xfId="230" xr:uid="{D379AFA9-D869-4D65-8AAD-CC791A73CF84}"/>
    <cellStyle name="Comma 43 2 2" xfId="493" xr:uid="{9E60D5F4-8F34-4E85-B654-64495D427160}"/>
    <cellStyle name="Comma 43 2 2 2" xfId="945" xr:uid="{2A8534B6-06F5-494A-B510-03B5B0207911}"/>
    <cellStyle name="Comma 43 2 2 2 2" xfId="4179" xr:uid="{070B15EF-891F-401A-854E-288CF60E1779}"/>
    <cellStyle name="Comma 43 2 2 3" xfId="1397" xr:uid="{1BB99A44-0233-425F-B391-EF1CC5EAA3F8}"/>
    <cellStyle name="Comma 43 2 2 3 2" xfId="4624" xr:uid="{17BAE874-F85D-42E1-B4BD-D0844E2F3AD8}"/>
    <cellStyle name="Comma 43 2 2 4" xfId="1849" xr:uid="{F676CCE6-8639-4EB6-8629-EB92464F54CC}"/>
    <cellStyle name="Comma 43 2 2 4 2" xfId="5069" xr:uid="{EF6F271C-9751-42B9-BC05-DA50906D3989}"/>
    <cellStyle name="Comma 43 2 2 5" xfId="2301" xr:uid="{210187E8-0B20-4B69-93E9-803673A1D332}"/>
    <cellStyle name="Comma 43 2 2 5 2" xfId="5514" xr:uid="{47EE3C1B-3BE3-4626-ADBC-FDB11A091567}"/>
    <cellStyle name="Comma 43 2 2 6" xfId="2753" xr:uid="{9BF0A712-AE30-4DB4-829B-DF7090785763}"/>
    <cellStyle name="Comma 43 2 2 6 2" xfId="5959" xr:uid="{7C1F696E-9BB9-4365-A850-6D7B6A2CB3BD}"/>
    <cellStyle name="Comma 43 2 2 7" xfId="3205" xr:uid="{77692789-8476-433D-9C37-054420C84F79}"/>
    <cellStyle name="Comma 43 2 2 7 2" xfId="6404" xr:uid="{EC74E8E8-9104-447C-904A-40867B5AC1BE}"/>
    <cellStyle name="Comma 43 2 2 8" xfId="3734" xr:uid="{60D000E2-D4E1-428D-BCE7-CC0DBAD21667}"/>
    <cellStyle name="Comma 43 2 3" xfId="721" xr:uid="{0ADA4407-68BD-4C56-BCDD-2E178620D8BD}"/>
    <cellStyle name="Comma 43 2 3 2" xfId="3957" xr:uid="{F7D2C7D9-1CAE-4CFD-AA41-823D0280F5FA}"/>
    <cellStyle name="Comma 43 2 4" xfId="1173" xr:uid="{4ED2124A-58DA-402F-B4CF-508445DE8B29}"/>
    <cellStyle name="Comma 43 2 4 2" xfId="4402" xr:uid="{710D303C-BE9A-4D64-8F4E-0210D5A954FC}"/>
    <cellStyle name="Comma 43 2 5" xfId="1625" xr:uid="{BD39B288-5B50-4783-83E9-702F12CDAEA4}"/>
    <cellStyle name="Comma 43 2 5 2" xfId="4847" xr:uid="{0E85CC4C-5B03-4860-868A-8BC6C29F9935}"/>
    <cellStyle name="Comma 43 2 6" xfId="2077" xr:uid="{933F03F3-DBA1-400F-93DB-16D0AD2BE5F0}"/>
    <cellStyle name="Comma 43 2 6 2" xfId="5292" xr:uid="{AFCDEFCC-3ACB-47E7-8002-1537C31A8164}"/>
    <cellStyle name="Comma 43 2 7" xfId="2529" xr:uid="{43C80318-0788-494E-9C72-2F1F30D98F01}"/>
    <cellStyle name="Comma 43 2 7 2" xfId="5737" xr:uid="{491456AB-086A-44BF-8115-C11557915F9D}"/>
    <cellStyle name="Comma 43 2 8" xfId="2981" xr:uid="{5C2D9405-ED9F-40BD-A8F0-7AE4F56F551D}"/>
    <cellStyle name="Comma 43 2 8 2" xfId="6182" xr:uid="{5660C9B8-CDFE-4ACB-B980-F5C07E3165C1}"/>
    <cellStyle name="Comma 43 2 9" xfId="3511" xr:uid="{2758CDB7-393B-4A97-BB5A-99FBE2EF87ED}"/>
    <cellStyle name="Comma 43 3" xfId="492" xr:uid="{5EBF84AF-0422-41BE-8CCF-90E381BBEF56}"/>
    <cellStyle name="Comma 43 3 2" xfId="944" xr:uid="{BCB2AB5D-0BDF-4C3D-8515-79B35193C4C5}"/>
    <cellStyle name="Comma 43 3 2 2" xfId="4178" xr:uid="{52FD17E0-FD0B-453B-B76A-47A06BF1373F}"/>
    <cellStyle name="Comma 43 3 3" xfId="1396" xr:uid="{348AC392-9761-481C-A69E-23E4D99F654E}"/>
    <cellStyle name="Comma 43 3 3 2" xfId="4623" xr:uid="{E96CD434-5CF4-4DC5-B09C-83FE7F220E4D}"/>
    <cellStyle name="Comma 43 3 4" xfId="1848" xr:uid="{7CBD2CEC-4B70-418F-AC88-D70A58F45D76}"/>
    <cellStyle name="Comma 43 3 4 2" xfId="5068" xr:uid="{BFFCB55A-709C-466B-8411-80617F4A32A2}"/>
    <cellStyle name="Comma 43 3 5" xfId="2300" xr:uid="{9F1DB4A1-5229-44F2-AEFE-CFD83C26C036}"/>
    <cellStyle name="Comma 43 3 5 2" xfId="5513" xr:uid="{F37CF056-C90B-4513-A31B-C9C7BAF141E6}"/>
    <cellStyle name="Comma 43 3 6" xfId="2752" xr:uid="{198841D5-9720-4D13-915F-4F7D847891FD}"/>
    <cellStyle name="Comma 43 3 6 2" xfId="5958" xr:uid="{476B19AB-D9E9-4158-9E1F-93F615019B6B}"/>
    <cellStyle name="Comma 43 3 7" xfId="3204" xr:uid="{6EF6B27E-63D6-4E44-BCEA-BB2A0F0BD3CE}"/>
    <cellStyle name="Comma 43 3 7 2" xfId="6403" xr:uid="{DB1FC624-5348-4CC8-B2B1-BE041AF72DF4}"/>
    <cellStyle name="Comma 43 3 8" xfId="3733" xr:uid="{CC72C995-3077-4878-8416-44114E6194C5}"/>
    <cellStyle name="Comma 43 4" xfId="720" xr:uid="{C7F14B51-AD6B-4578-93D5-9A9201CE2501}"/>
    <cellStyle name="Comma 43 4 2" xfId="3956" xr:uid="{BCBE8CAD-45C2-46F0-8661-2A96B656A652}"/>
    <cellStyle name="Comma 43 5" xfId="1172" xr:uid="{300CE743-A2AE-4184-B874-55221AA9064C}"/>
    <cellStyle name="Comma 43 5 2" xfId="4401" xr:uid="{C26885D5-7EA7-4F52-88E4-CD312F070222}"/>
    <cellStyle name="Comma 43 6" xfId="1624" xr:uid="{575A313E-27C6-4021-8AB1-B0A6A07E7A34}"/>
    <cellStyle name="Comma 43 6 2" xfId="4846" xr:uid="{A3489F47-E708-427C-8047-C4FCD7F0DACF}"/>
    <cellStyle name="Comma 43 7" xfId="2076" xr:uid="{7A189DE8-CA75-4804-B3E7-75A052576E63}"/>
    <cellStyle name="Comma 43 7 2" xfId="5291" xr:uid="{5C74C74D-3E3E-4B06-9E2E-D7C39C8E1F60}"/>
    <cellStyle name="Comma 43 8" xfId="2528" xr:uid="{E9421401-1CE9-401E-9D57-B3CEE9765470}"/>
    <cellStyle name="Comma 43 8 2" xfId="5736" xr:uid="{870E296C-83B7-4B63-8945-74421F3369CB}"/>
    <cellStyle name="Comma 43 9" xfId="2980" xr:uid="{CA04B356-D0A6-4D48-A543-B71655217385}"/>
    <cellStyle name="Comma 43 9 2" xfId="6181" xr:uid="{C7EFBF8F-DF79-4AD4-AA5B-801D78891C39}"/>
    <cellStyle name="Comma 44" xfId="231" xr:uid="{592DA5DB-B894-48B7-AAAF-9CCF177FA8A0}"/>
    <cellStyle name="Comma 44 10" xfId="3512" xr:uid="{08BFC783-5FDD-4AC2-8D9D-79AB6CB23060}"/>
    <cellStyle name="Comma 44 2" xfId="232" xr:uid="{A1248054-CCCA-4DE4-BF38-7E350D1708BA}"/>
    <cellStyle name="Comma 44 2 2" xfId="495" xr:uid="{230ACF6A-D7D3-4838-98AC-C94D071B1D67}"/>
    <cellStyle name="Comma 44 2 2 2" xfId="947" xr:uid="{7E9B6E0C-76E6-4237-AA30-7F57F640A694}"/>
    <cellStyle name="Comma 44 2 2 2 2" xfId="4181" xr:uid="{5BADA85B-75D7-441D-A310-25228FFC04DF}"/>
    <cellStyle name="Comma 44 2 2 3" xfId="1399" xr:uid="{B093F6A9-B24E-4F9B-A450-47EE44FC291A}"/>
    <cellStyle name="Comma 44 2 2 3 2" xfId="4626" xr:uid="{14D78965-F4CF-4028-9782-B7139A3DF516}"/>
    <cellStyle name="Comma 44 2 2 4" xfId="1851" xr:uid="{F0BE1785-ADC4-4678-A95C-FCB3F52840E5}"/>
    <cellStyle name="Comma 44 2 2 4 2" xfId="5071" xr:uid="{16853E2A-59D0-4890-90B1-71FF80198652}"/>
    <cellStyle name="Comma 44 2 2 5" xfId="2303" xr:uid="{A95B332D-14C4-4424-B6DF-6730A1413F52}"/>
    <cellStyle name="Comma 44 2 2 5 2" xfId="5516" xr:uid="{13FDBE7A-5F69-4752-BBAF-AB6798B489D8}"/>
    <cellStyle name="Comma 44 2 2 6" xfId="2755" xr:uid="{6C43AD98-889B-449B-8565-558ED5CB9DDA}"/>
    <cellStyle name="Comma 44 2 2 6 2" xfId="5961" xr:uid="{F0E51A32-F3AE-4717-AC61-1C4A8F73E07F}"/>
    <cellStyle name="Comma 44 2 2 7" xfId="3207" xr:uid="{D93BAC9E-C57E-4D42-B375-4AE280D8CEED}"/>
    <cellStyle name="Comma 44 2 2 7 2" xfId="6406" xr:uid="{88AA1576-C43F-4D32-82A5-0D027E9DC444}"/>
    <cellStyle name="Comma 44 2 2 8" xfId="3736" xr:uid="{027AE0EA-75DD-4B8C-B31D-3B2D2FBBD6F2}"/>
    <cellStyle name="Comma 44 2 3" xfId="723" xr:uid="{0D733627-BA1C-443A-B3F7-D5FA0A4D8DA9}"/>
    <cellStyle name="Comma 44 2 3 2" xfId="3959" xr:uid="{0F8D2C82-735F-49AC-A164-56CE9E7E77E0}"/>
    <cellStyle name="Comma 44 2 4" xfId="1175" xr:uid="{4B4EBE6D-CD9D-4F6A-BC1A-669B41FCCA06}"/>
    <cellStyle name="Comma 44 2 4 2" xfId="4404" xr:uid="{60BDAB34-7FE4-4789-B72E-82CBAE229842}"/>
    <cellStyle name="Comma 44 2 5" xfId="1627" xr:uid="{FFD8D6F3-72D7-404D-8A3B-3B3F9EA979C1}"/>
    <cellStyle name="Comma 44 2 5 2" xfId="4849" xr:uid="{671E4801-B946-4B94-81AB-11A3610FF6FB}"/>
    <cellStyle name="Comma 44 2 6" xfId="2079" xr:uid="{B697EA16-D74F-467A-8B51-5355B9C588BF}"/>
    <cellStyle name="Comma 44 2 6 2" xfId="5294" xr:uid="{A0681BE6-C9A4-4F7A-A35A-9799D006FFE6}"/>
    <cellStyle name="Comma 44 2 7" xfId="2531" xr:uid="{880BA461-A79E-489C-B4D3-FFA99BBE7BE0}"/>
    <cellStyle name="Comma 44 2 7 2" xfId="5739" xr:uid="{86661DC1-DBD1-4067-B372-D51E9B3D936B}"/>
    <cellStyle name="Comma 44 2 8" xfId="2983" xr:uid="{2236E082-AF46-4A73-AFE9-6FA8D2CB8709}"/>
    <cellStyle name="Comma 44 2 8 2" xfId="6184" xr:uid="{A0276105-E001-4122-8BDF-F184EA790172}"/>
    <cellStyle name="Comma 44 2 9" xfId="3513" xr:uid="{F89F1D69-6EDF-417F-B487-644786F271F9}"/>
    <cellStyle name="Comma 44 3" xfId="494" xr:uid="{F013DC71-7EFF-4033-87B5-ACFAA5F7B848}"/>
    <cellStyle name="Comma 44 3 2" xfId="946" xr:uid="{B0579584-2728-426E-9CCD-FAE3755357DD}"/>
    <cellStyle name="Comma 44 3 2 2" xfId="4180" xr:uid="{36167D65-A98C-42A7-9CE3-3D1DEA3BD16D}"/>
    <cellStyle name="Comma 44 3 3" xfId="1398" xr:uid="{6F91787E-806C-4E2B-8465-7B4B2EDD6550}"/>
    <cellStyle name="Comma 44 3 3 2" xfId="4625" xr:uid="{A2F56DD2-EB0C-483C-8D98-A0E6D1D6B80F}"/>
    <cellStyle name="Comma 44 3 4" xfId="1850" xr:uid="{4E8AC354-E9F2-45FA-AD35-2EF7C0637874}"/>
    <cellStyle name="Comma 44 3 4 2" xfId="5070" xr:uid="{25FB8AC1-9EE2-4F51-A0B8-68DA4DDE508D}"/>
    <cellStyle name="Comma 44 3 5" xfId="2302" xr:uid="{1979B5AF-745C-42B4-B442-F87C3D472B6B}"/>
    <cellStyle name="Comma 44 3 5 2" xfId="5515" xr:uid="{EB4EF6FC-DEE4-4C7F-AF95-CAA96B4C93E5}"/>
    <cellStyle name="Comma 44 3 6" xfId="2754" xr:uid="{B9D46A57-BDF9-49B2-9176-C74946E6D8C7}"/>
    <cellStyle name="Comma 44 3 6 2" xfId="5960" xr:uid="{FED3A1E3-7DA7-464E-BB99-AF6017C867C3}"/>
    <cellStyle name="Comma 44 3 7" xfId="3206" xr:uid="{2F95C2A8-7341-45BF-864D-F4EC6E35937C}"/>
    <cellStyle name="Comma 44 3 7 2" xfId="6405" xr:uid="{2B5BC38C-5577-425F-B6C7-DD9BD1BB2DD3}"/>
    <cellStyle name="Comma 44 3 8" xfId="3735" xr:uid="{8E7A5838-01E0-4536-9ED9-A5349AF6428E}"/>
    <cellStyle name="Comma 44 4" xfId="722" xr:uid="{36B7169F-5034-446F-B4B0-AFD1133F8AB0}"/>
    <cellStyle name="Comma 44 4 2" xfId="3958" xr:uid="{BFB3AA7B-69FB-43CC-90AE-F1292F18E2C8}"/>
    <cellStyle name="Comma 44 5" xfId="1174" xr:uid="{8F829C66-CC2C-4FCC-8A9D-86BEDA1FEE2A}"/>
    <cellStyle name="Comma 44 5 2" xfId="4403" xr:uid="{70B4A20C-5C23-4BFF-8C65-BC3954B30E45}"/>
    <cellStyle name="Comma 44 6" xfId="1626" xr:uid="{C556E410-7516-4B26-871B-55ECD24BEF4E}"/>
    <cellStyle name="Comma 44 6 2" xfId="4848" xr:uid="{FCE31E58-9895-4D6D-B74E-B75C7BA71EA6}"/>
    <cellStyle name="Comma 44 7" xfId="2078" xr:uid="{4A12528B-B431-4672-8455-59612FCDAE72}"/>
    <cellStyle name="Comma 44 7 2" xfId="5293" xr:uid="{E56A27BC-9954-4460-89E7-DABF76FA685B}"/>
    <cellStyle name="Comma 44 8" xfId="2530" xr:uid="{6081EC2F-8310-4AB1-9649-E6FD36E14156}"/>
    <cellStyle name="Comma 44 8 2" xfId="5738" xr:uid="{078F2344-008B-4592-A4D0-2D2746E5CB43}"/>
    <cellStyle name="Comma 44 9" xfId="2982" xr:uid="{48404BD6-19D0-41C5-B1F0-055C4699EAB8}"/>
    <cellStyle name="Comma 44 9 2" xfId="6183" xr:uid="{5FBEE776-23A5-454B-9BC5-1C9ABCFD88B7}"/>
    <cellStyle name="Comma 45" xfId="233" xr:uid="{50DB99F9-6CA3-42A0-BBC6-41F7D26338C0}"/>
    <cellStyle name="Comma 45 10" xfId="3514" xr:uid="{6E8DD2BF-FDE2-4CB5-A9D6-6A2597B00B10}"/>
    <cellStyle name="Comma 45 2" xfId="234" xr:uid="{6372EB85-489C-44A8-993E-A4E265AFC5B9}"/>
    <cellStyle name="Comma 45 2 2" xfId="497" xr:uid="{6AE31455-EC66-4970-8860-E5A09C0B488D}"/>
    <cellStyle name="Comma 45 2 2 2" xfId="949" xr:uid="{4792E00A-760E-4877-83FD-A9B95FC968E1}"/>
    <cellStyle name="Comma 45 2 2 2 2" xfId="4183" xr:uid="{B68AF7A1-D2E5-4479-9B37-3EF5995BC90F}"/>
    <cellStyle name="Comma 45 2 2 3" xfId="1401" xr:uid="{8A2DDA5F-BAB4-4F7E-AEFA-BA94CE58341D}"/>
    <cellStyle name="Comma 45 2 2 3 2" xfId="4628" xr:uid="{D0B7B5E5-ED3D-4A2B-BC81-8C3E2FCBE6C3}"/>
    <cellStyle name="Comma 45 2 2 4" xfId="1853" xr:uid="{A4A51DC7-F70E-4CD2-A848-819E22493181}"/>
    <cellStyle name="Comma 45 2 2 4 2" xfId="5073" xr:uid="{8BA2BBCB-1F47-4BE0-B67E-521A9B58EA36}"/>
    <cellStyle name="Comma 45 2 2 5" xfId="2305" xr:uid="{DA185DC0-D6C2-4C68-BF60-1717B1B5EB06}"/>
    <cellStyle name="Comma 45 2 2 5 2" xfId="5518" xr:uid="{8CAC79D9-0C03-4F4F-8593-453405B265A1}"/>
    <cellStyle name="Comma 45 2 2 6" xfId="2757" xr:uid="{BBE92DD5-E621-45AC-82E0-52B8B8E6DCBC}"/>
    <cellStyle name="Comma 45 2 2 6 2" xfId="5963" xr:uid="{8A162DD8-F021-426E-8147-44733496111B}"/>
    <cellStyle name="Comma 45 2 2 7" xfId="3209" xr:uid="{AE063475-BC0E-4291-BF82-BE937438C921}"/>
    <cellStyle name="Comma 45 2 2 7 2" xfId="6408" xr:uid="{B3B81549-373E-402F-85AF-4FB8C1547433}"/>
    <cellStyle name="Comma 45 2 2 8" xfId="3738" xr:uid="{9C54CB8D-B5DD-45D2-AFA5-74F4D132C649}"/>
    <cellStyle name="Comma 45 2 3" xfId="725" xr:uid="{5AD269CB-9D46-4D56-BCC3-2A76286F07E4}"/>
    <cellStyle name="Comma 45 2 3 2" xfId="3961" xr:uid="{EC3F8264-1028-4894-9F86-9C91347814D3}"/>
    <cellStyle name="Comma 45 2 4" xfId="1177" xr:uid="{43ABD223-6B72-40ED-9236-955471E9EC2C}"/>
    <cellStyle name="Comma 45 2 4 2" xfId="4406" xr:uid="{3973524F-985A-46E8-9118-2D83C9B3796F}"/>
    <cellStyle name="Comma 45 2 5" xfId="1629" xr:uid="{A307E0FD-FA82-4BC2-AF60-39D2D7FEE29A}"/>
    <cellStyle name="Comma 45 2 5 2" xfId="4851" xr:uid="{93FB730E-2E46-4113-A75E-6EEC8298C668}"/>
    <cellStyle name="Comma 45 2 6" xfId="2081" xr:uid="{A689DF5F-C2CC-4FAE-87D4-1230A80645EC}"/>
    <cellStyle name="Comma 45 2 6 2" xfId="5296" xr:uid="{5D25EE40-C3A9-465F-8494-54335CB67D4D}"/>
    <cellStyle name="Comma 45 2 7" xfId="2533" xr:uid="{958FA89F-3D7A-4AC4-84EE-0D274D540583}"/>
    <cellStyle name="Comma 45 2 7 2" xfId="5741" xr:uid="{9BDDE1D3-2126-48F3-9777-003DB9770600}"/>
    <cellStyle name="Comma 45 2 8" xfId="2985" xr:uid="{41220F15-014F-4282-BD01-2847742297E2}"/>
    <cellStyle name="Comma 45 2 8 2" xfId="6186" xr:uid="{A24637DC-CEE0-451E-ADCE-165D771CE0D0}"/>
    <cellStyle name="Comma 45 2 9" xfId="3515" xr:uid="{ED63494E-7FB6-4633-9CA6-14A0B2B0F04A}"/>
    <cellStyle name="Comma 45 3" xfId="496" xr:uid="{7B1C955B-EA05-49D7-B7C1-C0F8D8A94BBD}"/>
    <cellStyle name="Comma 45 3 2" xfId="948" xr:uid="{E19CB298-A75F-441C-832B-DC1090B43CA1}"/>
    <cellStyle name="Comma 45 3 2 2" xfId="4182" xr:uid="{C7D854E1-9F70-453B-9166-36183E3EFEFC}"/>
    <cellStyle name="Comma 45 3 3" xfId="1400" xr:uid="{632F1E59-B4FD-448C-83E9-E16DB25CC534}"/>
    <cellStyle name="Comma 45 3 3 2" xfId="4627" xr:uid="{CAD4BEDD-4559-4A25-A3D3-7597C7AAC2A5}"/>
    <cellStyle name="Comma 45 3 4" xfId="1852" xr:uid="{0DC187DA-DE24-40F8-B654-E648AE022DBE}"/>
    <cellStyle name="Comma 45 3 4 2" xfId="5072" xr:uid="{3C7D5F7E-C837-4D3F-9903-A5E95F81F2C9}"/>
    <cellStyle name="Comma 45 3 5" xfId="2304" xr:uid="{0E248DF3-3DD1-4A1E-AF92-2EFF5714DC93}"/>
    <cellStyle name="Comma 45 3 5 2" xfId="5517" xr:uid="{E2C0E27E-5B10-4F5A-BF04-40B53F97D780}"/>
    <cellStyle name="Comma 45 3 6" xfId="2756" xr:uid="{3FB654D4-CF45-4854-B4B3-5F552BE1F1C4}"/>
    <cellStyle name="Comma 45 3 6 2" xfId="5962" xr:uid="{06BC9349-025F-4AFA-93FC-24568AF68187}"/>
    <cellStyle name="Comma 45 3 7" xfId="3208" xr:uid="{58F35C2C-46B6-459C-A2F8-17A24A9C6459}"/>
    <cellStyle name="Comma 45 3 7 2" xfId="6407" xr:uid="{B830943C-1D01-4B22-9DB6-D131CC920633}"/>
    <cellStyle name="Comma 45 3 8" xfId="3737" xr:uid="{AC4FE1D8-697C-41A2-97A4-06A929957D61}"/>
    <cellStyle name="Comma 45 4" xfId="724" xr:uid="{F58B4D63-8033-436D-A246-7A491969836B}"/>
    <cellStyle name="Comma 45 4 2" xfId="3960" xr:uid="{B7E5E2EF-DBEA-4095-BB5F-AA93EF46314D}"/>
    <cellStyle name="Comma 45 5" xfId="1176" xr:uid="{E443EADA-DD0A-4DA0-9D6C-BB826B856498}"/>
    <cellStyle name="Comma 45 5 2" xfId="4405" xr:uid="{C16D2D16-1865-4490-8489-6084E765CFAD}"/>
    <cellStyle name="Comma 45 6" xfId="1628" xr:uid="{CC79609E-B76A-47FD-B9F7-84F9DA967E09}"/>
    <cellStyle name="Comma 45 6 2" xfId="4850" xr:uid="{05306656-120E-4080-AAB9-AC79D2E5D779}"/>
    <cellStyle name="Comma 45 7" xfId="2080" xr:uid="{FBC15AD5-443F-457D-B529-AE1C90433B4A}"/>
    <cellStyle name="Comma 45 7 2" xfId="5295" xr:uid="{45CFB1D6-5023-4CA9-80DF-8A75841E03C9}"/>
    <cellStyle name="Comma 45 8" xfId="2532" xr:uid="{1509322A-F01B-407C-A92B-8380931040BE}"/>
    <cellStyle name="Comma 45 8 2" xfId="5740" xr:uid="{29BA8445-7B01-4A06-AF62-38F6B24E7AC4}"/>
    <cellStyle name="Comma 45 9" xfId="2984" xr:uid="{098B83E5-A866-475E-ACE6-6706A7139778}"/>
    <cellStyle name="Comma 45 9 2" xfId="6185" xr:uid="{F691C9B8-6F5A-4D52-B41F-DA1E6454C4EA}"/>
    <cellStyle name="Comma 46" xfId="235" xr:uid="{7C89D4CA-CF8E-48EA-9FF6-589DE138985F}"/>
    <cellStyle name="Comma 46 10" xfId="3516" xr:uid="{EEE13EE5-BE54-4119-951B-C5C90E881EFF}"/>
    <cellStyle name="Comma 46 2" xfId="236" xr:uid="{EA6BE653-272A-41EC-9A0C-242DFE097713}"/>
    <cellStyle name="Comma 46 2 2" xfId="499" xr:uid="{7B3DC9B1-7BE1-4D23-9F95-6B527FC907FB}"/>
    <cellStyle name="Comma 46 2 2 2" xfId="951" xr:uid="{51E9DB10-F30E-4DAE-B405-78EC291CBE10}"/>
    <cellStyle name="Comma 46 2 2 2 2" xfId="4185" xr:uid="{4EB7F552-C0F8-439A-BF18-219E1712EAC9}"/>
    <cellStyle name="Comma 46 2 2 3" xfId="1403" xr:uid="{2E715446-9407-4BC4-92A4-3B3F593EAE0E}"/>
    <cellStyle name="Comma 46 2 2 3 2" xfId="4630" xr:uid="{A0103260-5687-4370-B3A7-C295FE4AE15D}"/>
    <cellStyle name="Comma 46 2 2 4" xfId="1855" xr:uid="{26118632-ABAD-471D-9557-92270277ECF5}"/>
    <cellStyle name="Comma 46 2 2 4 2" xfId="5075" xr:uid="{8D05306B-561E-4E07-B690-0557F41DBD8E}"/>
    <cellStyle name="Comma 46 2 2 5" xfId="2307" xr:uid="{D0310972-E641-4128-9A82-67C2459DA1CC}"/>
    <cellStyle name="Comma 46 2 2 5 2" xfId="5520" xr:uid="{14481A5B-4824-40CE-9738-21AA44FAFF46}"/>
    <cellStyle name="Comma 46 2 2 6" xfId="2759" xr:uid="{BFA460AF-917D-40B3-8039-7DF6F413F943}"/>
    <cellStyle name="Comma 46 2 2 6 2" xfId="5965" xr:uid="{FF21D73C-7E04-43E6-900C-823EDBA0F362}"/>
    <cellStyle name="Comma 46 2 2 7" xfId="3211" xr:uid="{9ED9B685-8E23-4CA1-AC1C-960FA8274C2F}"/>
    <cellStyle name="Comma 46 2 2 7 2" xfId="6410" xr:uid="{0187EF3C-F992-4C28-B505-97FF7D5310CD}"/>
    <cellStyle name="Comma 46 2 2 8" xfId="3740" xr:uid="{84D49B18-26C5-49AE-9FF4-A1ECD692DD81}"/>
    <cellStyle name="Comma 46 2 3" xfId="727" xr:uid="{3498A83D-6049-44FD-9855-2DDD99476C0B}"/>
    <cellStyle name="Comma 46 2 3 2" xfId="3963" xr:uid="{C75C4BE5-67B7-4586-A6D4-200380BDA099}"/>
    <cellStyle name="Comma 46 2 4" xfId="1179" xr:uid="{5D385401-B700-46AD-9134-6B10D5E237D4}"/>
    <cellStyle name="Comma 46 2 4 2" xfId="4408" xr:uid="{7E0550A8-0210-4287-8020-14E368F67679}"/>
    <cellStyle name="Comma 46 2 5" xfId="1631" xr:uid="{BAE39D91-A875-4ABD-9068-C61005AD72AB}"/>
    <cellStyle name="Comma 46 2 5 2" xfId="4853" xr:uid="{EC6C61E3-6210-4266-99FF-C5DC7DD51EC5}"/>
    <cellStyle name="Comma 46 2 6" xfId="2083" xr:uid="{EE4F20F6-924F-4015-9C81-2F14D0FD08EC}"/>
    <cellStyle name="Comma 46 2 6 2" xfId="5298" xr:uid="{33D5E421-79B0-41C3-BF2E-E9040C6C0039}"/>
    <cellStyle name="Comma 46 2 7" xfId="2535" xr:uid="{79629C66-D61D-4F92-9A2E-0789908368C6}"/>
    <cellStyle name="Comma 46 2 7 2" xfId="5743" xr:uid="{841ADAE3-7C02-435B-A9CB-1D745B09610F}"/>
    <cellStyle name="Comma 46 2 8" xfId="2987" xr:uid="{B4DD7AE4-CDC2-4D29-946A-9843DA639634}"/>
    <cellStyle name="Comma 46 2 8 2" xfId="6188" xr:uid="{B8BD6797-3C80-4790-9FEB-D56EC230D163}"/>
    <cellStyle name="Comma 46 2 9" xfId="3517" xr:uid="{09FEF966-FE75-4275-8442-BE00F88D99E3}"/>
    <cellStyle name="Comma 46 3" xfId="498" xr:uid="{CEFD028E-3FC6-48D6-A671-2C0930527C87}"/>
    <cellStyle name="Comma 46 3 2" xfId="950" xr:uid="{A4E2CFDA-0657-4001-81C4-9C7D544C9CBC}"/>
    <cellStyle name="Comma 46 3 2 2" xfId="4184" xr:uid="{EF5A1171-9B7F-4ADD-A84A-DDB364B60026}"/>
    <cellStyle name="Comma 46 3 3" xfId="1402" xr:uid="{D632E0E1-B170-44F0-8D86-CEE34F2BB252}"/>
    <cellStyle name="Comma 46 3 3 2" xfId="4629" xr:uid="{B699F4FF-9D15-4E96-91CE-A21D7FE1F160}"/>
    <cellStyle name="Comma 46 3 4" xfId="1854" xr:uid="{86FFB1DE-5468-4711-AB2B-9ACBA99B8B42}"/>
    <cellStyle name="Comma 46 3 4 2" xfId="5074" xr:uid="{9BDE84F3-14FF-4F47-9947-AE0CAC34E2B1}"/>
    <cellStyle name="Comma 46 3 5" xfId="2306" xr:uid="{793A977A-47B7-412B-A6E9-8AFAC563EA4F}"/>
    <cellStyle name="Comma 46 3 5 2" xfId="5519" xr:uid="{46859C7D-22BD-4F4C-8B30-067B2E70A3B7}"/>
    <cellStyle name="Comma 46 3 6" xfId="2758" xr:uid="{13C3D3D6-26ED-4D84-8BB8-6F39F82678B6}"/>
    <cellStyle name="Comma 46 3 6 2" xfId="5964" xr:uid="{EB2A3655-25D5-46B4-87FD-92C2F0D305C1}"/>
    <cellStyle name="Comma 46 3 7" xfId="3210" xr:uid="{A893F15E-530F-413C-80FD-74E9367C53C7}"/>
    <cellStyle name="Comma 46 3 7 2" xfId="6409" xr:uid="{4B7F57AF-4473-44DB-8979-47762F696CF5}"/>
    <cellStyle name="Comma 46 3 8" xfId="3739" xr:uid="{6ED8E7F6-D53C-4F4F-ADAF-06D2294E9668}"/>
    <cellStyle name="Comma 46 4" xfId="726" xr:uid="{B467C19E-4BED-45F3-9D73-20E2A11F1EAD}"/>
    <cellStyle name="Comma 46 4 2" xfId="3962" xr:uid="{D529C721-330B-41ED-B75B-3B4DDC7AF49F}"/>
    <cellStyle name="Comma 46 5" xfId="1178" xr:uid="{F8B57AFC-6168-4020-9AB0-8E5E46E1498E}"/>
    <cellStyle name="Comma 46 5 2" xfId="4407" xr:uid="{7BB45D1A-4051-45C6-9067-F368FC5AF609}"/>
    <cellStyle name="Comma 46 6" xfId="1630" xr:uid="{286735DD-80F1-41A3-B3F7-511BB32FF012}"/>
    <cellStyle name="Comma 46 6 2" xfId="4852" xr:uid="{845862A2-DDA0-4075-91F1-E82553A16B3C}"/>
    <cellStyle name="Comma 46 7" xfId="2082" xr:uid="{D9D6299A-7FF7-40E7-8C67-86F147D29607}"/>
    <cellStyle name="Comma 46 7 2" xfId="5297" xr:uid="{24A38C19-4B8E-4E75-9034-86BFD8A634EA}"/>
    <cellStyle name="Comma 46 8" xfId="2534" xr:uid="{6046CADA-3D75-4907-A160-5FB578C15CFB}"/>
    <cellStyle name="Comma 46 8 2" xfId="5742" xr:uid="{73193D3D-2747-49B9-BB3D-5826091C4085}"/>
    <cellStyle name="Comma 46 9" xfId="2986" xr:uid="{737D3505-6E2C-4F35-A8EE-417E5EEE37FB}"/>
    <cellStyle name="Comma 46 9 2" xfId="6187" xr:uid="{F257BC34-8DB8-403D-A3D8-CBF91A5BC68C}"/>
    <cellStyle name="Comma 47" xfId="237" xr:uid="{279EC63E-4E27-4ED3-887E-021C911249AC}"/>
    <cellStyle name="Comma 47 10" xfId="3518" xr:uid="{239F9F62-96F9-4F8D-A7D3-697A4D303F69}"/>
    <cellStyle name="Comma 47 2" xfId="238" xr:uid="{B954D4EA-188E-4924-AECF-53DA447C62DE}"/>
    <cellStyle name="Comma 47 2 2" xfId="501" xr:uid="{7E7BB113-59D0-48B0-8EF1-0BB5AEB9E106}"/>
    <cellStyle name="Comma 47 2 2 2" xfId="953" xr:uid="{49CD3EE9-86D4-4D48-8BEF-757053A768FA}"/>
    <cellStyle name="Comma 47 2 2 2 2" xfId="4187" xr:uid="{21DB900C-8B78-4F91-BA85-D95FC0057977}"/>
    <cellStyle name="Comma 47 2 2 3" xfId="1405" xr:uid="{721FEABC-05F5-4E2C-8CA3-19C4BDF634B4}"/>
    <cellStyle name="Comma 47 2 2 3 2" xfId="4632" xr:uid="{58A825BF-3E7E-429C-8B0E-0F701D963FB9}"/>
    <cellStyle name="Comma 47 2 2 4" xfId="1857" xr:uid="{00A303BD-3C01-4C56-AE7C-A7601B25E004}"/>
    <cellStyle name="Comma 47 2 2 4 2" xfId="5077" xr:uid="{B06313BF-8B89-4C89-8FBB-38BDB3B2CBFA}"/>
    <cellStyle name="Comma 47 2 2 5" xfId="2309" xr:uid="{9F7971C8-C17A-4889-8DA7-9E22993117A0}"/>
    <cellStyle name="Comma 47 2 2 5 2" xfId="5522" xr:uid="{54A25BD2-ABF9-4E99-8D6B-9E9EF4C075EC}"/>
    <cellStyle name="Comma 47 2 2 6" xfId="2761" xr:uid="{E7C5C6AA-927E-4C02-94A5-5EE8C159FC2A}"/>
    <cellStyle name="Comma 47 2 2 6 2" xfId="5967" xr:uid="{2A70A9BD-B5D0-47E7-ABFD-4518043460AB}"/>
    <cellStyle name="Comma 47 2 2 7" xfId="3213" xr:uid="{513F07F1-CDD4-40D6-BA5B-E5E4BB9574C7}"/>
    <cellStyle name="Comma 47 2 2 7 2" xfId="6412" xr:uid="{B55A3307-D34F-40AC-AFC1-682AA9C3AD14}"/>
    <cellStyle name="Comma 47 2 2 8" xfId="3742" xr:uid="{23211AEE-DA64-4236-BF5B-EE43AE82324E}"/>
    <cellStyle name="Comma 47 2 3" xfId="729" xr:uid="{C9E2C05D-A732-4407-9A91-4280CBA67534}"/>
    <cellStyle name="Comma 47 2 3 2" xfId="3965" xr:uid="{4DF18C5C-3B79-4C70-8ED9-3B3B0E68F9EE}"/>
    <cellStyle name="Comma 47 2 4" xfId="1181" xr:uid="{E34C0E17-F953-44FC-902A-D8E18C5937FF}"/>
    <cellStyle name="Comma 47 2 4 2" xfId="4410" xr:uid="{FE064BD7-D57A-489F-A436-2BDF72EFAEAD}"/>
    <cellStyle name="Comma 47 2 5" xfId="1633" xr:uid="{220F3F63-D174-4A7A-A62A-34D679204CC8}"/>
    <cellStyle name="Comma 47 2 5 2" xfId="4855" xr:uid="{10CAB119-D135-46C4-AB1C-9B1C23183810}"/>
    <cellStyle name="Comma 47 2 6" xfId="2085" xr:uid="{CB0B242F-C2AE-41F6-8FEC-DDD0288F3D7F}"/>
    <cellStyle name="Comma 47 2 6 2" xfId="5300" xr:uid="{EBE34C74-07E6-4B84-BC57-7F1F0E26D1E3}"/>
    <cellStyle name="Comma 47 2 7" xfId="2537" xr:uid="{3D37CF27-EA8F-4023-B6D7-B9DE29A74919}"/>
    <cellStyle name="Comma 47 2 7 2" xfId="5745" xr:uid="{0E6B2FC6-9297-42CF-8317-BA769DA0922B}"/>
    <cellStyle name="Comma 47 2 8" xfId="2989" xr:uid="{99EA2C38-D133-4E87-A074-57850FC31719}"/>
    <cellStyle name="Comma 47 2 8 2" xfId="6190" xr:uid="{AD2C2D3F-8696-40D8-BCCD-D2A5C99C11C8}"/>
    <cellStyle name="Comma 47 2 9" xfId="3519" xr:uid="{12B1915A-3D47-4E70-9FD8-5F47A67AB4A4}"/>
    <cellStyle name="Comma 47 3" xfId="500" xr:uid="{D1420F59-0C9C-4D06-BB3D-B9572855CF31}"/>
    <cellStyle name="Comma 47 3 2" xfId="952" xr:uid="{1F1523F0-7C0A-4238-A75D-0C8C5EB54F57}"/>
    <cellStyle name="Comma 47 3 2 2" xfId="4186" xr:uid="{C7856CA1-6FBC-4057-97A8-669023A49BEF}"/>
    <cellStyle name="Comma 47 3 3" xfId="1404" xr:uid="{4B9FCF78-2524-4AA6-9105-5FBD56C2E3DC}"/>
    <cellStyle name="Comma 47 3 3 2" xfId="4631" xr:uid="{80193942-8DFC-40F9-97FA-E5207CCE0121}"/>
    <cellStyle name="Comma 47 3 4" xfId="1856" xr:uid="{DF26F843-9707-41BC-B650-9641DD2AE8DD}"/>
    <cellStyle name="Comma 47 3 4 2" xfId="5076" xr:uid="{F8834C3A-3FB6-4F2A-A286-D3311231E53D}"/>
    <cellStyle name="Comma 47 3 5" xfId="2308" xr:uid="{C75EEA0E-60F3-42EB-BC12-184884DB19FF}"/>
    <cellStyle name="Comma 47 3 5 2" xfId="5521" xr:uid="{2E03BA6A-CE9A-418E-9A09-47F172AC6908}"/>
    <cellStyle name="Comma 47 3 6" xfId="2760" xr:uid="{8C57C30B-1456-45F2-AD1D-56B7A19CC5DE}"/>
    <cellStyle name="Comma 47 3 6 2" xfId="5966" xr:uid="{80F183D2-7D77-4017-8A2E-30A0AD89B583}"/>
    <cellStyle name="Comma 47 3 7" xfId="3212" xr:uid="{A9184217-8F20-4A5B-AF29-9C168ED81DD1}"/>
    <cellStyle name="Comma 47 3 7 2" xfId="6411" xr:uid="{2148C359-CC05-4ECE-B779-F44A641EC728}"/>
    <cellStyle name="Comma 47 3 8" xfId="3741" xr:uid="{C93B6989-7B29-4DC1-B471-3808D8067802}"/>
    <cellStyle name="Comma 47 4" xfId="728" xr:uid="{4C9C944C-4B37-444C-9B32-85E34054C9F2}"/>
    <cellStyle name="Comma 47 4 2" xfId="3964" xr:uid="{84590DC3-9F3B-48A3-9004-903F6F88878C}"/>
    <cellStyle name="Comma 47 5" xfId="1180" xr:uid="{04CA1632-A109-465C-8731-41A6EBD348FE}"/>
    <cellStyle name="Comma 47 5 2" xfId="4409" xr:uid="{01DFFC42-0CA1-435F-8F8D-3FCA40CCA1FC}"/>
    <cellStyle name="Comma 47 6" xfId="1632" xr:uid="{0C29F6C3-841F-4BEE-92D6-EC8337AB2FBF}"/>
    <cellStyle name="Comma 47 6 2" xfId="4854" xr:uid="{8E169A23-FF7D-42AE-8F7C-E1C6D72F3E3F}"/>
    <cellStyle name="Comma 47 7" xfId="2084" xr:uid="{9610DBBE-8888-4D28-8D34-03D61225C3EF}"/>
    <cellStyle name="Comma 47 7 2" xfId="5299" xr:uid="{C2B297CD-1159-4882-8557-65FE0AD09FA9}"/>
    <cellStyle name="Comma 47 8" xfId="2536" xr:uid="{6CA4E532-516E-4EB8-9EB4-4604C9C0CD9A}"/>
    <cellStyle name="Comma 47 8 2" xfId="5744" xr:uid="{CA770667-CAB8-4894-B8B2-9F2892D11A29}"/>
    <cellStyle name="Comma 47 9" xfId="2988" xr:uid="{19B7E041-2DBF-4EE6-9066-83732F2C1C35}"/>
    <cellStyle name="Comma 47 9 2" xfId="6189" xr:uid="{8483B9AB-C91B-4A3B-AE3D-89957C7939A0}"/>
    <cellStyle name="Comma 48" xfId="239" xr:uid="{0FE3BBEF-ED84-4CDB-AFBC-7BA9A056E260}"/>
    <cellStyle name="Comma 48 10" xfId="3520" xr:uid="{00A46E4C-EB49-46DF-9E56-351A00AB393B}"/>
    <cellStyle name="Comma 48 2" xfId="240" xr:uid="{C883D9B9-D481-4C27-9080-80555851DABA}"/>
    <cellStyle name="Comma 48 2 2" xfId="503" xr:uid="{3CC2CAC6-2B42-47F5-A55F-8D901FFEAC5A}"/>
    <cellStyle name="Comma 48 2 2 2" xfId="955" xr:uid="{5D7A1A4E-9FD3-4568-8520-C2C5D91E1896}"/>
    <cellStyle name="Comma 48 2 2 2 2" xfId="4189" xr:uid="{3AAB9BA4-6579-4889-B176-A36745B8DCFE}"/>
    <cellStyle name="Comma 48 2 2 3" xfId="1407" xr:uid="{32F23443-2C9E-443E-A456-3ACF0E3CADB5}"/>
    <cellStyle name="Comma 48 2 2 3 2" xfId="4634" xr:uid="{27D242FD-7D51-496E-96A2-0FF5125A32EB}"/>
    <cellStyle name="Comma 48 2 2 4" xfId="1859" xr:uid="{687F4619-535D-4D4A-BFC4-035DF4B5D714}"/>
    <cellStyle name="Comma 48 2 2 4 2" xfId="5079" xr:uid="{4C2945BD-FDAF-4A2D-956D-600B6BE89F90}"/>
    <cellStyle name="Comma 48 2 2 5" xfId="2311" xr:uid="{E8249A00-865B-4BC3-A7C8-6E4612D86BC6}"/>
    <cellStyle name="Comma 48 2 2 5 2" xfId="5524" xr:uid="{B8026FF2-92A1-498A-BD86-06C68AE2330D}"/>
    <cellStyle name="Comma 48 2 2 6" xfId="2763" xr:uid="{77CC69A6-5819-4A06-B41F-FB4BEAEFF7B6}"/>
    <cellStyle name="Comma 48 2 2 6 2" xfId="5969" xr:uid="{AC6CD2EF-9574-4387-B587-8ABB7A5F2092}"/>
    <cellStyle name="Comma 48 2 2 7" xfId="3215" xr:uid="{C6517BD3-FFA4-4F9F-BC55-0FF204E69269}"/>
    <cellStyle name="Comma 48 2 2 7 2" xfId="6414" xr:uid="{E04F2275-62B3-4158-AFE6-980A672950EC}"/>
    <cellStyle name="Comma 48 2 2 8" xfId="3744" xr:uid="{D3A81602-A091-41FD-8C4A-199479C1974D}"/>
    <cellStyle name="Comma 48 2 3" xfId="731" xr:uid="{329D9159-47FF-424E-B017-150F0948972D}"/>
    <cellStyle name="Comma 48 2 3 2" xfId="3967" xr:uid="{8141949F-70ED-40E3-82F0-E561F5A45AED}"/>
    <cellStyle name="Comma 48 2 4" xfId="1183" xr:uid="{919BF323-D849-4DCC-A76D-C95C192F59E5}"/>
    <cellStyle name="Comma 48 2 4 2" xfId="4412" xr:uid="{6CCC63F2-D4D9-4659-8E8C-C8D90931B5B4}"/>
    <cellStyle name="Comma 48 2 5" xfId="1635" xr:uid="{2AC861F0-3F67-4C5B-B957-C82F5D2B69E1}"/>
    <cellStyle name="Comma 48 2 5 2" xfId="4857" xr:uid="{B42CC4BA-D152-4F27-A517-0E0D81358322}"/>
    <cellStyle name="Comma 48 2 6" xfId="2087" xr:uid="{9BDBE783-3558-43EB-8798-A33288ED5C1E}"/>
    <cellStyle name="Comma 48 2 6 2" xfId="5302" xr:uid="{B1A5A582-6416-4909-BD35-875087EB9258}"/>
    <cellStyle name="Comma 48 2 7" xfId="2539" xr:uid="{FDD8F8D1-A61A-4986-AB54-5A10683507AF}"/>
    <cellStyle name="Comma 48 2 7 2" xfId="5747" xr:uid="{86F49E56-A04E-40B4-AF33-B03D129925BF}"/>
    <cellStyle name="Comma 48 2 8" xfId="2991" xr:uid="{E6991897-7D17-49AF-92DA-89F01D15C8E8}"/>
    <cellStyle name="Comma 48 2 8 2" xfId="6192" xr:uid="{C26C8D6B-091F-4040-B515-04FEC647C9EE}"/>
    <cellStyle name="Comma 48 2 9" xfId="3521" xr:uid="{59EDE81A-CE91-466F-AEBE-FD01ADBCD876}"/>
    <cellStyle name="Comma 48 3" xfId="502" xr:uid="{1818B34A-D07F-448F-A417-435386706262}"/>
    <cellStyle name="Comma 48 3 2" xfId="954" xr:uid="{3215A821-DFE8-4DB9-8DB6-49F8C190548C}"/>
    <cellStyle name="Comma 48 3 2 2" xfId="4188" xr:uid="{BB7D599F-91FD-4BA8-87C3-0D284AB3DE55}"/>
    <cellStyle name="Comma 48 3 3" xfId="1406" xr:uid="{7C8F2F8A-A81A-4A3E-A561-E55C50C281CC}"/>
    <cellStyle name="Comma 48 3 3 2" xfId="4633" xr:uid="{DDE13DF5-B128-4344-8A2F-02CC2BDC4C45}"/>
    <cellStyle name="Comma 48 3 4" xfId="1858" xr:uid="{F2057529-4980-4F6E-B39C-61F52A56D43C}"/>
    <cellStyle name="Comma 48 3 4 2" xfId="5078" xr:uid="{5386DC63-E8DB-4C93-B792-1D26A858DEFE}"/>
    <cellStyle name="Comma 48 3 5" xfId="2310" xr:uid="{A42D5AC9-B9DD-4708-B33E-C5ED2E23CBF1}"/>
    <cellStyle name="Comma 48 3 5 2" xfId="5523" xr:uid="{354EF3D6-F32E-44B4-B6FC-1150E6FC6205}"/>
    <cellStyle name="Comma 48 3 6" xfId="2762" xr:uid="{2029B206-3289-406B-8BD3-FE6C53E771EF}"/>
    <cellStyle name="Comma 48 3 6 2" xfId="5968" xr:uid="{29185BED-FEDB-4342-844B-162F6071B44F}"/>
    <cellStyle name="Comma 48 3 7" xfId="3214" xr:uid="{83CA4D26-56F8-4A27-A02E-E75ECF276621}"/>
    <cellStyle name="Comma 48 3 7 2" xfId="6413" xr:uid="{0833964A-D658-48E0-8547-61EE21AE02FF}"/>
    <cellStyle name="Comma 48 3 8" xfId="3743" xr:uid="{090555D2-1F82-415A-BDD9-00E68F177073}"/>
    <cellStyle name="Comma 48 4" xfId="730" xr:uid="{D40FE6CB-D3C5-4076-AE2F-71AD90313EE7}"/>
    <cellStyle name="Comma 48 4 2" xfId="3966" xr:uid="{2AE2CE38-5B37-471C-BE98-50F993CF41EC}"/>
    <cellStyle name="Comma 48 5" xfId="1182" xr:uid="{DBE8E13B-5A24-4BE4-93A0-7A6AEF121FF3}"/>
    <cellStyle name="Comma 48 5 2" xfId="4411" xr:uid="{D601D0C6-827C-4C8F-8DD9-8E45BAF3BCCA}"/>
    <cellStyle name="Comma 48 6" xfId="1634" xr:uid="{679478E2-23B1-4A6D-B5AF-88A7ACFCA73C}"/>
    <cellStyle name="Comma 48 6 2" xfId="4856" xr:uid="{0E984CBD-8FE2-4818-834B-D621AFB4FD4C}"/>
    <cellStyle name="Comma 48 7" xfId="2086" xr:uid="{D065E949-F9FA-40E1-8F4D-8D35E6F45200}"/>
    <cellStyle name="Comma 48 7 2" xfId="5301" xr:uid="{6DCA8F07-2833-4C26-8F49-AC06AB17BF38}"/>
    <cellStyle name="Comma 48 8" xfId="2538" xr:uid="{EA5FF6CA-CB62-40BB-B9F2-5C52E2551192}"/>
    <cellStyle name="Comma 48 8 2" xfId="5746" xr:uid="{11D00D3A-CFAD-489D-81C1-0FE5E95AFD09}"/>
    <cellStyle name="Comma 48 9" xfId="2990" xr:uid="{69409242-42D1-426F-8F9A-222B4A0B3186}"/>
    <cellStyle name="Comma 48 9 2" xfId="6191" xr:uid="{BDBAAFE4-BBCA-4A67-A1AD-90352C0B3B02}"/>
    <cellStyle name="Comma 49" xfId="241" xr:uid="{31934DF4-D9B7-416A-A748-2A817D312DB7}"/>
    <cellStyle name="Comma 49 10" xfId="3522" xr:uid="{E8C674B6-496E-4F12-830F-C76C17A23725}"/>
    <cellStyle name="Comma 49 2" xfId="242" xr:uid="{C2E3A11D-B64A-4246-9825-AE454CF73A92}"/>
    <cellStyle name="Comma 49 2 2" xfId="505" xr:uid="{1FB857BB-9856-4570-AFD8-FB9A694DB752}"/>
    <cellStyle name="Comma 49 2 2 2" xfId="957" xr:uid="{6EEB3B38-E3BB-4EA4-9665-737B5B239BB2}"/>
    <cellStyle name="Comma 49 2 2 2 2" xfId="4191" xr:uid="{2F6BD4D6-C3B3-4895-A23E-B09CD0EB1F37}"/>
    <cellStyle name="Comma 49 2 2 3" xfId="1409" xr:uid="{1243B48D-59CD-4007-9522-283C94B27C3A}"/>
    <cellStyle name="Comma 49 2 2 3 2" xfId="4636" xr:uid="{FD96E6DC-8B89-41C7-AFD7-1AEF8C0861A3}"/>
    <cellStyle name="Comma 49 2 2 4" xfId="1861" xr:uid="{2E46EF83-F9CB-40BA-B2E1-4DAFD1A9255D}"/>
    <cellStyle name="Comma 49 2 2 4 2" xfId="5081" xr:uid="{BCB910FE-38E4-4ACF-AF8E-A52500CFCF19}"/>
    <cellStyle name="Comma 49 2 2 5" xfId="2313" xr:uid="{AADEC5C2-603C-4C8B-848F-8FE7458E49F2}"/>
    <cellStyle name="Comma 49 2 2 5 2" xfId="5526" xr:uid="{B249050A-5604-4D75-84D9-6A9B9072356D}"/>
    <cellStyle name="Comma 49 2 2 6" xfId="2765" xr:uid="{E1A694BA-2A5F-4AB6-9DE9-79E24E421609}"/>
    <cellStyle name="Comma 49 2 2 6 2" xfId="5971" xr:uid="{C3514B3B-3980-4957-88F8-8AE54DCD4C3C}"/>
    <cellStyle name="Comma 49 2 2 7" xfId="3217" xr:uid="{B7B350A5-E25A-48A7-B1C0-680336DF17FF}"/>
    <cellStyle name="Comma 49 2 2 7 2" xfId="6416" xr:uid="{9F39A9FA-DB7B-4828-8A7C-0BE30D4C8432}"/>
    <cellStyle name="Comma 49 2 2 8" xfId="3746" xr:uid="{5701A137-A8FD-4114-B7B9-27D53BAC807F}"/>
    <cellStyle name="Comma 49 2 3" xfId="733" xr:uid="{45D404E3-B956-4DF3-BE89-1C0D65F8196E}"/>
    <cellStyle name="Comma 49 2 3 2" xfId="3969" xr:uid="{89624E94-51CC-49F5-9D8C-215F229CAF76}"/>
    <cellStyle name="Comma 49 2 4" xfId="1185" xr:uid="{45ABC3EA-9E4E-4ED9-9A73-2BDCEC52B7A2}"/>
    <cellStyle name="Comma 49 2 4 2" xfId="4414" xr:uid="{FFBCC819-9F81-44F2-9316-CCAE0BB361C4}"/>
    <cellStyle name="Comma 49 2 5" xfId="1637" xr:uid="{38BC7166-EA7F-42B8-A762-BE09E9E2BDC6}"/>
    <cellStyle name="Comma 49 2 5 2" xfId="4859" xr:uid="{19DEA56C-942B-4258-A5FF-9359971D3072}"/>
    <cellStyle name="Comma 49 2 6" xfId="2089" xr:uid="{DBA2C6CB-104A-47AF-9394-8C66C21CD492}"/>
    <cellStyle name="Comma 49 2 6 2" xfId="5304" xr:uid="{A97B4A64-FDE1-4FA3-B458-4831A0CF8FFB}"/>
    <cellStyle name="Comma 49 2 7" xfId="2541" xr:uid="{CCC1715F-6FDB-488E-81C1-9F9154718648}"/>
    <cellStyle name="Comma 49 2 7 2" xfId="5749" xr:uid="{F2A43DBD-AAC2-464F-98DC-CF6B9E17F0B0}"/>
    <cellStyle name="Comma 49 2 8" xfId="2993" xr:uid="{17260A39-DC2B-46A7-A4DF-1526EF6D2FAC}"/>
    <cellStyle name="Comma 49 2 8 2" xfId="6194" xr:uid="{F314F337-F960-4445-9D0B-1A2CF4A038EA}"/>
    <cellStyle name="Comma 49 2 9" xfId="3523" xr:uid="{43BCB521-23E4-4CE9-9089-294A16BCC9E2}"/>
    <cellStyle name="Comma 49 3" xfId="504" xr:uid="{9763D962-4BA7-47A7-AF29-A50AFE7BBC9F}"/>
    <cellStyle name="Comma 49 3 2" xfId="956" xr:uid="{0162A67A-2D02-4A76-93D9-D2B603F2ADA4}"/>
    <cellStyle name="Comma 49 3 2 2" xfId="4190" xr:uid="{1CBE2923-C8F1-40CB-BE05-037F447E4F90}"/>
    <cellStyle name="Comma 49 3 3" xfId="1408" xr:uid="{B4731D68-0E96-4D37-B6E4-287BCC3D04F2}"/>
    <cellStyle name="Comma 49 3 3 2" xfId="4635" xr:uid="{5144C0B1-6E98-4D64-93D4-DD9B0133DF13}"/>
    <cellStyle name="Comma 49 3 4" xfId="1860" xr:uid="{2BB24ABE-54FB-49BA-A8CD-C1D868AB2D39}"/>
    <cellStyle name="Comma 49 3 4 2" xfId="5080" xr:uid="{DDF9FA94-967B-469A-A58A-996A91F5F2C9}"/>
    <cellStyle name="Comma 49 3 5" xfId="2312" xr:uid="{DF5D62F5-6EF5-497E-AA1B-B9E8AC7DEA9A}"/>
    <cellStyle name="Comma 49 3 5 2" xfId="5525" xr:uid="{A5F32C2E-6C1A-4308-93A2-F8DD18754260}"/>
    <cellStyle name="Comma 49 3 6" xfId="2764" xr:uid="{5D8C2C93-0BCD-4090-8AC3-A1AD56FAE750}"/>
    <cellStyle name="Comma 49 3 6 2" xfId="5970" xr:uid="{22F8AF8B-5A17-461A-8DEA-6EDA7AF34448}"/>
    <cellStyle name="Comma 49 3 7" xfId="3216" xr:uid="{8E3A523D-E78A-4D3D-A2E2-FE08668B5851}"/>
    <cellStyle name="Comma 49 3 7 2" xfId="6415" xr:uid="{A6E66706-EF2E-43F0-BE33-B9361019C498}"/>
    <cellStyle name="Comma 49 3 8" xfId="3745" xr:uid="{61D3C136-29A7-4B5A-AE8A-584B0AA18EE6}"/>
    <cellStyle name="Comma 49 4" xfId="732" xr:uid="{CB2F1C52-60AC-4DD4-BA36-5955EB8A08D2}"/>
    <cellStyle name="Comma 49 4 2" xfId="3968" xr:uid="{FA7EE54B-EB5A-42A6-85DE-2FE5CA3887BB}"/>
    <cellStyle name="Comma 49 5" xfId="1184" xr:uid="{37D22200-68A2-464A-B3C7-9E3B6F766A13}"/>
    <cellStyle name="Comma 49 5 2" xfId="4413" xr:uid="{03F33869-94F2-46A7-B41F-493024983CBF}"/>
    <cellStyle name="Comma 49 6" xfId="1636" xr:uid="{9B15794A-07AD-4B2C-B6B2-EC562AB39FC0}"/>
    <cellStyle name="Comma 49 6 2" xfId="4858" xr:uid="{98C7F893-EB4E-46E7-8474-608371469A5B}"/>
    <cellStyle name="Comma 49 7" xfId="2088" xr:uid="{2A8B6431-DAC8-4C54-A614-F700545C2B1C}"/>
    <cellStyle name="Comma 49 7 2" xfId="5303" xr:uid="{5335A927-D5E9-47B2-89FE-16B75560BF09}"/>
    <cellStyle name="Comma 49 8" xfId="2540" xr:uid="{0D389C40-3A76-4E67-95F9-7F154DD0264A}"/>
    <cellStyle name="Comma 49 8 2" xfId="5748" xr:uid="{CCE82973-3E4B-4409-8AA0-47036CB26260}"/>
    <cellStyle name="Comma 49 9" xfId="2992" xr:uid="{CA54A17B-2518-4E00-BDCB-98C2B9836EC5}"/>
    <cellStyle name="Comma 49 9 2" xfId="6193" xr:uid="{32C0864A-5361-420E-AC5F-E41C15D8F344}"/>
    <cellStyle name="Comma 5" xfId="31" xr:uid="{3B915DFB-BE6E-411A-A6F0-683D93469593}"/>
    <cellStyle name="Comma 5 10" xfId="2994" xr:uid="{F125CC1B-E0E6-421A-9E32-2B558BD284F1}"/>
    <cellStyle name="Comma 5 10 2" xfId="6195" xr:uid="{F3442B99-580B-48C2-B9F7-9A5C989535B2}"/>
    <cellStyle name="Comma 5 11" xfId="3382" xr:uid="{5F6DE420-5AAB-4CF0-AE7F-F247908386BF}"/>
    <cellStyle name="Comma 5 2" xfId="244" xr:uid="{0BFAF83C-E8E7-423A-BEAF-C9A3F4E2F263}"/>
    <cellStyle name="Comma 5 2 2" xfId="507" xr:uid="{97FE99B8-52E5-4D52-A947-6529B36D2A77}"/>
    <cellStyle name="Comma 5 2 2 2" xfId="959" xr:uid="{416AB617-A042-4BF7-950E-61B4F48D5867}"/>
    <cellStyle name="Comma 5 2 2 2 2" xfId="4193" xr:uid="{C75F8085-3AB4-49D8-A1BE-E1BDA598E53D}"/>
    <cellStyle name="Comma 5 2 2 3" xfId="1411" xr:uid="{553658EE-A979-4F1E-868E-DD2F3BF2C501}"/>
    <cellStyle name="Comma 5 2 2 3 2" xfId="4638" xr:uid="{EAE15CA4-52CF-4ED6-BC7B-1CC5DD6BB616}"/>
    <cellStyle name="Comma 5 2 2 4" xfId="1863" xr:uid="{C349535A-0B22-4AD5-9C16-A3CC4D413A18}"/>
    <cellStyle name="Comma 5 2 2 4 2" xfId="5083" xr:uid="{B8415594-BAA4-4E61-B68F-860B527ED3F9}"/>
    <cellStyle name="Comma 5 2 2 5" xfId="2315" xr:uid="{6EE6E454-9DC0-4532-BE74-3CE1C4159B60}"/>
    <cellStyle name="Comma 5 2 2 5 2" xfId="5528" xr:uid="{72D53BE6-2537-4D2F-BAC0-1BBF309F7E90}"/>
    <cellStyle name="Comma 5 2 2 6" xfId="2767" xr:uid="{59A63029-47EC-462B-A5F6-EF4A0F78E9D5}"/>
    <cellStyle name="Comma 5 2 2 6 2" xfId="5973" xr:uid="{5515B84B-74E9-4E08-9AF3-E6A45C4BFAAB}"/>
    <cellStyle name="Comma 5 2 2 7" xfId="3219" xr:uid="{0B65C16B-C0BC-4E3F-994E-3F9B4AD34D97}"/>
    <cellStyle name="Comma 5 2 2 7 2" xfId="6418" xr:uid="{ABB20D91-ACE8-48D8-8D61-B260B082EBBC}"/>
    <cellStyle name="Comma 5 2 2 8" xfId="3748" xr:uid="{94FA8CA2-01C0-459F-9E90-F06902A2E87C}"/>
    <cellStyle name="Comma 5 2 3" xfId="735" xr:uid="{C9DE86A6-C40F-44F9-A022-9C29F0815FDF}"/>
    <cellStyle name="Comma 5 2 3 2" xfId="3971" xr:uid="{2F4DFCCD-330E-4610-8761-8916C3CF221D}"/>
    <cellStyle name="Comma 5 2 4" xfId="1187" xr:uid="{E878641C-13E8-4C69-8CE4-F5BD840F95E3}"/>
    <cellStyle name="Comma 5 2 4 2" xfId="4416" xr:uid="{68C37CC5-FAB5-48AD-AC36-4A80EC6C2A33}"/>
    <cellStyle name="Comma 5 2 5" xfId="1639" xr:uid="{0D8C407A-7FB8-4F14-99EB-35E0BDC0A654}"/>
    <cellStyle name="Comma 5 2 5 2" xfId="4861" xr:uid="{76A7E86A-D73E-4EB7-9216-77F724B1A9AF}"/>
    <cellStyle name="Comma 5 2 6" xfId="2091" xr:uid="{B8386BE2-6623-4B2A-850E-1FB21EE2ACC0}"/>
    <cellStyle name="Comma 5 2 6 2" xfId="5306" xr:uid="{8C507A29-0EBD-4733-97F0-127C76626BF8}"/>
    <cellStyle name="Comma 5 2 7" xfId="2543" xr:uid="{582A2C3A-E002-4E04-AA56-06A1F2C699FC}"/>
    <cellStyle name="Comma 5 2 7 2" xfId="5751" xr:uid="{26D7EFF5-F0BD-4C2A-8E85-F616E189792B}"/>
    <cellStyle name="Comma 5 2 8" xfId="2995" xr:uid="{1E8191FC-ED72-4C13-B3DF-036C884A90DA}"/>
    <cellStyle name="Comma 5 2 8 2" xfId="6196" xr:uid="{A37B3D31-9F58-49B2-8951-496ACCC1813C}"/>
    <cellStyle name="Comma 5 2 9" xfId="3525" xr:uid="{EDFF9559-C38C-4521-8C08-E805B99A4923}"/>
    <cellStyle name="Comma 5 3" xfId="506" xr:uid="{01E135A5-B4E1-4548-B0D9-AE43882A50FC}"/>
    <cellStyle name="Comma 5 3 2" xfId="958" xr:uid="{7F2FCD85-D863-4361-86E9-2A1224F2FC1F}"/>
    <cellStyle name="Comma 5 3 2 2" xfId="4192" xr:uid="{13346A9D-86D6-4B70-8F30-746CA19DC4C0}"/>
    <cellStyle name="Comma 5 3 3" xfId="1410" xr:uid="{C95C9501-5119-4B16-AD63-00F88659FEB1}"/>
    <cellStyle name="Comma 5 3 3 2" xfId="4637" xr:uid="{B7170FB1-02AC-4DE6-B1A2-D6A0EAAAF094}"/>
    <cellStyle name="Comma 5 3 4" xfId="1862" xr:uid="{8381C5F6-F8C7-4148-BB18-295451BCDD1C}"/>
    <cellStyle name="Comma 5 3 4 2" xfId="5082" xr:uid="{58C23860-2BC1-4D76-8AD4-111711659A25}"/>
    <cellStyle name="Comma 5 3 5" xfId="2314" xr:uid="{CB761828-635C-4C47-9F4C-5856DFB729C6}"/>
    <cellStyle name="Comma 5 3 5 2" xfId="5527" xr:uid="{F032D192-76F1-4B21-A21B-E2F915D22B29}"/>
    <cellStyle name="Comma 5 3 6" xfId="2766" xr:uid="{04BA08D5-0F96-40AE-AC60-ED0A8D20200C}"/>
    <cellStyle name="Comma 5 3 6 2" xfId="5972" xr:uid="{ED7F2991-5E1E-4CD6-AF89-823C88A151C4}"/>
    <cellStyle name="Comma 5 3 7" xfId="3218" xr:uid="{64C87032-556E-45F9-94E7-88D7BE93CA46}"/>
    <cellStyle name="Comma 5 3 7 2" xfId="6417" xr:uid="{4EE167E6-6640-40DC-9723-2CAD64CED16A}"/>
    <cellStyle name="Comma 5 3 8" xfId="3747" xr:uid="{564C6E5F-40F5-4B40-9165-91E56B9876FD}"/>
    <cellStyle name="Comma 5 4" xfId="243" xr:uid="{E2F0164F-33DD-4E24-9F4B-65647645918D}"/>
    <cellStyle name="Comma 5 4 2" xfId="3524" xr:uid="{38B83A00-75D8-4D6E-9FF0-33E617750F70}"/>
    <cellStyle name="Comma 5 5" xfId="734" xr:uid="{97185C77-FCFD-47E9-8846-1FEDFFC22308}"/>
    <cellStyle name="Comma 5 5 2" xfId="3970" xr:uid="{86969443-A476-4B01-8CDE-D112A39FD1AB}"/>
    <cellStyle name="Comma 5 6" xfId="1186" xr:uid="{EA71955A-EC67-4C5B-9471-3B01C3B7F54B}"/>
    <cellStyle name="Comma 5 6 2" xfId="4415" xr:uid="{7C148D21-9745-4991-967B-459733472A69}"/>
    <cellStyle name="Comma 5 7" xfId="1638" xr:uid="{866FE7EE-5D67-4336-8E41-1F3706AA6DBA}"/>
    <cellStyle name="Comma 5 7 2" xfId="4860" xr:uid="{35A52CCC-314A-4FA3-8418-2A394342D081}"/>
    <cellStyle name="Comma 5 8" xfId="2090" xr:uid="{8E1F4CE2-8E0A-41B2-AD46-0E6F0EA364B6}"/>
    <cellStyle name="Comma 5 8 2" xfId="5305" xr:uid="{2B4C0B8B-0B76-4508-A6BC-EFDD48CCF49A}"/>
    <cellStyle name="Comma 5 9" xfId="2542" xr:uid="{4A247158-AEAB-49AD-AA99-77C46F026D2A}"/>
    <cellStyle name="Comma 5 9 2" xfId="5750" xr:uid="{39C2B22A-A2F3-486E-8B7B-767D3AB011FC}"/>
    <cellStyle name="Comma 50" xfId="245" xr:uid="{648CADAD-5C1F-4C2A-BBDE-09D770B371BC}"/>
    <cellStyle name="Comma 50 10" xfId="3526" xr:uid="{0404F6DB-8FD8-408E-BF0B-E76B196B3CE4}"/>
    <cellStyle name="Comma 50 2" xfId="246" xr:uid="{F91023BB-DFC2-4A92-BF26-23492D30FBEC}"/>
    <cellStyle name="Comma 50 2 2" xfId="509" xr:uid="{40734172-90C0-4F2A-AA12-FA189BE7EA53}"/>
    <cellStyle name="Comma 50 2 2 2" xfId="961" xr:uid="{00571A7B-2F52-4108-9E83-03BC8D6427DB}"/>
    <cellStyle name="Comma 50 2 2 2 2" xfId="4195" xr:uid="{95BB1D89-C3FA-4102-910A-5824FA76DD74}"/>
    <cellStyle name="Comma 50 2 2 3" xfId="1413" xr:uid="{ED9AD8B6-6E32-4F81-9F53-5FA668E89D6C}"/>
    <cellStyle name="Comma 50 2 2 3 2" xfId="4640" xr:uid="{C1D41752-F8CA-4363-BFF1-411CB60DAD32}"/>
    <cellStyle name="Comma 50 2 2 4" xfId="1865" xr:uid="{A8D74A5B-078B-486D-B8CA-330C50A240EF}"/>
    <cellStyle name="Comma 50 2 2 4 2" xfId="5085" xr:uid="{AACA4C14-BD22-46DD-9EC8-133490A1714C}"/>
    <cellStyle name="Comma 50 2 2 5" xfId="2317" xr:uid="{DA8091CE-BF30-4E7B-B46C-F05D7B347B7F}"/>
    <cellStyle name="Comma 50 2 2 5 2" xfId="5530" xr:uid="{2E609AE5-F023-4DE6-A032-CE3C8B433D05}"/>
    <cellStyle name="Comma 50 2 2 6" xfId="2769" xr:uid="{BEFB5413-30D6-4596-946A-6EEFD85D9373}"/>
    <cellStyle name="Comma 50 2 2 6 2" xfId="5975" xr:uid="{C2CDA328-EE6E-4CF9-A9F5-BAB1BC79CB04}"/>
    <cellStyle name="Comma 50 2 2 7" xfId="3221" xr:uid="{F8D73370-A7A6-4C12-856C-8024412533E0}"/>
    <cellStyle name="Comma 50 2 2 7 2" xfId="6420" xr:uid="{4BAC5DD6-18A6-48E6-AE17-8724652B2F84}"/>
    <cellStyle name="Comma 50 2 2 8" xfId="3750" xr:uid="{06FAC3E3-8E94-497C-841E-182AFAFDF71A}"/>
    <cellStyle name="Comma 50 2 3" xfId="737" xr:uid="{0B1620BA-0E53-4E32-B7CF-239CA2C2C527}"/>
    <cellStyle name="Comma 50 2 3 2" xfId="3973" xr:uid="{D8613575-C89F-409F-B71B-E6B63501F646}"/>
    <cellStyle name="Comma 50 2 4" xfId="1189" xr:uid="{3FFBEE5F-87A7-487E-BC54-CD7E7C9735C0}"/>
    <cellStyle name="Comma 50 2 4 2" xfId="4418" xr:uid="{598F2C12-74E1-4EE9-BDC6-8272B6FD99DC}"/>
    <cellStyle name="Comma 50 2 5" xfId="1641" xr:uid="{3861FFD9-3596-4C7E-9899-0CF5DB266778}"/>
    <cellStyle name="Comma 50 2 5 2" xfId="4863" xr:uid="{6FE410CE-57E9-4734-95E9-C5D348301878}"/>
    <cellStyle name="Comma 50 2 6" xfId="2093" xr:uid="{62D9A130-C31B-4D71-AB98-7285959F21CF}"/>
    <cellStyle name="Comma 50 2 6 2" xfId="5308" xr:uid="{D10EACDD-C7F0-45EB-971E-6BBA1D64B14F}"/>
    <cellStyle name="Comma 50 2 7" xfId="2545" xr:uid="{3DC840A7-342B-4DC3-8E6F-265ECA49D185}"/>
    <cellStyle name="Comma 50 2 7 2" xfId="5753" xr:uid="{032DF6C9-23F0-417A-8294-82DFB93C2CC4}"/>
    <cellStyle name="Comma 50 2 8" xfId="2997" xr:uid="{55447440-F168-4ABE-B78D-885F9F7FB62F}"/>
    <cellStyle name="Comma 50 2 8 2" xfId="6198" xr:uid="{AC7D59C9-E516-432B-8B4C-57E88FBA8970}"/>
    <cellStyle name="Comma 50 2 9" xfId="3527" xr:uid="{4035FD1A-1A69-4FFF-9FEC-F6178EF15034}"/>
    <cellStyle name="Comma 50 3" xfId="508" xr:uid="{79E7C794-80A2-4F3A-8C01-4C02D4BB016E}"/>
    <cellStyle name="Comma 50 3 2" xfId="960" xr:uid="{880F40A4-672D-4CD8-BF40-98B1263BAD3B}"/>
    <cellStyle name="Comma 50 3 2 2" xfId="4194" xr:uid="{80C420D1-D244-4BF0-8DE6-56F549B5AD8F}"/>
    <cellStyle name="Comma 50 3 3" xfId="1412" xr:uid="{A745A96C-E201-4888-B6A6-E8241F51E716}"/>
    <cellStyle name="Comma 50 3 3 2" xfId="4639" xr:uid="{F050D982-FD96-4529-856C-FA0EBD922EB3}"/>
    <cellStyle name="Comma 50 3 4" xfId="1864" xr:uid="{4E71F16E-5A4A-41E0-9DF9-997FCF764C23}"/>
    <cellStyle name="Comma 50 3 4 2" xfId="5084" xr:uid="{1781574C-A17D-4732-95F1-8BEBF1849364}"/>
    <cellStyle name="Comma 50 3 5" xfId="2316" xr:uid="{84ACD90E-5CF8-4823-AC88-6E6961CB7D82}"/>
    <cellStyle name="Comma 50 3 5 2" xfId="5529" xr:uid="{AF118EDC-E187-45E3-A62E-B3ACAC581413}"/>
    <cellStyle name="Comma 50 3 6" xfId="2768" xr:uid="{2CB348D2-E816-4028-A04F-F3A75DC31441}"/>
    <cellStyle name="Comma 50 3 6 2" xfId="5974" xr:uid="{B29FC4C2-89B4-4C6D-8C27-21D9ED8231B0}"/>
    <cellStyle name="Comma 50 3 7" xfId="3220" xr:uid="{41EAF1C1-FE5A-434A-A8A9-ED155073DD0C}"/>
    <cellStyle name="Comma 50 3 7 2" xfId="6419" xr:uid="{CB060FFE-336E-4C50-A7F2-39391099AC2A}"/>
    <cellStyle name="Comma 50 3 8" xfId="3749" xr:uid="{EADD9AE9-ED5B-4B3A-8269-773AFE9F5809}"/>
    <cellStyle name="Comma 50 4" xfId="736" xr:uid="{914F3446-CFC8-4225-872E-FEBFA75EEC18}"/>
    <cellStyle name="Comma 50 4 2" xfId="3972" xr:uid="{B3FB6850-1BE0-41F3-9478-11F49A662074}"/>
    <cellStyle name="Comma 50 5" xfId="1188" xr:uid="{D2041027-A27C-4355-A8FA-A7ABB5008585}"/>
    <cellStyle name="Comma 50 5 2" xfId="4417" xr:uid="{DDE5FDA3-10D4-4D51-B92B-A9F2110CFC73}"/>
    <cellStyle name="Comma 50 6" xfId="1640" xr:uid="{FBC24BCA-053D-4365-914D-91DFFD846586}"/>
    <cellStyle name="Comma 50 6 2" xfId="4862" xr:uid="{57E69E4B-59F2-4135-9F8F-ECE7388F5674}"/>
    <cellStyle name="Comma 50 7" xfId="2092" xr:uid="{FC0D38AB-A8A7-4666-8496-E5504ACBDEB9}"/>
    <cellStyle name="Comma 50 7 2" xfId="5307" xr:uid="{AF27F1C3-D13C-4D0F-9707-2FDD0AFD077B}"/>
    <cellStyle name="Comma 50 8" xfId="2544" xr:uid="{02D8718A-41CF-4DDD-B78A-A7362776139F}"/>
    <cellStyle name="Comma 50 8 2" xfId="5752" xr:uid="{22FEFDB2-5D58-420D-955B-00480A8413BE}"/>
    <cellStyle name="Comma 50 9" xfId="2996" xr:uid="{06B8D897-2CBC-4AF0-9134-655ABCD78920}"/>
    <cellStyle name="Comma 50 9 2" xfId="6197" xr:uid="{58560C92-C843-494D-874D-605CAEC6A1F3}"/>
    <cellStyle name="Comma 51" xfId="247" xr:uid="{8D562B26-C842-45A7-AE00-2E296B6CCCEA}"/>
    <cellStyle name="Comma 51 10" xfId="3528" xr:uid="{EA806285-C957-42E5-8B80-EF5B73B5A320}"/>
    <cellStyle name="Comma 51 2" xfId="248" xr:uid="{1BD98B34-3E8F-44A8-BA66-A9EE1EFA4EDE}"/>
    <cellStyle name="Comma 51 2 2" xfId="511" xr:uid="{6346B977-2983-4174-90E4-F03DBD2BC3E7}"/>
    <cellStyle name="Comma 51 2 2 2" xfId="963" xr:uid="{AF47C7EE-82AE-432A-A252-5D4343166CB0}"/>
    <cellStyle name="Comma 51 2 2 2 2" xfId="4197" xr:uid="{70CD2882-2B32-4A11-A97F-9BAB302EA99A}"/>
    <cellStyle name="Comma 51 2 2 3" xfId="1415" xr:uid="{09507017-A736-41F5-B853-52EBA8794B47}"/>
    <cellStyle name="Comma 51 2 2 3 2" xfId="4642" xr:uid="{415FA658-CCA5-45A5-B30E-B1403F4066FF}"/>
    <cellStyle name="Comma 51 2 2 4" xfId="1867" xr:uid="{0BBEC8A9-0410-472F-860E-A25D006D7230}"/>
    <cellStyle name="Comma 51 2 2 4 2" xfId="5087" xr:uid="{DF27E515-A86E-4489-BD02-A31177755AF3}"/>
    <cellStyle name="Comma 51 2 2 5" xfId="2319" xr:uid="{6130B151-8708-4549-8421-5AE7199BDECD}"/>
    <cellStyle name="Comma 51 2 2 5 2" xfId="5532" xr:uid="{7A699C05-C6A0-41C4-A4B1-D7A70E28CEBF}"/>
    <cellStyle name="Comma 51 2 2 6" xfId="2771" xr:uid="{1642FC9B-FC52-4F8C-8AF7-8007941C31DC}"/>
    <cellStyle name="Comma 51 2 2 6 2" xfId="5977" xr:uid="{8158A15F-09D6-464B-84FD-402C76AC33D5}"/>
    <cellStyle name="Comma 51 2 2 7" xfId="3223" xr:uid="{7A330D50-9E28-4208-A15A-02E4175C1E59}"/>
    <cellStyle name="Comma 51 2 2 7 2" xfId="6422" xr:uid="{FEB54C07-EC1F-4114-807D-DE92AC3E4BC1}"/>
    <cellStyle name="Comma 51 2 2 8" xfId="3752" xr:uid="{DB6FB9BC-2094-450A-B885-88A488653E07}"/>
    <cellStyle name="Comma 51 2 3" xfId="739" xr:uid="{41FDA59D-14B1-46EA-A232-D6E48DAA0BB3}"/>
    <cellStyle name="Comma 51 2 3 2" xfId="3975" xr:uid="{CEC89E61-7DFB-4A98-A44A-D999F1760643}"/>
    <cellStyle name="Comma 51 2 4" xfId="1191" xr:uid="{F4AF2156-3270-4FCD-A647-37823F84686E}"/>
    <cellStyle name="Comma 51 2 4 2" xfId="4420" xr:uid="{B658D49E-2591-4A00-95B3-4B98F8DAEFFE}"/>
    <cellStyle name="Comma 51 2 5" xfId="1643" xr:uid="{A62D1A07-B56E-4DCD-8082-5C5783CB993A}"/>
    <cellStyle name="Comma 51 2 5 2" xfId="4865" xr:uid="{F1709FCD-CDD5-4B3F-AFF6-7E743A2F6D9E}"/>
    <cellStyle name="Comma 51 2 6" xfId="2095" xr:uid="{A78B254C-2CDC-4D49-8B82-9D468DFD34FB}"/>
    <cellStyle name="Comma 51 2 6 2" xfId="5310" xr:uid="{5DE1001F-4814-49AC-BC23-F43D1C99F751}"/>
    <cellStyle name="Comma 51 2 7" xfId="2547" xr:uid="{3C21A514-F7A9-4BE9-96A3-12783024D875}"/>
    <cellStyle name="Comma 51 2 7 2" xfId="5755" xr:uid="{3218B435-A1EB-4C1E-A25C-A31A9D898B71}"/>
    <cellStyle name="Comma 51 2 8" xfId="2999" xr:uid="{30B4DC95-3A1D-4BD2-84E8-5A3ABFDB8A30}"/>
    <cellStyle name="Comma 51 2 8 2" xfId="6200" xr:uid="{0B41818F-CF5F-43A0-A422-172706CADFAF}"/>
    <cellStyle name="Comma 51 2 9" xfId="3529" xr:uid="{0FCDDC96-BCE2-4573-9678-2144DEF66F78}"/>
    <cellStyle name="Comma 51 3" xfId="510" xr:uid="{D17292F7-ACEE-4677-8E42-FD682B6E3720}"/>
    <cellStyle name="Comma 51 3 2" xfId="962" xr:uid="{BEA9E497-DFDA-4C00-8BF9-37CF1176F045}"/>
    <cellStyle name="Comma 51 3 2 2" xfId="4196" xr:uid="{AC4FDD12-22B8-4A83-A580-CD9C95C449DF}"/>
    <cellStyle name="Comma 51 3 3" xfId="1414" xr:uid="{97A94B50-1B6E-4E0B-B7C7-787D690ABC14}"/>
    <cellStyle name="Comma 51 3 3 2" xfId="4641" xr:uid="{D3953BF8-321B-48EF-BCA6-3A70C2783D67}"/>
    <cellStyle name="Comma 51 3 4" xfId="1866" xr:uid="{0035DDA4-CCEB-4343-89B6-CF9021A82016}"/>
    <cellStyle name="Comma 51 3 4 2" xfId="5086" xr:uid="{7B3C6C27-A8EA-42D3-BADF-5BA2F4C1A0AC}"/>
    <cellStyle name="Comma 51 3 5" xfId="2318" xr:uid="{62F85628-7388-455E-90A8-00E4793200BC}"/>
    <cellStyle name="Comma 51 3 5 2" xfId="5531" xr:uid="{66632742-09AB-4045-92FC-387F3009D8F1}"/>
    <cellStyle name="Comma 51 3 6" xfId="2770" xr:uid="{75848B93-4563-4BFE-BC04-E08E6F7454D6}"/>
    <cellStyle name="Comma 51 3 6 2" xfId="5976" xr:uid="{30162089-D617-42B3-BAC6-54EE975C66AD}"/>
    <cellStyle name="Comma 51 3 7" xfId="3222" xr:uid="{84D3D88A-82A0-4215-85EB-E4AC8A804F6A}"/>
    <cellStyle name="Comma 51 3 7 2" xfId="6421" xr:uid="{221B9750-AD89-4868-8BCA-8F12AA1A9E24}"/>
    <cellStyle name="Comma 51 3 8" xfId="3751" xr:uid="{9CDFB9B3-CC4A-4312-BEB3-00A064358AA8}"/>
    <cellStyle name="Comma 51 4" xfId="738" xr:uid="{30B20796-0D0E-4F51-8AD4-EE8154E7D469}"/>
    <cellStyle name="Comma 51 4 2" xfId="3974" xr:uid="{ABA71783-6B9C-4E2E-B6A4-6D15BAE5228E}"/>
    <cellStyle name="Comma 51 5" xfId="1190" xr:uid="{0B8B70CA-6588-4B78-91DC-52A4FBBC1782}"/>
    <cellStyle name="Comma 51 5 2" xfId="4419" xr:uid="{D92587C4-1955-443B-9398-3ADF34662A20}"/>
    <cellStyle name="Comma 51 6" xfId="1642" xr:uid="{67852E05-16E5-4387-B823-73A747DF88C6}"/>
    <cellStyle name="Comma 51 6 2" xfId="4864" xr:uid="{19AC95A6-45B7-4118-AED5-C98DDC9BF0D9}"/>
    <cellStyle name="Comma 51 7" xfId="2094" xr:uid="{E41B6467-D944-4762-A9E8-AB48EED09D59}"/>
    <cellStyle name="Comma 51 7 2" xfId="5309" xr:uid="{77843544-C1DC-4416-8653-B0D5E8AFBF9C}"/>
    <cellStyle name="Comma 51 8" xfId="2546" xr:uid="{59D0C9D0-FE74-4FB9-B255-2F4A81018145}"/>
    <cellStyle name="Comma 51 8 2" xfId="5754" xr:uid="{C11BB7EF-6F27-49D7-B274-B0DE1FFC2F60}"/>
    <cellStyle name="Comma 51 9" xfId="2998" xr:uid="{D74E60FA-A489-48B5-9979-A90D62842176}"/>
    <cellStyle name="Comma 51 9 2" xfId="6199" xr:uid="{BD1F2ACF-BE04-46E2-85D6-C1BF0C6304CB}"/>
    <cellStyle name="Comma 52" xfId="249" xr:uid="{A3D2C1BB-90B0-47F2-966C-ED6F48B112E2}"/>
    <cellStyle name="Comma 52 10" xfId="3530" xr:uid="{F24FAD99-81EC-4A2B-B6D0-D8C21D884FF7}"/>
    <cellStyle name="Comma 52 2" xfId="250" xr:uid="{26EE2294-75A3-4B35-8F03-2DA065B922A8}"/>
    <cellStyle name="Comma 52 2 2" xfId="513" xr:uid="{D1063C88-4FDA-48B6-8C1C-EF80137B9FD9}"/>
    <cellStyle name="Comma 52 2 2 2" xfId="965" xr:uid="{7F220E1E-5FCD-4200-B082-42A794B9AC79}"/>
    <cellStyle name="Comma 52 2 2 2 2" xfId="4199" xr:uid="{2AB4E410-3E22-434C-A4B7-E28864AEC2FF}"/>
    <cellStyle name="Comma 52 2 2 3" xfId="1417" xr:uid="{9E0BA706-27CA-4B29-BA35-A78D19065AF8}"/>
    <cellStyle name="Comma 52 2 2 3 2" xfId="4644" xr:uid="{C5AE29CA-7FF8-4B8B-B15F-155CA9D29888}"/>
    <cellStyle name="Comma 52 2 2 4" xfId="1869" xr:uid="{57D7F31C-3F2B-4CBC-A099-65550BACA332}"/>
    <cellStyle name="Comma 52 2 2 4 2" xfId="5089" xr:uid="{226F6FF5-EAAA-4743-B725-2763E76E62A8}"/>
    <cellStyle name="Comma 52 2 2 5" xfId="2321" xr:uid="{6F22889B-C1E1-480E-A153-F84028E6D5EC}"/>
    <cellStyle name="Comma 52 2 2 5 2" xfId="5534" xr:uid="{E5D0FF8A-9680-4321-91C1-2008462B3416}"/>
    <cellStyle name="Comma 52 2 2 6" xfId="2773" xr:uid="{29EA7807-68D6-480A-B92A-D4C744A3A521}"/>
    <cellStyle name="Comma 52 2 2 6 2" xfId="5979" xr:uid="{0E3CECE8-AC3D-409C-AC3A-9BB204DC6EE1}"/>
    <cellStyle name="Comma 52 2 2 7" xfId="3225" xr:uid="{BDE1CF40-1698-4D57-BD39-834235D3F813}"/>
    <cellStyle name="Comma 52 2 2 7 2" xfId="6424" xr:uid="{A56C8749-4562-44D8-A0F0-126DBE7EE32C}"/>
    <cellStyle name="Comma 52 2 2 8" xfId="3754" xr:uid="{DCC530C7-CEC5-4AB4-AB4C-F458EFA0F053}"/>
    <cellStyle name="Comma 52 2 3" xfId="741" xr:uid="{449D6BA6-7618-4E35-9147-159C44FC8A03}"/>
    <cellStyle name="Comma 52 2 3 2" xfId="3977" xr:uid="{CECF78BD-39F5-4D2A-92E5-EC03D67F0B8E}"/>
    <cellStyle name="Comma 52 2 4" xfId="1193" xr:uid="{D2B137B7-9CE2-4A41-87BF-581AB826E162}"/>
    <cellStyle name="Comma 52 2 4 2" xfId="4422" xr:uid="{287F9334-3941-4B9D-BC63-3488475BE598}"/>
    <cellStyle name="Comma 52 2 5" xfId="1645" xr:uid="{D9B00777-D58D-4A52-83DA-91BF785C11F6}"/>
    <cellStyle name="Comma 52 2 5 2" xfId="4867" xr:uid="{8C7E81A4-2A8D-4BEA-A5D5-89031FBE4712}"/>
    <cellStyle name="Comma 52 2 6" xfId="2097" xr:uid="{5CF339B5-4297-4F2D-839E-E7C3BA9A198B}"/>
    <cellStyle name="Comma 52 2 6 2" xfId="5312" xr:uid="{AECBB0A2-0B6A-4C74-AB51-8137F8D8A579}"/>
    <cellStyle name="Comma 52 2 7" xfId="2549" xr:uid="{93CD5309-2A95-4A5E-B2B8-E91AFA37F40A}"/>
    <cellStyle name="Comma 52 2 7 2" xfId="5757" xr:uid="{32835E2A-38F9-49C9-A5F2-B38BF264A5C0}"/>
    <cellStyle name="Comma 52 2 8" xfId="3001" xr:uid="{9F3FDB5B-A4C0-41D4-B149-6EB4877D6692}"/>
    <cellStyle name="Comma 52 2 8 2" xfId="6202" xr:uid="{B436E187-5CB5-4BBF-9BDA-EE3E0F23A5F9}"/>
    <cellStyle name="Comma 52 2 9" xfId="3531" xr:uid="{892FBABD-2D39-4B4D-8DF8-71B8F56DF557}"/>
    <cellStyle name="Comma 52 3" xfId="512" xr:uid="{BC0C0DFA-E0BA-470B-A70D-6D3673AAF8F1}"/>
    <cellStyle name="Comma 52 3 2" xfId="964" xr:uid="{5C3086B6-3CE1-4885-A352-1C62F78F834C}"/>
    <cellStyle name="Comma 52 3 2 2" xfId="4198" xr:uid="{F299097E-7005-4BFA-9D07-0D1A9BE4E328}"/>
    <cellStyle name="Comma 52 3 3" xfId="1416" xr:uid="{567EAC7F-5D44-4C5D-AA24-79E5D1EC0A2E}"/>
    <cellStyle name="Comma 52 3 3 2" xfId="4643" xr:uid="{364C9DD8-6328-44A6-A572-B3B4059A8CF3}"/>
    <cellStyle name="Comma 52 3 4" xfId="1868" xr:uid="{1AF4AF2E-5E45-4D2C-A0B0-DDF8066CFF86}"/>
    <cellStyle name="Comma 52 3 4 2" xfId="5088" xr:uid="{8304CFC0-C7B4-465D-AF0D-91A40BE3BC3A}"/>
    <cellStyle name="Comma 52 3 5" xfId="2320" xr:uid="{D77FE4C6-240F-4B98-90CA-76C03BABFCFF}"/>
    <cellStyle name="Comma 52 3 5 2" xfId="5533" xr:uid="{6402AC7E-1097-45CA-93B7-ACEBEB856A20}"/>
    <cellStyle name="Comma 52 3 6" xfId="2772" xr:uid="{83EC3BED-AB4B-4107-8DF9-1DD5FBBFCCA5}"/>
    <cellStyle name="Comma 52 3 6 2" xfId="5978" xr:uid="{85AA68AC-0C74-41D7-A1A6-5CB1B6B49089}"/>
    <cellStyle name="Comma 52 3 7" xfId="3224" xr:uid="{0781201A-89E0-4AD9-865D-3E5B41C7924E}"/>
    <cellStyle name="Comma 52 3 7 2" xfId="6423" xr:uid="{DED0E6FE-2915-48D1-A289-7BCEFEE5E260}"/>
    <cellStyle name="Comma 52 3 8" xfId="3753" xr:uid="{718A5C8E-BB6A-4E08-95DD-B1BD2AC9E0B6}"/>
    <cellStyle name="Comma 52 4" xfId="740" xr:uid="{4AEBD528-CDF9-4086-BC8D-0947F04BFCDB}"/>
    <cellStyle name="Comma 52 4 2" xfId="3976" xr:uid="{96A39338-4A43-4371-A1E0-33BDABF0CC83}"/>
    <cellStyle name="Comma 52 5" xfId="1192" xr:uid="{F122841A-F3B7-42CF-AECC-C235F766458F}"/>
    <cellStyle name="Comma 52 5 2" xfId="4421" xr:uid="{08FC0889-6CAB-44AF-AC0D-1AB22C3DAA50}"/>
    <cellStyle name="Comma 52 6" xfId="1644" xr:uid="{D41315AC-83AB-4CB6-A9B6-BAF3EA37DA59}"/>
    <cellStyle name="Comma 52 6 2" xfId="4866" xr:uid="{72C662A1-B4F0-4819-8DE6-FB73B87EA469}"/>
    <cellStyle name="Comma 52 7" xfId="2096" xr:uid="{5B990768-245E-43FE-8709-B88BAB126CF5}"/>
    <cellStyle name="Comma 52 7 2" xfId="5311" xr:uid="{91B6C26D-CD52-43D8-B02B-F6C7BED39B8D}"/>
    <cellStyle name="Comma 52 8" xfId="2548" xr:uid="{33529121-0DA3-45DB-81CD-A59F8D47C3F9}"/>
    <cellStyle name="Comma 52 8 2" xfId="5756" xr:uid="{755D98BA-71C0-4635-850E-8D1D1928E045}"/>
    <cellStyle name="Comma 52 9" xfId="3000" xr:uid="{C5D7832F-FAB2-45B5-AB48-11A4EEA129ED}"/>
    <cellStyle name="Comma 52 9 2" xfId="6201" xr:uid="{676B8CA8-9AAD-47FC-AF11-08D454B09BAC}"/>
    <cellStyle name="Comma 53" xfId="251" xr:uid="{E07630C9-AC38-4B58-A659-34C16A48E7CE}"/>
    <cellStyle name="Comma 53 10" xfId="3532" xr:uid="{390FD879-B813-4574-A789-20CEE6A3A6CE}"/>
    <cellStyle name="Comma 53 2" xfId="252" xr:uid="{35924EDE-FBB9-4ACA-9CC6-51678EA1E9B2}"/>
    <cellStyle name="Comma 53 2 2" xfId="515" xr:uid="{02FEE93A-61B4-4386-9EB9-0DD0C3CCBE49}"/>
    <cellStyle name="Comma 53 2 2 2" xfId="967" xr:uid="{586FB4BE-599A-47B0-A317-70A73C84A9DC}"/>
    <cellStyle name="Comma 53 2 2 2 2" xfId="4201" xr:uid="{D5A9C11C-7663-45CB-982A-7D774E37B555}"/>
    <cellStyle name="Comma 53 2 2 3" xfId="1419" xr:uid="{A00F19DB-8B89-47D5-A8CF-96B54FD4E220}"/>
    <cellStyle name="Comma 53 2 2 3 2" xfId="4646" xr:uid="{A373A688-BAB7-4EEC-B4BD-698FCB34AEE8}"/>
    <cellStyle name="Comma 53 2 2 4" xfId="1871" xr:uid="{DCC841AB-DB26-4E6F-8204-23BCFA79731E}"/>
    <cellStyle name="Comma 53 2 2 4 2" xfId="5091" xr:uid="{E3EC3730-A897-4CBA-828F-5497EE28B3DB}"/>
    <cellStyle name="Comma 53 2 2 5" xfId="2323" xr:uid="{8496A74C-F867-4858-B655-78CFBB683AAA}"/>
    <cellStyle name="Comma 53 2 2 5 2" xfId="5536" xr:uid="{2B349D89-183C-4BF6-97BB-5B5E8E56B151}"/>
    <cellStyle name="Comma 53 2 2 6" xfId="2775" xr:uid="{06E19F81-BD02-4E8E-80CA-000403B2EE7B}"/>
    <cellStyle name="Comma 53 2 2 6 2" xfId="5981" xr:uid="{B3F099C3-22CB-447E-88E4-3860E5408D88}"/>
    <cellStyle name="Comma 53 2 2 7" xfId="3227" xr:uid="{6FE84012-6251-4A9A-AADC-2258D4452405}"/>
    <cellStyle name="Comma 53 2 2 7 2" xfId="6426" xr:uid="{1A3B87EA-77E7-49FA-A2A3-0EBCFD850F2B}"/>
    <cellStyle name="Comma 53 2 2 8" xfId="3756" xr:uid="{8269F95C-B2FD-453C-9709-C7ADF28A072D}"/>
    <cellStyle name="Comma 53 2 3" xfId="743" xr:uid="{7670D857-3E76-43C2-8F61-FE6A3D648906}"/>
    <cellStyle name="Comma 53 2 3 2" xfId="3979" xr:uid="{59E6B013-560C-4BB3-8C09-776EEA00FE9B}"/>
    <cellStyle name="Comma 53 2 4" xfId="1195" xr:uid="{5B745BE3-C4FB-4BB6-B8F5-6165A7F95378}"/>
    <cellStyle name="Comma 53 2 4 2" xfId="4424" xr:uid="{B8BCE83E-E566-4BB4-91B0-A55021EFBF7C}"/>
    <cellStyle name="Comma 53 2 5" xfId="1647" xr:uid="{59E965C4-6132-4B3B-88FC-6A0FA10FBFE5}"/>
    <cellStyle name="Comma 53 2 5 2" xfId="4869" xr:uid="{86FDD10B-000E-4169-9B4D-DF3E06B45CDB}"/>
    <cellStyle name="Comma 53 2 6" xfId="2099" xr:uid="{55C5A410-1FBA-4161-8FE2-08674A603F4A}"/>
    <cellStyle name="Comma 53 2 6 2" xfId="5314" xr:uid="{D7082E76-BB41-4487-81D7-732A13E75FAE}"/>
    <cellStyle name="Comma 53 2 7" xfId="2551" xr:uid="{6969CB4C-D7EF-4936-A62A-0D9E608B0AA3}"/>
    <cellStyle name="Comma 53 2 7 2" xfId="5759" xr:uid="{48587E75-AA84-41A9-884B-3AC7D85EE176}"/>
    <cellStyle name="Comma 53 2 8" xfId="3003" xr:uid="{04D4E069-BDB7-49EA-B2A4-8752C069D230}"/>
    <cellStyle name="Comma 53 2 8 2" xfId="6204" xr:uid="{48265702-0D8A-4EC9-ABC2-EBF2175EECD1}"/>
    <cellStyle name="Comma 53 2 9" xfId="3533" xr:uid="{A5F9BF3A-3026-4ADE-B5C4-C25E8375B8C9}"/>
    <cellStyle name="Comma 53 3" xfId="514" xr:uid="{D778574A-7B50-4D33-A4A6-B856F635005A}"/>
    <cellStyle name="Comma 53 3 2" xfId="966" xr:uid="{E54536D9-D216-468F-87D0-A25056689752}"/>
    <cellStyle name="Comma 53 3 2 2" xfId="4200" xr:uid="{BD22ECC1-05BA-4EB6-B885-AF0853399559}"/>
    <cellStyle name="Comma 53 3 3" xfId="1418" xr:uid="{90620E8C-7037-478D-87F2-73DDC9CF74E6}"/>
    <cellStyle name="Comma 53 3 3 2" xfId="4645" xr:uid="{B4CD1647-622D-40DC-831D-660F04BCE37A}"/>
    <cellStyle name="Comma 53 3 4" xfId="1870" xr:uid="{0474F5A6-0F7A-4E45-A87A-E050EFC606BD}"/>
    <cellStyle name="Comma 53 3 4 2" xfId="5090" xr:uid="{A4D2A561-9B24-48E0-A909-293CF6C3DE51}"/>
    <cellStyle name="Comma 53 3 5" xfId="2322" xr:uid="{B76F5CCE-3310-4A80-AC64-F3C142FBBBCC}"/>
    <cellStyle name="Comma 53 3 5 2" xfId="5535" xr:uid="{4FCBC1BE-7F5D-424F-908A-D9FFC8AAA8E6}"/>
    <cellStyle name="Comma 53 3 6" xfId="2774" xr:uid="{675EAAFF-005B-4F17-A5BB-7D7BBD8B96C6}"/>
    <cellStyle name="Comma 53 3 6 2" xfId="5980" xr:uid="{FE11C541-04FE-4F12-B666-054A37DC57F1}"/>
    <cellStyle name="Comma 53 3 7" xfId="3226" xr:uid="{2DE47C44-0DDE-49FF-A70B-F3B6F4DD5920}"/>
    <cellStyle name="Comma 53 3 7 2" xfId="6425" xr:uid="{79643AB9-492F-4F85-A191-B732D8B6714B}"/>
    <cellStyle name="Comma 53 3 8" xfId="3755" xr:uid="{BBC6607B-549B-47A1-8DC3-103F77BFE9C2}"/>
    <cellStyle name="Comma 53 4" xfId="742" xr:uid="{1AA66469-2714-4020-B77F-0DF494BF74CA}"/>
    <cellStyle name="Comma 53 4 2" xfId="3978" xr:uid="{8E3158DE-E260-4345-B152-AD084595441A}"/>
    <cellStyle name="Comma 53 5" xfId="1194" xr:uid="{B1165929-17E7-4BAE-96B9-376737B7DD1D}"/>
    <cellStyle name="Comma 53 5 2" xfId="4423" xr:uid="{5FECE4A8-316B-4867-B942-1250998B6FBA}"/>
    <cellStyle name="Comma 53 6" xfId="1646" xr:uid="{F364D5F7-B4B2-42FB-97B6-6D3CA8E212E9}"/>
    <cellStyle name="Comma 53 6 2" xfId="4868" xr:uid="{D76144B9-BB2D-4E74-BDB8-904B89EA124D}"/>
    <cellStyle name="Comma 53 7" xfId="2098" xr:uid="{E83A3C1F-EE71-42FC-918B-98FC712DC666}"/>
    <cellStyle name="Comma 53 7 2" xfId="5313" xr:uid="{519BFC96-588F-42EE-A541-E9933459B5CA}"/>
    <cellStyle name="Comma 53 8" xfId="2550" xr:uid="{BD61C17E-C0E6-4E8F-8B63-859FC1D8F7CC}"/>
    <cellStyle name="Comma 53 8 2" xfId="5758" xr:uid="{D4A84FAC-9375-41D5-8F04-96F285F198DE}"/>
    <cellStyle name="Comma 53 9" xfId="3002" xr:uid="{D71E3B7C-AC84-4904-B8BA-C0CB726AE484}"/>
    <cellStyle name="Comma 53 9 2" xfId="6203" xr:uid="{670C3A7B-8E78-48EC-B547-913B24B7C0E0}"/>
    <cellStyle name="Comma 54" xfId="253" xr:uid="{E7FFB4FB-583D-4AB0-B286-4BB736647B3B}"/>
    <cellStyle name="Comma 54 10" xfId="3534" xr:uid="{71515379-F530-49F0-B229-C05E9D5285CD}"/>
    <cellStyle name="Comma 54 2" xfId="254" xr:uid="{DD7FFAE3-CB6A-47C7-9DB8-CE0FF8512BDE}"/>
    <cellStyle name="Comma 54 2 2" xfId="517" xr:uid="{0885F5E5-1D64-45A6-B7A5-9D2CA35BF450}"/>
    <cellStyle name="Comma 54 2 2 2" xfId="969" xr:uid="{25EF30BD-BBA5-479C-BE2A-3E2482544EDB}"/>
    <cellStyle name="Comma 54 2 2 2 2" xfId="4203" xr:uid="{86AA40CA-40BC-4A6D-9BDE-040F5BD33187}"/>
    <cellStyle name="Comma 54 2 2 3" xfId="1421" xr:uid="{A71ADF5B-483F-4A80-AE12-1B4617D37BBB}"/>
    <cellStyle name="Comma 54 2 2 3 2" xfId="4648" xr:uid="{A7E360E4-2DC1-4B08-A21F-AD4DE1651DA1}"/>
    <cellStyle name="Comma 54 2 2 4" xfId="1873" xr:uid="{0CDB0B55-8E25-4A7D-9B92-DB513F213B90}"/>
    <cellStyle name="Comma 54 2 2 4 2" xfId="5093" xr:uid="{8D46B9EF-6E9F-483B-BD19-B083673E093C}"/>
    <cellStyle name="Comma 54 2 2 5" xfId="2325" xr:uid="{59C426BE-7620-470F-A5EB-796A42D2A428}"/>
    <cellStyle name="Comma 54 2 2 5 2" xfId="5538" xr:uid="{0171D88F-6E0D-417E-BD7E-AB2B54653E0B}"/>
    <cellStyle name="Comma 54 2 2 6" xfId="2777" xr:uid="{1C7802B1-753A-4074-9A8A-C63BDC8A88ED}"/>
    <cellStyle name="Comma 54 2 2 6 2" xfId="5983" xr:uid="{6D80C106-3545-48FF-A457-19436BAA81DA}"/>
    <cellStyle name="Comma 54 2 2 7" xfId="3229" xr:uid="{6FA8C962-B6BC-42DF-98D9-138014084171}"/>
    <cellStyle name="Comma 54 2 2 7 2" xfId="6428" xr:uid="{2AADD870-6261-4973-9150-8CC7CC66ACD2}"/>
    <cellStyle name="Comma 54 2 2 8" xfId="3758" xr:uid="{A23B0892-661C-4531-BCF7-6B35F0A717C8}"/>
    <cellStyle name="Comma 54 2 3" xfId="745" xr:uid="{00C609D2-8BEB-445B-8FF2-9D10A37AD573}"/>
    <cellStyle name="Comma 54 2 3 2" xfId="3981" xr:uid="{27FE31E8-AEF3-4A79-8220-71662FFD2CA6}"/>
    <cellStyle name="Comma 54 2 4" xfId="1197" xr:uid="{E4130A51-5A5B-4FD5-93A2-BC5747FB7A4B}"/>
    <cellStyle name="Comma 54 2 4 2" xfId="4426" xr:uid="{8DD2CDDD-3D97-4451-8563-14F1F15FB69F}"/>
    <cellStyle name="Comma 54 2 5" xfId="1649" xr:uid="{0CEB4437-35A9-4AE4-90C8-62CE999A77F3}"/>
    <cellStyle name="Comma 54 2 5 2" xfId="4871" xr:uid="{68A8A9CB-6FA9-438D-B08F-B28C95CE61C7}"/>
    <cellStyle name="Comma 54 2 6" xfId="2101" xr:uid="{A8D11C8C-2B53-4077-B155-9E2474E2DA43}"/>
    <cellStyle name="Comma 54 2 6 2" xfId="5316" xr:uid="{24F52CC2-7A69-4476-B0FE-3143BEB6F350}"/>
    <cellStyle name="Comma 54 2 7" xfId="2553" xr:uid="{B3C394C0-406B-43A1-A59C-338E91E8B355}"/>
    <cellStyle name="Comma 54 2 7 2" xfId="5761" xr:uid="{111EF69C-BB77-4787-A259-38B7ED92611F}"/>
    <cellStyle name="Comma 54 2 8" xfId="3005" xr:uid="{0CA84390-F0A0-4A6E-BCD8-4F3873D7306D}"/>
    <cellStyle name="Comma 54 2 8 2" xfId="6206" xr:uid="{9B4CA92A-8C09-4B55-843F-4CA9C3E75D06}"/>
    <cellStyle name="Comma 54 2 9" xfId="3535" xr:uid="{3A252C2C-83D2-4027-BEC5-78B2D33340A3}"/>
    <cellStyle name="Comma 54 3" xfId="516" xr:uid="{396C7FC5-6E31-4FFD-A515-844DFA0D5E5B}"/>
    <cellStyle name="Comma 54 3 2" xfId="968" xr:uid="{05D79692-67C6-420A-8349-CFE9CB284C9D}"/>
    <cellStyle name="Comma 54 3 2 2" xfId="4202" xr:uid="{DD5EA997-EC0E-401F-A603-A22FCD13D1E7}"/>
    <cellStyle name="Comma 54 3 3" xfId="1420" xr:uid="{E7D91A79-C5E0-4FF6-A5B4-354EF8BA275E}"/>
    <cellStyle name="Comma 54 3 3 2" xfId="4647" xr:uid="{F866969B-0629-4BBE-AB64-66D4041BDD6D}"/>
    <cellStyle name="Comma 54 3 4" xfId="1872" xr:uid="{A3DABD4D-CA1B-4C43-B45B-E23384EABCD7}"/>
    <cellStyle name="Comma 54 3 4 2" xfId="5092" xr:uid="{CB808CF5-7EC6-4475-94B4-201D86EE5477}"/>
    <cellStyle name="Comma 54 3 5" xfId="2324" xr:uid="{ABD0654E-9423-42E3-815C-D394488A0C70}"/>
    <cellStyle name="Comma 54 3 5 2" xfId="5537" xr:uid="{39E5B6EB-1945-478A-895A-6942A4172B5C}"/>
    <cellStyle name="Comma 54 3 6" xfId="2776" xr:uid="{4B49F7DE-70AB-4CE2-9237-CE861329AD29}"/>
    <cellStyle name="Comma 54 3 6 2" xfId="5982" xr:uid="{4521C45B-9A1F-4F51-B0C1-3EC287130516}"/>
    <cellStyle name="Comma 54 3 7" xfId="3228" xr:uid="{54930856-A519-4A16-8657-BF567BAA6BBF}"/>
    <cellStyle name="Comma 54 3 7 2" xfId="6427" xr:uid="{71AEF131-96A6-4DE8-9C2D-311009650CE8}"/>
    <cellStyle name="Comma 54 3 8" xfId="3757" xr:uid="{B85BCB9F-12EC-434A-8936-2A6248397D6A}"/>
    <cellStyle name="Comma 54 4" xfId="744" xr:uid="{DBE8FB7C-E1C4-4CD1-B2E0-362A3E5A25FC}"/>
    <cellStyle name="Comma 54 4 2" xfId="3980" xr:uid="{B3C9D0C1-1F02-498F-ACC8-947C8F2703E8}"/>
    <cellStyle name="Comma 54 5" xfId="1196" xr:uid="{4B9FB4B5-2D92-4572-B734-70D466B77531}"/>
    <cellStyle name="Comma 54 5 2" xfId="4425" xr:uid="{C750CBEC-12BB-4142-AA78-B381DE688FB8}"/>
    <cellStyle name="Comma 54 6" xfId="1648" xr:uid="{288BC73F-7462-44C3-A3E6-93A0A9823EB7}"/>
    <cellStyle name="Comma 54 6 2" xfId="4870" xr:uid="{CBE9AE50-E8C1-4390-B676-1231FBBD14C3}"/>
    <cellStyle name="Comma 54 7" xfId="2100" xr:uid="{E6CAEC89-5F5B-4815-A147-8508C69100C7}"/>
    <cellStyle name="Comma 54 7 2" xfId="5315" xr:uid="{84DCC59F-5C66-423C-8397-AFAD0290FB3F}"/>
    <cellStyle name="Comma 54 8" xfId="2552" xr:uid="{33EA4EBB-9307-48AF-8278-D1CFA8EE23F8}"/>
    <cellStyle name="Comma 54 8 2" xfId="5760" xr:uid="{60CF4050-EC73-4147-BFAA-AF5DE0147098}"/>
    <cellStyle name="Comma 54 9" xfId="3004" xr:uid="{C0C9D86C-BFDD-4700-9FCF-F51753895956}"/>
    <cellStyle name="Comma 54 9 2" xfId="6205" xr:uid="{5C85EB8E-6816-42D7-A4BA-9481C39BD140}"/>
    <cellStyle name="Comma 55" xfId="255" xr:uid="{FCC30EA4-32C5-4BB5-8103-F95F9EA7734F}"/>
    <cellStyle name="Comma 55 10" xfId="3536" xr:uid="{0EC290F3-06B5-4012-B9CA-82DADA20A1F9}"/>
    <cellStyle name="Comma 55 2" xfId="256" xr:uid="{0DEAC1AD-64EF-41BF-8E47-352AEF89BCB3}"/>
    <cellStyle name="Comma 55 2 2" xfId="519" xr:uid="{9E1113E0-7CC0-4C55-8BCF-BBB2AE263609}"/>
    <cellStyle name="Comma 55 2 2 2" xfId="971" xr:uid="{7C52EAF5-0465-4E1C-89EF-0B3AC86080C5}"/>
    <cellStyle name="Comma 55 2 2 2 2" xfId="4205" xr:uid="{28C30944-3CFA-4714-94DA-9E69440BA740}"/>
    <cellStyle name="Comma 55 2 2 3" xfId="1423" xr:uid="{4E68E32E-8AFF-426B-8895-CF6209BE3350}"/>
    <cellStyle name="Comma 55 2 2 3 2" xfId="4650" xr:uid="{D02CABE4-79AA-4A09-BC8D-0F2DCFFFCA54}"/>
    <cellStyle name="Comma 55 2 2 4" xfId="1875" xr:uid="{DD94F6B7-88A6-4DCB-85C0-BEC34C37CA9D}"/>
    <cellStyle name="Comma 55 2 2 4 2" xfId="5095" xr:uid="{29B30EE5-73A8-4F6C-9F5D-E5D2963AC4CD}"/>
    <cellStyle name="Comma 55 2 2 5" xfId="2327" xr:uid="{441E9BC9-F9BC-4E25-ADD2-3DD8E8779EA9}"/>
    <cellStyle name="Comma 55 2 2 5 2" xfId="5540" xr:uid="{E3A15B4D-32C4-47B6-994E-354933D7A315}"/>
    <cellStyle name="Comma 55 2 2 6" xfId="2779" xr:uid="{44B5C069-7FEE-4940-AE73-2D4ADB62FC0E}"/>
    <cellStyle name="Comma 55 2 2 6 2" xfId="5985" xr:uid="{9ABD6C8A-4B77-41B6-A55F-336D56E2A273}"/>
    <cellStyle name="Comma 55 2 2 7" xfId="3231" xr:uid="{A4C5BD9D-6E32-4369-A573-23BEFCDA8F0B}"/>
    <cellStyle name="Comma 55 2 2 7 2" xfId="6430" xr:uid="{8DEA4A00-8759-478A-A0AB-75B4AFAB7FBB}"/>
    <cellStyle name="Comma 55 2 2 8" xfId="3760" xr:uid="{D7E583EC-D413-42FE-895C-ED5DB626C755}"/>
    <cellStyle name="Comma 55 2 3" xfId="747" xr:uid="{BDF004CD-EF9E-4552-95BC-77141A409D7E}"/>
    <cellStyle name="Comma 55 2 3 2" xfId="3983" xr:uid="{D1040425-F593-42E0-8CB1-F7155391ADBA}"/>
    <cellStyle name="Comma 55 2 4" xfId="1199" xr:uid="{3C6A2AF5-CC4C-4E81-BE6F-ABCF93750D05}"/>
    <cellStyle name="Comma 55 2 4 2" xfId="4428" xr:uid="{EE3965A4-9733-42E1-A02F-FC4EF10C4131}"/>
    <cellStyle name="Comma 55 2 5" xfId="1651" xr:uid="{361A70AD-4F83-49B4-9D6E-7778CD25FC3F}"/>
    <cellStyle name="Comma 55 2 5 2" xfId="4873" xr:uid="{85485E18-D567-4C12-A11F-FFBC84AFE30C}"/>
    <cellStyle name="Comma 55 2 6" xfId="2103" xr:uid="{1217636E-E2BB-4FE4-8269-7CA5FDAE026C}"/>
    <cellStyle name="Comma 55 2 6 2" xfId="5318" xr:uid="{D23A55CC-76F7-4584-9AC1-A37C663127FE}"/>
    <cellStyle name="Comma 55 2 7" xfId="2555" xr:uid="{F68D13AA-8DD3-4E49-8087-BFDF9CA215F1}"/>
    <cellStyle name="Comma 55 2 7 2" xfId="5763" xr:uid="{D992F6AB-4CE1-4040-946D-CC1EEC5AD2D7}"/>
    <cellStyle name="Comma 55 2 8" xfId="3007" xr:uid="{6BB47B92-201C-4CB8-8429-1019B6A59B33}"/>
    <cellStyle name="Comma 55 2 8 2" xfId="6208" xr:uid="{8914926C-F874-4481-A05A-2C4856D9730C}"/>
    <cellStyle name="Comma 55 2 9" xfId="3537" xr:uid="{A1412232-7DD4-41C8-BAD6-2C98045E5BDC}"/>
    <cellStyle name="Comma 55 3" xfId="518" xr:uid="{EDCFE0FF-A41C-4944-930B-B9E82CFDB51F}"/>
    <cellStyle name="Comma 55 3 2" xfId="970" xr:uid="{3A86A23D-8655-48B5-8FD9-EFBED55AF748}"/>
    <cellStyle name="Comma 55 3 2 2" xfId="4204" xr:uid="{146C8472-8430-4747-A1A1-055B9C556829}"/>
    <cellStyle name="Comma 55 3 3" xfId="1422" xr:uid="{963035F8-D2FC-41B1-B88C-CBF5CA95D5CA}"/>
    <cellStyle name="Comma 55 3 3 2" xfId="4649" xr:uid="{382988F7-1231-4365-81B4-2E898E9A84DB}"/>
    <cellStyle name="Comma 55 3 4" xfId="1874" xr:uid="{926518A5-6335-4D26-A43D-8E266546D2FE}"/>
    <cellStyle name="Comma 55 3 4 2" xfId="5094" xr:uid="{CD624900-B612-4A6F-8169-AA2CAE11EF53}"/>
    <cellStyle name="Comma 55 3 5" xfId="2326" xr:uid="{8BE85679-A1A4-4563-B347-695A73AD03EA}"/>
    <cellStyle name="Comma 55 3 5 2" xfId="5539" xr:uid="{EE8FB5B4-B261-4E1E-A2A2-52D97DB3CDCD}"/>
    <cellStyle name="Comma 55 3 6" xfId="2778" xr:uid="{787B89A6-CDAB-48B0-ABB0-1818178D6937}"/>
    <cellStyle name="Comma 55 3 6 2" xfId="5984" xr:uid="{2257EB4A-D692-4AC7-AE50-C47BC06C2D65}"/>
    <cellStyle name="Comma 55 3 7" xfId="3230" xr:uid="{2F486E91-E18E-4002-BC2F-FDFDDC4EB3F3}"/>
    <cellStyle name="Comma 55 3 7 2" xfId="6429" xr:uid="{174E5238-C10C-40DA-9322-F34F348D850A}"/>
    <cellStyle name="Comma 55 3 8" xfId="3759" xr:uid="{8977A93A-8E32-4239-AB26-A317A74B210C}"/>
    <cellStyle name="Comma 55 4" xfId="746" xr:uid="{886B0DF6-36F3-4794-BBF8-4CD299972D7E}"/>
    <cellStyle name="Comma 55 4 2" xfId="3982" xr:uid="{093A103B-4886-4480-93F7-8DC26730A239}"/>
    <cellStyle name="Comma 55 5" xfId="1198" xr:uid="{688D5F0B-72B1-4A9D-95FA-35F9AA4D8272}"/>
    <cellStyle name="Comma 55 5 2" xfId="4427" xr:uid="{778D1728-F7FC-4DFA-AD2D-561B9C5BAC9C}"/>
    <cellStyle name="Comma 55 6" xfId="1650" xr:uid="{E3410E1D-11EE-4ABB-8AC0-F1C92F7EB171}"/>
    <cellStyle name="Comma 55 6 2" xfId="4872" xr:uid="{75742C70-A58E-4F28-8A53-3E140E4C9559}"/>
    <cellStyle name="Comma 55 7" xfId="2102" xr:uid="{28A965BB-6E80-4BFA-BC71-29DF737F85EF}"/>
    <cellStyle name="Comma 55 7 2" xfId="5317" xr:uid="{D5AEA5AE-A147-45BC-B806-E86B03258451}"/>
    <cellStyle name="Comma 55 8" xfId="2554" xr:uid="{256C2EBF-AC6E-4E7D-94BB-30C269A8E106}"/>
    <cellStyle name="Comma 55 8 2" xfId="5762" xr:uid="{F751724C-0718-447F-BADA-414CB5FAE808}"/>
    <cellStyle name="Comma 55 9" xfId="3006" xr:uid="{6D874196-0836-438B-B2DC-A329F3665405}"/>
    <cellStyle name="Comma 55 9 2" xfId="6207" xr:uid="{3CD43337-749D-4ECB-871A-669A1557E333}"/>
    <cellStyle name="Comma 56" xfId="257" xr:uid="{2ADB8902-6AA8-4A59-9CEA-6BDDDD72A264}"/>
    <cellStyle name="Comma 56 10" xfId="3538" xr:uid="{2215A96B-3341-4A46-BE1C-103FDFFBAE6D}"/>
    <cellStyle name="Comma 56 2" xfId="258" xr:uid="{9A696C30-E6A8-4859-8E0D-48C36B798431}"/>
    <cellStyle name="Comma 56 2 2" xfId="521" xr:uid="{3208D98C-0269-46E1-8134-84ED52693034}"/>
    <cellStyle name="Comma 56 2 2 2" xfId="973" xr:uid="{317D39FD-B98A-440E-B492-4519AA189237}"/>
    <cellStyle name="Comma 56 2 2 2 2" xfId="4207" xr:uid="{45816842-0355-495E-8C3B-35CD7FA8CCCC}"/>
    <cellStyle name="Comma 56 2 2 3" xfId="1425" xr:uid="{D938939B-3817-4AF2-A038-EFB5B7C814C6}"/>
    <cellStyle name="Comma 56 2 2 3 2" xfId="4652" xr:uid="{9A6AE046-81FE-4173-8E2E-5ACDBD357976}"/>
    <cellStyle name="Comma 56 2 2 4" xfId="1877" xr:uid="{A108FA4C-C1A1-4F80-8F37-14BE0F90AF14}"/>
    <cellStyle name="Comma 56 2 2 4 2" xfId="5097" xr:uid="{B9063543-9841-40FC-9DE8-03955CC9AE56}"/>
    <cellStyle name="Comma 56 2 2 5" xfId="2329" xr:uid="{865AAED3-9661-456E-B822-D2DE62DB7267}"/>
    <cellStyle name="Comma 56 2 2 5 2" xfId="5542" xr:uid="{F7DB2D4E-8CE8-459D-8F8C-112B20501867}"/>
    <cellStyle name="Comma 56 2 2 6" xfId="2781" xr:uid="{DA0D702A-A65E-40AB-A136-6FF1B5D6D7CB}"/>
    <cellStyle name="Comma 56 2 2 6 2" xfId="5987" xr:uid="{B574518C-841B-462F-9770-DFDFD734CED1}"/>
    <cellStyle name="Comma 56 2 2 7" xfId="3233" xr:uid="{E8D0F405-8880-4384-834B-E6AAC97BA90B}"/>
    <cellStyle name="Comma 56 2 2 7 2" xfId="6432" xr:uid="{F7D7A3A7-2E30-4727-B803-D17A60F5227F}"/>
    <cellStyle name="Comma 56 2 2 8" xfId="3762" xr:uid="{AA022DA4-3871-4917-A325-FDC3D682D31C}"/>
    <cellStyle name="Comma 56 2 3" xfId="749" xr:uid="{66DC729B-2545-4D35-B411-C2F9D2A1C12B}"/>
    <cellStyle name="Comma 56 2 3 2" xfId="3985" xr:uid="{8A6BE204-1E97-4AF9-9C6C-D2BB5D795530}"/>
    <cellStyle name="Comma 56 2 4" xfId="1201" xr:uid="{E7847D8D-E1E9-4A7E-A28B-4A0C4D95A819}"/>
    <cellStyle name="Comma 56 2 4 2" xfId="4430" xr:uid="{34311E6A-CD44-49D0-AFE0-29C69C7DE164}"/>
    <cellStyle name="Comma 56 2 5" xfId="1653" xr:uid="{4A627ACF-E550-48A0-A0B6-A087200547DF}"/>
    <cellStyle name="Comma 56 2 5 2" xfId="4875" xr:uid="{1C765577-E710-4685-A4E1-3410C2BC2C23}"/>
    <cellStyle name="Comma 56 2 6" xfId="2105" xr:uid="{A104AE42-FA26-48CD-9896-AD3B19734966}"/>
    <cellStyle name="Comma 56 2 6 2" xfId="5320" xr:uid="{248B23FF-90B1-47AC-882F-FE5B0596B687}"/>
    <cellStyle name="Comma 56 2 7" xfId="2557" xr:uid="{CA9D9CF0-E6B9-4C6C-9A9D-0A2FCC4CBDBA}"/>
    <cellStyle name="Comma 56 2 7 2" xfId="5765" xr:uid="{B609C6EA-3AC4-4562-BFB4-1874924B9973}"/>
    <cellStyle name="Comma 56 2 8" xfId="3009" xr:uid="{E868E5AF-8CB8-4E68-915D-B018CD6D2755}"/>
    <cellStyle name="Comma 56 2 8 2" xfId="6210" xr:uid="{9314E31E-1645-4830-9F54-79D8092FFD94}"/>
    <cellStyle name="Comma 56 2 9" xfId="3539" xr:uid="{B38D6FFB-D098-4419-922E-3E91E54FAA3B}"/>
    <cellStyle name="Comma 56 3" xfId="520" xr:uid="{0A3744D3-3081-4762-99BF-75AAE9D8CF3B}"/>
    <cellStyle name="Comma 56 3 2" xfId="972" xr:uid="{6FFEBF9B-04DE-4897-94DB-2DB20A1E4DFB}"/>
    <cellStyle name="Comma 56 3 2 2" xfId="4206" xr:uid="{E1114252-9B2F-4DF8-A686-FD14C89F054F}"/>
    <cellStyle name="Comma 56 3 3" xfId="1424" xr:uid="{15EE6DC6-143A-45F2-9439-6C6AD66B8189}"/>
    <cellStyle name="Comma 56 3 3 2" xfId="4651" xr:uid="{FF325905-0C79-4D79-A35C-0AC59CB7EAE7}"/>
    <cellStyle name="Comma 56 3 4" xfId="1876" xr:uid="{2308D1BF-0672-4FF7-BF87-207947F43D9B}"/>
    <cellStyle name="Comma 56 3 4 2" xfId="5096" xr:uid="{2DA518EE-4381-4EED-872F-1C9D5E438611}"/>
    <cellStyle name="Comma 56 3 5" xfId="2328" xr:uid="{484052D9-678C-4BAD-9416-1EC1A5D78C69}"/>
    <cellStyle name="Comma 56 3 5 2" xfId="5541" xr:uid="{C47ADF81-9C13-41AC-84EE-370CFD6EF9A6}"/>
    <cellStyle name="Comma 56 3 6" xfId="2780" xr:uid="{08B1B7CF-1A6E-4F3E-8334-6AD937516544}"/>
    <cellStyle name="Comma 56 3 6 2" xfId="5986" xr:uid="{D6C532E5-C63F-45E2-9C3C-18C47028D318}"/>
    <cellStyle name="Comma 56 3 7" xfId="3232" xr:uid="{C1793FBB-8853-4CA0-B16D-2E763192E01B}"/>
    <cellStyle name="Comma 56 3 7 2" xfId="6431" xr:uid="{518088A8-43D1-4D47-89E4-1B1CF9CEA773}"/>
    <cellStyle name="Comma 56 3 8" xfId="3761" xr:uid="{6229E4EF-B8F8-42EA-9C04-936380136E39}"/>
    <cellStyle name="Comma 56 4" xfId="748" xr:uid="{DE1C1E99-1CCE-4D90-9DF2-6691F9D33C10}"/>
    <cellStyle name="Comma 56 4 2" xfId="3984" xr:uid="{7697F60C-4047-42DC-BBEB-F902DC078591}"/>
    <cellStyle name="Comma 56 5" xfId="1200" xr:uid="{6CB10B68-0BC9-408E-BB70-ED89419B06E5}"/>
    <cellStyle name="Comma 56 5 2" xfId="4429" xr:uid="{8A5AB461-ED04-4B76-81F8-0259306EE23D}"/>
    <cellStyle name="Comma 56 6" xfId="1652" xr:uid="{578AAA08-382D-4884-9B9D-189288CA219D}"/>
    <cellStyle name="Comma 56 6 2" xfId="4874" xr:uid="{35466C32-51D9-4D9B-944B-E7F7A9EB7A63}"/>
    <cellStyle name="Comma 56 7" xfId="2104" xr:uid="{D2CF07C6-FD9E-49F5-994D-A5C1C3204473}"/>
    <cellStyle name="Comma 56 7 2" xfId="5319" xr:uid="{FA205D93-F621-4C5B-A3F4-2F362206E333}"/>
    <cellStyle name="Comma 56 8" xfId="2556" xr:uid="{FCBE53AE-04F2-4A99-A246-8977E8656016}"/>
    <cellStyle name="Comma 56 8 2" xfId="5764" xr:uid="{386CB0A6-9742-4F09-BCAE-01B93242C05E}"/>
    <cellStyle name="Comma 56 9" xfId="3008" xr:uid="{A3948CEA-2DFF-4BD8-B697-6D07525E9B8D}"/>
    <cellStyle name="Comma 56 9 2" xfId="6209" xr:uid="{60129366-D41F-41E7-BDC9-060180920F5E}"/>
    <cellStyle name="Comma 57" xfId="259" xr:uid="{DBC1074D-1BBA-40B0-A869-3638E026D026}"/>
    <cellStyle name="Comma 57 10" xfId="3540" xr:uid="{1F0EE2D5-FB92-4E9E-B679-F687896F4A0C}"/>
    <cellStyle name="Comma 57 2" xfId="260" xr:uid="{7DF4C3FD-5D5B-4645-B2E8-4D2DA68B72FA}"/>
    <cellStyle name="Comma 57 2 2" xfId="523" xr:uid="{680AE906-3918-4BA4-8B95-9EB80BE6654C}"/>
    <cellStyle name="Comma 57 2 2 2" xfId="975" xr:uid="{862D98BC-7FA1-4ACE-8402-D66606E5F5DB}"/>
    <cellStyle name="Comma 57 2 2 2 2" xfId="4209" xr:uid="{A718DC14-374A-445E-8E65-19799721ECEC}"/>
    <cellStyle name="Comma 57 2 2 3" xfId="1427" xr:uid="{2BEA8D88-ED7F-47B0-8C9E-4A8C7B5085E3}"/>
    <cellStyle name="Comma 57 2 2 3 2" xfId="4654" xr:uid="{710B678F-A946-4CA2-A1ED-90F579A0FBBF}"/>
    <cellStyle name="Comma 57 2 2 4" xfId="1879" xr:uid="{A649E152-46E7-4C1B-8DB3-68341AA12DFC}"/>
    <cellStyle name="Comma 57 2 2 4 2" xfId="5099" xr:uid="{6C559DA9-ABE5-4D56-9D90-E720A1665520}"/>
    <cellStyle name="Comma 57 2 2 5" xfId="2331" xr:uid="{13AB5F54-CBC5-4E7A-9A0A-C333E7BAAF19}"/>
    <cellStyle name="Comma 57 2 2 5 2" xfId="5544" xr:uid="{223F7D58-30C7-43DC-B7A3-DEE993B98696}"/>
    <cellStyle name="Comma 57 2 2 6" xfId="2783" xr:uid="{6E454921-55FC-4421-B25F-0DCC109E72AD}"/>
    <cellStyle name="Comma 57 2 2 6 2" xfId="5989" xr:uid="{D6638D0C-EB4D-49E0-86E6-719A95F493E4}"/>
    <cellStyle name="Comma 57 2 2 7" xfId="3235" xr:uid="{D997BC4F-512A-4F18-80B2-F095D73C5C71}"/>
    <cellStyle name="Comma 57 2 2 7 2" xfId="6434" xr:uid="{FF0E011F-CA56-4E04-829D-EC6DEF11F167}"/>
    <cellStyle name="Comma 57 2 2 8" xfId="3764" xr:uid="{D88BD149-B9E0-4A7C-A4A8-07C441337213}"/>
    <cellStyle name="Comma 57 2 3" xfId="751" xr:uid="{AE3D1C0B-6976-4333-A6F1-1B8F47AB6C76}"/>
    <cellStyle name="Comma 57 2 3 2" xfId="3987" xr:uid="{516816D8-23C6-4502-B99E-AD96F742480B}"/>
    <cellStyle name="Comma 57 2 4" xfId="1203" xr:uid="{1238E6EA-2DB2-488E-84BC-40772CD9638F}"/>
    <cellStyle name="Comma 57 2 4 2" xfId="4432" xr:uid="{4A42B255-DB08-4709-8F7C-956082570795}"/>
    <cellStyle name="Comma 57 2 5" xfId="1655" xr:uid="{EB4DADFC-D4C7-4248-B693-A9156CBB6614}"/>
    <cellStyle name="Comma 57 2 5 2" xfId="4877" xr:uid="{22CED78D-DF52-4121-AA06-01209159A2B1}"/>
    <cellStyle name="Comma 57 2 6" xfId="2107" xr:uid="{1DAC0A88-A3D9-4182-85EA-FAF5922B349A}"/>
    <cellStyle name="Comma 57 2 6 2" xfId="5322" xr:uid="{4319ADF1-B0A8-4AE6-B51D-E0BA55D849F9}"/>
    <cellStyle name="Comma 57 2 7" xfId="2559" xr:uid="{C16E6892-2C28-4E0E-B023-C6B8A89E1335}"/>
    <cellStyle name="Comma 57 2 7 2" xfId="5767" xr:uid="{0A33127B-51AB-421A-9A40-2A6EED75F155}"/>
    <cellStyle name="Comma 57 2 8" xfId="3011" xr:uid="{EE2F4AF5-51BC-444C-A161-0852970161D9}"/>
    <cellStyle name="Comma 57 2 8 2" xfId="6212" xr:uid="{3850494D-591D-4F42-8031-49E933A73CCE}"/>
    <cellStyle name="Comma 57 2 9" xfId="3541" xr:uid="{35C868E8-4A5A-4E59-9E99-1E0E7C78B001}"/>
    <cellStyle name="Comma 57 3" xfId="522" xr:uid="{E503D6F3-16C5-4764-81E5-756AE31BAF3A}"/>
    <cellStyle name="Comma 57 3 2" xfId="974" xr:uid="{ACAD39E6-E812-463B-8F4E-1D79C92E27CD}"/>
    <cellStyle name="Comma 57 3 2 2" xfId="4208" xr:uid="{0DD77845-60E7-4C91-9E53-D9780CDF5437}"/>
    <cellStyle name="Comma 57 3 3" xfId="1426" xr:uid="{1E4E6D39-E459-40E9-A7B3-A1D204000EA2}"/>
    <cellStyle name="Comma 57 3 3 2" xfId="4653" xr:uid="{09A41314-DD39-4205-9955-0A17F7ECFC8A}"/>
    <cellStyle name="Comma 57 3 4" xfId="1878" xr:uid="{80FBC135-9EC0-4144-8986-EBAB6093FCF0}"/>
    <cellStyle name="Comma 57 3 4 2" xfId="5098" xr:uid="{68D5ECAC-34B6-44BE-89BE-381F86747240}"/>
    <cellStyle name="Comma 57 3 5" xfId="2330" xr:uid="{616F0F8D-8942-4558-BF94-2B57246588F0}"/>
    <cellStyle name="Comma 57 3 5 2" xfId="5543" xr:uid="{912CC6BB-5457-48D5-9702-071090570D02}"/>
    <cellStyle name="Comma 57 3 6" xfId="2782" xr:uid="{FF220DDB-533C-49E1-9C17-7AD10FC0E3DA}"/>
    <cellStyle name="Comma 57 3 6 2" xfId="5988" xr:uid="{A4298799-2317-4BD2-8EDB-F550A9FC13C1}"/>
    <cellStyle name="Comma 57 3 7" xfId="3234" xr:uid="{32CC09FB-12B7-4008-B822-8E58FC9875CB}"/>
    <cellStyle name="Comma 57 3 7 2" xfId="6433" xr:uid="{E3D54CA6-5B2D-4B19-A56C-957CD24FA5A6}"/>
    <cellStyle name="Comma 57 3 8" xfId="3763" xr:uid="{14F5AA49-DFC3-468D-A910-36FC4003C50D}"/>
    <cellStyle name="Comma 57 4" xfId="750" xr:uid="{5E372C60-5DC5-4861-8E16-7BD1443A13D5}"/>
    <cellStyle name="Comma 57 4 2" xfId="3986" xr:uid="{6B9034A0-14C9-430E-B910-B15969E9527D}"/>
    <cellStyle name="Comma 57 5" xfId="1202" xr:uid="{DB3EE578-51B4-4567-A7AA-F9BF21A2A3F3}"/>
    <cellStyle name="Comma 57 5 2" xfId="4431" xr:uid="{F72D8A9D-3E01-4070-B4FA-F235252FAFE4}"/>
    <cellStyle name="Comma 57 6" xfId="1654" xr:uid="{4EF8D790-6885-4574-B403-029CCD40B640}"/>
    <cellStyle name="Comma 57 6 2" xfId="4876" xr:uid="{F67B2993-532A-4B48-B49C-74018C81826D}"/>
    <cellStyle name="Comma 57 7" xfId="2106" xr:uid="{14008283-1D87-4066-BFED-8A1675720503}"/>
    <cellStyle name="Comma 57 7 2" xfId="5321" xr:uid="{552B6261-9DDF-4E0E-8ADB-2AA99B77036F}"/>
    <cellStyle name="Comma 57 8" xfId="2558" xr:uid="{6496DE9C-53B4-4F4C-932C-6CB9E7FC02C6}"/>
    <cellStyle name="Comma 57 8 2" xfId="5766" xr:uid="{F0107656-5D3D-4063-A785-FC7317D21177}"/>
    <cellStyle name="Comma 57 9" xfId="3010" xr:uid="{CEF0A092-D6E4-42C0-A99B-989D47F66645}"/>
    <cellStyle name="Comma 57 9 2" xfId="6211" xr:uid="{BC07A96E-FA30-4724-8672-BB26B01A8B35}"/>
    <cellStyle name="Comma 58" xfId="261" xr:uid="{43529DB4-6319-4C87-84A5-6F9FC7A933C9}"/>
    <cellStyle name="Comma 58 10" xfId="3542" xr:uid="{6C126A6A-3200-413E-AF2E-A77573CAB85D}"/>
    <cellStyle name="Comma 58 2" xfId="262" xr:uid="{32185E92-EF07-4E55-A3CF-833DF5592DA8}"/>
    <cellStyle name="Comma 58 2 2" xfId="525" xr:uid="{16DC8A15-CF8B-46F5-8196-297B3C2F0161}"/>
    <cellStyle name="Comma 58 2 2 2" xfId="977" xr:uid="{D19A8658-D898-4EAB-9DBE-ACF6501F5884}"/>
    <cellStyle name="Comma 58 2 2 2 2" xfId="4211" xr:uid="{0D5D0298-2AAE-42C0-A585-6DCE8C44507D}"/>
    <cellStyle name="Comma 58 2 2 3" xfId="1429" xr:uid="{B91CE330-664A-456D-B102-F43D97E80325}"/>
    <cellStyle name="Comma 58 2 2 3 2" xfId="4656" xr:uid="{5372BE36-8ED2-440B-864C-8AA34469B73F}"/>
    <cellStyle name="Comma 58 2 2 4" xfId="1881" xr:uid="{8D1606EE-BD53-4998-8B47-27A50648775A}"/>
    <cellStyle name="Comma 58 2 2 4 2" xfId="5101" xr:uid="{FC11291A-7D96-49A4-9586-7E35E26927F8}"/>
    <cellStyle name="Comma 58 2 2 5" xfId="2333" xr:uid="{BD97CFA5-AD63-444B-A1E2-E57621AAD322}"/>
    <cellStyle name="Comma 58 2 2 5 2" xfId="5546" xr:uid="{E6956775-5A4C-46DE-A348-B0C167E0FE3F}"/>
    <cellStyle name="Comma 58 2 2 6" xfId="2785" xr:uid="{A85E1511-D410-4BE7-B6EB-0CFC182CB5DE}"/>
    <cellStyle name="Comma 58 2 2 6 2" xfId="5991" xr:uid="{F1D835CA-1440-490E-B1FC-47D2E53F2D3A}"/>
    <cellStyle name="Comma 58 2 2 7" xfId="3237" xr:uid="{25C372BA-44FC-4035-A297-665F7E521D59}"/>
    <cellStyle name="Comma 58 2 2 7 2" xfId="6436" xr:uid="{F95B4764-8C98-45F7-A941-E3E54904F7CF}"/>
    <cellStyle name="Comma 58 2 2 8" xfId="3766" xr:uid="{BFD92D2F-7867-459A-A560-B95E12875E54}"/>
    <cellStyle name="Comma 58 2 3" xfId="753" xr:uid="{ACD08BDA-F468-4537-80CD-A1BB5A8CD9C6}"/>
    <cellStyle name="Comma 58 2 3 2" xfId="3989" xr:uid="{DED26DDA-AD01-442A-BB0A-644415B945D2}"/>
    <cellStyle name="Comma 58 2 4" xfId="1205" xr:uid="{C1ABA783-A6B7-4218-BBE7-6810BA5B98C9}"/>
    <cellStyle name="Comma 58 2 4 2" xfId="4434" xr:uid="{01DB0A68-A80F-41C4-9CA8-83C1F20516AA}"/>
    <cellStyle name="Comma 58 2 5" xfId="1657" xr:uid="{93C4768A-7DE3-4526-8EE8-86B60DF046AC}"/>
    <cellStyle name="Comma 58 2 5 2" xfId="4879" xr:uid="{32E7641E-E7A9-4CB3-9D95-DFA64C987D89}"/>
    <cellStyle name="Comma 58 2 6" xfId="2109" xr:uid="{B488E167-6E30-408D-977D-CD9899564025}"/>
    <cellStyle name="Comma 58 2 6 2" xfId="5324" xr:uid="{9770BAAE-0779-4225-8E33-20E94785639A}"/>
    <cellStyle name="Comma 58 2 7" xfId="2561" xr:uid="{6F085A3E-40A0-45CF-9C6F-E94549229CCC}"/>
    <cellStyle name="Comma 58 2 7 2" xfId="5769" xr:uid="{B001BDC1-5AA3-46F3-8248-AF5D538C0362}"/>
    <cellStyle name="Comma 58 2 8" xfId="3013" xr:uid="{BC6CDD11-41E6-4A7C-8AF9-838ED59337B1}"/>
    <cellStyle name="Comma 58 2 8 2" xfId="6214" xr:uid="{4557C413-CDB0-42BF-BF20-AC32789026F4}"/>
    <cellStyle name="Comma 58 2 9" xfId="3543" xr:uid="{91221BD2-FB18-4510-803A-9FE4D8770B0D}"/>
    <cellStyle name="Comma 58 3" xfId="524" xr:uid="{AA081DC3-6156-4CD8-AEA0-84A91F14CF81}"/>
    <cellStyle name="Comma 58 3 2" xfId="976" xr:uid="{721FDBF9-33C7-46BA-AA91-CDCF0D394AFF}"/>
    <cellStyle name="Comma 58 3 2 2" xfId="4210" xr:uid="{000BE584-E7DD-449D-B13D-DAB2D4A057CA}"/>
    <cellStyle name="Comma 58 3 3" xfId="1428" xr:uid="{18855FD4-45B5-49C7-AA4E-438FB92D06F2}"/>
    <cellStyle name="Comma 58 3 3 2" xfId="4655" xr:uid="{F4DFB8C8-79CD-4690-BF00-BB3DE52DA4AF}"/>
    <cellStyle name="Comma 58 3 4" xfId="1880" xr:uid="{CFC45AEE-A78D-43A5-9296-C3A00967BD30}"/>
    <cellStyle name="Comma 58 3 4 2" xfId="5100" xr:uid="{6504B562-C887-4162-BFC8-F99D36B62CC7}"/>
    <cellStyle name="Comma 58 3 5" xfId="2332" xr:uid="{41EAD141-097E-42B2-845E-85EDD8189664}"/>
    <cellStyle name="Comma 58 3 5 2" xfId="5545" xr:uid="{E550AB75-1340-4969-BDF5-F229F7706D27}"/>
    <cellStyle name="Comma 58 3 6" xfId="2784" xr:uid="{0780FEFF-F140-45A7-9883-35AB940819BF}"/>
    <cellStyle name="Comma 58 3 6 2" xfId="5990" xr:uid="{48F3FCCC-8977-4A48-9155-BDCC9C3D8E2F}"/>
    <cellStyle name="Comma 58 3 7" xfId="3236" xr:uid="{6A4AED77-F5E4-42AA-931B-F80ABD495ACA}"/>
    <cellStyle name="Comma 58 3 7 2" xfId="6435" xr:uid="{8D15EACD-8076-495A-B613-790EA500986C}"/>
    <cellStyle name="Comma 58 3 8" xfId="3765" xr:uid="{5677DAD7-7958-4B30-9615-EB2E505DCB0F}"/>
    <cellStyle name="Comma 58 4" xfId="752" xr:uid="{2AC29F98-3EE7-4156-B2FD-866C579A6966}"/>
    <cellStyle name="Comma 58 4 2" xfId="3988" xr:uid="{916DF34C-1FDD-448D-B082-8DC76D25CBFB}"/>
    <cellStyle name="Comma 58 5" xfId="1204" xr:uid="{ABE195FC-A89D-4A7C-8832-56739BBE3808}"/>
    <cellStyle name="Comma 58 5 2" xfId="4433" xr:uid="{E2E0EFE1-CF59-4503-B146-CAA5B1B8B6F8}"/>
    <cellStyle name="Comma 58 6" xfId="1656" xr:uid="{8FA0211F-6C08-4E9A-9150-21DA057C795C}"/>
    <cellStyle name="Comma 58 6 2" xfId="4878" xr:uid="{E4F42268-CB46-4487-8557-4F9D14964DE6}"/>
    <cellStyle name="Comma 58 7" xfId="2108" xr:uid="{D723AFA7-AD53-4710-BFCA-A8D6757A7661}"/>
    <cellStyle name="Comma 58 7 2" xfId="5323" xr:uid="{018BD241-34DD-4564-A6DC-B16B51C6A8F0}"/>
    <cellStyle name="Comma 58 8" xfId="2560" xr:uid="{E45F5611-5C4A-4E52-84CC-3D1FB2E997C8}"/>
    <cellStyle name="Comma 58 8 2" xfId="5768" xr:uid="{6E93AFDE-FBA9-4290-9926-7EBA9E829B30}"/>
    <cellStyle name="Comma 58 9" xfId="3012" xr:uid="{D49F368D-76C7-45DB-9029-37398A0F40FC}"/>
    <cellStyle name="Comma 58 9 2" xfId="6213" xr:uid="{7A142D5F-1EC0-4778-8464-0CC4A42048DE}"/>
    <cellStyle name="Comma 59" xfId="263" xr:uid="{34BADBE3-7DDD-469F-BD10-10A264B77766}"/>
    <cellStyle name="Comma 59 10" xfId="3544" xr:uid="{E1E802C8-6FBD-45D7-A069-00B42E60B260}"/>
    <cellStyle name="Comma 59 2" xfId="264" xr:uid="{EEAEB955-4F4C-460C-8A09-CCCC9F1A8AB5}"/>
    <cellStyle name="Comma 59 2 2" xfId="527" xr:uid="{3AF2EAC8-F768-48A7-834F-06F31B92D8B2}"/>
    <cellStyle name="Comma 59 2 2 2" xfId="979" xr:uid="{A919BD61-5692-47F9-BA94-065522923BDB}"/>
    <cellStyle name="Comma 59 2 2 2 2" xfId="4213" xr:uid="{066114F5-5829-4AA1-A9AB-6DB77D4E08B6}"/>
    <cellStyle name="Comma 59 2 2 3" xfId="1431" xr:uid="{50CECAAE-2EC5-4A58-B7CB-5AE4D9366DFB}"/>
    <cellStyle name="Comma 59 2 2 3 2" xfId="4658" xr:uid="{73630F17-6EBC-4207-A684-712892A37724}"/>
    <cellStyle name="Comma 59 2 2 4" xfId="1883" xr:uid="{35A9C895-938D-43AF-9BF8-D0C9A8023945}"/>
    <cellStyle name="Comma 59 2 2 4 2" xfId="5103" xr:uid="{DCFCEA12-8D79-40E9-BF94-6DF535299F7B}"/>
    <cellStyle name="Comma 59 2 2 5" xfId="2335" xr:uid="{456495C8-127F-4E58-9A03-F00D649F44DD}"/>
    <cellStyle name="Comma 59 2 2 5 2" xfId="5548" xr:uid="{D7CA4500-3FC9-4F1C-8D33-86B1A510D523}"/>
    <cellStyle name="Comma 59 2 2 6" xfId="2787" xr:uid="{E0EBB0EE-93FC-4E94-AD37-4EF7BE978E6E}"/>
    <cellStyle name="Comma 59 2 2 6 2" xfId="5993" xr:uid="{C9785918-7FD9-48BC-A5AF-CEBF716004B6}"/>
    <cellStyle name="Comma 59 2 2 7" xfId="3239" xr:uid="{7DA9793A-241B-4E22-829C-71D326B7CDCA}"/>
    <cellStyle name="Comma 59 2 2 7 2" xfId="6438" xr:uid="{4801C472-81E2-4E22-BE39-9317F3DD4931}"/>
    <cellStyle name="Comma 59 2 2 8" xfId="3768" xr:uid="{D4D8776E-5FE9-404D-A7B7-CE8709236AC1}"/>
    <cellStyle name="Comma 59 2 3" xfId="755" xr:uid="{4F8B6808-7A91-41E2-AA88-20B82906E4C3}"/>
    <cellStyle name="Comma 59 2 3 2" xfId="3991" xr:uid="{9CA913CB-320F-414A-8535-697BBDF7466A}"/>
    <cellStyle name="Comma 59 2 4" xfId="1207" xr:uid="{01086654-8400-449E-8E4F-0790713877CB}"/>
    <cellStyle name="Comma 59 2 4 2" xfId="4436" xr:uid="{F86DE2A1-1D36-4A98-8A03-5752A4EE0BA5}"/>
    <cellStyle name="Comma 59 2 5" xfId="1659" xr:uid="{A5E7A0CA-FB85-47B7-9AA4-3B85B74AB868}"/>
    <cellStyle name="Comma 59 2 5 2" xfId="4881" xr:uid="{7A3FE7D3-3081-47A3-AF3A-2D897B3700F6}"/>
    <cellStyle name="Comma 59 2 6" xfId="2111" xr:uid="{25EDB052-8193-4F70-94D5-2BEA9E9E0003}"/>
    <cellStyle name="Comma 59 2 6 2" xfId="5326" xr:uid="{2D5A8E9C-9B61-40DE-A8C3-F8F40B10306C}"/>
    <cellStyle name="Comma 59 2 7" xfId="2563" xr:uid="{8DD03535-3B5C-4C44-A7AE-516E85FFF792}"/>
    <cellStyle name="Comma 59 2 7 2" xfId="5771" xr:uid="{B13BCB9D-F089-40DB-B49C-C1819132D88F}"/>
    <cellStyle name="Comma 59 2 8" xfId="3015" xr:uid="{0BC1A59F-AEE4-42D9-8C37-EC4BAC7E58AE}"/>
    <cellStyle name="Comma 59 2 8 2" xfId="6216" xr:uid="{D901A16A-0C09-45F6-9271-17F3851E1C61}"/>
    <cellStyle name="Comma 59 2 9" xfId="3545" xr:uid="{D498AC21-3588-4097-BA2B-0171D1F6C262}"/>
    <cellStyle name="Comma 59 3" xfId="526" xr:uid="{F7D26D8B-DD18-4065-BB8A-2206D90B82A9}"/>
    <cellStyle name="Comma 59 3 2" xfId="978" xr:uid="{FDAF92AB-4883-4B0C-A899-08C4435AF5BF}"/>
    <cellStyle name="Comma 59 3 2 2" xfId="4212" xr:uid="{424175B4-8AEB-4EBA-81CA-7780978E9522}"/>
    <cellStyle name="Comma 59 3 3" xfId="1430" xr:uid="{B2F62644-D381-47D2-821A-391BFB8D1B47}"/>
    <cellStyle name="Comma 59 3 3 2" xfId="4657" xr:uid="{00EAE090-6627-4E0F-834C-EF5BC925C7E0}"/>
    <cellStyle name="Comma 59 3 4" xfId="1882" xr:uid="{C6E5DD34-C2C1-492F-B817-ABC608926377}"/>
    <cellStyle name="Comma 59 3 4 2" xfId="5102" xr:uid="{6E38071A-5D97-46AD-9B62-850D9BAFE0A7}"/>
    <cellStyle name="Comma 59 3 5" xfId="2334" xr:uid="{0BDD668F-333F-4E76-9257-040346884CEB}"/>
    <cellStyle name="Comma 59 3 5 2" xfId="5547" xr:uid="{35AD45A6-AF62-43AF-8E6D-32BFB0716EA1}"/>
    <cellStyle name="Comma 59 3 6" xfId="2786" xr:uid="{260218A6-3FC6-4BBF-8AE7-D04596AFA3FE}"/>
    <cellStyle name="Comma 59 3 6 2" xfId="5992" xr:uid="{7FAF08E9-324C-4B8C-9FCE-CC5E9FCE7672}"/>
    <cellStyle name="Comma 59 3 7" xfId="3238" xr:uid="{EDF7DF05-22DF-447B-B196-8A3CC12133F7}"/>
    <cellStyle name="Comma 59 3 7 2" xfId="6437" xr:uid="{F708617D-18D6-4F25-8019-3CB8CA71FA51}"/>
    <cellStyle name="Comma 59 3 8" xfId="3767" xr:uid="{0E855217-2B59-4F81-B35E-7AC213259A3B}"/>
    <cellStyle name="Comma 59 4" xfId="754" xr:uid="{16E28908-0850-4593-B138-C057A4EA2F88}"/>
    <cellStyle name="Comma 59 4 2" xfId="3990" xr:uid="{7ECAAA44-E0D4-45AE-BF35-570FEF4E4C01}"/>
    <cellStyle name="Comma 59 5" xfId="1206" xr:uid="{847BFF67-9FCD-44E4-9EA9-DDDC64698F7B}"/>
    <cellStyle name="Comma 59 5 2" xfId="4435" xr:uid="{55870949-50DF-44A9-A4B4-E6C0E8EBEA94}"/>
    <cellStyle name="Comma 59 6" xfId="1658" xr:uid="{BD1D80A4-8684-4856-AAA9-EF94A2F0110D}"/>
    <cellStyle name="Comma 59 6 2" xfId="4880" xr:uid="{A2FE8F3D-6FBA-4C16-A936-05A03AE94E84}"/>
    <cellStyle name="Comma 59 7" xfId="2110" xr:uid="{A6210F61-6F91-4EA0-A659-10C8BBF25300}"/>
    <cellStyle name="Comma 59 7 2" xfId="5325" xr:uid="{14994C39-85F6-451A-AB66-77C6F49744BB}"/>
    <cellStyle name="Comma 59 8" xfId="2562" xr:uid="{6C5A65A1-84D6-4F46-A8FB-7C6F7D96B5D6}"/>
    <cellStyle name="Comma 59 8 2" xfId="5770" xr:uid="{20F93F3D-D40B-42FE-A84F-9B5315C82741}"/>
    <cellStyle name="Comma 59 9" xfId="3014" xr:uid="{B5FE1E10-CCEA-4ACE-A035-E59417B66FF1}"/>
    <cellStyle name="Comma 59 9 2" xfId="6215" xr:uid="{0B5BD3DA-AFAB-4EE9-8A06-E56AF238D9B5}"/>
    <cellStyle name="Comma 6" xfId="265" xr:uid="{EB53B527-8A0D-444E-A6D2-AFEA13413234}"/>
    <cellStyle name="Comma 6 10" xfId="3546" xr:uid="{918D9B38-A14C-4C0C-887D-01E014F7FF89}"/>
    <cellStyle name="Comma 6 2" xfId="266" xr:uid="{335361EC-47D0-4632-B1B9-2673B82A87AF}"/>
    <cellStyle name="Comma 6 2 2" xfId="529" xr:uid="{81F9E948-8143-41F3-87A2-10A9E3A519E3}"/>
    <cellStyle name="Comma 6 2 2 2" xfId="981" xr:uid="{384656D4-2FFA-47D0-92DF-1F0A6C6CA736}"/>
    <cellStyle name="Comma 6 2 2 2 2" xfId="4215" xr:uid="{8E42B0F2-31A7-4C23-AA41-3C0A2F3BEE88}"/>
    <cellStyle name="Comma 6 2 2 3" xfId="1433" xr:uid="{64E899EB-6378-46E8-A913-D81BA3A1AB8D}"/>
    <cellStyle name="Comma 6 2 2 3 2" xfId="4660" xr:uid="{00DB3027-6C42-4502-817B-5D35343FC370}"/>
    <cellStyle name="Comma 6 2 2 4" xfId="1885" xr:uid="{A266ACBF-53AA-45BA-89B5-86CEB538EE83}"/>
    <cellStyle name="Comma 6 2 2 4 2" xfId="5105" xr:uid="{8ECB1A57-12A1-4A94-AA07-CC1841AF6AAD}"/>
    <cellStyle name="Comma 6 2 2 5" xfId="2337" xr:uid="{776FD2E3-4702-401D-9CA3-FB05E28DA1D8}"/>
    <cellStyle name="Comma 6 2 2 5 2" xfId="5550" xr:uid="{1DD77358-EED4-4675-919A-BE172F503D73}"/>
    <cellStyle name="Comma 6 2 2 6" xfId="2789" xr:uid="{339FBA29-8CC6-47F9-AD1D-BB85347CA725}"/>
    <cellStyle name="Comma 6 2 2 6 2" xfId="5995" xr:uid="{785E0CC4-2154-42E5-9A46-6255D773B999}"/>
    <cellStyle name="Comma 6 2 2 7" xfId="3241" xr:uid="{53B6BF3F-98FB-408B-B9D8-6F9EBA6B86BB}"/>
    <cellStyle name="Comma 6 2 2 7 2" xfId="6440" xr:uid="{C86A6A79-A67A-40FB-B9C8-E3E57D11B5C3}"/>
    <cellStyle name="Comma 6 2 2 8" xfId="3770" xr:uid="{AB7F30A2-0822-4E41-8272-C1CE013EB959}"/>
    <cellStyle name="Comma 6 2 3" xfId="757" xr:uid="{4CA17510-9059-4A04-BB14-626356D2A4BC}"/>
    <cellStyle name="Comma 6 2 3 2" xfId="3993" xr:uid="{F3C845FF-8D2F-4F75-A962-D7C0EC021F6F}"/>
    <cellStyle name="Comma 6 2 4" xfId="1209" xr:uid="{7745D32E-F3C6-46DE-806F-4D04F6F911A9}"/>
    <cellStyle name="Comma 6 2 4 2" xfId="4438" xr:uid="{C5E3978C-E530-48FE-BF49-B2BD8C49783A}"/>
    <cellStyle name="Comma 6 2 5" xfId="1661" xr:uid="{3AFCCE7B-78D6-4554-8A82-B8E97178FB04}"/>
    <cellStyle name="Comma 6 2 5 2" xfId="4883" xr:uid="{09A3BE73-571F-4E30-A664-3C4D34704678}"/>
    <cellStyle name="Comma 6 2 6" xfId="2113" xr:uid="{DC853786-78C8-4585-9A2D-84153BB6172C}"/>
    <cellStyle name="Comma 6 2 6 2" xfId="5328" xr:uid="{FC35A6AD-C046-4756-ADB0-7AA957C36EA5}"/>
    <cellStyle name="Comma 6 2 7" xfId="2565" xr:uid="{914F35F6-F8A5-4ED1-9CC0-7EB590547C2B}"/>
    <cellStyle name="Comma 6 2 7 2" xfId="5773" xr:uid="{6CDF64AA-4876-4B5C-959A-28F2D3D1C208}"/>
    <cellStyle name="Comma 6 2 8" xfId="3017" xr:uid="{1BCE0993-FC71-4CC3-A0A6-723B3E8C941F}"/>
    <cellStyle name="Comma 6 2 8 2" xfId="6218" xr:uid="{5459CF32-D898-48F1-BDB5-1ECB3943D97E}"/>
    <cellStyle name="Comma 6 2 9" xfId="3547" xr:uid="{0BBC7CA8-41AF-40E5-8A40-B5EA6E76D46A}"/>
    <cellStyle name="Comma 6 3" xfId="528" xr:uid="{75E30FB6-9CBD-45DC-B188-007F6B074252}"/>
    <cellStyle name="Comma 6 3 2" xfId="980" xr:uid="{3639D1B5-87AA-4BA8-BC59-4026EE734643}"/>
    <cellStyle name="Comma 6 3 2 2" xfId="4214" xr:uid="{35A81B89-CF66-4953-A221-81038BDDD63F}"/>
    <cellStyle name="Comma 6 3 3" xfId="1432" xr:uid="{81826153-BAAD-4FF4-AB9F-15B8AEF421C3}"/>
    <cellStyle name="Comma 6 3 3 2" xfId="4659" xr:uid="{4538E520-203C-4281-908C-73873EFA1C8B}"/>
    <cellStyle name="Comma 6 3 4" xfId="1884" xr:uid="{5B8C4C07-FC7A-407B-9262-3D5583E73CE5}"/>
    <cellStyle name="Comma 6 3 4 2" xfId="5104" xr:uid="{FFE1FFF5-AB17-49EB-80EA-1410BD2B1D39}"/>
    <cellStyle name="Comma 6 3 5" xfId="2336" xr:uid="{9A753444-3A3A-4A59-A091-2DEC3A928303}"/>
    <cellStyle name="Comma 6 3 5 2" xfId="5549" xr:uid="{BDC5B94C-C064-47B7-8442-11B9522E0F96}"/>
    <cellStyle name="Comma 6 3 6" xfId="2788" xr:uid="{21FE6C9C-EE7A-44F0-A06A-BD8819424E64}"/>
    <cellStyle name="Comma 6 3 6 2" xfId="5994" xr:uid="{632C8785-10F8-49F1-A574-DB978F8431F4}"/>
    <cellStyle name="Comma 6 3 7" xfId="3240" xr:uid="{B049831F-C58E-41D3-8654-307A0C94A384}"/>
    <cellStyle name="Comma 6 3 7 2" xfId="6439" xr:uid="{8217CF34-F07B-491A-8C47-47270C94BEE1}"/>
    <cellStyle name="Comma 6 3 8" xfId="3769" xr:uid="{35BBBC30-31C6-4A39-8092-05109C6CF639}"/>
    <cellStyle name="Comma 6 4" xfId="756" xr:uid="{C78FB9CD-E45A-4C06-B3C0-A18F8F92B58A}"/>
    <cellStyle name="Comma 6 4 2" xfId="3992" xr:uid="{CF108CD9-06AB-4FBE-8107-A69E9F838B89}"/>
    <cellStyle name="Comma 6 5" xfId="1208" xr:uid="{4A656EFF-5E7E-43E7-A947-CA51DD1D7538}"/>
    <cellStyle name="Comma 6 5 2" xfId="4437" xr:uid="{592D122D-9815-4FC3-9BD7-E08411BFC2C0}"/>
    <cellStyle name="Comma 6 6" xfId="1660" xr:uid="{EB6545BC-31F0-4C59-87E5-6A207D8A891A}"/>
    <cellStyle name="Comma 6 6 2" xfId="4882" xr:uid="{D7B47C83-2792-45FE-9EE4-17B56C95AD81}"/>
    <cellStyle name="Comma 6 7" xfId="2112" xr:uid="{7A3C71A5-0B50-42E6-893A-6D19F7D1E4AF}"/>
    <cellStyle name="Comma 6 7 2" xfId="5327" xr:uid="{D89CA1B0-0C4B-4D09-9385-BD8C5D439ACC}"/>
    <cellStyle name="Comma 6 8" xfId="2564" xr:uid="{65E14AD0-5641-4A36-96FA-482DA55DD1B9}"/>
    <cellStyle name="Comma 6 8 2" xfId="5772" xr:uid="{0FE481A0-4BC9-4154-93A3-89C9B3510725}"/>
    <cellStyle name="Comma 6 9" xfId="3016" xr:uid="{DCB6350E-EDF5-4CA5-9C13-4BB3555D4310}"/>
    <cellStyle name="Comma 6 9 2" xfId="6217" xr:uid="{DFA639C7-4E36-44B1-8487-DD5AA6C68DF4}"/>
    <cellStyle name="Comma 60" xfId="267" xr:uid="{7539422B-EF13-4863-865A-1638C969757B}"/>
    <cellStyle name="Comma 60 10" xfId="3548" xr:uid="{B3A89650-7FE5-4CCC-81F4-366B66A012B1}"/>
    <cellStyle name="Comma 60 2" xfId="268" xr:uid="{5213BF11-0FFE-409A-A1FC-A48EA5CD08BD}"/>
    <cellStyle name="Comma 60 2 2" xfId="531" xr:uid="{8F314DB7-D9D9-4BFF-AE94-0731E108FD58}"/>
    <cellStyle name="Comma 60 2 2 2" xfId="983" xr:uid="{C11DCB4D-B94E-43FC-B199-1289CBB0158D}"/>
    <cellStyle name="Comma 60 2 2 2 2" xfId="4217" xr:uid="{AC85A2CE-88DE-4DBE-B7EF-D90057010866}"/>
    <cellStyle name="Comma 60 2 2 3" xfId="1435" xr:uid="{FEACC2EA-FDF8-4723-8E47-6D8D646C1A5F}"/>
    <cellStyle name="Comma 60 2 2 3 2" xfId="4662" xr:uid="{9DF9E099-745B-4FF3-BF12-42B95765B70E}"/>
    <cellStyle name="Comma 60 2 2 4" xfId="1887" xr:uid="{F8CC37CC-16A0-4591-AC68-C7561DDCD370}"/>
    <cellStyle name="Comma 60 2 2 4 2" xfId="5107" xr:uid="{79274A47-F316-4A37-9E74-5074738A9117}"/>
    <cellStyle name="Comma 60 2 2 5" xfId="2339" xr:uid="{DC5956DC-B836-4959-A547-71E4F73A7E6B}"/>
    <cellStyle name="Comma 60 2 2 5 2" xfId="5552" xr:uid="{EB34BA1F-CC54-4CF1-9675-8DAD1C5579F2}"/>
    <cellStyle name="Comma 60 2 2 6" xfId="2791" xr:uid="{8E8335D4-4E65-4E8A-A0AD-BA2B1132387E}"/>
    <cellStyle name="Comma 60 2 2 6 2" xfId="5997" xr:uid="{369A2624-2360-4091-B682-EB76A201B7C8}"/>
    <cellStyle name="Comma 60 2 2 7" xfId="3243" xr:uid="{E76AFDFF-54C5-472E-8C91-4D38AB3DAC86}"/>
    <cellStyle name="Comma 60 2 2 7 2" xfId="6442" xr:uid="{27A3DC9D-D9A2-49C4-977B-A1D0D5FC9688}"/>
    <cellStyle name="Comma 60 2 2 8" xfId="3772" xr:uid="{B7BDEC77-C24C-4768-82BD-F88FCEBA42B7}"/>
    <cellStyle name="Comma 60 2 3" xfId="759" xr:uid="{4D03D91B-4CF1-4FB2-81D6-566F14890FC5}"/>
    <cellStyle name="Comma 60 2 3 2" xfId="3995" xr:uid="{02174BB8-1869-4F1F-89A4-2289D0C0CCB7}"/>
    <cellStyle name="Comma 60 2 4" xfId="1211" xr:uid="{7717AE32-40A8-4638-A6F2-9024B02B8C82}"/>
    <cellStyle name="Comma 60 2 4 2" xfId="4440" xr:uid="{0CA3D7A9-4E3F-45ED-A599-20025FEA48BE}"/>
    <cellStyle name="Comma 60 2 5" xfId="1663" xr:uid="{4B179A7E-A548-49D7-89F0-178C8ABE9102}"/>
    <cellStyle name="Comma 60 2 5 2" xfId="4885" xr:uid="{640A8FF0-A700-454E-88FF-BB10D2C53650}"/>
    <cellStyle name="Comma 60 2 6" xfId="2115" xr:uid="{EED92EDF-29BD-48B5-9E82-3FCF94059DF3}"/>
    <cellStyle name="Comma 60 2 6 2" xfId="5330" xr:uid="{F9ABB0A9-1451-4E02-A7B4-D2C87716C224}"/>
    <cellStyle name="Comma 60 2 7" xfId="2567" xr:uid="{D8A5DE25-6DEC-45F0-8C9E-551A258D9A51}"/>
    <cellStyle name="Comma 60 2 7 2" xfId="5775" xr:uid="{F8F122B7-8455-4C21-A652-9691F1E84A3F}"/>
    <cellStyle name="Comma 60 2 8" xfId="3019" xr:uid="{19506CF0-0618-4EA3-8CC8-CC8A67C8913F}"/>
    <cellStyle name="Comma 60 2 8 2" xfId="6220" xr:uid="{0733F5A7-3419-4563-9521-F38AA594B4D3}"/>
    <cellStyle name="Comma 60 2 9" xfId="3549" xr:uid="{2FFA9EE3-AEBD-4A12-A000-DA67CE012353}"/>
    <cellStyle name="Comma 60 3" xfId="530" xr:uid="{9024AE6A-43BE-4AB6-996E-CEB36884651A}"/>
    <cellStyle name="Comma 60 3 2" xfId="982" xr:uid="{19FC3745-8ECB-4227-8A43-82274DEC9662}"/>
    <cellStyle name="Comma 60 3 2 2" xfId="4216" xr:uid="{F12AF61B-4059-4001-BA85-311FB64D313B}"/>
    <cellStyle name="Comma 60 3 3" xfId="1434" xr:uid="{32267FBC-0863-49D1-A3B1-42BD9EF99FC0}"/>
    <cellStyle name="Comma 60 3 3 2" xfId="4661" xr:uid="{120D90CF-22C2-4A94-BAE8-012D71FE7277}"/>
    <cellStyle name="Comma 60 3 4" xfId="1886" xr:uid="{37BC995B-2D20-46A3-9958-D5787E826FFC}"/>
    <cellStyle name="Comma 60 3 4 2" xfId="5106" xr:uid="{5277AB85-0162-4F99-9074-CC9EE0D5183A}"/>
    <cellStyle name="Comma 60 3 5" xfId="2338" xr:uid="{443E27E6-BB9A-464D-BEFF-A330F80B42C1}"/>
    <cellStyle name="Comma 60 3 5 2" xfId="5551" xr:uid="{85062E9B-3DEC-405C-8176-1EEBFDEE4929}"/>
    <cellStyle name="Comma 60 3 6" xfId="2790" xr:uid="{3F3BB9C4-4439-4D05-91BF-71DD1FDFC22E}"/>
    <cellStyle name="Comma 60 3 6 2" xfId="5996" xr:uid="{601EE355-9B2D-4240-87F8-92F58C30491A}"/>
    <cellStyle name="Comma 60 3 7" xfId="3242" xr:uid="{DA8856D4-69A3-43D0-8F00-FC96D845617D}"/>
    <cellStyle name="Comma 60 3 7 2" xfId="6441" xr:uid="{E770A9AE-DEB2-479F-A2C1-BF80DEA424B2}"/>
    <cellStyle name="Comma 60 3 8" xfId="3771" xr:uid="{719F84F3-8820-4A08-942E-966034A3C400}"/>
    <cellStyle name="Comma 60 4" xfId="758" xr:uid="{CFDEC819-45F9-4F3F-B92C-3FB6D498A62B}"/>
    <cellStyle name="Comma 60 4 2" xfId="3994" xr:uid="{1A3BD8EC-82F8-4FC0-AC0B-4EA39C1EF25D}"/>
    <cellStyle name="Comma 60 5" xfId="1210" xr:uid="{1B290186-221E-446A-9E21-A097E892956C}"/>
    <cellStyle name="Comma 60 5 2" xfId="4439" xr:uid="{2EC43B6C-4ED3-4E70-BA08-FFC195F72F41}"/>
    <cellStyle name="Comma 60 6" xfId="1662" xr:uid="{7E99BC42-BB00-4DCE-9F67-121D6A70452E}"/>
    <cellStyle name="Comma 60 6 2" xfId="4884" xr:uid="{3D0CF114-719B-4CFC-8D27-7D819554AE4A}"/>
    <cellStyle name="Comma 60 7" xfId="2114" xr:uid="{F30594DD-CB83-4BE1-8328-A27DB003CCA3}"/>
    <cellStyle name="Comma 60 7 2" xfId="5329" xr:uid="{287C920D-9389-41AF-BBC1-EA46012E4721}"/>
    <cellStyle name="Comma 60 8" xfId="2566" xr:uid="{FCF09BBB-7945-44FB-BCBF-29E45B3C1FF7}"/>
    <cellStyle name="Comma 60 8 2" xfId="5774" xr:uid="{11984199-56DE-4380-8F04-C1AB6D897C11}"/>
    <cellStyle name="Comma 60 9" xfId="3018" xr:uid="{0604487E-1E81-453F-B7C5-37B5162F8F20}"/>
    <cellStyle name="Comma 60 9 2" xfId="6219" xr:uid="{C9FD1422-AFFB-4C44-A32B-68CEFB0DE3D1}"/>
    <cellStyle name="Comma 61" xfId="269" xr:uid="{8AA13687-992F-4EF1-BAD8-28D6D92E3BFE}"/>
    <cellStyle name="Comma 61 10" xfId="3550" xr:uid="{65384292-CE94-43D6-8A1F-D1BC36F00C70}"/>
    <cellStyle name="Comma 61 2" xfId="270" xr:uid="{D80D5C28-DBF7-4819-BB49-47E405E2A2CC}"/>
    <cellStyle name="Comma 61 2 2" xfId="533" xr:uid="{633AA3E1-C0B9-49DB-98B0-71FBED1286DB}"/>
    <cellStyle name="Comma 61 2 2 2" xfId="985" xr:uid="{D7AF7AFC-6F3B-4420-9D3B-E4135A6FF2B3}"/>
    <cellStyle name="Comma 61 2 2 2 2" xfId="4219" xr:uid="{D8D1CE02-5B1A-4780-A128-BFE042301029}"/>
    <cellStyle name="Comma 61 2 2 3" xfId="1437" xr:uid="{8DD70F98-2111-4BB4-956F-542EC6EAD39B}"/>
    <cellStyle name="Comma 61 2 2 3 2" xfId="4664" xr:uid="{C050B2C7-F023-47BD-B4EF-EA29C4C378B7}"/>
    <cellStyle name="Comma 61 2 2 4" xfId="1889" xr:uid="{55C9CF62-7CCB-48AF-9BED-6017D500C11C}"/>
    <cellStyle name="Comma 61 2 2 4 2" xfId="5109" xr:uid="{21687445-E2F9-4DC3-840C-8AFF469E68FC}"/>
    <cellStyle name="Comma 61 2 2 5" xfId="2341" xr:uid="{CE257873-4AF2-4A6F-959E-CC070B2B2B8C}"/>
    <cellStyle name="Comma 61 2 2 5 2" xfId="5554" xr:uid="{80CD7FF0-C18B-4811-9EE4-859D24627441}"/>
    <cellStyle name="Comma 61 2 2 6" xfId="2793" xr:uid="{681FB6E1-18A4-43FA-A326-F53BDCEA2DC6}"/>
    <cellStyle name="Comma 61 2 2 6 2" xfId="5999" xr:uid="{25D5F6A2-6E99-45DE-998F-5153EF068156}"/>
    <cellStyle name="Comma 61 2 2 7" xfId="3245" xr:uid="{6E88435B-00F6-4D47-B2BD-3E55D83DF0CC}"/>
    <cellStyle name="Comma 61 2 2 7 2" xfId="6444" xr:uid="{07B2FD9F-9081-46B2-9D7E-DB969DA4CF87}"/>
    <cellStyle name="Comma 61 2 2 8" xfId="3774" xr:uid="{E4571989-5F85-498E-B2B4-63491EC9F3DB}"/>
    <cellStyle name="Comma 61 2 3" xfId="761" xr:uid="{FDAF7A95-235C-4780-9F83-B4872EC950AB}"/>
    <cellStyle name="Comma 61 2 3 2" xfId="3997" xr:uid="{AAF8241D-A8AF-4178-9435-9AC6D7BCD79A}"/>
    <cellStyle name="Comma 61 2 4" xfId="1213" xr:uid="{EEC678F4-F9C6-4A31-879F-0B5C0EC7686A}"/>
    <cellStyle name="Comma 61 2 4 2" xfId="4442" xr:uid="{18DC2F12-8CBB-45C5-B7D3-A9DDFC1C6751}"/>
    <cellStyle name="Comma 61 2 5" xfId="1665" xr:uid="{3825719D-59A2-4154-AE41-F7458871E37A}"/>
    <cellStyle name="Comma 61 2 5 2" xfId="4887" xr:uid="{DBB82C79-3425-466D-8F8F-755CD6719785}"/>
    <cellStyle name="Comma 61 2 6" xfId="2117" xr:uid="{CA29630B-0A07-41E2-AE01-0874EA6CF6F9}"/>
    <cellStyle name="Comma 61 2 6 2" xfId="5332" xr:uid="{4017A777-9994-4F55-95FD-B91F053718FA}"/>
    <cellStyle name="Comma 61 2 7" xfId="2569" xr:uid="{E0253CBE-BC76-4CB6-A8B4-70C50B24BEA4}"/>
    <cellStyle name="Comma 61 2 7 2" xfId="5777" xr:uid="{1868954C-3274-4FC3-B720-6DB403213701}"/>
    <cellStyle name="Comma 61 2 8" xfId="3021" xr:uid="{6BB02CC6-EEBA-43A3-B342-A0B31F2BBEA4}"/>
    <cellStyle name="Comma 61 2 8 2" xfId="6222" xr:uid="{4509239C-DD5D-4175-AC39-1F075DE279BD}"/>
    <cellStyle name="Comma 61 2 9" xfId="3551" xr:uid="{EE99514E-6A6E-4C7A-8CA8-DCC575F595D2}"/>
    <cellStyle name="Comma 61 3" xfId="532" xr:uid="{73F77864-A7AB-4384-9003-C325B1384304}"/>
    <cellStyle name="Comma 61 3 2" xfId="984" xr:uid="{11038EE4-8A07-43DC-94E3-A3946A198819}"/>
    <cellStyle name="Comma 61 3 2 2" xfId="4218" xr:uid="{2F58F8F2-EDBB-4DE8-9F83-DE210A1C65F1}"/>
    <cellStyle name="Comma 61 3 3" xfId="1436" xr:uid="{FD1E63AF-07AE-4A73-A058-8F90C3E1D4C5}"/>
    <cellStyle name="Comma 61 3 3 2" xfId="4663" xr:uid="{EB2FEB0C-49BA-42DD-945C-C113AA363139}"/>
    <cellStyle name="Comma 61 3 4" xfId="1888" xr:uid="{352B85C2-81A9-492B-9D8A-5C05F7784612}"/>
    <cellStyle name="Comma 61 3 4 2" xfId="5108" xr:uid="{C6895447-C9D7-48ED-BD72-D85B170BBF21}"/>
    <cellStyle name="Comma 61 3 5" xfId="2340" xr:uid="{2AADE704-9B6E-4DCD-A2BB-DEA6140912FE}"/>
    <cellStyle name="Comma 61 3 5 2" xfId="5553" xr:uid="{A0DB1A5E-2D6E-4F84-8577-C55E9DA90452}"/>
    <cellStyle name="Comma 61 3 6" xfId="2792" xr:uid="{5B30BBF0-E3C8-4032-894E-1CE3153039D2}"/>
    <cellStyle name="Comma 61 3 6 2" xfId="5998" xr:uid="{9FE618F3-543F-41C4-80C8-9D7FE83116E9}"/>
    <cellStyle name="Comma 61 3 7" xfId="3244" xr:uid="{2FDA4DF1-50EE-4F9E-A192-21B9E1E53FD0}"/>
    <cellStyle name="Comma 61 3 7 2" xfId="6443" xr:uid="{F91424B8-CD8F-47C3-ACCC-CACB735BD495}"/>
    <cellStyle name="Comma 61 3 8" xfId="3773" xr:uid="{8053BCD0-DE26-4490-9059-D269FA49A47A}"/>
    <cellStyle name="Comma 61 4" xfId="760" xr:uid="{5061149A-FA52-44E9-B911-C5EC447B0D19}"/>
    <cellStyle name="Comma 61 4 2" xfId="3996" xr:uid="{308CBCBA-FD59-4C11-8CCC-D7CB49004D26}"/>
    <cellStyle name="Comma 61 5" xfId="1212" xr:uid="{E3068629-64AF-4914-9A89-5AB0867D822F}"/>
    <cellStyle name="Comma 61 5 2" xfId="4441" xr:uid="{DA01F6FD-FBCD-4601-9EE2-A8CE6655834E}"/>
    <cellStyle name="Comma 61 6" xfId="1664" xr:uid="{0ACA402F-B0E2-4192-96F3-85486FA46D4D}"/>
    <cellStyle name="Comma 61 6 2" xfId="4886" xr:uid="{21C92979-5679-4005-AF4B-71F2F579E8E0}"/>
    <cellStyle name="Comma 61 7" xfId="2116" xr:uid="{BA94DCE8-8DFF-4477-8DF2-A810283BF30F}"/>
    <cellStyle name="Comma 61 7 2" xfId="5331" xr:uid="{1AD44D81-E7B1-4233-B962-1B0B5A2FDDDE}"/>
    <cellStyle name="Comma 61 8" xfId="2568" xr:uid="{246A7843-2F60-468D-ACA2-D404C7DC92FF}"/>
    <cellStyle name="Comma 61 8 2" xfId="5776" xr:uid="{680DC0B8-D331-430C-9F58-893FC8942BEB}"/>
    <cellStyle name="Comma 61 9" xfId="3020" xr:uid="{9E30DF09-A93A-4B71-9A39-8A7387CD038B}"/>
    <cellStyle name="Comma 61 9 2" xfId="6221" xr:uid="{EE93BCA5-9820-4121-B6C0-288359F8F799}"/>
    <cellStyle name="Comma 62" xfId="271" xr:uid="{47B95F17-B565-457A-BFE8-0F2CA06DF2D5}"/>
    <cellStyle name="Comma 62 10" xfId="3552" xr:uid="{616D75EB-C668-4520-AB0A-97DCC765E3EB}"/>
    <cellStyle name="Comma 62 2" xfId="272" xr:uid="{1D4AAB38-3FEA-4A43-A1D8-6855EBEDD2C1}"/>
    <cellStyle name="Comma 62 2 2" xfId="535" xr:uid="{B6713AAE-6971-44F9-B4A9-B7918129C350}"/>
    <cellStyle name="Comma 62 2 2 2" xfId="987" xr:uid="{0A4A243C-5280-445F-8C72-67575CFD30C1}"/>
    <cellStyle name="Comma 62 2 2 2 2" xfId="4221" xr:uid="{EAD42E7B-E704-4327-858F-AE695E23F450}"/>
    <cellStyle name="Comma 62 2 2 3" xfId="1439" xr:uid="{91F8A322-FFA8-4F9B-8E71-D3A3C2C52FA6}"/>
    <cellStyle name="Comma 62 2 2 3 2" xfId="4666" xr:uid="{27A7ABF0-68C2-40E3-A0B4-FCF9D67B80FA}"/>
    <cellStyle name="Comma 62 2 2 4" xfId="1891" xr:uid="{50B1FBA5-C4B8-43F8-AD19-01C19C2FE6D6}"/>
    <cellStyle name="Comma 62 2 2 4 2" xfId="5111" xr:uid="{DBA2EE3E-1B75-423F-BAC9-1BC14FC06070}"/>
    <cellStyle name="Comma 62 2 2 5" xfId="2343" xr:uid="{CD15C2AA-A80A-48A4-9080-3E19E9641EBF}"/>
    <cellStyle name="Comma 62 2 2 5 2" xfId="5556" xr:uid="{8E258086-DFF8-4A34-9C56-B45770EFCF1F}"/>
    <cellStyle name="Comma 62 2 2 6" xfId="2795" xr:uid="{5FCF96AB-66A3-4116-A4E0-78939E59C5F6}"/>
    <cellStyle name="Comma 62 2 2 6 2" xfId="6001" xr:uid="{FB5326BD-8FB0-4340-8074-C5B3B441688E}"/>
    <cellStyle name="Comma 62 2 2 7" xfId="3247" xr:uid="{9A46A11B-28D4-4046-B409-FF7D63EF2C32}"/>
    <cellStyle name="Comma 62 2 2 7 2" xfId="6446" xr:uid="{3C907815-B7D2-4605-81B8-D690EDC88765}"/>
    <cellStyle name="Comma 62 2 2 8" xfId="3776" xr:uid="{A374D98D-2C09-425C-BE6A-D078F8347BB2}"/>
    <cellStyle name="Comma 62 2 3" xfId="763" xr:uid="{747C488B-67BD-4B9F-97E6-91FA96A10649}"/>
    <cellStyle name="Comma 62 2 3 2" xfId="3999" xr:uid="{9555DC88-E676-4CFF-AA20-A25924E9D4AA}"/>
    <cellStyle name="Comma 62 2 4" xfId="1215" xr:uid="{DF40D71D-E35E-4312-B255-FD094E7FCB4C}"/>
    <cellStyle name="Comma 62 2 4 2" xfId="4444" xr:uid="{7270076D-369C-4E76-B549-F0A0C983FE11}"/>
    <cellStyle name="Comma 62 2 5" xfId="1667" xr:uid="{E16268E1-3B23-4586-AFBB-A6B8CDA80DD1}"/>
    <cellStyle name="Comma 62 2 5 2" xfId="4889" xr:uid="{899BCE02-A7DF-41E8-904A-82D377205FFE}"/>
    <cellStyle name="Comma 62 2 6" xfId="2119" xr:uid="{7FDF2450-E281-40D6-AD9B-9FF0D92FA713}"/>
    <cellStyle name="Comma 62 2 6 2" xfId="5334" xr:uid="{850E3EB0-1567-4224-B22D-1226DE3479C7}"/>
    <cellStyle name="Comma 62 2 7" xfId="2571" xr:uid="{8755788C-267E-477E-A4F4-E04A62F56C84}"/>
    <cellStyle name="Comma 62 2 7 2" xfId="5779" xr:uid="{8CE157B5-93E3-4444-AF77-5739732B78F5}"/>
    <cellStyle name="Comma 62 2 8" xfId="3023" xr:uid="{9BB7F8C4-4056-43B2-AAD1-DAA572CC1D08}"/>
    <cellStyle name="Comma 62 2 8 2" xfId="6224" xr:uid="{24A356D2-831C-4041-BCE3-8E38EA37C0E6}"/>
    <cellStyle name="Comma 62 2 9" xfId="3553" xr:uid="{60C8B94D-EFED-4F0B-A86B-3415F62F05B9}"/>
    <cellStyle name="Comma 62 3" xfId="534" xr:uid="{79C6875B-EA49-4D07-A2DC-7696F36F06D6}"/>
    <cellStyle name="Comma 62 3 2" xfId="986" xr:uid="{FEC0B485-D6DC-408B-B6D8-C2757D9B9926}"/>
    <cellStyle name="Comma 62 3 2 2" xfId="4220" xr:uid="{0EDC30D9-C116-43CD-9F8C-6EF1CCA4588E}"/>
    <cellStyle name="Comma 62 3 3" xfId="1438" xr:uid="{9FF0F68A-7BD3-4C9B-A59A-9FA72DD0041F}"/>
    <cellStyle name="Comma 62 3 3 2" xfId="4665" xr:uid="{11DAF432-06A9-43C3-9CB2-8E54BAD66A8B}"/>
    <cellStyle name="Comma 62 3 4" xfId="1890" xr:uid="{667E347B-6C73-4F2D-94C6-DC209F283627}"/>
    <cellStyle name="Comma 62 3 4 2" xfId="5110" xr:uid="{8595460B-0AE8-45AB-977F-30A7B88FA53E}"/>
    <cellStyle name="Comma 62 3 5" xfId="2342" xr:uid="{03ED3E5A-03B5-4547-9F74-C33BDCE5DA28}"/>
    <cellStyle name="Comma 62 3 5 2" xfId="5555" xr:uid="{D3ECAF99-DB0F-488F-83FB-00FDAD01D9E9}"/>
    <cellStyle name="Comma 62 3 6" xfId="2794" xr:uid="{2595229A-F2A9-4B04-9A33-7D1EDDDB6F8E}"/>
    <cellStyle name="Comma 62 3 6 2" xfId="6000" xr:uid="{F230F63A-DE62-4703-BCD2-D91EE347736A}"/>
    <cellStyle name="Comma 62 3 7" xfId="3246" xr:uid="{8A3435C4-6A1C-4944-A7B5-CDA9C26D62D5}"/>
    <cellStyle name="Comma 62 3 7 2" xfId="6445" xr:uid="{C8D7C79F-A311-4366-8542-86C25353663F}"/>
    <cellStyle name="Comma 62 3 8" xfId="3775" xr:uid="{A6DEAC6E-0D34-401C-821F-3C4514478980}"/>
    <cellStyle name="Comma 62 4" xfId="762" xr:uid="{4D826184-5124-4909-AA56-0F0EA812B5BA}"/>
    <cellStyle name="Comma 62 4 2" xfId="3998" xr:uid="{BDF07376-8C26-431A-AFC0-C4E553823C4B}"/>
    <cellStyle name="Comma 62 5" xfId="1214" xr:uid="{66783AE8-8460-48E0-99FD-CB4D0389C8D4}"/>
    <cellStyle name="Comma 62 5 2" xfId="4443" xr:uid="{5A504BCA-8531-40DD-83DA-0EE9CEED8FCF}"/>
    <cellStyle name="Comma 62 6" xfId="1666" xr:uid="{2C9BFCAA-F679-4CF9-AB08-6B11DBC612B4}"/>
    <cellStyle name="Comma 62 6 2" xfId="4888" xr:uid="{CC876289-ACC4-4C5A-BB8A-FD47219FDDF4}"/>
    <cellStyle name="Comma 62 7" xfId="2118" xr:uid="{42C3A32B-DA05-4A8C-83E5-4181B9CD7074}"/>
    <cellStyle name="Comma 62 7 2" xfId="5333" xr:uid="{B352395C-D81C-401C-941B-571A3B44988F}"/>
    <cellStyle name="Comma 62 8" xfId="2570" xr:uid="{9F5CC01B-93E4-4469-9D77-01582E43D5F5}"/>
    <cellStyle name="Comma 62 8 2" xfId="5778" xr:uid="{0E40851B-AA02-46B9-9C70-B56AC0D1B239}"/>
    <cellStyle name="Comma 62 9" xfId="3022" xr:uid="{C2260948-84B8-484F-8955-F51C5A3A0BBE}"/>
    <cellStyle name="Comma 62 9 2" xfId="6223" xr:uid="{9F21F6C6-305F-438B-A6AE-0983757AAE6D}"/>
    <cellStyle name="Comma 63" xfId="273" xr:uid="{FDB409C2-E09A-456D-9F21-F8C6A4600B6C}"/>
    <cellStyle name="Comma 63 10" xfId="3554" xr:uid="{ED154EB8-FDFC-428B-819A-13B62EDA974C}"/>
    <cellStyle name="Comma 63 2" xfId="274" xr:uid="{9DA34FF8-4ACC-4464-925E-7A27EBC7464F}"/>
    <cellStyle name="Comma 63 2 2" xfId="537" xr:uid="{2AE83404-38B8-468E-A76A-D175DDA50B55}"/>
    <cellStyle name="Comma 63 2 2 2" xfId="989" xr:uid="{0DB3EFE2-7ACD-4243-B60A-8F36FFE5E764}"/>
    <cellStyle name="Comma 63 2 2 2 2" xfId="4223" xr:uid="{69EA9EF0-E3B1-451B-9AEC-662439D42390}"/>
    <cellStyle name="Comma 63 2 2 3" xfId="1441" xr:uid="{B2A396EB-D23C-4F37-BADA-FCA008AAC6F7}"/>
    <cellStyle name="Comma 63 2 2 3 2" xfId="4668" xr:uid="{13BEB00C-BC52-4DF2-A75C-45DB767A1D5A}"/>
    <cellStyle name="Comma 63 2 2 4" xfId="1893" xr:uid="{07FEECF6-3C69-4A47-8ACA-E7B9F6AFDE17}"/>
    <cellStyle name="Comma 63 2 2 4 2" xfId="5113" xr:uid="{2433DB5B-0C0C-4CFE-B95E-5A4171DA3282}"/>
    <cellStyle name="Comma 63 2 2 5" xfId="2345" xr:uid="{2C1EC9E7-0D6B-47F9-85D9-94A4FD1CB52D}"/>
    <cellStyle name="Comma 63 2 2 5 2" xfId="5558" xr:uid="{B7B97839-A005-4A11-8C09-F42BA2A25924}"/>
    <cellStyle name="Comma 63 2 2 6" xfId="2797" xr:uid="{A583DE86-9B3F-4B34-B651-1EB30F6ED114}"/>
    <cellStyle name="Comma 63 2 2 6 2" xfId="6003" xr:uid="{DA045DFD-2104-42B3-A83F-DCD5DE89ACD8}"/>
    <cellStyle name="Comma 63 2 2 7" xfId="3249" xr:uid="{00EAD3D5-DA14-467F-9269-F76580A2B300}"/>
    <cellStyle name="Comma 63 2 2 7 2" xfId="6448" xr:uid="{A3E0057A-11D8-4CF9-83A5-B2D6B4C68A4D}"/>
    <cellStyle name="Comma 63 2 2 8" xfId="3778" xr:uid="{BD881D55-2F8C-48D0-ABC8-D501375C9915}"/>
    <cellStyle name="Comma 63 2 3" xfId="765" xr:uid="{FD9C2059-FAB4-45A2-BDDE-C440BA92B1B0}"/>
    <cellStyle name="Comma 63 2 3 2" xfId="4001" xr:uid="{AC9553B7-5D77-4031-93AC-54F365A3425D}"/>
    <cellStyle name="Comma 63 2 4" xfId="1217" xr:uid="{B20D3999-00E6-49B1-B025-ABB8CA86A653}"/>
    <cellStyle name="Comma 63 2 4 2" xfId="4446" xr:uid="{5355DA7F-9042-4FF4-B51A-8C557389DFD3}"/>
    <cellStyle name="Comma 63 2 5" xfId="1669" xr:uid="{8B6B0C0F-38DF-4677-9096-A9C308E43382}"/>
    <cellStyle name="Comma 63 2 5 2" xfId="4891" xr:uid="{01F49DE4-7992-4020-A476-66E0DC776966}"/>
    <cellStyle name="Comma 63 2 6" xfId="2121" xr:uid="{462EBF94-5B93-440E-AE4A-F5654120BA1B}"/>
    <cellStyle name="Comma 63 2 6 2" xfId="5336" xr:uid="{768F1E1E-0D80-4FEF-9C64-76A0E26229BE}"/>
    <cellStyle name="Comma 63 2 7" xfId="2573" xr:uid="{9D30C49B-C9BB-4199-8A39-BF41BB42B90A}"/>
    <cellStyle name="Comma 63 2 7 2" xfId="5781" xr:uid="{FF0ADB28-BA8D-4E5B-81C6-844CABF0D1A4}"/>
    <cellStyle name="Comma 63 2 8" xfId="3025" xr:uid="{3CDB2E30-9C92-4196-BAB6-08D1A1B7F1F8}"/>
    <cellStyle name="Comma 63 2 8 2" xfId="6226" xr:uid="{07581660-E8E1-48BF-8E25-CAA750EB5880}"/>
    <cellStyle name="Comma 63 2 9" xfId="3555" xr:uid="{1875153B-7D79-4648-A121-6980A42FEFA1}"/>
    <cellStyle name="Comma 63 3" xfId="536" xr:uid="{554349ED-B4B9-4C26-9DF1-221CF8A2CF3B}"/>
    <cellStyle name="Comma 63 3 2" xfId="988" xr:uid="{DFEBC006-2A6D-4E11-AE05-76CD3DE807B2}"/>
    <cellStyle name="Comma 63 3 2 2" xfId="4222" xr:uid="{8EC3CE6B-6A79-4E8C-93B7-7AA207811C6B}"/>
    <cellStyle name="Comma 63 3 3" xfId="1440" xr:uid="{6DF8E5EB-9391-4336-B012-6F6496617D49}"/>
    <cellStyle name="Comma 63 3 3 2" xfId="4667" xr:uid="{177DCD2E-45AA-40A7-90FA-ECA30B98FFDD}"/>
    <cellStyle name="Comma 63 3 4" xfId="1892" xr:uid="{35FCFF3C-11CE-42F8-B101-746E0A255277}"/>
    <cellStyle name="Comma 63 3 4 2" xfId="5112" xr:uid="{B8BFFE99-1852-466C-A64A-DD0D79051B71}"/>
    <cellStyle name="Comma 63 3 5" xfId="2344" xr:uid="{55B34092-1734-4C3C-A8D2-168D98EB4641}"/>
    <cellStyle name="Comma 63 3 5 2" xfId="5557" xr:uid="{943693D2-E381-4C5B-86D4-E93F29FDEB77}"/>
    <cellStyle name="Comma 63 3 6" xfId="2796" xr:uid="{0C5AD39D-8DE2-4B42-95F4-406E96F51CBF}"/>
    <cellStyle name="Comma 63 3 6 2" xfId="6002" xr:uid="{DBCBE9A9-3FEA-45A4-BBC8-69167614FFFD}"/>
    <cellStyle name="Comma 63 3 7" xfId="3248" xr:uid="{34341890-2F0A-4701-AE94-BE9CC06EA498}"/>
    <cellStyle name="Comma 63 3 7 2" xfId="6447" xr:uid="{ECB17316-D5D9-4CC1-92DE-09AE177E0C5A}"/>
    <cellStyle name="Comma 63 3 8" xfId="3777" xr:uid="{AA87B594-CFBE-4457-A6B8-9D2B0F65D840}"/>
    <cellStyle name="Comma 63 4" xfId="764" xr:uid="{CC603CC8-DB2E-4833-BA0D-E9191A1DA661}"/>
    <cellStyle name="Comma 63 4 2" xfId="4000" xr:uid="{A3E7B8EF-6722-4962-A626-81DF448066B3}"/>
    <cellStyle name="Comma 63 5" xfId="1216" xr:uid="{AE1FDFA6-028D-420D-A1A4-A58B61A71815}"/>
    <cellStyle name="Comma 63 5 2" xfId="4445" xr:uid="{95232647-BC05-44A9-8A50-C80C02733564}"/>
    <cellStyle name="Comma 63 6" xfId="1668" xr:uid="{EB48BA16-A2F5-4DD0-806D-F42C7AFF0FBF}"/>
    <cellStyle name="Comma 63 6 2" xfId="4890" xr:uid="{833AB3EE-54C0-429C-87C1-442B031E58CA}"/>
    <cellStyle name="Comma 63 7" xfId="2120" xr:uid="{9A1F8891-D9FC-4413-A4AE-43F6CBC03552}"/>
    <cellStyle name="Comma 63 7 2" xfId="5335" xr:uid="{4CCF83AF-A325-40AD-95C1-C94ACE6CC4DD}"/>
    <cellStyle name="Comma 63 8" xfId="2572" xr:uid="{E091AC0F-A43B-426F-B0F4-D0D83E4F0DFA}"/>
    <cellStyle name="Comma 63 8 2" xfId="5780" xr:uid="{3CD3BB35-FE87-46C6-A8A1-AC7AF0F91FC1}"/>
    <cellStyle name="Comma 63 9" xfId="3024" xr:uid="{C8C2B126-D731-4200-B3E5-356AF023E09D}"/>
    <cellStyle name="Comma 63 9 2" xfId="6225" xr:uid="{7E596118-137B-4657-A601-3CE5ED5E79F8}"/>
    <cellStyle name="Comma 64" xfId="275" xr:uid="{19B5A490-28FF-4B36-A512-E39DBDF83211}"/>
    <cellStyle name="Comma 64 10" xfId="3556" xr:uid="{838E2577-3805-4E65-9EA5-61CAD150D2C0}"/>
    <cellStyle name="Comma 64 2" xfId="276" xr:uid="{A8DCD6D0-F06F-4B98-817A-C7E945773137}"/>
    <cellStyle name="Comma 64 2 2" xfId="539" xr:uid="{AC28302A-9D84-463E-A129-7FE385825044}"/>
    <cellStyle name="Comma 64 2 2 2" xfId="991" xr:uid="{F6779300-47F1-4C18-8859-B5A32C00BD8C}"/>
    <cellStyle name="Comma 64 2 2 2 2" xfId="4225" xr:uid="{25D259AF-12E2-41DD-9709-07DCACB33C20}"/>
    <cellStyle name="Comma 64 2 2 3" xfId="1443" xr:uid="{DD2B4764-FAA6-44E1-8292-B0FC07CE6097}"/>
    <cellStyle name="Comma 64 2 2 3 2" xfId="4670" xr:uid="{B77A2C77-797A-4F95-8CD1-183B7BD25803}"/>
    <cellStyle name="Comma 64 2 2 4" xfId="1895" xr:uid="{A7936D21-70A7-463C-90D6-DBBE76541BA9}"/>
    <cellStyle name="Comma 64 2 2 4 2" xfId="5115" xr:uid="{4C86D4C9-7C10-4494-AAC9-A5A7EDA65434}"/>
    <cellStyle name="Comma 64 2 2 5" xfId="2347" xr:uid="{87E608E9-E9F5-4F4B-A1EA-A048387A197D}"/>
    <cellStyle name="Comma 64 2 2 5 2" xfId="5560" xr:uid="{3E5E9771-E83F-40BA-A07C-AAD797932B48}"/>
    <cellStyle name="Comma 64 2 2 6" xfId="2799" xr:uid="{1160A6F5-FAFF-45AC-B251-94D04BAE8A1B}"/>
    <cellStyle name="Comma 64 2 2 6 2" xfId="6005" xr:uid="{9B6538B9-5200-4197-8FE0-8759061712D5}"/>
    <cellStyle name="Comma 64 2 2 7" xfId="3251" xr:uid="{98B17546-56B7-42E2-BDD3-ECEAF0AE9519}"/>
    <cellStyle name="Comma 64 2 2 7 2" xfId="6450" xr:uid="{9F9F7ACD-91E9-4B95-9909-6103C4FD1AD8}"/>
    <cellStyle name="Comma 64 2 2 8" xfId="3780" xr:uid="{C8F537E4-305B-407D-ACF8-182CC3785E02}"/>
    <cellStyle name="Comma 64 2 3" xfId="767" xr:uid="{8DA0D893-7A1F-458A-B9C9-D5514BC01343}"/>
    <cellStyle name="Comma 64 2 3 2" xfId="4003" xr:uid="{8532BD5E-9ACA-404B-B8FB-65CF095EB26C}"/>
    <cellStyle name="Comma 64 2 4" xfId="1219" xr:uid="{CA81B4FE-49C3-4BF6-BF9D-231E14264999}"/>
    <cellStyle name="Comma 64 2 4 2" xfId="4448" xr:uid="{3938B2B4-B4F0-4D2A-BA92-7C4A4C6B44D6}"/>
    <cellStyle name="Comma 64 2 5" xfId="1671" xr:uid="{1E97DAE4-7A19-40D2-912D-78443D29817F}"/>
    <cellStyle name="Comma 64 2 5 2" xfId="4893" xr:uid="{299F14A0-431E-4AFE-9FD1-A692744CE615}"/>
    <cellStyle name="Comma 64 2 6" xfId="2123" xr:uid="{81E5F4B9-AB82-4474-B0B7-8F48526BA64A}"/>
    <cellStyle name="Comma 64 2 6 2" xfId="5338" xr:uid="{6F2D6BDD-C776-4422-ADCB-F17D5765B874}"/>
    <cellStyle name="Comma 64 2 7" xfId="2575" xr:uid="{6147DC23-591C-4E2D-82BA-58CA959BE85C}"/>
    <cellStyle name="Comma 64 2 7 2" xfId="5783" xr:uid="{27302E84-48AC-4FE0-A9E0-A0B62FD182C9}"/>
    <cellStyle name="Comma 64 2 8" xfId="3027" xr:uid="{668AC96A-3CEF-45A8-9CE8-11ED1F25EE35}"/>
    <cellStyle name="Comma 64 2 8 2" xfId="6228" xr:uid="{979DED70-14E4-4665-97AA-27BC86FC0019}"/>
    <cellStyle name="Comma 64 2 9" xfId="3557" xr:uid="{7F631CEB-03F2-4D69-9309-4512E160A2F7}"/>
    <cellStyle name="Comma 64 3" xfId="538" xr:uid="{E538CD59-C7F7-4F94-8E39-1EC9AAE18F0D}"/>
    <cellStyle name="Comma 64 3 2" xfId="990" xr:uid="{01F6B4C3-1993-4494-A798-424C821C0857}"/>
    <cellStyle name="Comma 64 3 2 2" xfId="4224" xr:uid="{BE7A5830-ECC0-43DA-A0BD-51207860308F}"/>
    <cellStyle name="Comma 64 3 3" xfId="1442" xr:uid="{BEADBAF5-FD80-40C3-B522-BC7CB1D4ACAD}"/>
    <cellStyle name="Comma 64 3 3 2" xfId="4669" xr:uid="{BF005A8D-3681-478A-8E17-16190B2463FE}"/>
    <cellStyle name="Comma 64 3 4" xfId="1894" xr:uid="{5146D6BE-1774-4167-84FC-97BB8E4C5618}"/>
    <cellStyle name="Comma 64 3 4 2" xfId="5114" xr:uid="{8793FF35-D484-4A4D-A6E0-396A765370F4}"/>
    <cellStyle name="Comma 64 3 5" xfId="2346" xr:uid="{2550DFC2-4C35-4298-BE79-EB6DC3A4B06D}"/>
    <cellStyle name="Comma 64 3 5 2" xfId="5559" xr:uid="{A46E5DE0-1880-4EE4-AF84-E14566A386DD}"/>
    <cellStyle name="Comma 64 3 6" xfId="2798" xr:uid="{277400E9-90AF-47A3-875B-B5BEF189800C}"/>
    <cellStyle name="Comma 64 3 6 2" xfId="6004" xr:uid="{60471816-A53C-4914-9217-00AA253336C5}"/>
    <cellStyle name="Comma 64 3 7" xfId="3250" xr:uid="{017599E0-208F-4379-B352-73FC415EE319}"/>
    <cellStyle name="Comma 64 3 7 2" xfId="6449" xr:uid="{DC1015AC-6BDF-49D6-BE5A-7F4B4086246A}"/>
    <cellStyle name="Comma 64 3 8" xfId="3779" xr:uid="{ACE7DC11-2F82-4074-A0CB-901059C8235D}"/>
    <cellStyle name="Comma 64 4" xfId="766" xr:uid="{B53343A0-2DDE-4154-BAF4-902E9A4340FE}"/>
    <cellStyle name="Comma 64 4 2" xfId="4002" xr:uid="{8BFA53C8-6937-40B9-B888-F41DED2B5399}"/>
    <cellStyle name="Comma 64 5" xfId="1218" xr:uid="{23E1AA74-325A-4FAC-B0E1-F085201E9E70}"/>
    <cellStyle name="Comma 64 5 2" xfId="4447" xr:uid="{7BF62430-06D9-452E-B30C-2E02BEE17725}"/>
    <cellStyle name="Comma 64 6" xfId="1670" xr:uid="{E863C91C-8EC9-46F0-9E74-50FD6E056583}"/>
    <cellStyle name="Comma 64 6 2" xfId="4892" xr:uid="{7ED9360C-6846-4924-92F0-2164237E9A2B}"/>
    <cellStyle name="Comma 64 7" xfId="2122" xr:uid="{BDA65BEA-4294-4890-A560-DCFCB4D0E3C8}"/>
    <cellStyle name="Comma 64 7 2" xfId="5337" xr:uid="{B3CCAD83-FFCD-41DC-A923-EBE8BE97BA3B}"/>
    <cellStyle name="Comma 64 8" xfId="2574" xr:uid="{CD435422-68FB-4158-82D2-833A4B6428F2}"/>
    <cellStyle name="Comma 64 8 2" xfId="5782" xr:uid="{976187DA-7092-4642-A9E8-F5CC4D2F1829}"/>
    <cellStyle name="Comma 64 9" xfId="3026" xr:uid="{E78A80D1-D221-41CA-82B8-5A0656935CBD}"/>
    <cellStyle name="Comma 64 9 2" xfId="6227" xr:uid="{5DBFA3BA-7C02-4D3B-BECF-7F7B10F37FF2}"/>
    <cellStyle name="Comma 65" xfId="277" xr:uid="{9872D406-F996-4A21-A031-6E78F9C74027}"/>
    <cellStyle name="Comma 65 10" xfId="3558" xr:uid="{69084AA9-881E-4222-AAD2-4B5B46AFB58F}"/>
    <cellStyle name="Comma 65 2" xfId="278" xr:uid="{CEC971FF-984B-4A33-8811-542C26B26D25}"/>
    <cellStyle name="Comma 65 2 2" xfId="541" xr:uid="{A21C35FB-BEF6-4308-8834-B37AA0C07203}"/>
    <cellStyle name="Comma 65 2 2 2" xfId="993" xr:uid="{A1B35115-2461-46E4-A369-7F294AA3DA0F}"/>
    <cellStyle name="Comma 65 2 2 2 2" xfId="4227" xr:uid="{F90B718A-BFAE-4A51-9F2D-493AC58C4E9D}"/>
    <cellStyle name="Comma 65 2 2 3" xfId="1445" xr:uid="{23266E31-892D-4DDE-895B-C072CDEF26E2}"/>
    <cellStyle name="Comma 65 2 2 3 2" xfId="4672" xr:uid="{1C54489F-AB32-42B0-A71A-EB7501F009E3}"/>
    <cellStyle name="Comma 65 2 2 4" xfId="1897" xr:uid="{E66615C6-7109-417C-8973-15C5963C6F9C}"/>
    <cellStyle name="Comma 65 2 2 4 2" xfId="5117" xr:uid="{287D2008-6E14-40B2-A309-2DBFDB98097A}"/>
    <cellStyle name="Comma 65 2 2 5" xfId="2349" xr:uid="{6850B69A-D77D-417B-AC5F-981CC9F8BCF2}"/>
    <cellStyle name="Comma 65 2 2 5 2" xfId="5562" xr:uid="{A03E2E76-449B-4830-B245-FD03D9534E21}"/>
    <cellStyle name="Comma 65 2 2 6" xfId="2801" xr:uid="{6841ABF7-42AD-4FCE-BB02-80E448D71669}"/>
    <cellStyle name="Comma 65 2 2 6 2" xfId="6007" xr:uid="{90FDD6B1-A5C0-4AFE-A1E4-1070D3F8828A}"/>
    <cellStyle name="Comma 65 2 2 7" xfId="3253" xr:uid="{10F2FBE4-CBF7-46E1-B436-CBBCF7EED795}"/>
    <cellStyle name="Comma 65 2 2 7 2" xfId="6452" xr:uid="{FE82281C-89BF-4954-9070-FA3F25BF90DA}"/>
    <cellStyle name="Comma 65 2 2 8" xfId="3782" xr:uid="{4A5DDB8D-1799-451B-A5A5-433399FE523A}"/>
    <cellStyle name="Comma 65 2 3" xfId="769" xr:uid="{4BC50336-460D-4F70-8C03-7866DCEBD802}"/>
    <cellStyle name="Comma 65 2 3 2" xfId="4005" xr:uid="{B122C65F-6BC8-4AF5-9408-5ACE45B83A5F}"/>
    <cellStyle name="Comma 65 2 4" xfId="1221" xr:uid="{F30EB10A-E04D-4873-ACF4-F5311CE6B776}"/>
    <cellStyle name="Comma 65 2 4 2" xfId="4450" xr:uid="{2F53EDF3-4C89-487E-BB3B-73F256617FE7}"/>
    <cellStyle name="Comma 65 2 5" xfId="1673" xr:uid="{F999754E-3955-4E8C-B54C-B7A0E8F273BA}"/>
    <cellStyle name="Comma 65 2 5 2" xfId="4895" xr:uid="{4AC624B0-8CFF-4FD9-8E6C-5BC75E9896C5}"/>
    <cellStyle name="Comma 65 2 6" xfId="2125" xr:uid="{9B5A4966-6818-4F7F-A83B-BBFB9207BA5B}"/>
    <cellStyle name="Comma 65 2 6 2" xfId="5340" xr:uid="{C3C7B4B9-CF05-42E2-B5D2-02793A094CFE}"/>
    <cellStyle name="Comma 65 2 7" xfId="2577" xr:uid="{1E7B1885-D2CC-4BB0-86EC-BF4A7A38594A}"/>
    <cellStyle name="Comma 65 2 7 2" xfId="5785" xr:uid="{1E4F404C-944A-473D-BB9B-C2473DD1AD05}"/>
    <cellStyle name="Comma 65 2 8" xfId="3029" xr:uid="{98E44B2B-0A98-4DAD-8D44-F52D4F836CCE}"/>
    <cellStyle name="Comma 65 2 8 2" xfId="6230" xr:uid="{7CD2F51B-FC59-47EE-80F5-E9C9ED8405C9}"/>
    <cellStyle name="Comma 65 2 9" xfId="3559" xr:uid="{396E58EF-B3D4-4203-9120-88FCBD4CF506}"/>
    <cellStyle name="Comma 65 3" xfId="540" xr:uid="{44A6AB6E-0F98-473F-8BC5-230333C33450}"/>
    <cellStyle name="Comma 65 3 2" xfId="992" xr:uid="{82543938-583F-484A-BFA3-7CDBE8D484DA}"/>
    <cellStyle name="Comma 65 3 2 2" xfId="4226" xr:uid="{430C2E0D-8C74-4D4A-B93D-7DC64928818E}"/>
    <cellStyle name="Comma 65 3 3" xfId="1444" xr:uid="{877EF685-7E3A-4C19-9C38-A9AAABD0E4AB}"/>
    <cellStyle name="Comma 65 3 3 2" xfId="4671" xr:uid="{F89402B7-45EB-45CC-9164-52400CE7C9A6}"/>
    <cellStyle name="Comma 65 3 4" xfId="1896" xr:uid="{27F3A631-E19C-46E7-A348-1E11B5719A7A}"/>
    <cellStyle name="Comma 65 3 4 2" xfId="5116" xr:uid="{45D760F6-D8BC-4947-BC9E-722FD47E7BD3}"/>
    <cellStyle name="Comma 65 3 5" xfId="2348" xr:uid="{4C127754-D8E4-4FB0-AACE-0A8430ABC71D}"/>
    <cellStyle name="Comma 65 3 5 2" xfId="5561" xr:uid="{C051D2B8-BDF3-49DF-ADE4-F967900424E8}"/>
    <cellStyle name="Comma 65 3 6" xfId="2800" xr:uid="{70E0B7CB-5D98-4CEA-8254-4C1F0653EA90}"/>
    <cellStyle name="Comma 65 3 6 2" xfId="6006" xr:uid="{2CE651E7-1389-41D9-83DF-97AE11167C9D}"/>
    <cellStyle name="Comma 65 3 7" xfId="3252" xr:uid="{4789D03A-001B-476E-9F79-A0A724381996}"/>
    <cellStyle name="Comma 65 3 7 2" xfId="6451" xr:uid="{14F57DDE-5F51-4E87-A0DA-42AC8A8274F1}"/>
    <cellStyle name="Comma 65 3 8" xfId="3781" xr:uid="{B79F6B2F-F998-41BD-A711-32F576FD4324}"/>
    <cellStyle name="Comma 65 4" xfId="768" xr:uid="{CFB02A64-D44D-40E7-8054-4EA8E231E636}"/>
    <cellStyle name="Comma 65 4 2" xfId="4004" xr:uid="{C3A1AD2C-0291-4C35-A467-973F8F24A156}"/>
    <cellStyle name="Comma 65 5" xfId="1220" xr:uid="{51A4BCB4-37C1-4AB9-B772-D60C0C157364}"/>
    <cellStyle name="Comma 65 5 2" xfId="4449" xr:uid="{1ED6806F-CBCF-4A9B-B00A-D32C98EF93D9}"/>
    <cellStyle name="Comma 65 6" xfId="1672" xr:uid="{DBE57DBC-3784-4C31-8E89-758368DE6267}"/>
    <cellStyle name="Comma 65 6 2" xfId="4894" xr:uid="{7994C1AE-333D-451C-8F13-409AFEA0450D}"/>
    <cellStyle name="Comma 65 7" xfId="2124" xr:uid="{1D78531A-0186-4DE9-80B8-C31A6165DC75}"/>
    <cellStyle name="Comma 65 7 2" xfId="5339" xr:uid="{39D52D38-DF9D-44DC-B770-4DF70E9503D9}"/>
    <cellStyle name="Comma 65 8" xfId="2576" xr:uid="{3842888E-8E33-4549-A61F-DDB994C5640A}"/>
    <cellStyle name="Comma 65 8 2" xfId="5784" xr:uid="{2BD6D4EA-1371-40AE-9A28-2E994E1CA75A}"/>
    <cellStyle name="Comma 65 9" xfId="3028" xr:uid="{6F15717A-C349-4945-ACFF-A4C7A34ADAFE}"/>
    <cellStyle name="Comma 65 9 2" xfId="6229" xr:uid="{446B8471-4A9F-4B7F-915B-908F00DA3381}"/>
    <cellStyle name="Comma 66" xfId="279" xr:uid="{D772C935-A20A-411F-8086-DE1549E0D5A4}"/>
    <cellStyle name="Comma 66 10" xfId="3560" xr:uid="{219DBBBF-8E67-4D69-BF8E-E497A97C96FB}"/>
    <cellStyle name="Comma 66 2" xfId="280" xr:uid="{F89544DB-0E6A-4E00-BC20-0D49EFBE5F7F}"/>
    <cellStyle name="Comma 66 2 2" xfId="543" xr:uid="{18B746EA-1A74-4070-A237-69A505442478}"/>
    <cellStyle name="Comma 66 2 2 2" xfId="995" xr:uid="{B2C5B1DE-46B6-44A7-BCF8-324B31236287}"/>
    <cellStyle name="Comma 66 2 2 2 2" xfId="4229" xr:uid="{8035F035-8526-4E77-8831-B7FB8E9457C6}"/>
    <cellStyle name="Comma 66 2 2 3" xfId="1447" xr:uid="{17AC5F1E-1A63-4914-8C71-DCEC1BE2D77B}"/>
    <cellStyle name="Comma 66 2 2 3 2" xfId="4674" xr:uid="{036C3F02-9392-4466-A8D9-C66F98C958FC}"/>
    <cellStyle name="Comma 66 2 2 4" xfId="1899" xr:uid="{1B5BCBF4-C178-4342-937C-99D27BD6BFBA}"/>
    <cellStyle name="Comma 66 2 2 4 2" xfId="5119" xr:uid="{37C7824A-3D94-4F1E-8216-BE572D15AC92}"/>
    <cellStyle name="Comma 66 2 2 5" xfId="2351" xr:uid="{C3075B91-3E2D-45F6-B5BD-E29DF3708227}"/>
    <cellStyle name="Comma 66 2 2 5 2" xfId="5564" xr:uid="{4AA331A6-979F-4906-B68E-88232448BC5B}"/>
    <cellStyle name="Comma 66 2 2 6" xfId="2803" xr:uid="{5BF29014-B443-4519-97DF-B81784721458}"/>
    <cellStyle name="Comma 66 2 2 6 2" xfId="6009" xr:uid="{FCC6F8EB-FD1E-4E1D-9C07-74D215F86F8C}"/>
    <cellStyle name="Comma 66 2 2 7" xfId="3255" xr:uid="{04916D6B-2AB7-4F62-A711-8F92136A47FE}"/>
    <cellStyle name="Comma 66 2 2 7 2" xfId="6454" xr:uid="{1BC7A49B-3095-44F8-BAC2-01EAB93B6730}"/>
    <cellStyle name="Comma 66 2 2 8" xfId="3784" xr:uid="{518884A2-B967-4BB8-991E-A30D0DAFFFD4}"/>
    <cellStyle name="Comma 66 2 3" xfId="771" xr:uid="{FF7C91AD-B960-400C-8404-C72FA5B295DE}"/>
    <cellStyle name="Comma 66 2 3 2" xfId="4007" xr:uid="{E5F6575E-55A2-4D5F-B3C3-C55A9D4FEEED}"/>
    <cellStyle name="Comma 66 2 4" xfId="1223" xr:uid="{6FB8C118-838D-4633-ABAA-D57F6D4D5ED4}"/>
    <cellStyle name="Comma 66 2 4 2" xfId="4452" xr:uid="{AE47D330-1997-4AB6-AA4B-9E524DDF0247}"/>
    <cellStyle name="Comma 66 2 5" xfId="1675" xr:uid="{E667214B-382C-42F2-95B9-A32AED42C510}"/>
    <cellStyle name="Comma 66 2 5 2" xfId="4897" xr:uid="{C9912382-50EB-48EC-90A9-D4205646D4A0}"/>
    <cellStyle name="Comma 66 2 6" xfId="2127" xr:uid="{B20AB0E0-A6E4-4986-AF06-874A42F81126}"/>
    <cellStyle name="Comma 66 2 6 2" xfId="5342" xr:uid="{3F46FA5C-3C48-433A-8824-53143799AF9B}"/>
    <cellStyle name="Comma 66 2 7" xfId="2579" xr:uid="{DF2F7779-1DE2-442A-B434-EAD37C23BE1A}"/>
    <cellStyle name="Comma 66 2 7 2" xfId="5787" xr:uid="{B0CC1ACF-0053-42F2-A693-E5AB70ADC8A6}"/>
    <cellStyle name="Comma 66 2 8" xfId="3031" xr:uid="{79FF8F84-3E0B-472C-A2F4-FFDDE58CEEE3}"/>
    <cellStyle name="Comma 66 2 8 2" xfId="6232" xr:uid="{51CD21A7-FDC7-499E-934E-791294DCFFAF}"/>
    <cellStyle name="Comma 66 2 9" xfId="3561" xr:uid="{9573512B-F145-466A-ABEC-B901AF29568F}"/>
    <cellStyle name="Comma 66 3" xfId="542" xr:uid="{96EF8DCB-68C8-4A74-B20D-28503AD9A801}"/>
    <cellStyle name="Comma 66 3 2" xfId="994" xr:uid="{9BB14DE4-A1C0-4861-84F4-3A78977D6F98}"/>
    <cellStyle name="Comma 66 3 2 2" xfId="4228" xr:uid="{4C93FEE8-FFB5-461A-8F29-59AD1E41B0CB}"/>
    <cellStyle name="Comma 66 3 3" xfId="1446" xr:uid="{67D7EB87-B91E-4600-9842-C74CD71C5BE6}"/>
    <cellStyle name="Comma 66 3 3 2" xfId="4673" xr:uid="{BE46FF68-F34C-4265-915D-4178DB374B1F}"/>
    <cellStyle name="Comma 66 3 4" xfId="1898" xr:uid="{1D73AC05-BED8-49B1-A19F-65F12D8A3F57}"/>
    <cellStyle name="Comma 66 3 4 2" xfId="5118" xr:uid="{B0BB2669-671D-4730-8AFA-F5B7D46E036E}"/>
    <cellStyle name="Comma 66 3 5" xfId="2350" xr:uid="{17EA9884-E7C5-4603-B990-65AAFD9D958A}"/>
    <cellStyle name="Comma 66 3 5 2" xfId="5563" xr:uid="{9D1890E1-2BA1-4A6C-9619-A3ED227C26BA}"/>
    <cellStyle name="Comma 66 3 6" xfId="2802" xr:uid="{CB7BFB51-6CC0-449D-A10C-B2F1E4C1FA3A}"/>
    <cellStyle name="Comma 66 3 6 2" xfId="6008" xr:uid="{AC4CF37D-985D-4D19-9E9E-00FC763AEF0D}"/>
    <cellStyle name="Comma 66 3 7" xfId="3254" xr:uid="{BB5E7E01-83E2-4952-BB7D-E1E2816A95C1}"/>
    <cellStyle name="Comma 66 3 7 2" xfId="6453" xr:uid="{358AA954-7C6A-45CC-8E11-C6632E07BCDA}"/>
    <cellStyle name="Comma 66 3 8" xfId="3783" xr:uid="{5CEF7AE5-14A7-4433-8435-1AC3A94C1B0D}"/>
    <cellStyle name="Comma 66 4" xfId="770" xr:uid="{07CAE434-6049-4E87-9408-299F7E63CB23}"/>
    <cellStyle name="Comma 66 4 2" xfId="4006" xr:uid="{ABCD24DF-C746-4ED4-AE87-CFB15394F1A5}"/>
    <cellStyle name="Comma 66 5" xfId="1222" xr:uid="{08865A95-65AE-475B-A0E9-D6E42BDF86D5}"/>
    <cellStyle name="Comma 66 5 2" xfId="4451" xr:uid="{92CE4C1E-7A9E-471F-A3E7-58DB2984C138}"/>
    <cellStyle name="Comma 66 6" xfId="1674" xr:uid="{52881A41-669E-44F4-91A6-61CD10B5174A}"/>
    <cellStyle name="Comma 66 6 2" xfId="4896" xr:uid="{2B062614-BF16-41CF-B55E-4ECFC6AC300B}"/>
    <cellStyle name="Comma 66 7" xfId="2126" xr:uid="{B73C05B0-4495-4209-9A94-37D3389FE89F}"/>
    <cellStyle name="Comma 66 7 2" xfId="5341" xr:uid="{723ADB56-05A8-4F4F-9984-5DAA8A3EA68E}"/>
    <cellStyle name="Comma 66 8" xfId="2578" xr:uid="{3D67CA90-49E5-4DF7-B9B6-AF0B313A0982}"/>
    <cellStyle name="Comma 66 8 2" xfId="5786" xr:uid="{BE26BAE6-59C0-44A9-9AA1-342C08745123}"/>
    <cellStyle name="Comma 66 9" xfId="3030" xr:uid="{6F8DDFA4-71B9-41DD-838E-E3EC03B38C38}"/>
    <cellStyle name="Comma 66 9 2" xfId="6231" xr:uid="{55A7A4E9-91ED-4D59-BD4A-5C2574D62F01}"/>
    <cellStyle name="Comma 67" xfId="281" xr:uid="{7C3864D1-8BCE-4ED2-A6FE-B4719D1A40AE}"/>
    <cellStyle name="Comma 67 10" xfId="3562" xr:uid="{E30AE968-1527-4F6B-9911-6267311CEE57}"/>
    <cellStyle name="Comma 67 2" xfId="282" xr:uid="{751D84DB-F0F3-45A9-A405-04EF71A31F54}"/>
    <cellStyle name="Comma 67 2 2" xfId="545" xr:uid="{85899354-88A8-4981-A69D-F6758439F6FE}"/>
    <cellStyle name="Comma 67 2 2 2" xfId="997" xr:uid="{0844FE06-4E05-470D-A641-0FCD3E402AE6}"/>
    <cellStyle name="Comma 67 2 2 2 2" xfId="4231" xr:uid="{E13224DA-641F-49A9-8138-D8636845F1D0}"/>
    <cellStyle name="Comma 67 2 2 3" xfId="1449" xr:uid="{0797718B-DDA2-4C55-82E4-72AC1F3210FA}"/>
    <cellStyle name="Comma 67 2 2 3 2" xfId="4676" xr:uid="{81E7E137-500B-4CC1-8AF5-4602232F4DFF}"/>
    <cellStyle name="Comma 67 2 2 4" xfId="1901" xr:uid="{2A2904F0-F272-4AC0-B3D6-03AFB6FB492C}"/>
    <cellStyle name="Comma 67 2 2 4 2" xfId="5121" xr:uid="{E0AEDC73-D405-4503-A85E-B327BB134295}"/>
    <cellStyle name="Comma 67 2 2 5" xfId="2353" xr:uid="{9363FEC2-FADB-4455-A644-2CAEF4174148}"/>
    <cellStyle name="Comma 67 2 2 5 2" xfId="5566" xr:uid="{5E394AC7-600F-4D1E-8568-B9A2ECD2AF4B}"/>
    <cellStyle name="Comma 67 2 2 6" xfId="2805" xr:uid="{28F9AEB3-04C7-447F-969E-CF09F3D499E6}"/>
    <cellStyle name="Comma 67 2 2 6 2" xfId="6011" xr:uid="{81552EC0-3D5B-4F1E-A096-C6B936A98B85}"/>
    <cellStyle name="Comma 67 2 2 7" xfId="3257" xr:uid="{196AF816-5CA6-4D0E-95F1-132769329EC3}"/>
    <cellStyle name="Comma 67 2 2 7 2" xfId="6456" xr:uid="{4B6B9153-9392-4EA4-820A-F8D49FD61BF2}"/>
    <cellStyle name="Comma 67 2 2 8" xfId="3786" xr:uid="{8AEBFAC3-6143-43EE-920F-731BCEAAF92E}"/>
    <cellStyle name="Comma 67 2 3" xfId="773" xr:uid="{45FBD4F2-441F-45D1-A1F7-B9D65CD8808C}"/>
    <cellStyle name="Comma 67 2 3 2" xfId="4009" xr:uid="{3553ABA2-61AB-4960-B751-22EC663E801B}"/>
    <cellStyle name="Comma 67 2 4" xfId="1225" xr:uid="{69124444-5745-4E5C-80EE-A39B612BBB5E}"/>
    <cellStyle name="Comma 67 2 4 2" xfId="4454" xr:uid="{B4B17C49-F6D8-46B3-8E90-51D4F353F514}"/>
    <cellStyle name="Comma 67 2 5" xfId="1677" xr:uid="{218702C6-635F-43E1-A9A9-89538BBFFB90}"/>
    <cellStyle name="Comma 67 2 5 2" xfId="4899" xr:uid="{12E25134-6D81-4CD7-88BF-981ED473F6A1}"/>
    <cellStyle name="Comma 67 2 6" xfId="2129" xr:uid="{368B8B16-EED8-4213-99F6-39495AD74D8A}"/>
    <cellStyle name="Comma 67 2 6 2" xfId="5344" xr:uid="{D1F513B5-CE7D-4DEA-8DBA-0CFED2554613}"/>
    <cellStyle name="Comma 67 2 7" xfId="2581" xr:uid="{48140848-AEF2-45DA-90B9-86527E410597}"/>
    <cellStyle name="Comma 67 2 7 2" xfId="5789" xr:uid="{5C3221D2-D90A-466A-82F2-ED8BE7549298}"/>
    <cellStyle name="Comma 67 2 8" xfId="3033" xr:uid="{CD1F4307-63C5-45E8-A321-388C9736A5C1}"/>
    <cellStyle name="Comma 67 2 8 2" xfId="6234" xr:uid="{C3F38F03-ECB2-4A0C-A9B0-75B1860F7EA4}"/>
    <cellStyle name="Comma 67 2 9" xfId="3563" xr:uid="{B1DE065F-C5D0-4612-9AB4-97FC404366C0}"/>
    <cellStyle name="Comma 67 3" xfId="544" xr:uid="{CB6A69AB-C5E2-4B26-9D59-D7E243E8A8F5}"/>
    <cellStyle name="Comma 67 3 2" xfId="996" xr:uid="{D6E974DF-65CA-468A-9956-18D6BAE4FCD7}"/>
    <cellStyle name="Comma 67 3 2 2" xfId="4230" xr:uid="{0117905B-85F8-46D8-B7C3-42959AE8DB93}"/>
    <cellStyle name="Comma 67 3 3" xfId="1448" xr:uid="{63229488-00AA-43EE-8AA5-6F48B4509C2F}"/>
    <cellStyle name="Comma 67 3 3 2" xfId="4675" xr:uid="{F00E136B-0A8D-496E-8E72-FA0001C06620}"/>
    <cellStyle name="Comma 67 3 4" xfId="1900" xr:uid="{8221D761-501E-461E-95B1-109D362689E6}"/>
    <cellStyle name="Comma 67 3 4 2" xfId="5120" xr:uid="{013011AB-01D3-40C8-8564-E901E60FB3F9}"/>
    <cellStyle name="Comma 67 3 5" xfId="2352" xr:uid="{6F85FC97-7AF6-4202-B286-08C5C4F6911E}"/>
    <cellStyle name="Comma 67 3 5 2" xfId="5565" xr:uid="{0590C4E9-DB70-4D12-938D-B5EE300C13A3}"/>
    <cellStyle name="Comma 67 3 6" xfId="2804" xr:uid="{E43BD50B-EE80-49E3-8A2E-BF6A6F5BA34A}"/>
    <cellStyle name="Comma 67 3 6 2" xfId="6010" xr:uid="{ECFD3FC3-B3CA-4FD8-99AA-1D0AF2BCE86D}"/>
    <cellStyle name="Comma 67 3 7" xfId="3256" xr:uid="{0378C157-C747-4975-8E56-0545A388A118}"/>
    <cellStyle name="Comma 67 3 7 2" xfId="6455" xr:uid="{7018FDE7-50B4-4E56-9E1F-4C9586A11AEA}"/>
    <cellStyle name="Comma 67 3 8" xfId="3785" xr:uid="{4AD8FA25-59D6-4D90-B7E7-A1217F3712EC}"/>
    <cellStyle name="Comma 67 4" xfId="772" xr:uid="{700030C0-D37B-402E-8197-82802136D31C}"/>
    <cellStyle name="Comma 67 4 2" xfId="4008" xr:uid="{69105A76-3C62-4002-8404-0E190656B820}"/>
    <cellStyle name="Comma 67 5" xfId="1224" xr:uid="{E1FDEE71-4899-41F8-93D7-1DADC051254A}"/>
    <cellStyle name="Comma 67 5 2" xfId="4453" xr:uid="{D6B3A508-CE8B-4C69-9179-5FA549C7A680}"/>
    <cellStyle name="Comma 67 6" xfId="1676" xr:uid="{A84DEF37-A55E-4F4D-A01E-690BF1022820}"/>
    <cellStyle name="Comma 67 6 2" xfId="4898" xr:uid="{5A82268A-C074-4E63-969E-19DD77D3BD7A}"/>
    <cellStyle name="Comma 67 7" xfId="2128" xr:uid="{BFF70F70-A9D0-4ACE-96CE-C31CF812F121}"/>
    <cellStyle name="Comma 67 7 2" xfId="5343" xr:uid="{B0D4729A-22D1-4EC8-95F7-525731A1218D}"/>
    <cellStyle name="Comma 67 8" xfId="2580" xr:uid="{82BCB2C6-93EC-4516-B4E6-2DB2C540CCF4}"/>
    <cellStyle name="Comma 67 8 2" xfId="5788" xr:uid="{02B87999-AFDD-4E86-BE24-F0AA8993FA18}"/>
    <cellStyle name="Comma 67 9" xfId="3032" xr:uid="{5670AE16-E547-47D6-829B-5A12D0F500E9}"/>
    <cellStyle name="Comma 67 9 2" xfId="6233" xr:uid="{0712AC80-C1A4-45FF-A210-7D82BC29828F}"/>
    <cellStyle name="Comma 68" xfId="283" xr:uid="{2E0568CE-E752-48DC-899A-91D587973210}"/>
    <cellStyle name="Comma 68 10" xfId="3564" xr:uid="{6626B85E-DA1A-428B-85DB-4A3A29123ADC}"/>
    <cellStyle name="Comma 68 2" xfId="284" xr:uid="{2145BDEA-3537-463E-BDD4-61D3D4E692F8}"/>
    <cellStyle name="Comma 68 2 2" xfId="547" xr:uid="{D1A0C097-CE35-44A7-BE85-33CC29968E20}"/>
    <cellStyle name="Comma 68 2 2 2" xfId="999" xr:uid="{42060DFE-FA8F-438D-8340-103E1046F220}"/>
    <cellStyle name="Comma 68 2 2 2 2" xfId="4233" xr:uid="{93B7277B-E298-46A5-83B2-7E54D32D9D8E}"/>
    <cellStyle name="Comma 68 2 2 3" xfId="1451" xr:uid="{6BE1E978-AE5B-4641-9D4E-9166DF57ABF1}"/>
    <cellStyle name="Comma 68 2 2 3 2" xfId="4678" xr:uid="{FD064785-80C3-4573-9AE3-A8565950851A}"/>
    <cellStyle name="Comma 68 2 2 4" xfId="1903" xr:uid="{9435A7EC-8FE2-488B-8FE4-AB4A14F8CFCD}"/>
    <cellStyle name="Comma 68 2 2 4 2" xfId="5123" xr:uid="{ABCF1B76-B0B6-43C6-8567-1628EFFAD2A8}"/>
    <cellStyle name="Comma 68 2 2 5" xfId="2355" xr:uid="{995F2419-E36D-459B-9A31-CF77A3160A3A}"/>
    <cellStyle name="Comma 68 2 2 5 2" xfId="5568" xr:uid="{93004984-9340-4922-89D9-4148F6B937B2}"/>
    <cellStyle name="Comma 68 2 2 6" xfId="2807" xr:uid="{5EAB5F43-5BB9-47DB-BA32-9CBD1BBD0444}"/>
    <cellStyle name="Comma 68 2 2 6 2" xfId="6013" xr:uid="{D797D63C-DCC5-4FA2-964D-675FB09F51E3}"/>
    <cellStyle name="Comma 68 2 2 7" xfId="3259" xr:uid="{D549DB5E-76E8-461B-A281-1ABA76AE993E}"/>
    <cellStyle name="Comma 68 2 2 7 2" xfId="6458" xr:uid="{A4C40F8D-34B4-41F9-BF34-020759B1ED20}"/>
    <cellStyle name="Comma 68 2 2 8" xfId="3788" xr:uid="{71E9EEA1-9388-4F15-89F1-65B1D5F04260}"/>
    <cellStyle name="Comma 68 2 3" xfId="775" xr:uid="{687E5E97-AA39-477A-A28D-0CBC88FBC66F}"/>
    <cellStyle name="Comma 68 2 3 2" xfId="4011" xr:uid="{5B14B3F2-DE5A-475D-8087-39BB7F2D3E36}"/>
    <cellStyle name="Comma 68 2 4" xfId="1227" xr:uid="{24FE64A1-4744-4B37-8A7E-9161CD31840C}"/>
    <cellStyle name="Comma 68 2 4 2" xfId="4456" xr:uid="{6A9E4756-DDBB-4859-86A2-2F13C41722B5}"/>
    <cellStyle name="Comma 68 2 5" xfId="1679" xr:uid="{0D26F617-B419-4498-BA40-5AA27F77269C}"/>
    <cellStyle name="Comma 68 2 5 2" xfId="4901" xr:uid="{6AA34302-A3AB-4496-87ED-7F1FD2CB2911}"/>
    <cellStyle name="Comma 68 2 6" xfId="2131" xr:uid="{F9A5627A-8FC3-416D-944A-1B7AC2AAB673}"/>
    <cellStyle name="Comma 68 2 6 2" xfId="5346" xr:uid="{B625506D-36A8-4700-83DF-E8FE77383A70}"/>
    <cellStyle name="Comma 68 2 7" xfId="2583" xr:uid="{274308F3-3D39-482E-8256-062DAF6F9452}"/>
    <cellStyle name="Comma 68 2 7 2" xfId="5791" xr:uid="{EFF2AA17-A795-4DF2-B322-7E67F7DF6371}"/>
    <cellStyle name="Comma 68 2 8" xfId="3035" xr:uid="{6CF6D884-6F62-4230-A6E2-8020E776CB15}"/>
    <cellStyle name="Comma 68 2 8 2" xfId="6236" xr:uid="{4FE21783-6488-4845-B680-6D9DCA0BDA41}"/>
    <cellStyle name="Comma 68 2 9" xfId="3565" xr:uid="{98198FAA-A2D3-4CAE-AA36-FD46C06715EF}"/>
    <cellStyle name="Comma 68 3" xfId="546" xr:uid="{D0E2F898-1AA6-418F-89E8-A36B945C9DAC}"/>
    <cellStyle name="Comma 68 3 2" xfId="998" xr:uid="{F82E42CB-4D0C-4DE0-A689-1FCE85DB9E14}"/>
    <cellStyle name="Comma 68 3 2 2" xfId="4232" xr:uid="{A370D50C-1247-48EE-9338-8388AEEC4DC6}"/>
    <cellStyle name="Comma 68 3 3" xfId="1450" xr:uid="{4CBC1F8D-0B39-4924-80C9-D1AB6226BB96}"/>
    <cellStyle name="Comma 68 3 3 2" xfId="4677" xr:uid="{3F03A724-134C-4EA1-BE3B-A7B4ECEC61B8}"/>
    <cellStyle name="Comma 68 3 4" xfId="1902" xr:uid="{76C53C43-97B6-4FB4-B11A-035270162FEA}"/>
    <cellStyle name="Comma 68 3 4 2" xfId="5122" xr:uid="{73699FFC-D8EB-426A-A7F6-65299A644B33}"/>
    <cellStyle name="Comma 68 3 5" xfId="2354" xr:uid="{04DAF2AD-22F4-48C5-9297-EA961E5D35E1}"/>
    <cellStyle name="Comma 68 3 5 2" xfId="5567" xr:uid="{FA18866C-CBDF-4B37-A8CD-21E65AE627FA}"/>
    <cellStyle name="Comma 68 3 6" xfId="2806" xr:uid="{E51660DC-0D12-4F04-8A34-393D8311D18A}"/>
    <cellStyle name="Comma 68 3 6 2" xfId="6012" xr:uid="{16EE8FCF-37C7-4C65-8093-A4A16283764A}"/>
    <cellStyle name="Comma 68 3 7" xfId="3258" xr:uid="{1CA683AF-96ED-4445-87B9-EDF5F29DE50C}"/>
    <cellStyle name="Comma 68 3 7 2" xfId="6457" xr:uid="{F69CFEDF-6A8A-473D-8AF9-1ECC1600D6CC}"/>
    <cellStyle name="Comma 68 3 8" xfId="3787" xr:uid="{C65B6845-F4F6-4D70-8E7B-00E423A1A9E2}"/>
    <cellStyle name="Comma 68 4" xfId="774" xr:uid="{6CB710DE-37B4-412E-8D8D-6FE1714E3942}"/>
    <cellStyle name="Comma 68 4 2" xfId="4010" xr:uid="{F24C72B9-B0AC-483C-B311-47E0722B4C81}"/>
    <cellStyle name="Comma 68 5" xfId="1226" xr:uid="{6170B4CB-B0D0-41BF-A601-B0A79171062D}"/>
    <cellStyle name="Comma 68 5 2" xfId="4455" xr:uid="{14F9F52F-5CA8-4689-8EBA-09903679105D}"/>
    <cellStyle name="Comma 68 6" xfId="1678" xr:uid="{66379D68-1B90-43C7-B658-BB9A755C311C}"/>
    <cellStyle name="Comma 68 6 2" xfId="4900" xr:uid="{1C4B636C-54AE-4588-BDB9-45F923A8D4BE}"/>
    <cellStyle name="Comma 68 7" xfId="2130" xr:uid="{25EBFFE5-35A3-4CFE-834B-D97C09485D02}"/>
    <cellStyle name="Comma 68 7 2" xfId="5345" xr:uid="{0D7EFAB1-3C00-4909-A953-B4A602FB3EAE}"/>
    <cellStyle name="Comma 68 8" xfId="2582" xr:uid="{F5C75B16-F19D-410B-8086-5936B9E9DA8A}"/>
    <cellStyle name="Comma 68 8 2" xfId="5790" xr:uid="{BB383DD0-D7CE-41FA-83EF-9E0483396B89}"/>
    <cellStyle name="Comma 68 9" xfId="3034" xr:uid="{A9A017D1-E49A-4D9D-A0D0-1FE1DDCFD913}"/>
    <cellStyle name="Comma 68 9 2" xfId="6235" xr:uid="{FA043EB8-F1D6-4533-8DDD-FCE1848EDB8E}"/>
    <cellStyle name="Comma 69" xfId="285" xr:uid="{73D8DD4D-65DA-494A-855E-5A73ABCCAD45}"/>
    <cellStyle name="Comma 69 10" xfId="3566" xr:uid="{C9D043E9-50EA-4055-A47E-A5D6BF7EFF4A}"/>
    <cellStyle name="Comma 69 2" xfId="286" xr:uid="{3F3FF554-9733-49D3-873E-706FC50158AA}"/>
    <cellStyle name="Comma 69 2 2" xfId="549" xr:uid="{55DCE883-96C3-499F-B2CB-D93BF2FC459A}"/>
    <cellStyle name="Comma 69 2 2 2" xfId="1001" xr:uid="{F4AF8EB6-CA61-4447-A290-E41B84F7CF3D}"/>
    <cellStyle name="Comma 69 2 2 2 2" xfId="4235" xr:uid="{B9DCF800-9F3B-4632-B5C2-24245641B6AC}"/>
    <cellStyle name="Comma 69 2 2 3" xfId="1453" xr:uid="{2650FF14-21F4-41EA-B117-7D02DDAD6AF6}"/>
    <cellStyle name="Comma 69 2 2 3 2" xfId="4680" xr:uid="{31A3C05A-8328-477E-B40E-BF19807C8270}"/>
    <cellStyle name="Comma 69 2 2 4" xfId="1905" xr:uid="{5A504344-5B1D-4C20-8F92-ED729EAB4767}"/>
    <cellStyle name="Comma 69 2 2 4 2" xfId="5125" xr:uid="{371D9619-EA88-4B23-AAD6-E05547820F68}"/>
    <cellStyle name="Comma 69 2 2 5" xfId="2357" xr:uid="{3BD46940-D7A1-4DD2-A224-820D2957D8B6}"/>
    <cellStyle name="Comma 69 2 2 5 2" xfId="5570" xr:uid="{9A60C9BF-2B54-4574-8F67-0A7487EB4F11}"/>
    <cellStyle name="Comma 69 2 2 6" xfId="2809" xr:uid="{63A076E3-A645-4D74-8A45-7471A535E4C5}"/>
    <cellStyle name="Comma 69 2 2 6 2" xfId="6015" xr:uid="{15210C1F-F970-49F7-8EEB-756B3B3E8BCC}"/>
    <cellStyle name="Comma 69 2 2 7" xfId="3261" xr:uid="{1DBDEFB9-976C-4CA4-A0CD-3977646DB374}"/>
    <cellStyle name="Comma 69 2 2 7 2" xfId="6460" xr:uid="{626BEF18-37A5-4C34-99F5-F801B29FF71C}"/>
    <cellStyle name="Comma 69 2 2 8" xfId="3790" xr:uid="{9582114F-E282-43DB-9451-A5E5F84DADCF}"/>
    <cellStyle name="Comma 69 2 3" xfId="777" xr:uid="{FA176BF8-A0D4-492E-8354-1BE23428C437}"/>
    <cellStyle name="Comma 69 2 3 2" xfId="4013" xr:uid="{BFAF9CD5-5DF6-46C7-8F57-E6832AD8E91D}"/>
    <cellStyle name="Comma 69 2 4" xfId="1229" xr:uid="{FC168F24-8EEB-46B8-9ADB-A9497F2473B5}"/>
    <cellStyle name="Comma 69 2 4 2" xfId="4458" xr:uid="{D197CE88-DB34-4C4E-9CFB-C4B5C0D27BB7}"/>
    <cellStyle name="Comma 69 2 5" xfId="1681" xr:uid="{A4A2CA2D-FD3D-4D2B-A867-025E2FEE6073}"/>
    <cellStyle name="Comma 69 2 5 2" xfId="4903" xr:uid="{47F54CD2-7631-43CA-81A1-32BD76E0A2B4}"/>
    <cellStyle name="Comma 69 2 6" xfId="2133" xr:uid="{574788D6-4A4C-4634-A5D6-9FDD2C763819}"/>
    <cellStyle name="Comma 69 2 6 2" xfId="5348" xr:uid="{54BEF7F7-77A5-4577-8E22-2612FF12060F}"/>
    <cellStyle name="Comma 69 2 7" xfId="2585" xr:uid="{96AAE321-65C8-4E61-90C4-40E4F8FDE218}"/>
    <cellStyle name="Comma 69 2 7 2" xfId="5793" xr:uid="{8CF741E2-EF6B-4DD1-9A24-0BB68BB4D31C}"/>
    <cellStyle name="Comma 69 2 8" xfId="3037" xr:uid="{DA9F2A61-15F7-496B-AD33-2B04C3E0E207}"/>
    <cellStyle name="Comma 69 2 8 2" xfId="6238" xr:uid="{C38227E8-D21E-429A-96B8-CDC258BB22EA}"/>
    <cellStyle name="Comma 69 2 9" xfId="3567" xr:uid="{FE257D56-557B-4E61-BDB6-C57E961F93E3}"/>
    <cellStyle name="Comma 69 3" xfId="548" xr:uid="{F32699C2-1CFB-46DB-8ACC-7E9CD2C96901}"/>
    <cellStyle name="Comma 69 3 2" xfId="1000" xr:uid="{50D8DD45-AEE3-4A28-92BB-4462B40AABA8}"/>
    <cellStyle name="Comma 69 3 2 2" xfId="4234" xr:uid="{CA77F888-ED7D-4941-8381-BDF1F7D31A2C}"/>
    <cellStyle name="Comma 69 3 3" xfId="1452" xr:uid="{42278243-74DA-4E26-A6BD-0EA51259C627}"/>
    <cellStyle name="Comma 69 3 3 2" xfId="4679" xr:uid="{1969A13A-288A-4CCF-A869-05CF5FEF70E3}"/>
    <cellStyle name="Comma 69 3 4" xfId="1904" xr:uid="{3C589D88-70B4-4FDB-B208-DB4917B31370}"/>
    <cellStyle name="Comma 69 3 4 2" xfId="5124" xr:uid="{F3E78D97-4D7D-43F6-9477-B6E763E68423}"/>
    <cellStyle name="Comma 69 3 5" xfId="2356" xr:uid="{2201268F-82BC-4610-940C-7EFC64F5F0FC}"/>
    <cellStyle name="Comma 69 3 5 2" xfId="5569" xr:uid="{5B0ED073-91BB-4912-B999-7A039199F840}"/>
    <cellStyle name="Comma 69 3 6" xfId="2808" xr:uid="{4C71071B-E7AC-4479-9DC8-955E6B9B6481}"/>
    <cellStyle name="Comma 69 3 6 2" xfId="6014" xr:uid="{FB7620C6-5139-4F4B-B577-E52A2E3B44C7}"/>
    <cellStyle name="Comma 69 3 7" xfId="3260" xr:uid="{4FFDF39D-1F44-4F58-BC08-97BF86C260C0}"/>
    <cellStyle name="Comma 69 3 7 2" xfId="6459" xr:uid="{9B7C9F6C-F21E-4950-8F96-CD9EC168DDFA}"/>
    <cellStyle name="Comma 69 3 8" xfId="3789" xr:uid="{29F7CF8C-BC19-43C3-B400-440CF9F27DD7}"/>
    <cellStyle name="Comma 69 4" xfId="776" xr:uid="{CCC83DB3-0FA7-4AF0-817F-4D00ACD63533}"/>
    <cellStyle name="Comma 69 4 2" xfId="4012" xr:uid="{B8ACD6DF-EAA2-4A27-87B9-9231AB75A7E7}"/>
    <cellStyle name="Comma 69 5" xfId="1228" xr:uid="{47BB1B2D-6C77-4CED-B411-6997B6C7752C}"/>
    <cellStyle name="Comma 69 5 2" xfId="4457" xr:uid="{AF618666-38C4-4D43-A298-186DDB380B1D}"/>
    <cellStyle name="Comma 69 6" xfId="1680" xr:uid="{2EF873A8-754F-4F53-963A-432B1BFBDBF4}"/>
    <cellStyle name="Comma 69 6 2" xfId="4902" xr:uid="{6B4F1D17-9B4B-4801-AD8B-F953BB50CF70}"/>
    <cellStyle name="Comma 69 7" xfId="2132" xr:uid="{98C8AC48-3855-4174-8A46-79FE5CDAD8C6}"/>
    <cellStyle name="Comma 69 7 2" xfId="5347" xr:uid="{75B13C9E-AB96-49F1-8423-C20D2FC37037}"/>
    <cellStyle name="Comma 69 8" xfId="2584" xr:uid="{9738FFFE-6651-4A64-9F32-78C12F45035A}"/>
    <cellStyle name="Comma 69 8 2" xfId="5792" xr:uid="{63EE2E10-9EAD-433E-9EF6-5F509C43E07A}"/>
    <cellStyle name="Comma 69 9" xfId="3036" xr:uid="{7ADE59B5-CAC7-41AE-B056-22698E865720}"/>
    <cellStyle name="Comma 69 9 2" xfId="6237" xr:uid="{88DDA259-A92B-43A0-A968-3720A82A4035}"/>
    <cellStyle name="Comma 7" xfId="287" xr:uid="{E332ED58-4708-4C14-BCED-2276196EE684}"/>
    <cellStyle name="Comma 7 10" xfId="3568" xr:uid="{4C36C3AD-A0BB-42FE-A64D-5D5907A2E636}"/>
    <cellStyle name="Comma 7 2" xfId="288" xr:uid="{A3C93416-1000-4E95-8625-F66FFA5E4CF5}"/>
    <cellStyle name="Comma 7 2 2" xfId="551" xr:uid="{AED7E0B6-397E-4E5B-98E7-BE61B8307D23}"/>
    <cellStyle name="Comma 7 2 2 2" xfId="1003" xr:uid="{C6F41D1B-FBB2-4F64-A230-DEE18BAA26BF}"/>
    <cellStyle name="Comma 7 2 2 2 2" xfId="4237" xr:uid="{6C40C3B3-E1C4-458D-BF4A-6B2234105B8E}"/>
    <cellStyle name="Comma 7 2 2 3" xfId="1455" xr:uid="{EB79CEB7-BE1C-41C3-9831-8EC9CAF28CC3}"/>
    <cellStyle name="Comma 7 2 2 3 2" xfId="4682" xr:uid="{7A0F834A-C69C-4270-963D-A2C7E45054F0}"/>
    <cellStyle name="Comma 7 2 2 4" xfId="1907" xr:uid="{E1CD576F-7B18-4392-81A4-31FB62E7837B}"/>
    <cellStyle name="Comma 7 2 2 4 2" xfId="5127" xr:uid="{3E87872A-2528-4AD7-A180-2E5EB6C98714}"/>
    <cellStyle name="Comma 7 2 2 5" xfId="2359" xr:uid="{0D3BB818-F1CE-4CAF-96A3-E1E94222829F}"/>
    <cellStyle name="Comma 7 2 2 5 2" xfId="5572" xr:uid="{7E950B95-4084-4EEE-B77E-40C956506A27}"/>
    <cellStyle name="Comma 7 2 2 6" xfId="2811" xr:uid="{EBDD2361-D1BB-49D7-991A-4BD1C036554E}"/>
    <cellStyle name="Comma 7 2 2 6 2" xfId="6017" xr:uid="{C2E7CFFD-E8AA-4F15-9D1C-DC66F15448D9}"/>
    <cellStyle name="Comma 7 2 2 7" xfId="3263" xr:uid="{636AB877-11E3-4986-A2A5-35C2F1D9EAA3}"/>
    <cellStyle name="Comma 7 2 2 7 2" xfId="6462" xr:uid="{6782F497-7051-44EA-991E-129BAF7B90CA}"/>
    <cellStyle name="Comma 7 2 2 8" xfId="3792" xr:uid="{CF5EDA83-9604-4B4B-8683-506324EE4B67}"/>
    <cellStyle name="Comma 7 2 3" xfId="779" xr:uid="{441159D4-C0DC-44DC-A127-4457B39986AC}"/>
    <cellStyle name="Comma 7 2 3 2" xfId="4015" xr:uid="{7048AFB4-DABC-4211-A549-492F13300E18}"/>
    <cellStyle name="Comma 7 2 4" xfId="1231" xr:uid="{09527812-EA54-4EAF-98DF-E5288C3F75DE}"/>
    <cellStyle name="Comma 7 2 4 2" xfId="4460" xr:uid="{0CF45BAA-A060-4043-868A-38C8291A9AD5}"/>
    <cellStyle name="Comma 7 2 5" xfId="1683" xr:uid="{5F344251-56DC-438E-8211-0EB1B2E57C76}"/>
    <cellStyle name="Comma 7 2 5 2" xfId="4905" xr:uid="{DE5188C7-0D35-4CB4-8205-69597D943974}"/>
    <cellStyle name="Comma 7 2 6" xfId="2135" xr:uid="{AC2CD138-38F9-4468-9997-7D8527090C05}"/>
    <cellStyle name="Comma 7 2 6 2" xfId="5350" xr:uid="{CAB59BBA-1043-4BFB-B392-B4DDD38C9ED4}"/>
    <cellStyle name="Comma 7 2 7" xfId="2587" xr:uid="{509830CE-D298-4297-B2CD-257117844DCA}"/>
    <cellStyle name="Comma 7 2 7 2" xfId="5795" xr:uid="{FB3AA0EA-F14C-4D73-8BB0-4A6F425C4BE4}"/>
    <cellStyle name="Comma 7 2 8" xfId="3039" xr:uid="{E702B131-2B9E-4BA9-8BC5-2A40E16A35B5}"/>
    <cellStyle name="Comma 7 2 8 2" xfId="6240" xr:uid="{27F3C80B-89A4-4F6B-B2B5-A33F958A6BC7}"/>
    <cellStyle name="Comma 7 2 9" xfId="3569" xr:uid="{BF029003-75FE-41CB-85AE-8157545228DC}"/>
    <cellStyle name="Comma 7 3" xfId="550" xr:uid="{E01027E3-E87A-4643-A88B-C6AB452CD751}"/>
    <cellStyle name="Comma 7 3 2" xfId="1002" xr:uid="{83962919-1D89-4364-96F8-D21BD1BA6021}"/>
    <cellStyle name="Comma 7 3 2 2" xfId="4236" xr:uid="{F9FE9CC5-1E07-4690-838B-B30CD4637F7C}"/>
    <cellStyle name="Comma 7 3 3" xfId="1454" xr:uid="{6D366255-7ADD-48F5-9AAB-035E5A4D76CE}"/>
    <cellStyle name="Comma 7 3 3 2" xfId="4681" xr:uid="{8CA35D6D-8D8B-451B-8DDE-2166801E3D6D}"/>
    <cellStyle name="Comma 7 3 4" xfId="1906" xr:uid="{C258DAAB-C107-4E1E-A435-C56CDE3F7F4F}"/>
    <cellStyle name="Comma 7 3 4 2" xfId="5126" xr:uid="{8A3AF579-30D2-4D80-B97D-1AB63B76CBAE}"/>
    <cellStyle name="Comma 7 3 5" xfId="2358" xr:uid="{8AA98772-275F-4BFD-87A1-23F67EA131E4}"/>
    <cellStyle name="Comma 7 3 5 2" xfId="5571" xr:uid="{B53AE42B-6ACD-4D48-B2F5-91FD7C14100C}"/>
    <cellStyle name="Comma 7 3 6" xfId="2810" xr:uid="{6BF6EF01-1847-484F-839E-2FDFEC180235}"/>
    <cellStyle name="Comma 7 3 6 2" xfId="6016" xr:uid="{80E2680B-9523-4663-A200-E2B33F4EFE55}"/>
    <cellStyle name="Comma 7 3 7" xfId="3262" xr:uid="{7E0023D8-9952-460D-8E06-90E03F66E8EA}"/>
    <cellStyle name="Comma 7 3 7 2" xfId="6461" xr:uid="{42AF7338-3E64-4B26-BDF6-64A8C00C7710}"/>
    <cellStyle name="Comma 7 3 8" xfId="3791" xr:uid="{47487D8F-D3E3-4DA1-BF56-415722EAB0F4}"/>
    <cellStyle name="Comma 7 4" xfId="778" xr:uid="{7271BC0B-6185-4DAD-9F56-23C144E11811}"/>
    <cellStyle name="Comma 7 4 2" xfId="4014" xr:uid="{F7C23FDA-BCB4-48BE-8E11-144DB45944A5}"/>
    <cellStyle name="Comma 7 5" xfId="1230" xr:uid="{DCF0E036-4F52-4CE8-A451-D15E5318A2D7}"/>
    <cellStyle name="Comma 7 5 2" xfId="4459" xr:uid="{B695D43F-9D1C-450F-83EA-A9934C19D3CB}"/>
    <cellStyle name="Comma 7 6" xfId="1682" xr:uid="{445EB716-6AAF-461D-9524-F79CCC7E5E96}"/>
    <cellStyle name="Comma 7 6 2" xfId="4904" xr:uid="{3C446086-3C8D-4A97-9F3E-31A1B5ABD6E6}"/>
    <cellStyle name="Comma 7 7" xfId="2134" xr:uid="{75AC1D37-C039-4458-BBBA-D73BF57059D7}"/>
    <cellStyle name="Comma 7 7 2" xfId="5349" xr:uid="{CEA54113-2DB6-4A35-B1F2-A2B0AE0B5601}"/>
    <cellStyle name="Comma 7 8" xfId="2586" xr:uid="{45CF449C-6748-4860-97CD-83B8C1C23861}"/>
    <cellStyle name="Comma 7 8 2" xfId="5794" xr:uid="{41F4240E-F8DF-4065-B746-7837985BA7A6}"/>
    <cellStyle name="Comma 7 9" xfId="3038" xr:uid="{1DA952DE-AE39-4269-8C99-6F96CEBFE38C}"/>
    <cellStyle name="Comma 7 9 2" xfId="6239" xr:uid="{540BAFC3-D4BD-4F1E-9F5F-31DCD1E0DE13}"/>
    <cellStyle name="Comma 70" xfId="289" xr:uid="{CF67B75B-1EEC-4C33-80B8-090B519C8F1A}"/>
    <cellStyle name="Comma 70 10" xfId="3570" xr:uid="{540B9B70-E882-4AA5-B556-3097DBC4CEA0}"/>
    <cellStyle name="Comma 70 2" xfId="290" xr:uid="{7EA8B047-B9A0-4310-B6DC-7AF1CC0ECCAB}"/>
    <cellStyle name="Comma 70 2 2" xfId="553" xr:uid="{FBAE6B9F-32BD-477D-8368-D71BD36D8081}"/>
    <cellStyle name="Comma 70 2 2 2" xfId="1005" xr:uid="{FD4B272D-AB0D-4EBF-AABD-A6EFD2E661AE}"/>
    <cellStyle name="Comma 70 2 2 2 2" xfId="4239" xr:uid="{0AA8E022-45FE-4B12-A71C-3425CE077548}"/>
    <cellStyle name="Comma 70 2 2 3" xfId="1457" xr:uid="{0884D5E1-0469-4343-8837-1A64AC41BA8B}"/>
    <cellStyle name="Comma 70 2 2 3 2" xfId="4684" xr:uid="{AAAAAFDD-E175-49BA-9928-AB81C8BCA365}"/>
    <cellStyle name="Comma 70 2 2 4" xfId="1909" xr:uid="{4F4EB0D7-9B22-4698-9196-03B0BF9C4C3F}"/>
    <cellStyle name="Comma 70 2 2 4 2" xfId="5129" xr:uid="{07F32AF1-6E67-4179-8FC3-616835AE6885}"/>
    <cellStyle name="Comma 70 2 2 5" xfId="2361" xr:uid="{A8DA9A78-8D60-4F48-8A10-7EFE032BCE18}"/>
    <cellStyle name="Comma 70 2 2 5 2" xfId="5574" xr:uid="{B556FEBF-43BC-4EDD-8C54-30AD112091FD}"/>
    <cellStyle name="Comma 70 2 2 6" xfId="2813" xr:uid="{741AF1FA-9141-4548-9C8C-CC4472A0882F}"/>
    <cellStyle name="Comma 70 2 2 6 2" xfId="6019" xr:uid="{77E0BC80-F78F-4551-A254-C795102DE435}"/>
    <cellStyle name="Comma 70 2 2 7" xfId="3265" xr:uid="{AB7CD695-A545-467C-9B27-A473A37C8E17}"/>
    <cellStyle name="Comma 70 2 2 7 2" xfId="6464" xr:uid="{EDDC529C-5DE5-47FE-998A-A80A91E894D2}"/>
    <cellStyle name="Comma 70 2 2 8" xfId="3794" xr:uid="{2537BC3A-A85B-4E0A-9982-F106D8702596}"/>
    <cellStyle name="Comma 70 2 3" xfId="781" xr:uid="{84E01877-7428-4A65-A42B-F4256E516CAE}"/>
    <cellStyle name="Comma 70 2 3 2" xfId="4017" xr:uid="{58330A4C-44D2-4CBC-BF84-583DCF6E8331}"/>
    <cellStyle name="Comma 70 2 4" xfId="1233" xr:uid="{19991D1F-5F0C-4ADC-B5D0-C6141D053C68}"/>
    <cellStyle name="Comma 70 2 4 2" xfId="4462" xr:uid="{B9B2DF52-B6C4-496E-9101-D705198508BF}"/>
    <cellStyle name="Comma 70 2 5" xfId="1685" xr:uid="{45879B0C-EF1A-48F3-86B4-E49E031AC2A5}"/>
    <cellStyle name="Comma 70 2 5 2" xfId="4907" xr:uid="{82B99BEF-48A4-4EF8-B628-08722BF93BD5}"/>
    <cellStyle name="Comma 70 2 6" xfId="2137" xr:uid="{FCEEDE36-3CBF-4CFC-9A25-5EFC9D48E883}"/>
    <cellStyle name="Comma 70 2 6 2" xfId="5352" xr:uid="{2A287CD2-9008-46A5-A612-4985A185248A}"/>
    <cellStyle name="Comma 70 2 7" xfId="2589" xr:uid="{739DBC42-5282-4C59-BE7D-6287BD9FB0C7}"/>
    <cellStyle name="Comma 70 2 7 2" xfId="5797" xr:uid="{B559BC70-DB8E-4EBE-A436-50E36E07159E}"/>
    <cellStyle name="Comma 70 2 8" xfId="3041" xr:uid="{FF721AB9-56B7-4D9E-8A72-7E87AAAF8D47}"/>
    <cellStyle name="Comma 70 2 8 2" xfId="6242" xr:uid="{39FD84DA-DA96-47B7-8D1F-DD556E33FA9D}"/>
    <cellStyle name="Comma 70 2 9" xfId="3571" xr:uid="{FD98D176-0AD1-4AF4-A9BC-8D7D7805F570}"/>
    <cellStyle name="Comma 70 3" xfId="552" xr:uid="{4F04213B-534C-4335-862C-A9762E885012}"/>
    <cellStyle name="Comma 70 3 2" xfId="1004" xr:uid="{AE2531F1-79DE-4E1F-95D5-5409A9D76680}"/>
    <cellStyle name="Comma 70 3 2 2" xfId="4238" xr:uid="{00D2232D-BD90-4323-BA20-5E47B6A7C064}"/>
    <cellStyle name="Comma 70 3 3" xfId="1456" xr:uid="{146E83F2-79EB-4BA9-AD8F-BBFD67C0A32A}"/>
    <cellStyle name="Comma 70 3 3 2" xfId="4683" xr:uid="{3AC4EE72-63FB-4B6C-A59B-5C331536EE17}"/>
    <cellStyle name="Comma 70 3 4" xfId="1908" xr:uid="{EE517A1D-17E9-464A-A050-507E2EEEA7F3}"/>
    <cellStyle name="Comma 70 3 4 2" xfId="5128" xr:uid="{178CF703-D53A-4E3D-B7B6-829D2DD786E0}"/>
    <cellStyle name="Comma 70 3 5" xfId="2360" xr:uid="{4B639B04-42AF-4B15-BCFE-B2F0F67EC4E6}"/>
    <cellStyle name="Comma 70 3 5 2" xfId="5573" xr:uid="{02896066-4250-4985-8CA6-38C0D5FAD920}"/>
    <cellStyle name="Comma 70 3 6" xfId="2812" xr:uid="{3B0BA86D-9C67-4C19-95A8-5B5B5A07E43C}"/>
    <cellStyle name="Comma 70 3 6 2" xfId="6018" xr:uid="{A519F586-9D8A-491C-9671-0175C37F09A3}"/>
    <cellStyle name="Comma 70 3 7" xfId="3264" xr:uid="{08CC9E0C-0787-442B-9EE8-E710161C967B}"/>
    <cellStyle name="Comma 70 3 7 2" xfId="6463" xr:uid="{A198E0B0-9D86-4B44-B1F1-2B0922BF1F4E}"/>
    <cellStyle name="Comma 70 3 8" xfId="3793" xr:uid="{9B8B8758-C830-4900-AAC8-49AA62F269A9}"/>
    <cellStyle name="Comma 70 4" xfId="780" xr:uid="{472EE87F-2456-438F-A3C0-DDDFB13C9A7C}"/>
    <cellStyle name="Comma 70 4 2" xfId="4016" xr:uid="{759BF464-EFD1-426E-B015-E8B4BED4A7E1}"/>
    <cellStyle name="Comma 70 5" xfId="1232" xr:uid="{D2FC4D29-7089-484A-A279-1E16ADBE5311}"/>
    <cellStyle name="Comma 70 5 2" xfId="4461" xr:uid="{0E2F00FB-DE55-4CFC-933C-50BAAE1FEC3E}"/>
    <cellStyle name="Comma 70 6" xfId="1684" xr:uid="{79FB91DE-826C-480E-B5C6-8A50027C7D90}"/>
    <cellStyle name="Comma 70 6 2" xfId="4906" xr:uid="{C0A307F7-0787-4AFB-AF68-A1A8129CF255}"/>
    <cellStyle name="Comma 70 7" xfId="2136" xr:uid="{B2A45DCD-79C8-42CC-9710-4AC1A2CB9CF7}"/>
    <cellStyle name="Comma 70 7 2" xfId="5351" xr:uid="{83A5FFBA-5664-44C0-AFB2-4C996D3E43A5}"/>
    <cellStyle name="Comma 70 8" xfId="2588" xr:uid="{F297D79A-F55D-42E3-9907-F039FA4FB076}"/>
    <cellStyle name="Comma 70 8 2" xfId="5796" xr:uid="{E69654A7-59F1-45C4-B531-87E3D48455B1}"/>
    <cellStyle name="Comma 70 9" xfId="3040" xr:uid="{AB74F987-29C7-4A21-A25D-13720D68DFFE}"/>
    <cellStyle name="Comma 70 9 2" xfId="6241" xr:uid="{ACFFC156-698E-4044-BCB0-1ABE0F868E85}"/>
    <cellStyle name="Comma 71" xfId="291" xr:uid="{4B09038F-9AB4-4A85-97F0-0650E7E56D48}"/>
    <cellStyle name="Comma 71 10" xfId="3572" xr:uid="{37C46022-9E87-4908-BE8C-B1A9D407C00A}"/>
    <cellStyle name="Comma 71 2" xfId="292" xr:uid="{FE7664C9-E284-410B-8D5A-75388DF4640D}"/>
    <cellStyle name="Comma 71 2 2" xfId="555" xr:uid="{C1B061C1-E3EB-4546-B07E-3F7662D7F565}"/>
    <cellStyle name="Comma 71 2 2 2" xfId="1007" xr:uid="{806B1C26-5E8B-4D48-92C5-76E4C7A3362F}"/>
    <cellStyle name="Comma 71 2 2 2 2" xfId="4241" xr:uid="{D44FC22E-8922-4BA0-AF48-3A89D28139D4}"/>
    <cellStyle name="Comma 71 2 2 3" xfId="1459" xr:uid="{14CE6660-3748-4599-84AC-ABF6AC8AB064}"/>
    <cellStyle name="Comma 71 2 2 3 2" xfId="4686" xr:uid="{E02B7F8E-138E-4AA3-A174-EDDCC00578F6}"/>
    <cellStyle name="Comma 71 2 2 4" xfId="1911" xr:uid="{3AEE1585-15ED-4C99-AFCA-0C17AD1F72C0}"/>
    <cellStyle name="Comma 71 2 2 4 2" xfId="5131" xr:uid="{EA6850FA-66D0-42EE-B965-4E4D5F8DA088}"/>
    <cellStyle name="Comma 71 2 2 5" xfId="2363" xr:uid="{70AAFC46-9606-4BBF-A943-A54F718525D3}"/>
    <cellStyle name="Comma 71 2 2 5 2" xfId="5576" xr:uid="{A26BD183-417C-49F4-ABA0-3B8EB614D3AF}"/>
    <cellStyle name="Comma 71 2 2 6" xfId="2815" xr:uid="{4E5B622D-8964-4B9B-939B-C71DF30B5F8E}"/>
    <cellStyle name="Comma 71 2 2 6 2" xfId="6021" xr:uid="{CE658881-2553-4F49-B7AB-4FBF1E94DA3C}"/>
    <cellStyle name="Comma 71 2 2 7" xfId="3267" xr:uid="{8F77980F-0F1B-4875-84A3-BF3440BE164C}"/>
    <cellStyle name="Comma 71 2 2 7 2" xfId="6466" xr:uid="{1A790B43-7DDD-4703-989D-7A54D6B4B750}"/>
    <cellStyle name="Comma 71 2 2 8" xfId="3796" xr:uid="{4889EA9E-5D0C-40E5-973B-767DE4635146}"/>
    <cellStyle name="Comma 71 2 3" xfId="783" xr:uid="{269FFB1D-DAC2-445D-8C3E-9B83E6C17A00}"/>
    <cellStyle name="Comma 71 2 3 2" xfId="4019" xr:uid="{74CB4EBA-67EF-4ED9-9549-F753E985B07C}"/>
    <cellStyle name="Comma 71 2 4" xfId="1235" xr:uid="{CE7D3786-4305-4034-BE4D-6AA678399D07}"/>
    <cellStyle name="Comma 71 2 4 2" xfId="4464" xr:uid="{53E61A9E-1F34-410D-BA02-5836D7D2AFB8}"/>
    <cellStyle name="Comma 71 2 5" xfId="1687" xr:uid="{937B35B4-EF85-4C27-9493-59A227B5E174}"/>
    <cellStyle name="Comma 71 2 5 2" xfId="4909" xr:uid="{F1483434-2607-4A6D-9AFC-4008801BD4FF}"/>
    <cellStyle name="Comma 71 2 6" xfId="2139" xr:uid="{B6E44757-2554-4B30-A0D7-518C1048782F}"/>
    <cellStyle name="Comma 71 2 6 2" xfId="5354" xr:uid="{E99BA3BE-051F-4C3A-AE06-636E18846DAA}"/>
    <cellStyle name="Comma 71 2 7" xfId="2591" xr:uid="{B3F15348-80BA-4A82-B1A1-9B8C15BA8777}"/>
    <cellStyle name="Comma 71 2 7 2" xfId="5799" xr:uid="{7666D27A-EAE7-4B57-A8EF-7DDD75FE1230}"/>
    <cellStyle name="Comma 71 2 8" xfId="3043" xr:uid="{29FC4FC6-0879-47D3-BA17-0BC9F5E3BC0C}"/>
    <cellStyle name="Comma 71 2 8 2" xfId="6244" xr:uid="{1D8DC635-C141-4039-A0E6-A81513FD6DCC}"/>
    <cellStyle name="Comma 71 2 9" xfId="3573" xr:uid="{98886F37-253F-412F-BBAF-10CC1F9BCDC2}"/>
    <cellStyle name="Comma 71 3" xfId="554" xr:uid="{1B07A918-A613-4C3E-9D33-2D32054646F3}"/>
    <cellStyle name="Comma 71 3 2" xfId="1006" xr:uid="{5AF7F0C8-A79E-4E3C-89FE-E042AB43DA8E}"/>
    <cellStyle name="Comma 71 3 2 2" xfId="4240" xr:uid="{B0A85B3E-AE75-4FD5-A835-474D894DA7C2}"/>
    <cellStyle name="Comma 71 3 3" xfId="1458" xr:uid="{A3BF3855-5191-4495-8E73-EA9734B0D2F5}"/>
    <cellStyle name="Comma 71 3 3 2" xfId="4685" xr:uid="{BC208920-5FFC-41DE-B28C-56C796F0CE14}"/>
    <cellStyle name="Comma 71 3 4" xfId="1910" xr:uid="{BB6A3C11-A2A9-4A62-BCFB-1DA6B5D4BC84}"/>
    <cellStyle name="Comma 71 3 4 2" xfId="5130" xr:uid="{AA04AE74-FB9F-4B2F-9564-16AE5B10AA3E}"/>
    <cellStyle name="Comma 71 3 5" xfId="2362" xr:uid="{A0D66900-65ED-4535-91D3-C90E686AE8C5}"/>
    <cellStyle name="Comma 71 3 5 2" xfId="5575" xr:uid="{53101CAB-1B81-4DC9-AE86-D39E7A09FA71}"/>
    <cellStyle name="Comma 71 3 6" xfId="2814" xr:uid="{8734C90A-26A7-4DFC-9AC0-1A9C635AE8EF}"/>
    <cellStyle name="Comma 71 3 6 2" xfId="6020" xr:uid="{1F39329A-8A84-4B18-BAAA-F8BE5E3BE022}"/>
    <cellStyle name="Comma 71 3 7" xfId="3266" xr:uid="{9DC4E1CB-41B0-4720-A9AD-848811A0E6EC}"/>
    <cellStyle name="Comma 71 3 7 2" xfId="6465" xr:uid="{4A7E4A64-3D0B-4279-A352-42E692E3AC49}"/>
    <cellStyle name="Comma 71 3 8" xfId="3795" xr:uid="{E44A7DF9-8955-4F9F-997D-268E5706EFCF}"/>
    <cellStyle name="Comma 71 4" xfId="782" xr:uid="{93CAC016-9BD0-48BF-89C1-83EA5E68DC76}"/>
    <cellStyle name="Comma 71 4 2" xfId="4018" xr:uid="{E61DFA60-EAED-43A2-8329-33BB10ACB416}"/>
    <cellStyle name="Comma 71 5" xfId="1234" xr:uid="{B58AD7B7-0A87-4E29-8C5C-954C6A76ADB3}"/>
    <cellStyle name="Comma 71 5 2" xfId="4463" xr:uid="{9EDD6156-BDD5-46D3-A0AB-23D20D62FCFF}"/>
    <cellStyle name="Comma 71 6" xfId="1686" xr:uid="{FE64118D-C222-4634-B0E1-E35292EC33C5}"/>
    <cellStyle name="Comma 71 6 2" xfId="4908" xr:uid="{6DAC9918-777A-4677-AF3B-253D02BAE8EF}"/>
    <cellStyle name="Comma 71 7" xfId="2138" xr:uid="{E803F8E3-B8CB-4579-A66D-6A0C2D714296}"/>
    <cellStyle name="Comma 71 7 2" xfId="5353" xr:uid="{178A1A19-AAB9-4CA2-A3E6-9A7D238AEAD4}"/>
    <cellStyle name="Comma 71 8" xfId="2590" xr:uid="{ECC5F26C-9C3A-4479-8B23-0291B1F29C9A}"/>
    <cellStyle name="Comma 71 8 2" xfId="5798" xr:uid="{722695D4-5269-4C07-8CB6-CEDBE5497C61}"/>
    <cellStyle name="Comma 71 9" xfId="3042" xr:uid="{64B2F0BD-A122-4C84-B389-2CDC97EB1F25}"/>
    <cellStyle name="Comma 71 9 2" xfId="6243" xr:uid="{1ED4F4D3-6170-45EB-B463-B08E8EF3948E}"/>
    <cellStyle name="Comma 72" xfId="293" xr:uid="{441B77D4-F038-48E3-951E-CADADF71FEE2}"/>
    <cellStyle name="Comma 72 2" xfId="556" xr:uid="{BFD59F0B-D64D-41B2-9055-71B090193C51}"/>
    <cellStyle name="Comma 72 2 2" xfId="1008" xr:uid="{35EBE31C-1DC3-413A-AD20-56674022E5C9}"/>
    <cellStyle name="Comma 72 2 2 2" xfId="4242" xr:uid="{897EB77E-862E-4A42-98FE-05939DF5E2FE}"/>
    <cellStyle name="Comma 72 2 3" xfId="1460" xr:uid="{C1B9022C-F787-490D-B88F-CF187A2D2D7C}"/>
    <cellStyle name="Comma 72 2 3 2" xfId="4687" xr:uid="{5E7DC5B1-1739-4F3E-AE2D-DDE5E8BBA55A}"/>
    <cellStyle name="Comma 72 2 4" xfId="1912" xr:uid="{C67BBDFD-3F85-4AC4-9C89-3ECB4085E147}"/>
    <cellStyle name="Comma 72 2 4 2" xfId="5132" xr:uid="{D895EA76-8F81-47BB-9AB3-FFF487EA2D91}"/>
    <cellStyle name="Comma 72 2 5" xfId="2364" xr:uid="{44A76C65-61C8-4B91-93F2-26C1E02AF475}"/>
    <cellStyle name="Comma 72 2 5 2" xfId="5577" xr:uid="{5E282A8F-E979-4D2E-8363-B3040DF9553E}"/>
    <cellStyle name="Comma 72 2 6" xfId="2816" xr:uid="{6F5B932E-1B3E-4C1B-95A6-63D36E611ACB}"/>
    <cellStyle name="Comma 72 2 6 2" xfId="6022" xr:uid="{4BC0D2A0-42DA-425D-BD73-362CA729E7E9}"/>
    <cellStyle name="Comma 72 2 7" xfId="3268" xr:uid="{8CEBBCAF-97A5-48B5-B9CA-611804D9FF8A}"/>
    <cellStyle name="Comma 72 2 7 2" xfId="6467" xr:uid="{F9047718-03A9-4E21-B3C6-56D78900BA9D}"/>
    <cellStyle name="Comma 72 2 8" xfId="3797" xr:uid="{BBE71AF8-C840-45F5-AC37-B575FCB6BA2C}"/>
    <cellStyle name="Comma 72 3" xfId="784" xr:uid="{5ED43A70-D1F5-4A71-BE12-4942C86EA616}"/>
    <cellStyle name="Comma 72 3 2" xfId="4020" xr:uid="{8BEFCC4F-3828-4F69-B1F6-3F9AA0FB2DF8}"/>
    <cellStyle name="Comma 72 4" xfId="1236" xr:uid="{06A870B0-CD4A-42D2-BC08-3D31D29700C6}"/>
    <cellStyle name="Comma 72 4 2" xfId="4465" xr:uid="{84F9360E-4EF5-410D-9AA3-9AD6D60DCBAF}"/>
    <cellStyle name="Comma 72 5" xfId="1688" xr:uid="{50292B98-EDDF-4AFB-A0F2-70514284EDC8}"/>
    <cellStyle name="Comma 72 5 2" xfId="4910" xr:uid="{032C6B3A-9905-4737-A3D1-A81DDE5A0A18}"/>
    <cellStyle name="Comma 72 6" xfId="2140" xr:uid="{E9C39F96-004F-4EB7-9A97-F92BA61261AF}"/>
    <cellStyle name="Comma 72 6 2" xfId="5355" xr:uid="{34EDDDCE-6C55-4324-B57F-28FD1DB3D6FB}"/>
    <cellStyle name="Comma 72 7" xfId="2592" xr:uid="{1EF36EE8-1FD8-41C2-9115-46BAE0956EDD}"/>
    <cellStyle name="Comma 72 7 2" xfId="5800" xr:uid="{8A70B8EA-B274-40AE-B34F-3A30CFE95482}"/>
    <cellStyle name="Comma 72 8" xfId="3044" xr:uid="{38BB276C-0D54-45FC-B0FF-B324CCD8B573}"/>
    <cellStyle name="Comma 72 8 2" xfId="6245" xr:uid="{3C63BB35-0225-4D07-863B-F1C3F136C9E4}"/>
    <cellStyle name="Comma 72 9" xfId="3574" xr:uid="{296DF183-2C14-4049-B473-C06E2BFF024E}"/>
    <cellStyle name="Comma 73" xfId="3368" xr:uid="{C57D5CBF-55F7-4AEC-855B-24F6F8BE0BEF}"/>
    <cellStyle name="Comma 74" xfId="3626" xr:uid="{99E81152-A85B-4428-ABB1-20B41879E890}"/>
    <cellStyle name="Comma 8" xfId="294" xr:uid="{C0EFC2BC-4D42-4925-B370-EEABDE34FAC8}"/>
    <cellStyle name="Comma 8 10" xfId="3338" xr:uid="{B314CEFD-B4B0-4841-9F06-1880BEEEDDCB}"/>
    <cellStyle name="Comma 8 10 2" xfId="6527" xr:uid="{E2A32A10-B13C-45A3-9DCD-8AD773FEA8E1}"/>
    <cellStyle name="Comma 8 11" xfId="3575" xr:uid="{AEE55116-4E95-4AC0-B578-B8298C4763BE}"/>
    <cellStyle name="Comma 8 2" xfId="295" xr:uid="{E7925F6B-FC86-495D-AD1C-6CD83FB70671}"/>
    <cellStyle name="Comma 8 2 10" xfId="3576" xr:uid="{9FAEF898-CC81-4FE3-AE0E-0A8A61A6E29C}"/>
    <cellStyle name="Comma 8 2 2" xfId="558" xr:uid="{38FE6EA8-BAF8-435E-8276-F71CACF73C2D}"/>
    <cellStyle name="Comma 8 2 2 2" xfId="1010" xr:uid="{A851BC35-03FC-4000-AFED-975DD95FF8CD}"/>
    <cellStyle name="Comma 8 2 2 2 2" xfId="4244" xr:uid="{9E6876D6-9308-4FD7-99A6-DC2B4AD94FD6}"/>
    <cellStyle name="Comma 8 2 2 3" xfId="1462" xr:uid="{C852F23D-5163-4BA5-82A0-3532322959C3}"/>
    <cellStyle name="Comma 8 2 2 3 2" xfId="4689" xr:uid="{86F80F15-DA02-4AD2-85CB-0C793F2D479D}"/>
    <cellStyle name="Comma 8 2 2 4" xfId="1914" xr:uid="{293054E8-35C9-47A0-984E-3806A04F2684}"/>
    <cellStyle name="Comma 8 2 2 4 2" xfId="5134" xr:uid="{CE8043A9-EEA8-4E62-AC15-C5733B5CBF1C}"/>
    <cellStyle name="Comma 8 2 2 5" xfId="2366" xr:uid="{148ED8CE-7960-4FEC-B399-0C8AAE91DB79}"/>
    <cellStyle name="Comma 8 2 2 5 2" xfId="5579" xr:uid="{B8B83079-9EF4-4C34-9D60-D0FAB864785F}"/>
    <cellStyle name="Comma 8 2 2 6" xfId="2818" xr:uid="{1DB1017A-ECBC-4942-AEC4-DC5A61F39A80}"/>
    <cellStyle name="Comma 8 2 2 6 2" xfId="6024" xr:uid="{0164803A-6E73-45E0-BBA8-698CCF16F271}"/>
    <cellStyle name="Comma 8 2 2 7" xfId="3270" xr:uid="{FBC095B9-09E4-40C3-833D-EBBC7C13347C}"/>
    <cellStyle name="Comma 8 2 2 7 2" xfId="6469" xr:uid="{B59742F6-F022-4B83-A2D7-6CDDF555F539}"/>
    <cellStyle name="Comma 8 2 2 8" xfId="3799" xr:uid="{3801DB34-3B74-456B-9513-AE0AE9C90CEF}"/>
    <cellStyle name="Comma 8 2 3" xfId="786" xr:uid="{ECF42B18-F250-4B51-8F53-57D8B7ECEFAD}"/>
    <cellStyle name="Comma 8 2 3 2" xfId="4022" xr:uid="{164D45E4-FD7A-4D62-B6FD-6997955D1059}"/>
    <cellStyle name="Comma 8 2 4" xfId="1238" xr:uid="{A609717D-EBFB-4918-9D94-18840CB395D6}"/>
    <cellStyle name="Comma 8 2 4 2" xfId="4467" xr:uid="{5828AFA9-91E3-4818-A566-8D6D4A4DF7EE}"/>
    <cellStyle name="Comma 8 2 5" xfId="1690" xr:uid="{7F86BD1F-7E9C-498F-AFE6-3900607B0E0D}"/>
    <cellStyle name="Comma 8 2 5 2" xfId="4912" xr:uid="{40969F9E-F961-4433-8379-E6C65F4BCACF}"/>
    <cellStyle name="Comma 8 2 6" xfId="2142" xr:uid="{B0088917-A1E4-4DE7-87CD-6158AB0A883F}"/>
    <cellStyle name="Comma 8 2 6 2" xfId="5357" xr:uid="{B9FE0A81-A66F-443C-9D72-23E7F41D0AC5}"/>
    <cellStyle name="Comma 8 2 7" xfId="2594" xr:uid="{A9CCAEE8-1A57-438A-A149-D40538F8A4A1}"/>
    <cellStyle name="Comma 8 2 7 2" xfId="5802" xr:uid="{88E66FBA-4F5F-4E50-ABB3-A0D99BBC6E32}"/>
    <cellStyle name="Comma 8 2 8" xfId="3046" xr:uid="{17C94EFF-47E2-4676-8EC6-6DA6A50AB12F}"/>
    <cellStyle name="Comma 8 2 8 2" xfId="6247" xr:uid="{072F1CBA-7091-42B3-8C19-AF1B793DDB6E}"/>
    <cellStyle name="Comma 8 2 9" xfId="3358" xr:uid="{948A01A1-EC10-4803-BBF6-2386029E3BF5}"/>
    <cellStyle name="Comma 8 2 9 2" xfId="6545" xr:uid="{71F2AA45-8208-4748-BDBF-3955DB43768F}"/>
    <cellStyle name="Comma 8 3" xfId="557" xr:uid="{1FE02CE8-D16E-4E51-AA6A-9273F973B894}"/>
    <cellStyle name="Comma 8 3 2" xfId="1009" xr:uid="{FA1E1BAF-FE05-46C9-8BD8-1DC33CEFA981}"/>
    <cellStyle name="Comma 8 3 2 2" xfId="4243" xr:uid="{748FE756-AEB6-4D22-9A19-F7DE7AB98FE0}"/>
    <cellStyle name="Comma 8 3 3" xfId="1461" xr:uid="{2BF9F4DD-0558-4CC3-8D0C-8483EEBDE3B2}"/>
    <cellStyle name="Comma 8 3 3 2" xfId="4688" xr:uid="{DF8057C9-A4EB-469C-858D-8FE7A16F16B8}"/>
    <cellStyle name="Comma 8 3 4" xfId="1913" xr:uid="{E1E05E61-CF87-4116-A043-FBCA448AFCD0}"/>
    <cellStyle name="Comma 8 3 4 2" xfId="5133" xr:uid="{BF01390E-33F6-4BED-B844-897661079625}"/>
    <cellStyle name="Comma 8 3 5" xfId="2365" xr:uid="{1A4CDBDD-A037-4732-9479-B4A1202BD544}"/>
    <cellStyle name="Comma 8 3 5 2" xfId="5578" xr:uid="{6D14B542-6FF7-4D87-9723-61FC4FCBF5C5}"/>
    <cellStyle name="Comma 8 3 6" xfId="2817" xr:uid="{BBD7D3CA-4851-4B3B-9459-BA9D42541767}"/>
    <cellStyle name="Comma 8 3 6 2" xfId="6023" xr:uid="{BBBE3397-DDCC-46EB-9322-8FEBAC0772FD}"/>
    <cellStyle name="Comma 8 3 7" xfId="3269" xr:uid="{EE60FBE2-6428-49F4-9BE3-D08BB0871983}"/>
    <cellStyle name="Comma 8 3 7 2" xfId="6468" xr:uid="{6EE82278-5FBF-4BD2-94DC-7648070CA9A2}"/>
    <cellStyle name="Comma 8 3 8" xfId="3798" xr:uid="{3B88BC1E-0687-4AE8-A7D1-0EE2C00FE32B}"/>
    <cellStyle name="Comma 8 4" xfId="785" xr:uid="{395088F6-8663-4D9B-8A58-6476939B3545}"/>
    <cellStyle name="Comma 8 4 2" xfId="4021" xr:uid="{CE4341C5-34F6-4D1B-914A-143A9F3E423E}"/>
    <cellStyle name="Comma 8 5" xfId="1237" xr:uid="{4AD443DC-CA17-4624-A175-0E6F3DB18785}"/>
    <cellStyle name="Comma 8 5 2" xfId="4466" xr:uid="{8D2712D4-A1E8-41AC-B143-6AD119670C1F}"/>
    <cellStyle name="Comma 8 6" xfId="1689" xr:uid="{77B46555-C0EA-4694-A8CD-8354AE2111CC}"/>
    <cellStyle name="Comma 8 6 2" xfId="4911" xr:uid="{03D2A305-A758-48C2-9735-226E9568196F}"/>
    <cellStyle name="Comma 8 7" xfId="2141" xr:uid="{BE4BD10B-2DC4-4D39-AC23-DAF6A7AA2E71}"/>
    <cellStyle name="Comma 8 7 2" xfId="5356" xr:uid="{DF610059-17D2-4373-AC55-76B2FD1D8EF2}"/>
    <cellStyle name="Comma 8 8" xfId="2593" xr:uid="{33E5597B-A166-4D83-8269-41B7571433E0}"/>
    <cellStyle name="Comma 8 8 2" xfId="5801" xr:uid="{33132B30-7A03-4DCA-9007-24036B6F92CC}"/>
    <cellStyle name="Comma 8 9" xfId="3045" xr:uid="{2A558258-2AD8-4C19-9042-AEE02187337C}"/>
    <cellStyle name="Comma 8 9 2" xfId="6246" xr:uid="{6A3394DE-6512-4BA2-BF7A-B59F83E282FD}"/>
    <cellStyle name="Comma 9" xfId="296" xr:uid="{B99D2B9B-5840-43B3-AFAD-D6A3F8A4D58A}"/>
    <cellStyle name="Comma 9 10" xfId="3333" xr:uid="{453A8A41-903B-4D62-91A1-448EC51F4DE8}"/>
    <cellStyle name="Comma 9 10 2" xfId="6525" xr:uid="{856293EA-3670-4979-B4A4-45BD64C06567}"/>
    <cellStyle name="Comma 9 11" xfId="3577" xr:uid="{296B1458-88EE-47DC-80D7-0908B529D928}"/>
    <cellStyle name="Comma 9 2" xfId="297" xr:uid="{4B448002-8310-429C-955A-E0CFD955AFB2}"/>
    <cellStyle name="Comma 9 2 10" xfId="3578" xr:uid="{89713B2A-5D47-42A1-99A3-75659881F770}"/>
    <cellStyle name="Comma 9 2 2" xfId="560" xr:uid="{9BA234AB-1DC4-4079-AF88-71EFC424426A}"/>
    <cellStyle name="Comma 9 2 2 2" xfId="1012" xr:uid="{6DC680E9-6CF7-401F-A0E6-DFE38A79114E}"/>
    <cellStyle name="Comma 9 2 2 2 2" xfId="4246" xr:uid="{3F999CE5-6308-4801-B662-47EC35DEBCB2}"/>
    <cellStyle name="Comma 9 2 2 3" xfId="1464" xr:uid="{241BA91E-24CA-43B6-83A8-DF74EDC0BB93}"/>
    <cellStyle name="Comma 9 2 2 3 2" xfId="4691" xr:uid="{8A220582-5792-4379-823D-7B669CC090D6}"/>
    <cellStyle name="Comma 9 2 2 4" xfId="1916" xr:uid="{5A4389F9-42E2-4E4B-A9C8-F77B59BBF977}"/>
    <cellStyle name="Comma 9 2 2 4 2" xfId="5136" xr:uid="{AB67E196-5E59-4F29-AF59-BA35140187F4}"/>
    <cellStyle name="Comma 9 2 2 5" xfId="2368" xr:uid="{F6DF0851-2298-4783-A2B4-1A32E11C64CC}"/>
    <cellStyle name="Comma 9 2 2 5 2" xfId="5581" xr:uid="{D0605CD3-CBB5-4ED2-9240-B3EA928521A8}"/>
    <cellStyle name="Comma 9 2 2 6" xfId="2820" xr:uid="{888B76B0-4D95-42D5-B64C-69889D573DA2}"/>
    <cellStyle name="Comma 9 2 2 6 2" xfId="6026" xr:uid="{F042EE05-9182-4426-AB9D-9A94F0A38AF8}"/>
    <cellStyle name="Comma 9 2 2 7" xfId="3272" xr:uid="{406B89DF-87BF-41CB-974E-18A3440660BD}"/>
    <cellStyle name="Comma 9 2 2 7 2" xfId="6471" xr:uid="{BC2A9951-8629-4543-B815-018C7E719803}"/>
    <cellStyle name="Comma 9 2 2 8" xfId="3801" xr:uid="{9A6B991A-76AC-47AC-B828-64C4A5CCA3B6}"/>
    <cellStyle name="Comma 9 2 3" xfId="788" xr:uid="{6A58D4D0-A52D-4501-91FD-D745DD12A6FD}"/>
    <cellStyle name="Comma 9 2 3 2" xfId="4024" xr:uid="{F045A8D1-2FCB-4CE9-9044-7DB19D68EC86}"/>
    <cellStyle name="Comma 9 2 4" xfId="1240" xr:uid="{A74A2C56-2EC5-4612-8AF9-733ABDA0B706}"/>
    <cellStyle name="Comma 9 2 4 2" xfId="4469" xr:uid="{A25713D2-B210-4D6E-9267-A0D03159F495}"/>
    <cellStyle name="Comma 9 2 5" xfId="1692" xr:uid="{1B5017BC-EB2E-4A70-80E3-DAF8EF505C4E}"/>
    <cellStyle name="Comma 9 2 5 2" xfId="4914" xr:uid="{3DD7FCF6-654E-4860-B031-F5F7A77C0DF9}"/>
    <cellStyle name="Comma 9 2 6" xfId="2144" xr:uid="{6280F4A8-5D1E-48A7-B40F-775187F7064A}"/>
    <cellStyle name="Comma 9 2 6 2" xfId="5359" xr:uid="{63458A41-28A1-474A-AE47-1304F9874F91}"/>
    <cellStyle name="Comma 9 2 7" xfId="2596" xr:uid="{BC633F98-142B-4A9E-B8C9-4A9F5B99CAEF}"/>
    <cellStyle name="Comma 9 2 7 2" xfId="5804" xr:uid="{6642CCD8-79F7-460D-AED8-F17E7D7605A5}"/>
    <cellStyle name="Comma 9 2 8" xfId="3048" xr:uid="{FCA2EBF0-D43D-433B-A2F0-FFB90FE23FAF}"/>
    <cellStyle name="Comma 9 2 8 2" xfId="6249" xr:uid="{A5655369-549B-42E6-A5FD-B9DA19598EF3}"/>
    <cellStyle name="Comma 9 2 9" xfId="3359" xr:uid="{982AAD56-0ECE-4DC1-93A7-AA0600FC9101}"/>
    <cellStyle name="Comma 9 2 9 2" xfId="6546" xr:uid="{B9F4740E-B81C-48E0-B8F2-01CF300DBDB4}"/>
    <cellStyle name="Comma 9 3" xfId="559" xr:uid="{1713A293-100A-42CC-B5AD-B78E0F07BA13}"/>
    <cellStyle name="Comma 9 3 2" xfId="1011" xr:uid="{124604B7-37AD-4DE6-9098-3E70BD810C95}"/>
    <cellStyle name="Comma 9 3 2 2" xfId="4245" xr:uid="{E5294C56-1317-4485-8E23-DA1CC36BB4C9}"/>
    <cellStyle name="Comma 9 3 3" xfId="1463" xr:uid="{CF74C99E-D5AA-4677-95FD-ACFB5A81CFC4}"/>
    <cellStyle name="Comma 9 3 3 2" xfId="4690" xr:uid="{40B895AD-DE58-4C81-AEBF-DBCFF943B72F}"/>
    <cellStyle name="Comma 9 3 4" xfId="1915" xr:uid="{C8DA5375-F2A0-4AFD-87CC-7F8AD4F7E05E}"/>
    <cellStyle name="Comma 9 3 4 2" xfId="5135" xr:uid="{3E26C4C6-4345-4DCA-9BBE-49DE9A4CD66A}"/>
    <cellStyle name="Comma 9 3 5" xfId="2367" xr:uid="{94D08007-DF8F-4746-BC8F-688A9925B981}"/>
    <cellStyle name="Comma 9 3 5 2" xfId="5580" xr:uid="{5CB491B6-C1AA-4984-867F-F4055C992BA4}"/>
    <cellStyle name="Comma 9 3 6" xfId="2819" xr:uid="{BEF73670-A26A-426A-ADDB-94BDA2EEE50C}"/>
    <cellStyle name="Comma 9 3 6 2" xfId="6025" xr:uid="{05B59190-5BD1-4E50-A4A1-777D411B33E2}"/>
    <cellStyle name="Comma 9 3 7" xfId="3271" xr:uid="{30906613-39AE-4F83-B217-A6D76355EA7F}"/>
    <cellStyle name="Comma 9 3 7 2" xfId="6470" xr:uid="{1D49C0FE-9FF8-485E-8426-5E3556B4AB71}"/>
    <cellStyle name="Comma 9 3 8" xfId="3800" xr:uid="{80E9FD38-6518-4941-A635-6465B3A4CB04}"/>
    <cellStyle name="Comma 9 4" xfId="787" xr:uid="{AD3B9A34-1B9E-4288-A1C0-8DC2D470A263}"/>
    <cellStyle name="Comma 9 4 2" xfId="4023" xr:uid="{F198F227-AC99-4FCA-AFEF-540422038858}"/>
    <cellStyle name="Comma 9 5" xfId="1239" xr:uid="{5FFF983A-0DC4-4A56-83C8-2F879E43490C}"/>
    <cellStyle name="Comma 9 5 2" xfId="4468" xr:uid="{D9DE0947-958A-4808-93E6-43EADE9B12D3}"/>
    <cellStyle name="Comma 9 6" xfId="1691" xr:uid="{863386A5-73F6-4E7D-A5CC-563265292ED8}"/>
    <cellStyle name="Comma 9 6 2" xfId="4913" xr:uid="{DCB2D691-C3A5-48B8-9883-58E7AFCB709C}"/>
    <cellStyle name="Comma 9 7" xfId="2143" xr:uid="{6B693337-C5BA-49FB-ABC6-B1A96A4487C7}"/>
    <cellStyle name="Comma 9 7 2" xfId="5358" xr:uid="{0C76657E-FBBA-43E8-8EFF-B2E13EBAF015}"/>
    <cellStyle name="Comma 9 8" xfId="2595" xr:uid="{1E83A583-749F-4925-A99D-4E2360640BE6}"/>
    <cellStyle name="Comma 9 8 2" xfId="5803" xr:uid="{24CB1D37-DC66-4F57-AC8D-2AE23B9FDDA4}"/>
    <cellStyle name="Comma 9 9" xfId="3047" xr:uid="{A2083EAB-DEE3-4D50-BE19-A2C7B546C02E}"/>
    <cellStyle name="Comma 9 9 2" xfId="6248" xr:uid="{39C3B4D9-FAC6-4D79-9AA2-B5A73624D085}"/>
    <cellStyle name="Currency [0] 2" xfId="21" xr:uid="{6451BDD9-14C2-4E23-87B5-3996816DB40C}"/>
    <cellStyle name="Currency [0] 3" xfId="25" xr:uid="{2DFA17BF-8A9A-46E0-8F76-D5760549EDBB}"/>
    <cellStyle name="Currency [0] 4" xfId="29" xr:uid="{D17EE875-C8DB-4038-902C-AE533FE510ED}"/>
    <cellStyle name="Currency [0] 5" xfId="33" xr:uid="{08550953-AC07-40DC-9C97-E9A627A6A014}"/>
    <cellStyle name="Hyperlink" xfId="6548" builtinId="8"/>
    <cellStyle name="Normal" xfId="0" builtinId="0"/>
    <cellStyle name="Normal 2" xfId="8" xr:uid="{70E86C52-EEAE-4D8D-80D5-36B09AFC2166}"/>
    <cellStyle name="Normal 2 2" xfId="2" xr:uid="{750C002B-6C7A-4520-ABD7-1A3ED903D704}"/>
    <cellStyle name="Normal 2 2 2" xfId="299" xr:uid="{135B289A-D030-4B44-AE85-F154BE4BA3F0}"/>
    <cellStyle name="Normal 2 2 3" xfId="3344" xr:uid="{AF7B4A8F-A9F2-4F08-A98F-E483856F61DA}"/>
    <cellStyle name="Normal 2 3" xfId="298" xr:uid="{8FDA8C8A-3676-41B4-9498-D5274D4A1123}"/>
    <cellStyle name="Normal 2 3 2" xfId="3330" xr:uid="{81ECBF5D-3534-4620-A9C9-99B5D40E958A}"/>
    <cellStyle name="Normal 3" xfId="15" xr:uid="{4AB213FE-7469-45E8-B0C8-1B68380F90D6}"/>
    <cellStyle name="Normal 3 2" xfId="300" xr:uid="{A4DBEAC1-A643-4C55-870C-DC9C29C04854}"/>
    <cellStyle name="Normal 3 2 2" xfId="3360" xr:uid="{B93548DA-465E-4F8A-A799-9CB645553B59}"/>
    <cellStyle name="Normal 3 2 3" xfId="3337" xr:uid="{5FA23061-6990-44AE-AFEE-5B84794079DB}"/>
    <cellStyle name="Normal 3 3" xfId="3331" xr:uid="{65C4B85B-3153-49D5-A936-5DFB6F3D6170}"/>
    <cellStyle name="Normal 4" xfId="301" xr:uid="{DF60624B-E60E-4580-AEC6-4E39D24741B1}"/>
    <cellStyle name="Normal 4 2" xfId="302" xr:uid="{CCE1471E-622F-49B1-8629-350EE21D0344}"/>
    <cellStyle name="Normal 4 3" xfId="4" xr:uid="{EA465D3F-3861-4BBD-9FD8-A4FE4CA87BD0}"/>
    <cellStyle name="Normal 5" xfId="303" xr:uid="{E3757589-E5CD-4E99-8392-7CCFABBB2AB7}"/>
    <cellStyle name="Normal 5 2" xfId="7" xr:uid="{A84F3E98-A124-4E50-AB0C-34028EEF4DDD}"/>
    <cellStyle name="Normal 5 2 2" xfId="304" xr:uid="{E524425C-FD75-47AF-8D8C-C30202FE78CF}"/>
    <cellStyle name="Normal 5 2 3" xfId="3361" xr:uid="{C7C265E3-8C07-4DE4-8FEA-580F7DEE4CFB}"/>
    <cellStyle name="Normal 5 3" xfId="3332" xr:uid="{BA4FB87F-A598-4E0E-A659-994F5B391268}"/>
    <cellStyle name="Normal 6" xfId="305" xr:uid="{BB5E3899-612C-481D-8BC5-23C1EE612EA1}"/>
    <cellStyle name="Normal 7" xfId="18" xr:uid="{2677B000-8BE3-4E79-8C90-590131A54E5D}"/>
    <cellStyle name="Normal 7 2" xfId="306" xr:uid="{D3B6D2BE-5A73-4B1F-B835-F4DFF505DB20}"/>
    <cellStyle name="Normal_Valuation Updated - ANG" xfId="3367" xr:uid="{9AAEE555-B993-4D93-B73A-234EF7214C3A}"/>
    <cellStyle name="Percent" xfId="1" builtinId="5"/>
    <cellStyle name="Percent 2" xfId="307" xr:uid="{EB149C64-FE9E-41F3-AD03-3D17D84044B1}"/>
    <cellStyle name="Percent 2 2" xfId="308" xr:uid="{856710AC-CC4E-4309-BC00-6386BF7804E4}"/>
    <cellStyle name="Percent 2 3" xfId="3335" xr:uid="{47CDA85C-53C7-4BD8-8350-A7521055F406}"/>
    <cellStyle name="Percent 3" xfId="16" xr:uid="{B59989AE-3D0D-4BA0-AF79-1DE3503ACE79}"/>
    <cellStyle name="Percent 3 2" xfId="309" xr:uid="{690A814B-06F7-4FD9-9775-1A50E2E73E6E}"/>
    <cellStyle name="Percent 4" xfId="310" xr:uid="{2492E964-0976-44F8-9BC6-411B27CFE8F9}"/>
    <cellStyle name="Percent 4 2" xfId="6" xr:uid="{A12DB516-0F97-4DA8-B604-4CE0E3A76BEA}"/>
    <cellStyle name="Percent 4 2 2" xfId="3362" xr:uid="{48592B29-BF14-4BCB-893C-B0B27B491EE0}"/>
    <cellStyle name="Percent 4 3" xfId="3334" xr:uid="{99E1566B-AA80-44B5-B5D9-6695188C3B33}"/>
    <cellStyle name="Percent 5" xfId="311" xr:uid="{FB9EA25C-6FE8-4BBF-8C3B-02A5FEBD2AD4}"/>
    <cellStyle name="StyleID_0" xfId="312" xr:uid="{639DA851-D81B-4638-A79B-E43E33B4A987}"/>
    <cellStyle name="백분율 10" xfId="1065" xr:uid="{9D306F42-2445-4E5D-8491-595114A16412}"/>
    <cellStyle name="백분율 11" xfId="1517" xr:uid="{1078A5C0-D95A-45FE-B2D5-516EC271B1C2}"/>
    <cellStyle name="백분율 12" xfId="1969" xr:uid="{08541DD6-AEE2-4F57-9662-DF7085C93223}"/>
    <cellStyle name="백분율 13" xfId="2421" xr:uid="{5B8FB736-F939-4A60-9A0D-202F88F2F897}"/>
    <cellStyle name="백분율 14" xfId="2873" xr:uid="{49CB2575-8300-4E34-9D54-F2BC8C14E44C}"/>
    <cellStyle name="백분율 15" xfId="13" xr:uid="{84E9ED82-D923-42B0-84AB-135B088594B9}"/>
    <cellStyle name="백분율 16" xfId="3326" xr:uid="{6C20FEF3-6FCD-40A8-BBAE-CC2751D1DBCE}"/>
    <cellStyle name="백분율 2" xfId="39" xr:uid="{2087C621-CB0B-4AC0-AA9C-C4BDF0BE6952}"/>
    <cellStyle name="백분율 2 16" xfId="315" xr:uid="{C0E3882F-3A85-424F-A0FB-0C6BEBC185E6}"/>
    <cellStyle name="백분율 2 2" xfId="314" xr:uid="{03F53BC7-C877-4E37-B10C-4574368AF628}"/>
    <cellStyle name="백분율 2 3" xfId="3345" xr:uid="{D50CCE2F-7E47-440F-98CB-DE97D521121B}"/>
    <cellStyle name="백분율 3" xfId="45" xr:uid="{B38551CC-E259-43EE-8FA0-FC1E1343B5FA}"/>
    <cellStyle name="백분율 3 2" xfId="316" xr:uid="{F3877B64-BD51-49D6-BC40-8CA2C8CB3A94}"/>
    <cellStyle name="백분율 3 2 2" xfId="3363" xr:uid="{E622BD96-2280-40F6-992F-BD4983B7F872}"/>
    <cellStyle name="백분율 3 3" xfId="3329" xr:uid="{9128A217-D87D-4C91-A221-BA7A5F156A47}"/>
    <cellStyle name="백분율 4" xfId="51" xr:uid="{E70A1570-55DC-4476-B4C2-D42AB6D84197}"/>
    <cellStyle name="백분율 4 2" xfId="313" xr:uid="{863625F8-1BCC-4BD0-BBB9-CC855DBD934A}"/>
    <cellStyle name="백분율 5" xfId="57" xr:uid="{DEB228D9-EF07-4F89-9C6D-45470B152A69}"/>
    <cellStyle name="백분율 6" xfId="63" xr:uid="{FDA2AE7B-3BBB-45AE-953F-6E201EBDC1C0}"/>
    <cellStyle name="백분율 7" xfId="69" xr:uid="{50B1276E-9AD9-48C7-AA33-B9D1FB54BFB2}"/>
    <cellStyle name="백분율 8" xfId="75" xr:uid="{73C789B5-4654-4A8A-BF4D-C784A03075E5}"/>
    <cellStyle name="백분율 9" xfId="613" xr:uid="{3DE0CDD9-2EF2-4F4C-BE84-75B465B9284A}"/>
    <cellStyle name="쉼표 [0] 10" xfId="1063" xr:uid="{BAEC4577-B6F5-4087-8E38-0162F3DE34F2}"/>
    <cellStyle name="쉼표 [0] 10 2" xfId="4295" xr:uid="{EE63F696-496F-4A4E-9AEB-1DD3DD28C5F8}"/>
    <cellStyle name="쉼표 [0] 11" xfId="1515" xr:uid="{48D0544D-FB8E-4E21-A7F2-CE294A977AA8}"/>
    <cellStyle name="쉼표 [0] 11 2" xfId="4740" xr:uid="{BEF60656-4015-4F88-B8FB-07A963BE90C7}"/>
    <cellStyle name="쉼표 [0] 12" xfId="1967" xr:uid="{761CAAD8-FA35-446E-B85D-1698C1620584}"/>
    <cellStyle name="쉼표 [0] 12 2" xfId="5185" xr:uid="{6DBBF07A-C9DB-4146-90FC-09EB1D618C54}"/>
    <cellStyle name="쉼표 [0] 13" xfId="2419" xr:uid="{9579B9D5-CDEB-47A5-8AB1-A26823DB4015}"/>
    <cellStyle name="쉼표 [0] 13 2" xfId="5630" xr:uid="{F4FF4DE1-E6BE-4379-9AD3-CA32AB83CEC2}"/>
    <cellStyle name="쉼표 [0] 14" xfId="2871" xr:uid="{2C6C7F7A-6455-4CC0-9436-09498275BA44}"/>
    <cellStyle name="쉼표 [0] 14 2" xfId="6075" xr:uid="{8B94CB62-5640-498B-880B-6AAA0E27F52E}"/>
    <cellStyle name="쉼표 [0] 15" xfId="12" xr:uid="{DDC03AD0-59FE-483B-93D6-0A5174B8DFD9}"/>
    <cellStyle name="쉼표 [0] 15 2" xfId="3371" xr:uid="{D401FABF-9AAD-4DD8-9D0C-19D0AD9D4FE9}"/>
    <cellStyle name="쉼표 [0] 2" xfId="37" xr:uid="{FFDD7E88-5420-475F-9B9D-3EA8E4DD1EDD}"/>
    <cellStyle name="쉼표 [0] 2 10" xfId="320" xr:uid="{B825E125-06B4-44DA-AC49-682D9B045E09}"/>
    <cellStyle name="쉼표 [0] 2 10 10" xfId="2600" xr:uid="{E79F73D3-0505-41D3-96FC-70D86967C90C}"/>
    <cellStyle name="쉼표 [0] 2 10 10 2" xfId="5808" xr:uid="{5EE54A74-E074-4ED6-B637-232D7B8A442D}"/>
    <cellStyle name="쉼표 [0] 2 10 11" xfId="3052" xr:uid="{7E1C88B8-BFDF-480F-8F25-4085E4AC5AF9}"/>
    <cellStyle name="쉼표 [0] 2 10 11 2" xfId="6253" xr:uid="{29919D26-8B54-4086-A610-AAA463B5E792}"/>
    <cellStyle name="쉼표 [0] 2 10 12" xfId="3582" xr:uid="{7C0BDA5D-FB76-4E51-9A55-0B45D3016641}"/>
    <cellStyle name="쉼표 [0] 2 10 2" xfId="321" xr:uid="{5657A7B1-EC2B-41E1-9AEA-6E7AC16A9A00}"/>
    <cellStyle name="쉼표 [0] 2 10 2 10" xfId="3053" xr:uid="{5605F36A-ADF0-4408-BE1A-7834FC919A80}"/>
    <cellStyle name="쉼표 [0] 2 10 2 10 2" xfId="6254" xr:uid="{F4C30E2B-1C3C-4061-AF25-B7CF144A5231}"/>
    <cellStyle name="쉼표 [0] 2 10 2 11" xfId="3583" xr:uid="{FA914AA8-D362-4FED-A09C-FDFBE1FA5897}"/>
    <cellStyle name="쉼표 [0] 2 10 2 2" xfId="322" xr:uid="{FB80CF0E-1CCD-4E37-AA3D-2B250EFCC070}"/>
    <cellStyle name="쉼표 [0] 2 10 2 2 10" xfId="3584" xr:uid="{B248C705-6082-4CB8-95D5-E02ABDF14CEE}"/>
    <cellStyle name="쉼표 [0] 2 10 2 2 2" xfId="323" xr:uid="{BF84D1CF-D01E-4B2F-B6A9-022C4FED2CC6}"/>
    <cellStyle name="쉼표 [0] 2 10 2 2 2 2" xfId="567" xr:uid="{E827479B-592E-48E5-BFF3-7ECB6E9F3E13}"/>
    <cellStyle name="쉼표 [0] 2 10 2 2 2 2 2" xfId="1019" xr:uid="{261935FF-F9D8-46BC-B105-7E5F78DBD159}"/>
    <cellStyle name="쉼표 [0] 2 10 2 2 2 2 2 2" xfId="4253" xr:uid="{0BCC6334-343F-411A-8B1E-758ABBC052C5}"/>
    <cellStyle name="쉼표 [0] 2 10 2 2 2 2 3" xfId="1471" xr:uid="{3EA9E23A-1487-42B9-957C-36BBAF171710}"/>
    <cellStyle name="쉼표 [0] 2 10 2 2 2 2 3 2" xfId="4698" xr:uid="{F6729597-C02A-4FFC-8313-6D33D17F7922}"/>
    <cellStyle name="쉼표 [0] 2 10 2 2 2 2 4" xfId="1923" xr:uid="{568A5D08-A09B-447C-ADDE-4DBFA7614264}"/>
    <cellStyle name="쉼표 [0] 2 10 2 2 2 2 4 2" xfId="5143" xr:uid="{DE7763FC-D33B-4709-B82B-65706A1811C6}"/>
    <cellStyle name="쉼표 [0] 2 10 2 2 2 2 5" xfId="2375" xr:uid="{7B15E6A4-5E9A-48F8-ACEA-745F4A6FBC11}"/>
    <cellStyle name="쉼표 [0] 2 10 2 2 2 2 5 2" xfId="5588" xr:uid="{BF8E2743-7528-4AE2-90E8-D5D059006D97}"/>
    <cellStyle name="쉼표 [0] 2 10 2 2 2 2 6" xfId="2827" xr:uid="{3070D0F5-02FC-4E22-8584-488A5924C548}"/>
    <cellStyle name="쉼표 [0] 2 10 2 2 2 2 6 2" xfId="6033" xr:uid="{A8E9F746-F195-4183-8DB7-79353F52E28D}"/>
    <cellStyle name="쉼표 [0] 2 10 2 2 2 2 7" xfId="3279" xr:uid="{B5F08E75-E555-41A0-8AA5-E3C4A637B4EA}"/>
    <cellStyle name="쉼표 [0] 2 10 2 2 2 2 7 2" xfId="6478" xr:uid="{16A13464-E485-4ECC-B99A-72269B9C3EF4}"/>
    <cellStyle name="쉼표 [0] 2 10 2 2 2 2 8" xfId="3808" xr:uid="{7DA93B7D-8BD9-4566-9184-9DCD375E6F44}"/>
    <cellStyle name="쉼표 [0] 2 10 2 2 2 3" xfId="795" xr:uid="{98C4A8C2-C04F-4A8C-BB28-5E52CB4AC86F}"/>
    <cellStyle name="쉼표 [0] 2 10 2 2 2 3 2" xfId="4031" xr:uid="{3FC1013B-9D98-423A-BA7D-7632EA4F42C5}"/>
    <cellStyle name="쉼표 [0] 2 10 2 2 2 4" xfId="1247" xr:uid="{DC6B99E2-5596-4B41-A294-A2418A87153E}"/>
    <cellStyle name="쉼표 [0] 2 10 2 2 2 4 2" xfId="4476" xr:uid="{85DF83AA-BC4E-48EE-BC26-30FBCDA62A35}"/>
    <cellStyle name="쉼표 [0] 2 10 2 2 2 5" xfId="1699" xr:uid="{ADFD22D2-32DB-409B-8B17-6E75AE93F1C5}"/>
    <cellStyle name="쉼표 [0] 2 10 2 2 2 5 2" xfId="4921" xr:uid="{1DBBE6A6-12F4-4C25-B527-E2C505DC3CF4}"/>
    <cellStyle name="쉼표 [0] 2 10 2 2 2 6" xfId="2151" xr:uid="{1909847B-31D0-42F0-AD1C-0202DA118F37}"/>
    <cellStyle name="쉼표 [0] 2 10 2 2 2 6 2" xfId="5366" xr:uid="{AC0C9162-09B7-48D5-8FD8-BB359DC8D299}"/>
    <cellStyle name="쉼표 [0] 2 10 2 2 2 7" xfId="2603" xr:uid="{D5041A92-B0D2-4763-AA57-A298BFC0E9CC}"/>
    <cellStyle name="쉼표 [0] 2 10 2 2 2 7 2" xfId="5811" xr:uid="{62029AFD-BDF8-43E1-BE6F-7ECCF4AA3756}"/>
    <cellStyle name="쉼표 [0] 2 10 2 2 2 8" xfId="3055" xr:uid="{56743C81-83E0-48A8-A2BD-71D387566973}"/>
    <cellStyle name="쉼표 [0] 2 10 2 2 2 8 2" xfId="6256" xr:uid="{1EB9ABDA-B8AC-42E7-AC2D-E34E7370E48B}"/>
    <cellStyle name="쉼표 [0] 2 10 2 2 2 9" xfId="3585" xr:uid="{8D3C2418-D7C9-48FD-B52E-E2D501C3C7C3}"/>
    <cellStyle name="쉼표 [0] 2 10 2 2 3" xfId="566" xr:uid="{222015CD-7DCC-44BF-B0ED-840D16D2F121}"/>
    <cellStyle name="쉼표 [0] 2 10 2 2 3 2" xfId="1018" xr:uid="{8F7DB7D3-D598-4967-87A7-D349216F1F22}"/>
    <cellStyle name="쉼표 [0] 2 10 2 2 3 2 2" xfId="4252" xr:uid="{74644EBB-9A98-45E6-9489-E53331E8795D}"/>
    <cellStyle name="쉼표 [0] 2 10 2 2 3 3" xfId="1470" xr:uid="{0FD605CD-0767-4F73-B058-8648B10136B3}"/>
    <cellStyle name="쉼표 [0] 2 10 2 2 3 3 2" xfId="4697" xr:uid="{93D2DD95-AEAF-4C80-B7B4-F770A2637992}"/>
    <cellStyle name="쉼표 [0] 2 10 2 2 3 4" xfId="1922" xr:uid="{94B7F69F-C9BD-4CEE-A9D0-2C6238A7F79A}"/>
    <cellStyle name="쉼표 [0] 2 10 2 2 3 4 2" xfId="5142" xr:uid="{2B877528-06C2-4545-B32C-6CD4F45165E9}"/>
    <cellStyle name="쉼표 [0] 2 10 2 2 3 5" xfId="2374" xr:uid="{4AE421E8-48B9-4E97-8E24-DF3A495437BD}"/>
    <cellStyle name="쉼표 [0] 2 10 2 2 3 5 2" xfId="5587" xr:uid="{67C3CDC5-A635-4864-90A8-D518AC00535B}"/>
    <cellStyle name="쉼표 [0] 2 10 2 2 3 6" xfId="2826" xr:uid="{BEE44A78-8409-442D-BE42-35478C42C968}"/>
    <cellStyle name="쉼표 [0] 2 10 2 2 3 6 2" xfId="6032" xr:uid="{62663E33-3D9E-41D8-BB94-B72E83212BFC}"/>
    <cellStyle name="쉼표 [0] 2 10 2 2 3 7" xfId="3278" xr:uid="{55E0B678-4020-4494-9285-055BEBB12905}"/>
    <cellStyle name="쉼표 [0] 2 10 2 2 3 7 2" xfId="6477" xr:uid="{CC8F3663-A157-4C15-A2AF-CCDE01A36111}"/>
    <cellStyle name="쉼표 [0] 2 10 2 2 3 8" xfId="3807" xr:uid="{99D3C9AB-D003-4487-B0FB-3A7D9ECF182E}"/>
    <cellStyle name="쉼표 [0] 2 10 2 2 4" xfId="794" xr:uid="{D29EBBE4-8158-45B1-BA4E-628B07894B58}"/>
    <cellStyle name="쉼표 [0] 2 10 2 2 4 2" xfId="4030" xr:uid="{35C74C41-986A-4B8F-B586-B707D287D3A6}"/>
    <cellStyle name="쉼표 [0] 2 10 2 2 5" xfId="1246" xr:uid="{1160FA31-C37E-4251-A06F-70B7A3E2493A}"/>
    <cellStyle name="쉼표 [0] 2 10 2 2 5 2" xfId="4475" xr:uid="{F6AF238D-1F86-43D8-A5A5-7CA1B38492F1}"/>
    <cellStyle name="쉼표 [0] 2 10 2 2 6" xfId="1698" xr:uid="{7F24138F-7586-4C81-9AE1-9F6BE1CE67B4}"/>
    <cellStyle name="쉼표 [0] 2 10 2 2 6 2" xfId="4920" xr:uid="{A8A7B294-9A2F-41DD-8335-4BF5F92EC5B7}"/>
    <cellStyle name="쉼표 [0] 2 10 2 2 7" xfId="2150" xr:uid="{E27F06D6-1A4D-468B-92E2-688428625C34}"/>
    <cellStyle name="쉼표 [0] 2 10 2 2 7 2" xfId="5365" xr:uid="{CE48906F-F5AF-4A2D-BF58-670EB7EAD1BE}"/>
    <cellStyle name="쉼표 [0] 2 10 2 2 8" xfId="2602" xr:uid="{23026694-F8E1-4207-BFEE-7A0A222B7BA7}"/>
    <cellStyle name="쉼표 [0] 2 10 2 2 8 2" xfId="5810" xr:uid="{F8F3BF85-43C7-481B-B9CE-FD3204B562D1}"/>
    <cellStyle name="쉼표 [0] 2 10 2 2 9" xfId="3054" xr:uid="{A3D414E8-8768-42DE-8719-B835D852DBDB}"/>
    <cellStyle name="쉼표 [0] 2 10 2 2 9 2" xfId="6255" xr:uid="{58D91D1C-6685-42E5-9052-E087A7E85BEB}"/>
    <cellStyle name="쉼표 [0] 2 10 2 3" xfId="324" xr:uid="{C9EB60E3-E67B-49ED-A4B1-D0DA7A11C9CB}"/>
    <cellStyle name="쉼표 [0] 2 10 2 3 2" xfId="568" xr:uid="{533ACCE0-3A39-48CC-AED2-6212F25D565D}"/>
    <cellStyle name="쉼표 [0] 2 10 2 3 2 2" xfId="1020" xr:uid="{0832381A-D8B9-448D-8080-924CB58E746C}"/>
    <cellStyle name="쉼표 [0] 2 10 2 3 2 2 2" xfId="4254" xr:uid="{9E7D16CE-8362-4007-9F06-AEFD9AB40282}"/>
    <cellStyle name="쉼표 [0] 2 10 2 3 2 3" xfId="1472" xr:uid="{12EDF5AB-E8AB-4292-A519-B1C84BC295CD}"/>
    <cellStyle name="쉼표 [0] 2 10 2 3 2 3 2" xfId="4699" xr:uid="{B11DC031-1D00-47DB-BE9C-D592CD16E5C7}"/>
    <cellStyle name="쉼표 [0] 2 10 2 3 2 4" xfId="1924" xr:uid="{B9C12CE6-658D-4939-AC34-64EC05330148}"/>
    <cellStyle name="쉼표 [0] 2 10 2 3 2 4 2" xfId="5144" xr:uid="{BA7CB92C-C358-4793-B80C-AC726147D7DA}"/>
    <cellStyle name="쉼표 [0] 2 10 2 3 2 5" xfId="2376" xr:uid="{5BD4D6BB-B3F0-4AB2-BD14-1BC816F1AD0C}"/>
    <cellStyle name="쉼표 [0] 2 10 2 3 2 5 2" xfId="5589" xr:uid="{AE5C96C1-0B8F-4B1D-B21F-4C9E10037104}"/>
    <cellStyle name="쉼표 [0] 2 10 2 3 2 6" xfId="2828" xr:uid="{FF05E1C1-011A-49EC-BDE0-D58AD86D4AE1}"/>
    <cellStyle name="쉼표 [0] 2 10 2 3 2 6 2" xfId="6034" xr:uid="{7F914C53-C605-462F-A937-26559D7E0D23}"/>
    <cellStyle name="쉼표 [0] 2 10 2 3 2 7" xfId="3280" xr:uid="{EFD6E9A5-D36D-4D6E-AF95-721BE38D59DD}"/>
    <cellStyle name="쉼표 [0] 2 10 2 3 2 7 2" xfId="6479" xr:uid="{9FE1ACC1-5D95-4673-8EFF-5E765E62029D}"/>
    <cellStyle name="쉼표 [0] 2 10 2 3 2 8" xfId="3809" xr:uid="{C0A5F7A4-5083-43AC-A94F-671520C504F1}"/>
    <cellStyle name="쉼표 [0] 2 10 2 3 3" xfId="796" xr:uid="{40BB376D-C816-4CBF-A316-51E28C6E46E1}"/>
    <cellStyle name="쉼표 [0] 2 10 2 3 3 2" xfId="4032" xr:uid="{71303F00-FABE-4F0D-B4D3-FB1B32A93E5D}"/>
    <cellStyle name="쉼표 [0] 2 10 2 3 4" xfId="1248" xr:uid="{40EE43F3-075F-4925-97F7-471D8FD5AF7E}"/>
    <cellStyle name="쉼표 [0] 2 10 2 3 4 2" xfId="4477" xr:uid="{5C06F169-F6FF-4B09-83E1-2BE583598552}"/>
    <cellStyle name="쉼표 [0] 2 10 2 3 5" xfId="1700" xr:uid="{AA886CC0-D599-4420-85B1-D44BBF82A60B}"/>
    <cellStyle name="쉼표 [0] 2 10 2 3 5 2" xfId="4922" xr:uid="{776EA3B6-2A00-4794-8C72-B2D0620F1D4F}"/>
    <cellStyle name="쉼표 [0] 2 10 2 3 6" xfId="2152" xr:uid="{0990C1CC-5604-4A71-982B-88D3E388EA35}"/>
    <cellStyle name="쉼표 [0] 2 10 2 3 6 2" xfId="5367" xr:uid="{84C5C53B-CA74-45A6-8F9A-88E00288BFC2}"/>
    <cellStyle name="쉼표 [0] 2 10 2 3 7" xfId="2604" xr:uid="{EFC1A8F5-AF9B-4BB8-95A0-F3ED99A369E2}"/>
    <cellStyle name="쉼표 [0] 2 10 2 3 7 2" xfId="5812" xr:uid="{4D6EBE6F-0030-46C7-B8D9-F43022EFD8B0}"/>
    <cellStyle name="쉼표 [0] 2 10 2 3 8" xfId="3056" xr:uid="{295E5C2E-083E-4AAA-A1E4-A0B40413F0D1}"/>
    <cellStyle name="쉼표 [0] 2 10 2 3 8 2" xfId="6257" xr:uid="{469A9402-4DC1-4B47-BD0B-31BDDE78D0D8}"/>
    <cellStyle name="쉼표 [0] 2 10 2 3 9" xfId="3586" xr:uid="{391C3A79-3BA1-467B-B11C-96D670CD6DAA}"/>
    <cellStyle name="쉼표 [0] 2 10 2 4" xfId="565" xr:uid="{08AC4632-541C-4A67-BDA6-8188849274C1}"/>
    <cellStyle name="쉼표 [0] 2 10 2 4 2" xfId="1017" xr:uid="{839BD81B-D47D-468C-915F-CCF3745AB23E}"/>
    <cellStyle name="쉼표 [0] 2 10 2 4 2 2" xfId="4251" xr:uid="{E4EAF0A2-DC66-4E9B-A701-AEBDB3FAE118}"/>
    <cellStyle name="쉼표 [0] 2 10 2 4 3" xfId="1469" xr:uid="{56C9B876-D0E6-4D5C-BA84-6829FA54F938}"/>
    <cellStyle name="쉼표 [0] 2 10 2 4 3 2" xfId="4696" xr:uid="{88B3E7CC-5280-4B3C-84EE-F957600C8F77}"/>
    <cellStyle name="쉼표 [0] 2 10 2 4 4" xfId="1921" xr:uid="{57AD861B-90A1-4C9B-BAED-5820671544D3}"/>
    <cellStyle name="쉼표 [0] 2 10 2 4 4 2" xfId="5141" xr:uid="{C44893FA-5D17-4C5C-B500-5626CB4E2689}"/>
    <cellStyle name="쉼표 [0] 2 10 2 4 5" xfId="2373" xr:uid="{B3D5954C-B8DB-4A5D-9493-0DA17DB44C65}"/>
    <cellStyle name="쉼표 [0] 2 10 2 4 5 2" xfId="5586" xr:uid="{A3B94F44-FB0E-4108-90A3-F37F5E2C7EED}"/>
    <cellStyle name="쉼표 [0] 2 10 2 4 6" xfId="2825" xr:uid="{AA8F6EB3-4022-467E-BE47-B05CED174954}"/>
    <cellStyle name="쉼표 [0] 2 10 2 4 6 2" xfId="6031" xr:uid="{7E92B47B-7C8D-43BA-ADE5-104E7CF5742D}"/>
    <cellStyle name="쉼표 [0] 2 10 2 4 7" xfId="3277" xr:uid="{5EDD7EE7-6678-4755-8733-212210498363}"/>
    <cellStyle name="쉼표 [0] 2 10 2 4 7 2" xfId="6476" xr:uid="{34D04CDB-6826-4E43-BE1E-C320EDD5D00C}"/>
    <cellStyle name="쉼표 [0] 2 10 2 4 8" xfId="3806" xr:uid="{C1F84CB6-B6EB-42CF-BE0A-318F6C30CBDF}"/>
    <cellStyle name="쉼표 [0] 2 10 2 5" xfId="793" xr:uid="{0E766D8B-7104-4BB1-95B6-13C2F04E0751}"/>
    <cellStyle name="쉼표 [0] 2 10 2 5 2" xfId="4029" xr:uid="{24FA11A3-2A47-4BBD-A4E2-70DDC40CB8BE}"/>
    <cellStyle name="쉼표 [0] 2 10 2 6" xfId="1245" xr:uid="{CC86966B-71F8-4E34-AF0E-DDCEC046B93B}"/>
    <cellStyle name="쉼표 [0] 2 10 2 6 2" xfId="4474" xr:uid="{8CA9B91C-DAB0-49A7-8D92-17AD763D81CE}"/>
    <cellStyle name="쉼표 [0] 2 10 2 7" xfId="1697" xr:uid="{7545D3CD-43DD-43AB-AE6C-6FA2C7B11F26}"/>
    <cellStyle name="쉼표 [0] 2 10 2 7 2" xfId="4919" xr:uid="{9D82D769-C88B-49EA-9DDF-DE25BBC0838B}"/>
    <cellStyle name="쉼표 [0] 2 10 2 8" xfId="2149" xr:uid="{EC1AC1EA-FAA5-4F40-AF7C-6A7B7CF93350}"/>
    <cellStyle name="쉼표 [0] 2 10 2 8 2" xfId="5364" xr:uid="{D6C912BD-16E7-4256-91B2-936CDB1FB59E}"/>
    <cellStyle name="쉼표 [0] 2 10 2 9" xfId="2601" xr:uid="{6FCB6EDD-7B57-4003-822B-A47118C0DD9A}"/>
    <cellStyle name="쉼표 [0] 2 10 2 9 2" xfId="5809" xr:uid="{A690CDDA-2D1D-42A9-A3AB-6336A56000E9}"/>
    <cellStyle name="쉼표 [0] 2 10 3" xfId="325" xr:uid="{3BB72199-FCCF-4FE0-B66F-BDCC43F00961}"/>
    <cellStyle name="쉼표 [0] 2 10 3 10" xfId="3587" xr:uid="{634B7CF1-FB8C-4787-AD54-739DFA4F835B}"/>
    <cellStyle name="쉼표 [0] 2 10 3 2" xfId="326" xr:uid="{A3AC3BC8-C1BB-46CC-8ECC-3A6CFFB8287F}"/>
    <cellStyle name="쉼표 [0] 2 10 3 2 2" xfId="570" xr:uid="{D4356D70-4524-415C-BBD6-91824F1A2E89}"/>
    <cellStyle name="쉼표 [0] 2 10 3 2 2 2" xfId="1022" xr:uid="{4DA8EB7F-0B25-4F88-8FE8-C310A22F4DCC}"/>
    <cellStyle name="쉼표 [0] 2 10 3 2 2 2 2" xfId="4256" xr:uid="{C11AB717-C31F-44CC-8443-882376B79966}"/>
    <cellStyle name="쉼표 [0] 2 10 3 2 2 3" xfId="1474" xr:uid="{DF3A1314-C85C-4B4C-BDDB-CF746381CCEB}"/>
    <cellStyle name="쉼표 [0] 2 10 3 2 2 3 2" xfId="4701" xr:uid="{C5CA3F1B-D63A-4790-91E0-9097FB47E954}"/>
    <cellStyle name="쉼표 [0] 2 10 3 2 2 4" xfId="1926" xr:uid="{1BDB7DE2-95B4-4C3F-96ED-F30FF7D51D65}"/>
    <cellStyle name="쉼표 [0] 2 10 3 2 2 4 2" xfId="5146" xr:uid="{40E702AA-A951-48D1-9C0B-7BFDF7123042}"/>
    <cellStyle name="쉼표 [0] 2 10 3 2 2 5" xfId="2378" xr:uid="{1069FAD7-495F-49DC-9281-DAD860C3CED4}"/>
    <cellStyle name="쉼표 [0] 2 10 3 2 2 5 2" xfId="5591" xr:uid="{77C75509-CAF2-438C-92B6-9BD4BEB4C972}"/>
    <cellStyle name="쉼표 [0] 2 10 3 2 2 6" xfId="2830" xr:uid="{2F4E7193-F5F4-4721-B278-C4FCD326E657}"/>
    <cellStyle name="쉼표 [0] 2 10 3 2 2 6 2" xfId="6036" xr:uid="{A1F4BBFE-C3AB-4D7E-8FB9-A219394D5188}"/>
    <cellStyle name="쉼표 [0] 2 10 3 2 2 7" xfId="3282" xr:uid="{F36ECC34-831D-4C4D-ABB3-390A462B2BA2}"/>
    <cellStyle name="쉼표 [0] 2 10 3 2 2 7 2" xfId="6481" xr:uid="{2754215C-E767-4CE9-ACB5-0742E641DBFD}"/>
    <cellStyle name="쉼표 [0] 2 10 3 2 2 8" xfId="3811" xr:uid="{ED810A27-BE24-45F2-98A3-12D8A780486F}"/>
    <cellStyle name="쉼표 [0] 2 10 3 2 3" xfId="798" xr:uid="{87BB0BB6-189C-4614-B968-D311CC0241B9}"/>
    <cellStyle name="쉼표 [0] 2 10 3 2 3 2" xfId="4034" xr:uid="{E4358C83-490B-4DBD-85DE-A99DF3673786}"/>
    <cellStyle name="쉼표 [0] 2 10 3 2 4" xfId="1250" xr:uid="{71B8EC79-312B-440F-AF33-AC8BF03F9929}"/>
    <cellStyle name="쉼표 [0] 2 10 3 2 4 2" xfId="4479" xr:uid="{0324F43D-48B4-477E-BB6B-FBFEA53E033F}"/>
    <cellStyle name="쉼표 [0] 2 10 3 2 5" xfId="1702" xr:uid="{7A53F880-BA1F-4AB9-9631-FD1D61A411B7}"/>
    <cellStyle name="쉼표 [0] 2 10 3 2 5 2" xfId="4924" xr:uid="{DC1BA56E-2223-4E01-88BB-7D0ECE21829E}"/>
    <cellStyle name="쉼표 [0] 2 10 3 2 6" xfId="2154" xr:uid="{BBE9DA9D-0973-4BA0-879A-3F0941D968CE}"/>
    <cellStyle name="쉼표 [0] 2 10 3 2 6 2" xfId="5369" xr:uid="{5B26A831-3F26-4E47-ACAB-ABEB58BB7A28}"/>
    <cellStyle name="쉼표 [0] 2 10 3 2 7" xfId="2606" xr:uid="{64DF5538-5E13-4043-B2DB-F10FFBCC66E7}"/>
    <cellStyle name="쉼표 [0] 2 10 3 2 7 2" xfId="5814" xr:uid="{C76296D2-EBE4-4E62-A182-547509890A24}"/>
    <cellStyle name="쉼표 [0] 2 10 3 2 8" xfId="3058" xr:uid="{72058F29-E7AA-4FA8-B00E-A42E5248D5EA}"/>
    <cellStyle name="쉼표 [0] 2 10 3 2 8 2" xfId="6259" xr:uid="{1E28814E-A410-428E-9832-6D4341BB4080}"/>
    <cellStyle name="쉼표 [0] 2 10 3 2 9" xfId="3588" xr:uid="{A2DD6064-630A-4856-8CC1-DBA5AB3D714F}"/>
    <cellStyle name="쉼표 [0] 2 10 3 3" xfId="569" xr:uid="{72088D91-410F-4DB3-A2A7-91A32127F1C6}"/>
    <cellStyle name="쉼표 [0] 2 10 3 3 2" xfId="1021" xr:uid="{3DDBC383-4CF4-448D-8B37-13D372007F9F}"/>
    <cellStyle name="쉼표 [0] 2 10 3 3 2 2" xfId="4255" xr:uid="{1B2AB0B3-1D94-4A7B-A488-FF18E15A313D}"/>
    <cellStyle name="쉼표 [0] 2 10 3 3 3" xfId="1473" xr:uid="{BA1F7B25-F245-4A85-94C8-4CF5BA5A244F}"/>
    <cellStyle name="쉼표 [0] 2 10 3 3 3 2" xfId="4700" xr:uid="{04D5B5E3-B0F5-4EC0-922F-6B871605235A}"/>
    <cellStyle name="쉼표 [0] 2 10 3 3 4" xfId="1925" xr:uid="{65EAB585-4888-4977-BCBA-8083123FF002}"/>
    <cellStyle name="쉼표 [0] 2 10 3 3 4 2" xfId="5145" xr:uid="{0515B0FD-1ECF-4632-B58F-C791D72DAA40}"/>
    <cellStyle name="쉼표 [0] 2 10 3 3 5" xfId="2377" xr:uid="{EAB5C33A-40D0-4E13-AF0A-D845754E3863}"/>
    <cellStyle name="쉼표 [0] 2 10 3 3 5 2" xfId="5590" xr:uid="{A42C8163-36FB-4D47-BC02-B0E4422BDBB4}"/>
    <cellStyle name="쉼표 [0] 2 10 3 3 6" xfId="2829" xr:uid="{5351174B-16DA-4D93-A714-3503F7D0438F}"/>
    <cellStyle name="쉼표 [0] 2 10 3 3 6 2" xfId="6035" xr:uid="{02E9D911-F47E-4319-B7EA-560B288B95B3}"/>
    <cellStyle name="쉼표 [0] 2 10 3 3 7" xfId="3281" xr:uid="{16413574-FF2E-4FA5-BECF-4CDCF1AABE32}"/>
    <cellStyle name="쉼표 [0] 2 10 3 3 7 2" xfId="6480" xr:uid="{3DA73613-E878-44D7-A330-176A27235C53}"/>
    <cellStyle name="쉼표 [0] 2 10 3 3 8" xfId="3810" xr:uid="{E5035B39-D173-4E0F-A6F9-C606D4079A87}"/>
    <cellStyle name="쉼표 [0] 2 10 3 4" xfId="797" xr:uid="{76221D20-A157-4E5C-9799-87E1606C1DF0}"/>
    <cellStyle name="쉼표 [0] 2 10 3 4 2" xfId="4033" xr:uid="{A9BD3EE9-EA9B-494B-98CD-99A46CD6D446}"/>
    <cellStyle name="쉼표 [0] 2 10 3 5" xfId="1249" xr:uid="{CDD9A219-12D9-4304-A99F-55ECF1E6EC1E}"/>
    <cellStyle name="쉼표 [0] 2 10 3 5 2" xfId="4478" xr:uid="{15397A15-665F-4E6B-95A2-B29EBA33833B}"/>
    <cellStyle name="쉼표 [0] 2 10 3 6" xfId="1701" xr:uid="{4B340F57-7407-4EFD-9171-8831C628F0A8}"/>
    <cellStyle name="쉼표 [0] 2 10 3 6 2" xfId="4923" xr:uid="{6B8411D8-FE59-42E5-AB4A-A618A3A26E34}"/>
    <cellStyle name="쉼표 [0] 2 10 3 7" xfId="2153" xr:uid="{1E39F010-7104-4D5D-84AC-9E5A589D19F1}"/>
    <cellStyle name="쉼표 [0] 2 10 3 7 2" xfId="5368" xr:uid="{AB8DDA2A-2A2F-42EF-B555-30D9A0965059}"/>
    <cellStyle name="쉼표 [0] 2 10 3 8" xfId="2605" xr:uid="{744EF60C-187E-42CA-B9D8-396F557625A8}"/>
    <cellStyle name="쉼표 [0] 2 10 3 8 2" xfId="5813" xr:uid="{1BFA6A10-6DD0-45D7-88BC-E7962C5912D0}"/>
    <cellStyle name="쉼표 [0] 2 10 3 9" xfId="3057" xr:uid="{4D20CEFF-8A86-46A8-B2D3-3CD9FD11F54F}"/>
    <cellStyle name="쉼표 [0] 2 10 3 9 2" xfId="6258" xr:uid="{1E87F725-E190-408A-B5DE-D462E6540BEF}"/>
    <cellStyle name="쉼표 [0] 2 10 4" xfId="327" xr:uid="{22264A01-F0FE-4A0B-988F-843EC44B1A25}"/>
    <cellStyle name="쉼표 [0] 2 10 4 2" xfId="571" xr:uid="{44F1B266-7DC4-40A7-8513-441C4D984D31}"/>
    <cellStyle name="쉼표 [0] 2 10 4 2 2" xfId="1023" xr:uid="{5C1A242F-9ACC-4126-9B1B-4C45BD76BED8}"/>
    <cellStyle name="쉼표 [0] 2 10 4 2 2 2" xfId="4257" xr:uid="{E7D8CCE6-74B4-4081-9D83-7705818C9C0B}"/>
    <cellStyle name="쉼표 [0] 2 10 4 2 3" xfId="1475" xr:uid="{8EEBD11D-7CE2-4567-8184-7E33EC5D72DE}"/>
    <cellStyle name="쉼표 [0] 2 10 4 2 3 2" xfId="4702" xr:uid="{459F4A84-83F5-454D-98CC-69AC9165BE19}"/>
    <cellStyle name="쉼표 [0] 2 10 4 2 4" xfId="1927" xr:uid="{035CF26C-5E09-42A0-AEC1-7901CC14DD83}"/>
    <cellStyle name="쉼표 [0] 2 10 4 2 4 2" xfId="5147" xr:uid="{8921CBD8-0CC8-4DCF-AF82-537CB0A9D48D}"/>
    <cellStyle name="쉼표 [0] 2 10 4 2 5" xfId="2379" xr:uid="{98BD0E5E-4E48-4C72-B8D4-FEAEC998B988}"/>
    <cellStyle name="쉼표 [0] 2 10 4 2 5 2" xfId="5592" xr:uid="{6A8DEEB0-8A1A-477D-9D3E-02FE1AB8AD24}"/>
    <cellStyle name="쉼표 [0] 2 10 4 2 6" xfId="2831" xr:uid="{374FF418-CA47-44CA-B117-68FC753EBCB6}"/>
    <cellStyle name="쉼표 [0] 2 10 4 2 6 2" xfId="6037" xr:uid="{7F76BBFD-4BFB-42B0-817D-09A973971325}"/>
    <cellStyle name="쉼표 [0] 2 10 4 2 7" xfId="3283" xr:uid="{57EFECD4-2F34-489B-AB25-D2DD76E53F79}"/>
    <cellStyle name="쉼표 [0] 2 10 4 2 7 2" xfId="6482" xr:uid="{75EB4178-EEF0-411F-80BA-1544004168F7}"/>
    <cellStyle name="쉼표 [0] 2 10 4 2 8" xfId="3812" xr:uid="{63AC85B6-579B-4C03-A8B0-161417E2D5F6}"/>
    <cellStyle name="쉼표 [0] 2 10 4 3" xfId="799" xr:uid="{B63A3476-9259-4A67-95F5-E199C65A694F}"/>
    <cellStyle name="쉼표 [0] 2 10 4 3 2" xfId="4035" xr:uid="{32F4A223-40B5-48C4-9489-C1BA0514961C}"/>
    <cellStyle name="쉼표 [0] 2 10 4 4" xfId="1251" xr:uid="{764E1CB8-3675-4B3B-B3DE-2E23D57E4D04}"/>
    <cellStyle name="쉼표 [0] 2 10 4 4 2" xfId="4480" xr:uid="{62387D4E-3F37-4997-B034-DBBBD019E938}"/>
    <cellStyle name="쉼표 [0] 2 10 4 5" xfId="1703" xr:uid="{388C4D14-524E-444D-9391-D6150AA9ACDF}"/>
    <cellStyle name="쉼표 [0] 2 10 4 5 2" xfId="4925" xr:uid="{0D1DD774-8CF0-40FF-845D-B609B3EB174C}"/>
    <cellStyle name="쉼표 [0] 2 10 4 6" xfId="2155" xr:uid="{3063EF00-142C-45C0-B09D-929D97478F05}"/>
    <cellStyle name="쉼표 [0] 2 10 4 6 2" xfId="5370" xr:uid="{50B6EE9A-AB8D-4B1F-981F-9331BCDC048C}"/>
    <cellStyle name="쉼표 [0] 2 10 4 7" xfId="2607" xr:uid="{D14E2BEA-7E0B-4D77-9DE3-D5A8179E4676}"/>
    <cellStyle name="쉼표 [0] 2 10 4 7 2" xfId="5815" xr:uid="{C17027BA-C276-4AC5-A298-03899474429B}"/>
    <cellStyle name="쉼표 [0] 2 10 4 8" xfId="3059" xr:uid="{BAEB85C3-A9FA-448B-BA49-3FFC478BE062}"/>
    <cellStyle name="쉼표 [0] 2 10 4 8 2" xfId="6260" xr:uid="{2FEC319D-039F-43C3-BD4B-EAAB7E005908}"/>
    <cellStyle name="쉼표 [0] 2 10 4 9" xfId="3589" xr:uid="{E9AD8120-3B98-4F84-8084-299171FCA90A}"/>
    <cellStyle name="쉼표 [0] 2 10 5" xfId="564" xr:uid="{50CD86E5-CEE2-40F4-965F-E9E879483E7A}"/>
    <cellStyle name="쉼표 [0] 2 10 5 2" xfId="1016" xr:uid="{E55FBA3F-CDC1-4346-9BBB-D981F1E3AFDE}"/>
    <cellStyle name="쉼표 [0] 2 10 5 2 2" xfId="4250" xr:uid="{61E9D079-4770-47C7-A3F5-05F672955775}"/>
    <cellStyle name="쉼표 [0] 2 10 5 3" xfId="1468" xr:uid="{A1E704A2-269D-4230-931B-DCD5B1309609}"/>
    <cellStyle name="쉼표 [0] 2 10 5 3 2" xfId="4695" xr:uid="{9E71060A-E87A-4310-831D-F944F316A404}"/>
    <cellStyle name="쉼표 [0] 2 10 5 4" xfId="1920" xr:uid="{A3A1DF57-7920-4DAA-81B7-2A30E9B182EA}"/>
    <cellStyle name="쉼표 [0] 2 10 5 4 2" xfId="5140" xr:uid="{FA7DC42D-1205-457C-973F-D15724DB8EAE}"/>
    <cellStyle name="쉼표 [0] 2 10 5 5" xfId="2372" xr:uid="{68E185BF-6B3A-419E-8767-7CBC3D7459C0}"/>
    <cellStyle name="쉼표 [0] 2 10 5 5 2" xfId="5585" xr:uid="{C4CCFAD4-74F0-4856-A332-42D0762034A7}"/>
    <cellStyle name="쉼표 [0] 2 10 5 6" xfId="2824" xr:uid="{C962C35E-3157-40FE-B7F2-0FFBD7508DD9}"/>
    <cellStyle name="쉼표 [0] 2 10 5 6 2" xfId="6030" xr:uid="{3CC67EF4-6DB8-44B3-B5B0-1C48AA814E52}"/>
    <cellStyle name="쉼표 [0] 2 10 5 7" xfId="3276" xr:uid="{B7B6AFA9-16C0-4780-91D0-C31FD6DF6746}"/>
    <cellStyle name="쉼표 [0] 2 10 5 7 2" xfId="6475" xr:uid="{FD2A4629-1E8D-4BEB-925B-BA8E2AD935F6}"/>
    <cellStyle name="쉼표 [0] 2 10 5 8" xfId="3805" xr:uid="{15F96758-1225-4DFC-8CC4-676F36248E65}"/>
    <cellStyle name="쉼표 [0] 2 10 6" xfId="792" xr:uid="{2125507D-7E5B-4800-A926-470032E5D8A7}"/>
    <cellStyle name="쉼표 [0] 2 10 6 2" xfId="4028" xr:uid="{8F4CD28E-C532-470F-909E-B563649846CC}"/>
    <cellStyle name="쉼표 [0] 2 10 7" xfId="1244" xr:uid="{CF6593C5-A8A7-488D-9E4A-7BD6206A2848}"/>
    <cellStyle name="쉼표 [0] 2 10 7 2" xfId="4473" xr:uid="{EFDFFABE-A946-4A54-9A9D-D2EF593D0780}"/>
    <cellStyle name="쉼표 [0] 2 10 8" xfId="1696" xr:uid="{C94BF6FC-1699-4C14-A18C-A5D8BAD6B396}"/>
    <cellStyle name="쉼표 [0] 2 10 8 2" xfId="4918" xr:uid="{649FDFAA-0011-4BF8-8024-423A99371DC0}"/>
    <cellStyle name="쉼표 [0] 2 10 9" xfId="2148" xr:uid="{1F9B205E-C273-4DC0-BD83-D7716A21D994}"/>
    <cellStyle name="쉼표 [0] 2 10 9 2" xfId="5363" xr:uid="{180C94B6-5797-49B4-BF50-83BBD2FD44E9}"/>
    <cellStyle name="쉼표 [0] 2 11" xfId="1695" xr:uid="{385FC7D3-0647-46B9-9120-41607A67E628}"/>
    <cellStyle name="쉼표 [0] 2 11 2" xfId="4917" xr:uid="{B64659C1-EE99-4066-B95B-2952730D61EC}"/>
    <cellStyle name="쉼표 [0] 2 12" xfId="2147" xr:uid="{5BB60CA1-9A8A-4D18-9820-00FF476EC253}"/>
    <cellStyle name="쉼표 [0] 2 12 2" xfId="5362" xr:uid="{9C2150DD-0B55-4DC1-BDC6-61CC10D656D3}"/>
    <cellStyle name="쉼표 [0] 2 13" xfId="2599" xr:uid="{201E6BC3-5421-442C-89F2-90F1C41E69AF}"/>
    <cellStyle name="쉼표 [0] 2 13 2" xfId="5807" xr:uid="{99AF4D1C-544A-45DB-A98A-93D89A26E4FD}"/>
    <cellStyle name="쉼표 [0] 2 14" xfId="3051" xr:uid="{A91910BD-C1AF-4E83-9473-74CBAA767AB3}"/>
    <cellStyle name="쉼표 [0] 2 14 2" xfId="6252" xr:uid="{D7823CD9-F89F-48A4-BA4E-939456E8E3D2}"/>
    <cellStyle name="쉼표 [0] 2 15" xfId="3346" xr:uid="{E33DAA22-838A-4819-9AFA-6B4AA5696D54}"/>
    <cellStyle name="쉼표 [0] 2 15 2" xfId="6533" xr:uid="{D320AC2E-28DE-44C7-B150-4AABB9CA84FD}"/>
    <cellStyle name="쉼표 [0] 2 16" xfId="3386" xr:uid="{F048BEA6-2290-4DCA-A939-4235ED161254}"/>
    <cellStyle name="쉼표 [0] 2 2" xfId="328" xr:uid="{794849A5-EE84-49B8-AD1C-D0B6929E2E2C}"/>
    <cellStyle name="쉼표 [0] 2 2 10" xfId="2608" xr:uid="{62875104-697E-427D-A396-67459CE8FF1C}"/>
    <cellStyle name="쉼표 [0] 2 2 10 2" xfId="5816" xr:uid="{008A054A-3E97-4028-A2C6-3B519A068F61}"/>
    <cellStyle name="쉼표 [0] 2 2 11" xfId="3060" xr:uid="{8829869B-E267-4E01-9773-9D6E277D1012}"/>
    <cellStyle name="쉼표 [0] 2 2 11 2" xfId="6261" xr:uid="{DC8E9820-8744-4646-A57C-FF6AD7A1D113}"/>
    <cellStyle name="쉼표 [0] 2 2 12" xfId="3364" xr:uid="{AAEB8102-83DA-4821-8A0F-7532A013AFE3}"/>
    <cellStyle name="쉼표 [0] 2 2 12 2" xfId="6547" xr:uid="{78D7AD56-47B9-40B1-91B0-4DC2074FE353}"/>
    <cellStyle name="쉼표 [0] 2 2 13" xfId="3590" xr:uid="{6644D090-5F35-42F0-AB28-5958E7EB1411}"/>
    <cellStyle name="쉼표 [0] 2 2 2" xfId="329" xr:uid="{26B69A1D-77FB-47B2-B214-54044E5CD454}"/>
    <cellStyle name="쉼표 [0] 2 2 2 10" xfId="3061" xr:uid="{8305708B-0F4B-406C-B92C-89553E90C586}"/>
    <cellStyle name="쉼표 [0] 2 2 2 10 2" xfId="6262" xr:uid="{CA8515FA-18B9-4983-AED2-F5DF8B50180A}"/>
    <cellStyle name="쉼표 [0] 2 2 2 11" xfId="3591" xr:uid="{1D21D3D1-7703-4042-8E1B-223103350F0D}"/>
    <cellStyle name="쉼표 [0] 2 2 2 2" xfId="330" xr:uid="{B7DFDBD9-FF50-4CC2-8CB5-6ACD404E7BED}"/>
    <cellStyle name="쉼표 [0] 2 2 2 2 10" xfId="3592" xr:uid="{250519B9-7C19-4A21-87A4-7D958754414A}"/>
    <cellStyle name="쉼표 [0] 2 2 2 2 2" xfId="331" xr:uid="{A8E92962-DC0E-4CA5-8757-9A4C93B17D62}"/>
    <cellStyle name="쉼표 [0] 2 2 2 2 2 2" xfId="575" xr:uid="{B654D016-AD49-400B-842F-018BD184DE35}"/>
    <cellStyle name="쉼표 [0] 2 2 2 2 2 2 2" xfId="1027" xr:uid="{CA928D5B-BF71-4979-BCFF-115C6DF77232}"/>
    <cellStyle name="쉼표 [0] 2 2 2 2 2 2 2 2" xfId="4261" xr:uid="{9F235FC7-E697-4F84-B5A2-78FE4BE00342}"/>
    <cellStyle name="쉼표 [0] 2 2 2 2 2 2 3" xfId="1479" xr:uid="{FC6853D1-B6D0-46A7-8070-F977DD36EB35}"/>
    <cellStyle name="쉼표 [0] 2 2 2 2 2 2 3 2" xfId="4706" xr:uid="{EDECD4F8-C4EA-44CA-8A47-7CEBE6A68DCE}"/>
    <cellStyle name="쉼표 [0] 2 2 2 2 2 2 4" xfId="1931" xr:uid="{8110535C-8821-424E-847C-641776B8289E}"/>
    <cellStyle name="쉼표 [0] 2 2 2 2 2 2 4 2" xfId="5151" xr:uid="{C15AB7E4-5248-46C6-BE05-B3790B01FD35}"/>
    <cellStyle name="쉼표 [0] 2 2 2 2 2 2 5" xfId="2383" xr:uid="{43E3C230-B4C3-48FF-B80C-345765130300}"/>
    <cellStyle name="쉼표 [0] 2 2 2 2 2 2 5 2" xfId="5596" xr:uid="{6A2E98D3-B7D3-4A88-91F6-F4BBB3E5D754}"/>
    <cellStyle name="쉼표 [0] 2 2 2 2 2 2 6" xfId="2835" xr:uid="{92DC8075-8464-4F34-BE6D-A92122E55B1B}"/>
    <cellStyle name="쉼표 [0] 2 2 2 2 2 2 6 2" xfId="6041" xr:uid="{A6546FDA-2305-42BE-8D88-A03CD5FAF824}"/>
    <cellStyle name="쉼표 [0] 2 2 2 2 2 2 7" xfId="3287" xr:uid="{969A6B9F-BF8E-488E-807F-8B3D988C389A}"/>
    <cellStyle name="쉼표 [0] 2 2 2 2 2 2 7 2" xfId="6486" xr:uid="{F33E142F-C10F-4F62-A402-8D144D903F4E}"/>
    <cellStyle name="쉼표 [0] 2 2 2 2 2 2 8" xfId="3816" xr:uid="{C15E7030-755E-454B-8238-14A2B4D2C00F}"/>
    <cellStyle name="쉼표 [0] 2 2 2 2 2 3" xfId="803" xr:uid="{D369002B-763E-4AB4-9576-813ADD28FA89}"/>
    <cellStyle name="쉼표 [0] 2 2 2 2 2 3 2" xfId="4039" xr:uid="{5DC2E4C8-EDA0-4E19-8DDF-6431BAC2FBF8}"/>
    <cellStyle name="쉼표 [0] 2 2 2 2 2 4" xfId="1255" xr:uid="{08E33895-C829-4690-8700-0B1FD4CC9AD6}"/>
    <cellStyle name="쉼표 [0] 2 2 2 2 2 4 2" xfId="4484" xr:uid="{F3467FBF-9544-4975-B0D2-661802CA9EC4}"/>
    <cellStyle name="쉼표 [0] 2 2 2 2 2 5" xfId="1707" xr:uid="{D889EB11-467A-4D44-A10A-AC1443DF6AE9}"/>
    <cellStyle name="쉼표 [0] 2 2 2 2 2 5 2" xfId="4929" xr:uid="{D862E4B0-8CF1-41BB-AA65-1164BEB88973}"/>
    <cellStyle name="쉼표 [0] 2 2 2 2 2 6" xfId="2159" xr:uid="{9A16C981-9ACA-4633-B105-F317A9A92B7A}"/>
    <cellStyle name="쉼표 [0] 2 2 2 2 2 6 2" xfId="5374" xr:uid="{90559359-4F0C-4A62-BD1F-803643D50EDB}"/>
    <cellStyle name="쉼표 [0] 2 2 2 2 2 7" xfId="2611" xr:uid="{F2E71519-CC63-4383-A4CA-AB78D32B2ECC}"/>
    <cellStyle name="쉼표 [0] 2 2 2 2 2 7 2" xfId="5819" xr:uid="{F9183966-FE3C-4772-AA4F-CD802D3E60EA}"/>
    <cellStyle name="쉼표 [0] 2 2 2 2 2 8" xfId="3063" xr:uid="{37EBA760-2CE1-4297-BA10-6854F6667AD6}"/>
    <cellStyle name="쉼표 [0] 2 2 2 2 2 8 2" xfId="6264" xr:uid="{268FED68-E9A1-4CE3-A07A-87C9F16908A7}"/>
    <cellStyle name="쉼표 [0] 2 2 2 2 2 9" xfId="3593" xr:uid="{5B3DA5B7-8D00-4C4E-923D-6B0D38D2A582}"/>
    <cellStyle name="쉼표 [0] 2 2 2 2 3" xfId="574" xr:uid="{4C35E640-6BB4-4720-8196-43C440F84215}"/>
    <cellStyle name="쉼표 [0] 2 2 2 2 3 2" xfId="1026" xr:uid="{9E4A10B6-361B-44E4-808A-AD4C26FC91D3}"/>
    <cellStyle name="쉼표 [0] 2 2 2 2 3 2 2" xfId="4260" xr:uid="{A5870A30-B67F-46C7-B05F-B349B26C8BDA}"/>
    <cellStyle name="쉼표 [0] 2 2 2 2 3 3" xfId="1478" xr:uid="{925FEA36-1F3E-471C-BD17-71F6F5490ADB}"/>
    <cellStyle name="쉼표 [0] 2 2 2 2 3 3 2" xfId="4705" xr:uid="{8CF13CDD-7C9F-47FD-9054-645189635075}"/>
    <cellStyle name="쉼표 [0] 2 2 2 2 3 4" xfId="1930" xr:uid="{04A085B7-C7B0-49D7-A59C-A3DAFE2119BA}"/>
    <cellStyle name="쉼표 [0] 2 2 2 2 3 4 2" xfId="5150" xr:uid="{8996F73B-D45E-4778-88DE-D5A43F6DF686}"/>
    <cellStyle name="쉼표 [0] 2 2 2 2 3 5" xfId="2382" xr:uid="{89B29DCF-67C5-4E52-BFA9-D43ADBCCA9B5}"/>
    <cellStyle name="쉼표 [0] 2 2 2 2 3 5 2" xfId="5595" xr:uid="{D65F2889-BA88-4CA9-A6F0-C6E37F6DD383}"/>
    <cellStyle name="쉼표 [0] 2 2 2 2 3 6" xfId="2834" xr:uid="{977D9B0A-47A7-4C97-BF6D-4ABE67F13C3F}"/>
    <cellStyle name="쉼표 [0] 2 2 2 2 3 6 2" xfId="6040" xr:uid="{F184A486-7EBB-4A9A-B969-3C63CB974307}"/>
    <cellStyle name="쉼표 [0] 2 2 2 2 3 7" xfId="3286" xr:uid="{780BF502-FFC8-4CF5-98E5-01113353C011}"/>
    <cellStyle name="쉼표 [0] 2 2 2 2 3 7 2" xfId="6485" xr:uid="{B77ED1DF-E011-4CD5-8E45-0AE3F5A993EB}"/>
    <cellStyle name="쉼표 [0] 2 2 2 2 3 8" xfId="3815" xr:uid="{D9D07DE0-7509-4266-A210-23D0AA6336BE}"/>
    <cellStyle name="쉼표 [0] 2 2 2 2 4" xfId="802" xr:uid="{F1FA74E8-3B1D-411D-918D-668239341B46}"/>
    <cellStyle name="쉼표 [0] 2 2 2 2 4 2" xfId="4038" xr:uid="{B46821F7-CEC3-405B-B7B7-3FAF9E495C40}"/>
    <cellStyle name="쉼표 [0] 2 2 2 2 5" xfId="1254" xr:uid="{E307D51A-3C8B-4779-936F-F763F0A45221}"/>
    <cellStyle name="쉼표 [0] 2 2 2 2 5 2" xfId="4483" xr:uid="{BF105ED9-045B-44F0-A3C2-48BE10C2E475}"/>
    <cellStyle name="쉼표 [0] 2 2 2 2 6" xfId="1706" xr:uid="{4CA93206-05A7-4986-8027-5CFD44869E9D}"/>
    <cellStyle name="쉼표 [0] 2 2 2 2 6 2" xfId="4928" xr:uid="{0F7A4EEA-F4EA-4202-8649-03A999BDF958}"/>
    <cellStyle name="쉼표 [0] 2 2 2 2 7" xfId="2158" xr:uid="{6313BFF7-8885-41F0-8669-445E503097B6}"/>
    <cellStyle name="쉼표 [0] 2 2 2 2 7 2" xfId="5373" xr:uid="{6CAF5BB3-08B6-4237-ABDD-B8D73E5F6B7D}"/>
    <cellStyle name="쉼표 [0] 2 2 2 2 8" xfId="2610" xr:uid="{DDFB0496-6B91-415A-9FE2-E1A42265AA12}"/>
    <cellStyle name="쉼표 [0] 2 2 2 2 8 2" xfId="5818" xr:uid="{903BF475-7769-4032-A2D2-1E6D4E8ABE21}"/>
    <cellStyle name="쉼표 [0] 2 2 2 2 9" xfId="3062" xr:uid="{B110FA69-5C5C-4998-9FD2-EDBA742F9D90}"/>
    <cellStyle name="쉼표 [0] 2 2 2 2 9 2" xfId="6263" xr:uid="{F9C3F442-FC62-4790-9BDC-F45BB4916368}"/>
    <cellStyle name="쉼표 [0] 2 2 2 3" xfId="332" xr:uid="{AFFC65C9-A771-47F6-9902-C10A24F69A4B}"/>
    <cellStyle name="쉼표 [0] 2 2 2 3 2" xfId="576" xr:uid="{118236CD-8868-4BDB-82F2-1718598157C9}"/>
    <cellStyle name="쉼표 [0] 2 2 2 3 2 2" xfId="1028" xr:uid="{01776E6F-EF36-4EEE-BCCB-21F32783236E}"/>
    <cellStyle name="쉼표 [0] 2 2 2 3 2 2 2" xfId="4262" xr:uid="{FB44C0FF-3BAA-4612-B8FE-B18BB9D46C1F}"/>
    <cellStyle name="쉼표 [0] 2 2 2 3 2 3" xfId="1480" xr:uid="{DC7B64A4-CF4C-430F-8ED8-3A4B884B4ABD}"/>
    <cellStyle name="쉼표 [0] 2 2 2 3 2 3 2" xfId="4707" xr:uid="{CE3AA3A9-6146-43B1-A0F5-724CAB8E2799}"/>
    <cellStyle name="쉼표 [0] 2 2 2 3 2 4" xfId="1932" xr:uid="{185B7E5C-4CAA-4196-88AE-20416A21DDD4}"/>
    <cellStyle name="쉼표 [0] 2 2 2 3 2 4 2" xfId="5152" xr:uid="{5E69AEEC-3320-4093-993D-15FBEA5F332A}"/>
    <cellStyle name="쉼표 [0] 2 2 2 3 2 5" xfId="2384" xr:uid="{2600FD5B-2BD7-45EE-A181-B0516DD60D73}"/>
    <cellStyle name="쉼표 [0] 2 2 2 3 2 5 2" xfId="5597" xr:uid="{75940789-3C04-48D3-A83B-FB6BD2CF350A}"/>
    <cellStyle name="쉼표 [0] 2 2 2 3 2 6" xfId="2836" xr:uid="{C83DEA90-EA75-4474-94F6-0F90FEC927BF}"/>
    <cellStyle name="쉼표 [0] 2 2 2 3 2 6 2" xfId="6042" xr:uid="{D6448FAF-804A-445E-93F1-2151A878BEEA}"/>
    <cellStyle name="쉼표 [0] 2 2 2 3 2 7" xfId="3288" xr:uid="{D6D6C284-BDFC-4ADB-A645-6C483E8FC9EC}"/>
    <cellStyle name="쉼표 [0] 2 2 2 3 2 7 2" xfId="6487" xr:uid="{CD9E2FFF-3682-4EA4-A179-A85F8C949848}"/>
    <cellStyle name="쉼표 [0] 2 2 2 3 2 8" xfId="3817" xr:uid="{A6839ED7-F42B-4BC4-BE10-8FE81DB975B9}"/>
    <cellStyle name="쉼표 [0] 2 2 2 3 3" xfId="804" xr:uid="{99EF0A9A-998A-49B5-92CC-1812DA92A3F4}"/>
    <cellStyle name="쉼표 [0] 2 2 2 3 3 2" xfId="4040" xr:uid="{66086AE2-9E99-42BD-BC85-5FAC0E6ECF5E}"/>
    <cellStyle name="쉼표 [0] 2 2 2 3 4" xfId="1256" xr:uid="{BE406A3A-F974-4B65-B037-1E2C34BE089C}"/>
    <cellStyle name="쉼표 [0] 2 2 2 3 4 2" xfId="4485" xr:uid="{EE5D87EC-6104-471A-8F7C-EA4D8767D005}"/>
    <cellStyle name="쉼표 [0] 2 2 2 3 5" xfId="1708" xr:uid="{7CEDC719-1377-41D4-AE88-D0901CDC5321}"/>
    <cellStyle name="쉼표 [0] 2 2 2 3 5 2" xfId="4930" xr:uid="{B2FAC063-1ADE-4775-96E3-5DBE497C1002}"/>
    <cellStyle name="쉼표 [0] 2 2 2 3 6" xfId="2160" xr:uid="{1C9C1E37-5D9E-4F37-AC79-3BF6BF3DDE30}"/>
    <cellStyle name="쉼표 [0] 2 2 2 3 6 2" xfId="5375" xr:uid="{4704B766-156D-40CD-96B8-CE124EE29A5F}"/>
    <cellStyle name="쉼표 [0] 2 2 2 3 7" xfId="2612" xr:uid="{E8D51D2C-3B0C-4446-8840-43AD54B5A85A}"/>
    <cellStyle name="쉼표 [0] 2 2 2 3 7 2" xfId="5820" xr:uid="{0259B8A1-DF40-4821-B82E-82258A813193}"/>
    <cellStyle name="쉼표 [0] 2 2 2 3 8" xfId="3064" xr:uid="{27C41696-3D0B-40F2-AE87-1E0D7AAA688E}"/>
    <cellStyle name="쉼표 [0] 2 2 2 3 8 2" xfId="6265" xr:uid="{B8A95644-A001-4D2A-B69C-B8D2EBA75D7B}"/>
    <cellStyle name="쉼표 [0] 2 2 2 3 9" xfId="3594" xr:uid="{215B0601-BD9C-47DA-8C28-E7D280975410}"/>
    <cellStyle name="쉼표 [0] 2 2 2 4" xfId="573" xr:uid="{82C329B4-798B-4E31-A8DB-B38A21488DE7}"/>
    <cellStyle name="쉼표 [0] 2 2 2 4 2" xfId="1025" xr:uid="{DD5EF001-DA32-48A1-B215-FFCE737C892D}"/>
    <cellStyle name="쉼표 [0] 2 2 2 4 2 2" xfId="4259" xr:uid="{019A79F7-1D8D-43B4-A427-6E62A361D39E}"/>
    <cellStyle name="쉼표 [0] 2 2 2 4 3" xfId="1477" xr:uid="{60F95246-6205-46A1-8AB0-8F47283A8C76}"/>
    <cellStyle name="쉼표 [0] 2 2 2 4 3 2" xfId="4704" xr:uid="{8308897E-F3F5-4472-812A-2526D4CE7B92}"/>
    <cellStyle name="쉼표 [0] 2 2 2 4 4" xfId="1929" xr:uid="{E67C4340-85C2-469D-B04F-6ED8A6DD8853}"/>
    <cellStyle name="쉼표 [0] 2 2 2 4 4 2" xfId="5149" xr:uid="{D38270A2-FFFD-4C8D-8C4C-4AF1D52B1019}"/>
    <cellStyle name="쉼표 [0] 2 2 2 4 5" xfId="2381" xr:uid="{A749E99E-E4CB-498C-9BEA-250A387BC035}"/>
    <cellStyle name="쉼표 [0] 2 2 2 4 5 2" xfId="5594" xr:uid="{C0E4F37C-A89F-426D-9734-81B426FFB9FF}"/>
    <cellStyle name="쉼표 [0] 2 2 2 4 6" xfId="2833" xr:uid="{324412A8-548A-4944-AE03-CDF089C4C554}"/>
    <cellStyle name="쉼표 [0] 2 2 2 4 6 2" xfId="6039" xr:uid="{2A605157-6004-48FE-B755-DD7B71143BFD}"/>
    <cellStyle name="쉼표 [0] 2 2 2 4 7" xfId="3285" xr:uid="{E3D6024D-95F0-49CF-A961-F31E732EDA0E}"/>
    <cellStyle name="쉼표 [0] 2 2 2 4 7 2" xfId="6484" xr:uid="{C2012B8B-8651-486D-886B-562F6799F0F0}"/>
    <cellStyle name="쉼표 [0] 2 2 2 4 8" xfId="3814" xr:uid="{26B8ED9A-C5D2-4595-9864-195F19BCC7E7}"/>
    <cellStyle name="쉼표 [0] 2 2 2 5" xfId="801" xr:uid="{0A49C53C-373A-4EC4-9D0D-4B80AC4D36DB}"/>
    <cellStyle name="쉼표 [0] 2 2 2 5 2" xfId="4037" xr:uid="{EC113440-FE13-4325-B1CD-E2DACF04B97C}"/>
    <cellStyle name="쉼표 [0] 2 2 2 6" xfId="1253" xr:uid="{96739176-1B44-4796-A0FE-D1254C893931}"/>
    <cellStyle name="쉼표 [0] 2 2 2 6 2" xfId="4482" xr:uid="{166FF97E-A671-43AC-BC3D-826AC8DA63C4}"/>
    <cellStyle name="쉼표 [0] 2 2 2 7" xfId="1705" xr:uid="{FEE02A0A-0D62-4DA6-B259-DAEC0F0DF50C}"/>
    <cellStyle name="쉼표 [0] 2 2 2 7 2" xfId="4927" xr:uid="{B4105718-82FD-4250-9ADD-0405EE5EA2A0}"/>
    <cellStyle name="쉼표 [0] 2 2 2 8" xfId="2157" xr:uid="{94F22879-2D81-4D0D-AE0C-D776A39F2B2F}"/>
    <cellStyle name="쉼표 [0] 2 2 2 8 2" xfId="5372" xr:uid="{7E55264C-9A42-4EB0-83E8-6AFEDB4B5495}"/>
    <cellStyle name="쉼표 [0] 2 2 2 9" xfId="2609" xr:uid="{1F823A56-A201-4151-94BC-D1EEDBEE0E5F}"/>
    <cellStyle name="쉼표 [0] 2 2 2 9 2" xfId="5817" xr:uid="{535AEA27-639A-4C25-B9B5-243146349647}"/>
    <cellStyle name="쉼표 [0] 2 2 3" xfId="333" xr:uid="{00F1D56F-C4C5-43DC-B24D-F7BD89265D66}"/>
    <cellStyle name="쉼표 [0] 2 2 3 10" xfId="3595" xr:uid="{03D57646-F7A8-4945-90FB-F907747FA6F9}"/>
    <cellStyle name="쉼표 [0] 2 2 3 2" xfId="334" xr:uid="{00C372C8-1DDF-4E6E-9004-0BC55FFE5D8F}"/>
    <cellStyle name="쉼표 [0] 2 2 3 2 2" xfId="578" xr:uid="{610293BC-DBD9-4E58-9AF9-58AA8126388F}"/>
    <cellStyle name="쉼표 [0] 2 2 3 2 2 2" xfId="1030" xr:uid="{A9784ECB-F73D-4EF2-AD6F-C80016C24EF2}"/>
    <cellStyle name="쉼표 [0] 2 2 3 2 2 2 2" xfId="4264" xr:uid="{4922BFF9-76FB-434D-9714-10453B633CE0}"/>
    <cellStyle name="쉼표 [0] 2 2 3 2 2 3" xfId="1482" xr:uid="{710B495A-FE3A-40BE-A85C-AEA967B7FAEC}"/>
    <cellStyle name="쉼표 [0] 2 2 3 2 2 3 2" xfId="4709" xr:uid="{EC59B471-588B-425F-9330-75AFF94F56C4}"/>
    <cellStyle name="쉼표 [0] 2 2 3 2 2 4" xfId="1934" xr:uid="{DB117ED0-9751-4F79-93A9-698669091A25}"/>
    <cellStyle name="쉼표 [0] 2 2 3 2 2 4 2" xfId="5154" xr:uid="{1E50ADF3-9422-4939-95BC-7959F3FF2792}"/>
    <cellStyle name="쉼표 [0] 2 2 3 2 2 5" xfId="2386" xr:uid="{D384DD41-7864-4F95-9AD0-0158A4596603}"/>
    <cellStyle name="쉼표 [0] 2 2 3 2 2 5 2" xfId="5599" xr:uid="{3B64A391-80DC-4101-92EC-6E58B47EADB2}"/>
    <cellStyle name="쉼표 [0] 2 2 3 2 2 6" xfId="2838" xr:uid="{83BB2524-B99E-44E5-AB8E-3EA06A527D7D}"/>
    <cellStyle name="쉼표 [0] 2 2 3 2 2 6 2" xfId="6044" xr:uid="{AF4649B3-D474-4C23-AA27-07BB4B65D3D6}"/>
    <cellStyle name="쉼표 [0] 2 2 3 2 2 7" xfId="3290" xr:uid="{90A9351E-2F1D-4358-A71C-4D6E6443A9A7}"/>
    <cellStyle name="쉼표 [0] 2 2 3 2 2 7 2" xfId="6489" xr:uid="{C3900CFA-D49A-45AE-97E1-B152A1E24D9F}"/>
    <cellStyle name="쉼표 [0] 2 2 3 2 2 8" xfId="3819" xr:uid="{2C0D5103-CDF7-4F9C-8924-4C068F6EB717}"/>
    <cellStyle name="쉼표 [0] 2 2 3 2 3" xfId="806" xr:uid="{A21C0D30-2293-4156-8EB4-BFB0D861AA15}"/>
    <cellStyle name="쉼표 [0] 2 2 3 2 3 2" xfId="4042" xr:uid="{4E8FA2AF-7A9D-48D0-BF74-3E06B0208D5D}"/>
    <cellStyle name="쉼표 [0] 2 2 3 2 4" xfId="1258" xr:uid="{DCEBFE74-16D2-4C53-9CCF-3A1110EEE311}"/>
    <cellStyle name="쉼표 [0] 2 2 3 2 4 2" xfId="4487" xr:uid="{92501187-2889-43EA-94E1-335916FDCD32}"/>
    <cellStyle name="쉼표 [0] 2 2 3 2 5" xfId="1710" xr:uid="{2D4DD9B4-C8D2-481E-89B5-7791E0F4B6DD}"/>
    <cellStyle name="쉼표 [0] 2 2 3 2 5 2" xfId="4932" xr:uid="{544BDE56-6A7F-4CB2-BEEF-E23B8177EDA8}"/>
    <cellStyle name="쉼표 [0] 2 2 3 2 6" xfId="2162" xr:uid="{62719541-ACAC-4FE4-9361-A5A5E7FE5900}"/>
    <cellStyle name="쉼표 [0] 2 2 3 2 6 2" xfId="5377" xr:uid="{DC8D2850-DC2C-4467-A46A-80CE521DDEA6}"/>
    <cellStyle name="쉼표 [0] 2 2 3 2 7" xfId="2614" xr:uid="{8AD07776-D6D2-43E8-8638-424C1E8FB371}"/>
    <cellStyle name="쉼표 [0] 2 2 3 2 7 2" xfId="5822" xr:uid="{2FFBE2E9-8601-4385-95EB-235C0F4F2EF1}"/>
    <cellStyle name="쉼표 [0] 2 2 3 2 8" xfId="3066" xr:uid="{A706F524-040E-47DC-9A7C-56C93C7EFEB2}"/>
    <cellStyle name="쉼표 [0] 2 2 3 2 8 2" xfId="6267" xr:uid="{606CCA5F-FC8B-421C-AA4D-001F0C2546C3}"/>
    <cellStyle name="쉼표 [0] 2 2 3 2 9" xfId="3596" xr:uid="{51AA7249-0B00-4B9B-A4DA-90FC8BC1DDC4}"/>
    <cellStyle name="쉼표 [0] 2 2 3 3" xfId="577" xr:uid="{82FB62CE-3D75-4F7B-AE51-A82175FE5DD0}"/>
    <cellStyle name="쉼표 [0] 2 2 3 3 2" xfId="1029" xr:uid="{59309333-13E2-4B6E-8550-EC289A527113}"/>
    <cellStyle name="쉼표 [0] 2 2 3 3 2 2" xfId="4263" xr:uid="{BBCB0438-4BBC-4740-AB65-D018BD982EFC}"/>
    <cellStyle name="쉼표 [0] 2 2 3 3 3" xfId="1481" xr:uid="{A6F53D24-16D6-43E2-886F-E2E6267ECE28}"/>
    <cellStyle name="쉼표 [0] 2 2 3 3 3 2" xfId="4708" xr:uid="{D7F9FC65-46F8-4D7E-B1A4-BFCBAAB006EE}"/>
    <cellStyle name="쉼표 [0] 2 2 3 3 4" xfId="1933" xr:uid="{D708BC25-987B-4AB3-8BD9-68F96C0810D7}"/>
    <cellStyle name="쉼표 [0] 2 2 3 3 4 2" xfId="5153" xr:uid="{4392B240-AE95-4F91-A525-FFE5EA531E79}"/>
    <cellStyle name="쉼표 [0] 2 2 3 3 5" xfId="2385" xr:uid="{AE2D228E-6B88-4102-8A24-0D14B8FD6126}"/>
    <cellStyle name="쉼표 [0] 2 2 3 3 5 2" xfId="5598" xr:uid="{B7183A8D-8CE6-4ACF-9B7B-229BE2139C1D}"/>
    <cellStyle name="쉼표 [0] 2 2 3 3 6" xfId="2837" xr:uid="{DAE72824-246B-4297-A485-33F2B5BD4157}"/>
    <cellStyle name="쉼표 [0] 2 2 3 3 6 2" xfId="6043" xr:uid="{EB7446A4-789B-4C05-9502-6FE4178D2B08}"/>
    <cellStyle name="쉼표 [0] 2 2 3 3 7" xfId="3289" xr:uid="{2B814447-B146-4E4A-9960-7C0BFEB8A8BB}"/>
    <cellStyle name="쉼표 [0] 2 2 3 3 7 2" xfId="6488" xr:uid="{8C1362D5-0411-4EDD-93AE-BAEC1FCF15F1}"/>
    <cellStyle name="쉼표 [0] 2 2 3 3 8" xfId="3818" xr:uid="{85EE46D2-AD9E-4986-A69D-B14535CD292D}"/>
    <cellStyle name="쉼표 [0] 2 2 3 4" xfId="805" xr:uid="{AFFF6409-CBCD-4FAB-9F0A-FCEDA01CCA43}"/>
    <cellStyle name="쉼표 [0] 2 2 3 4 2" xfId="4041" xr:uid="{80A97861-863A-4948-8B59-FF41F9F1333D}"/>
    <cellStyle name="쉼표 [0] 2 2 3 5" xfId="1257" xr:uid="{4B47D725-E685-4DE5-885D-98EB0B4850D2}"/>
    <cellStyle name="쉼표 [0] 2 2 3 5 2" xfId="4486" xr:uid="{4F510C30-0EDB-40D1-A48C-3B37E1E577E5}"/>
    <cellStyle name="쉼표 [0] 2 2 3 6" xfId="1709" xr:uid="{7FC32259-B0D2-4393-A242-554279F1ECBC}"/>
    <cellStyle name="쉼표 [0] 2 2 3 6 2" xfId="4931" xr:uid="{2CE859F8-2CFC-437A-AFFB-AFCFB3EC9808}"/>
    <cellStyle name="쉼표 [0] 2 2 3 7" xfId="2161" xr:uid="{7A976D1D-C5E8-48A4-B8EB-5E8226F36CFE}"/>
    <cellStyle name="쉼표 [0] 2 2 3 7 2" xfId="5376" xr:uid="{6A1D7585-CF2F-4DFA-93E0-D770D82725F1}"/>
    <cellStyle name="쉼표 [0] 2 2 3 8" xfId="2613" xr:uid="{57596F8E-AF89-4F9A-8283-2530428EA542}"/>
    <cellStyle name="쉼표 [0] 2 2 3 8 2" xfId="5821" xr:uid="{A9D53D93-3313-4833-A8FE-661A82DEE0E0}"/>
    <cellStyle name="쉼표 [0] 2 2 3 9" xfId="3065" xr:uid="{B0EF21B9-EC17-40F4-9FF6-7999AC761BFD}"/>
    <cellStyle name="쉼표 [0] 2 2 3 9 2" xfId="6266" xr:uid="{8053EC21-FCF6-4A79-AFF7-F6A78441BBF2}"/>
    <cellStyle name="쉼표 [0] 2 2 4" xfId="335" xr:uid="{C54C7BB6-D88A-456D-9AFD-ACACF4D183FB}"/>
    <cellStyle name="쉼표 [0] 2 2 4 2" xfId="579" xr:uid="{82CCD8BD-1E69-4AAA-85CB-35CC9EA7D96F}"/>
    <cellStyle name="쉼표 [0] 2 2 4 2 2" xfId="1031" xr:uid="{D8668DBB-49EF-44E1-8756-D5CCE48CB4C1}"/>
    <cellStyle name="쉼표 [0] 2 2 4 2 2 2" xfId="4265" xr:uid="{10C6BD5C-0BA3-4F6C-BF6A-6E4E0107D624}"/>
    <cellStyle name="쉼표 [0] 2 2 4 2 3" xfId="1483" xr:uid="{7E38E8E9-CB13-4CA0-9B89-F116E220244F}"/>
    <cellStyle name="쉼표 [0] 2 2 4 2 3 2" xfId="4710" xr:uid="{E3AB3F04-A94F-47FD-9798-8EB9A00DD659}"/>
    <cellStyle name="쉼표 [0] 2 2 4 2 4" xfId="1935" xr:uid="{5FA677D7-AFB0-4C90-BFCC-07A04D09E8C4}"/>
    <cellStyle name="쉼표 [0] 2 2 4 2 4 2" xfId="5155" xr:uid="{132C7E1D-F09D-453E-86E9-A81452047994}"/>
    <cellStyle name="쉼표 [0] 2 2 4 2 5" xfId="2387" xr:uid="{D5065DB9-E017-4801-908B-489AF0C9B21B}"/>
    <cellStyle name="쉼표 [0] 2 2 4 2 5 2" xfId="5600" xr:uid="{0750DB5E-83DA-4D9F-8C75-B53D24BD416E}"/>
    <cellStyle name="쉼표 [0] 2 2 4 2 6" xfId="2839" xr:uid="{D6402E36-1EB1-4770-A7C7-4D47CCA961DA}"/>
    <cellStyle name="쉼표 [0] 2 2 4 2 6 2" xfId="6045" xr:uid="{4EB9FE91-99A2-4E17-9B6C-74D2101A3B92}"/>
    <cellStyle name="쉼표 [0] 2 2 4 2 7" xfId="3291" xr:uid="{3908642A-D4CD-4470-8F1F-54B8F63EA6A2}"/>
    <cellStyle name="쉼표 [0] 2 2 4 2 7 2" xfId="6490" xr:uid="{8B4D725C-F46B-4515-B0AD-AC1292C208E3}"/>
    <cellStyle name="쉼표 [0] 2 2 4 2 8" xfId="3820" xr:uid="{C950A18C-F759-464C-AF9F-DD2DBA699CEC}"/>
    <cellStyle name="쉼표 [0] 2 2 4 3" xfId="807" xr:uid="{D6D3DA99-2660-44E5-8BE1-E812A8C28DB5}"/>
    <cellStyle name="쉼표 [0] 2 2 4 3 2" xfId="4043" xr:uid="{7113DC06-87D8-4921-AABE-59AC5ED1E780}"/>
    <cellStyle name="쉼표 [0] 2 2 4 4" xfId="1259" xr:uid="{5CA55376-D642-4F33-9360-24FB76D0CC0D}"/>
    <cellStyle name="쉼표 [0] 2 2 4 4 2" xfId="4488" xr:uid="{6FF3DFEE-636A-4F90-9E3A-A46F315D3F66}"/>
    <cellStyle name="쉼표 [0] 2 2 4 5" xfId="1711" xr:uid="{F112BDDB-C513-4CA1-A81E-FCE50F8AE89F}"/>
    <cellStyle name="쉼표 [0] 2 2 4 5 2" xfId="4933" xr:uid="{BE2827E3-CE1C-4954-A7B0-560D36B82390}"/>
    <cellStyle name="쉼표 [0] 2 2 4 6" xfId="2163" xr:uid="{9100CBB3-6442-4458-BEB7-C56598207067}"/>
    <cellStyle name="쉼표 [0] 2 2 4 6 2" xfId="5378" xr:uid="{A74BA11B-D441-4AC5-96BA-C3EE38AD3160}"/>
    <cellStyle name="쉼표 [0] 2 2 4 7" xfId="2615" xr:uid="{FB6F4D36-BA6A-460D-9668-21E6980310F2}"/>
    <cellStyle name="쉼표 [0] 2 2 4 7 2" xfId="5823" xr:uid="{243C75D0-E927-4DD7-976C-360E8A4A9483}"/>
    <cellStyle name="쉼표 [0] 2 2 4 8" xfId="3067" xr:uid="{C2A51656-3A6D-4FDD-9DC3-891D80636C69}"/>
    <cellStyle name="쉼표 [0] 2 2 4 8 2" xfId="6268" xr:uid="{E1BFAAB1-E46E-48CF-A781-A535BC145CF4}"/>
    <cellStyle name="쉼표 [0] 2 2 4 9" xfId="3597" xr:uid="{D7CE5AB2-2B31-4851-AF46-8318839D8A9C}"/>
    <cellStyle name="쉼표 [0] 2 2 5" xfId="572" xr:uid="{93142580-5196-4475-9841-5687CBDB8758}"/>
    <cellStyle name="쉼표 [0] 2 2 5 2" xfId="1024" xr:uid="{ED995E99-1011-4CD0-A7DB-5C20757E68DC}"/>
    <cellStyle name="쉼표 [0] 2 2 5 2 2" xfId="4258" xr:uid="{DD1766ED-8447-4271-BB78-642980F0A624}"/>
    <cellStyle name="쉼표 [0] 2 2 5 3" xfId="1476" xr:uid="{473F4A26-9ECB-4EF6-99DB-1D6C5FFB806F}"/>
    <cellStyle name="쉼표 [0] 2 2 5 3 2" xfId="4703" xr:uid="{4B134222-8694-4E4E-963F-417E5FE14091}"/>
    <cellStyle name="쉼표 [0] 2 2 5 4" xfId="1928" xr:uid="{88E2DDA6-90D4-4718-BBA9-3EB8BC7BB888}"/>
    <cellStyle name="쉼표 [0] 2 2 5 4 2" xfId="5148" xr:uid="{AD704BE4-AE01-4BAF-B5FD-63FFDF90D7CD}"/>
    <cellStyle name="쉼표 [0] 2 2 5 5" xfId="2380" xr:uid="{9B9AA5A3-0977-4069-A443-400A9D6BE373}"/>
    <cellStyle name="쉼표 [0] 2 2 5 5 2" xfId="5593" xr:uid="{04D9C17A-CF59-407A-8688-51590FD66DE9}"/>
    <cellStyle name="쉼표 [0] 2 2 5 6" xfId="2832" xr:uid="{D2BB42F4-9FE3-45E3-8690-0934ADE2039B}"/>
    <cellStyle name="쉼표 [0] 2 2 5 6 2" xfId="6038" xr:uid="{6584437B-8669-4E77-8B8D-6880C56DD437}"/>
    <cellStyle name="쉼표 [0] 2 2 5 7" xfId="3284" xr:uid="{C1921F0D-B17B-448E-B20B-286DB8B40B7B}"/>
    <cellStyle name="쉼표 [0] 2 2 5 7 2" xfId="6483" xr:uid="{BB7A7C63-8C04-4C92-8B13-9E76F27F6D8F}"/>
    <cellStyle name="쉼표 [0] 2 2 5 8" xfId="3813" xr:uid="{FFDD9F02-B18F-4BAB-B049-FD8171A26899}"/>
    <cellStyle name="쉼표 [0] 2 2 6" xfId="800" xr:uid="{BBEC2660-59A1-4AC3-B096-0D789286063A}"/>
    <cellStyle name="쉼표 [0] 2 2 6 2" xfId="4036" xr:uid="{66B59962-04AC-4EFC-AEE5-1C2542FBCC4E}"/>
    <cellStyle name="쉼표 [0] 2 2 7" xfId="1252" xr:uid="{C14ABA1E-B069-4A89-8060-94A1E3AAAE30}"/>
    <cellStyle name="쉼표 [0] 2 2 7 2" xfId="4481" xr:uid="{977556E9-2A1B-4387-84DC-567391D99442}"/>
    <cellStyle name="쉼표 [0] 2 2 8" xfId="1704" xr:uid="{01D0B8AD-02AB-4E1E-8271-15DE17A28C24}"/>
    <cellStyle name="쉼표 [0] 2 2 8 2" xfId="4926" xr:uid="{12998B51-473D-46FD-B124-F6D58582714E}"/>
    <cellStyle name="쉼표 [0] 2 2 9" xfId="2156" xr:uid="{F915A88E-F2B8-4DED-8549-B9B8C2FE3A35}"/>
    <cellStyle name="쉼표 [0] 2 2 9 2" xfId="5371" xr:uid="{0FBC0D94-7A88-4DF9-99EE-03AFE9BA4428}"/>
    <cellStyle name="쉼표 [0] 2 3" xfId="336" xr:uid="{30B92B91-33C2-4297-BFB1-9DD6F44D7925}"/>
    <cellStyle name="쉼표 [0] 2 3 10" xfId="3068" xr:uid="{824AF094-2A21-4D60-90B2-E5E966809585}"/>
    <cellStyle name="쉼표 [0] 2 3 10 2" xfId="6269" xr:uid="{283F1555-9CE1-4F49-B99A-8F6D8BE456CD}"/>
    <cellStyle name="쉼표 [0] 2 3 11" xfId="3598" xr:uid="{B4076165-CF98-4030-88A2-CCB62929F85E}"/>
    <cellStyle name="쉼표 [0] 2 3 2" xfId="337" xr:uid="{CD41703C-80AE-428E-A4E4-A18E93E9B5F8}"/>
    <cellStyle name="쉼표 [0] 2 3 2 10" xfId="3599" xr:uid="{9CD75B3F-EA25-41B4-AD7A-9772986D12C8}"/>
    <cellStyle name="쉼표 [0] 2 3 2 2" xfId="338" xr:uid="{70A18BD3-FA10-47D5-A539-2F8C4A6C56F9}"/>
    <cellStyle name="쉼표 [0] 2 3 2 2 2" xfId="582" xr:uid="{5E8D2AED-5D48-441C-92CB-52C7F6094E97}"/>
    <cellStyle name="쉼표 [0] 2 3 2 2 2 2" xfId="1034" xr:uid="{7DC10845-6EEB-4AFB-9118-E9D51B1427DF}"/>
    <cellStyle name="쉼표 [0] 2 3 2 2 2 2 2" xfId="4268" xr:uid="{2E08B8E7-9236-456B-8897-7512309BA98F}"/>
    <cellStyle name="쉼표 [0] 2 3 2 2 2 3" xfId="1486" xr:uid="{AC91E219-DC15-46F3-BFA1-36A7D1B31927}"/>
    <cellStyle name="쉼표 [0] 2 3 2 2 2 3 2" xfId="4713" xr:uid="{2470BC72-851D-4083-BCDE-7542AEBD3BB6}"/>
    <cellStyle name="쉼표 [0] 2 3 2 2 2 4" xfId="1938" xr:uid="{227E87AA-BB9A-4969-993A-3D9A65395334}"/>
    <cellStyle name="쉼표 [0] 2 3 2 2 2 4 2" xfId="5158" xr:uid="{A4268958-67D3-4A62-96EA-4C3F9DB945E5}"/>
    <cellStyle name="쉼표 [0] 2 3 2 2 2 5" xfId="2390" xr:uid="{D97ED2E9-0837-4F8C-9E05-C5AB3AD3CD36}"/>
    <cellStyle name="쉼표 [0] 2 3 2 2 2 5 2" xfId="5603" xr:uid="{D66C1823-091A-4738-A9B8-724FEDE0EE1F}"/>
    <cellStyle name="쉼표 [0] 2 3 2 2 2 6" xfId="2842" xr:uid="{D0C26C3A-97EE-426B-AEBF-7CE98986D218}"/>
    <cellStyle name="쉼표 [0] 2 3 2 2 2 6 2" xfId="6048" xr:uid="{4F221180-8FA6-4E78-9ADD-0DAD82821BCB}"/>
    <cellStyle name="쉼표 [0] 2 3 2 2 2 7" xfId="3294" xr:uid="{04CBD9C3-F11B-41E9-88AD-CCC2EEAA6B43}"/>
    <cellStyle name="쉼표 [0] 2 3 2 2 2 7 2" xfId="6493" xr:uid="{B1DD0D5C-3040-48D4-9F7E-98DFC77D065D}"/>
    <cellStyle name="쉼표 [0] 2 3 2 2 2 8" xfId="3823" xr:uid="{5C4D32D2-1842-467E-A953-46E552421612}"/>
    <cellStyle name="쉼표 [0] 2 3 2 2 3" xfId="810" xr:uid="{05988C84-E8A8-4838-9289-2E041F80A079}"/>
    <cellStyle name="쉼표 [0] 2 3 2 2 3 2" xfId="4046" xr:uid="{D589129C-E1B1-4B51-8CF9-22D8A5332D71}"/>
    <cellStyle name="쉼표 [0] 2 3 2 2 4" xfId="1262" xr:uid="{185FA7DF-19E4-4259-97AD-C0FD2497DA51}"/>
    <cellStyle name="쉼표 [0] 2 3 2 2 4 2" xfId="4491" xr:uid="{A0F938A1-D87D-4A02-BEEA-2BAB2B7BDE90}"/>
    <cellStyle name="쉼표 [0] 2 3 2 2 5" xfId="1714" xr:uid="{95C866E6-46ED-429E-931A-AB8A000CBC82}"/>
    <cellStyle name="쉼표 [0] 2 3 2 2 5 2" xfId="4936" xr:uid="{C4D01CC9-5E11-4233-BEAA-E2DEF008049E}"/>
    <cellStyle name="쉼표 [0] 2 3 2 2 6" xfId="2166" xr:uid="{C3BCF4BB-0A0E-498A-AC23-C8B8E90EB9D8}"/>
    <cellStyle name="쉼표 [0] 2 3 2 2 6 2" xfId="5381" xr:uid="{EF06A838-98CA-4247-9FB9-202C813861AF}"/>
    <cellStyle name="쉼표 [0] 2 3 2 2 7" xfId="2618" xr:uid="{0C63146E-C204-4B62-8EF2-7E7D46F5A9B6}"/>
    <cellStyle name="쉼표 [0] 2 3 2 2 7 2" xfId="5826" xr:uid="{F2C893F0-B073-45CE-888C-88A606997EFE}"/>
    <cellStyle name="쉼표 [0] 2 3 2 2 8" xfId="3070" xr:uid="{3F1FF4A5-6F4D-4066-AB51-BCF0B65B61B2}"/>
    <cellStyle name="쉼표 [0] 2 3 2 2 8 2" xfId="6271" xr:uid="{71EB55C2-A76F-4424-91EC-D97F20EE107F}"/>
    <cellStyle name="쉼표 [0] 2 3 2 2 9" xfId="3600" xr:uid="{D2FC019F-DC38-4B88-8AC8-A0D4BB45CB88}"/>
    <cellStyle name="쉼표 [0] 2 3 2 3" xfId="581" xr:uid="{F6D0DDDB-5DBF-45FE-8A4D-90774AE071B8}"/>
    <cellStyle name="쉼표 [0] 2 3 2 3 2" xfId="1033" xr:uid="{18082E39-1E7B-4069-9C62-A4D30839D6C0}"/>
    <cellStyle name="쉼표 [0] 2 3 2 3 2 2" xfId="4267" xr:uid="{2B7B3F16-C67C-4ADF-9CD6-F394766112AA}"/>
    <cellStyle name="쉼표 [0] 2 3 2 3 3" xfId="1485" xr:uid="{06242964-3F8B-4529-8862-40E1C1BC8B70}"/>
    <cellStyle name="쉼표 [0] 2 3 2 3 3 2" xfId="4712" xr:uid="{5BD9F96F-3B75-4792-8024-5C35B3341F31}"/>
    <cellStyle name="쉼표 [0] 2 3 2 3 4" xfId="1937" xr:uid="{5488C703-3321-400A-869D-D6E7AC532FA7}"/>
    <cellStyle name="쉼표 [0] 2 3 2 3 4 2" xfId="5157" xr:uid="{650D2938-69E4-4569-BE54-C12E0D25C7F7}"/>
    <cellStyle name="쉼표 [0] 2 3 2 3 5" xfId="2389" xr:uid="{FF831688-BC71-4AE3-8AFA-F2EA379187B3}"/>
    <cellStyle name="쉼표 [0] 2 3 2 3 5 2" xfId="5602" xr:uid="{81431609-FBB4-4FE8-8DBE-FC4EFAFAACB8}"/>
    <cellStyle name="쉼표 [0] 2 3 2 3 6" xfId="2841" xr:uid="{9B74E898-7C36-41E6-BD35-28FB5F89CE90}"/>
    <cellStyle name="쉼표 [0] 2 3 2 3 6 2" xfId="6047" xr:uid="{7521E2AC-2EC6-4D44-B77D-55B76F5B8CC5}"/>
    <cellStyle name="쉼표 [0] 2 3 2 3 7" xfId="3293" xr:uid="{629F507A-1E87-44A8-B427-BA1803ADEB1B}"/>
    <cellStyle name="쉼표 [0] 2 3 2 3 7 2" xfId="6492" xr:uid="{F4E81A6D-941F-47A4-89CC-E000FF5E55C7}"/>
    <cellStyle name="쉼표 [0] 2 3 2 3 8" xfId="3822" xr:uid="{F74D241D-E04D-40DF-A0E8-48A1A3AB89AF}"/>
    <cellStyle name="쉼표 [0] 2 3 2 4" xfId="809" xr:uid="{5DF1CAB1-2F23-4AB4-BB43-A04B49879BE8}"/>
    <cellStyle name="쉼표 [0] 2 3 2 4 2" xfId="4045" xr:uid="{2F4959EE-B8B8-4739-A6EC-8B6F61F1B720}"/>
    <cellStyle name="쉼표 [0] 2 3 2 5" xfId="1261" xr:uid="{E40EF492-AE3A-4E63-B85E-BFB324B4F6CB}"/>
    <cellStyle name="쉼표 [0] 2 3 2 5 2" xfId="4490" xr:uid="{0643B063-02A3-4204-853B-BFB5AE7E3DF5}"/>
    <cellStyle name="쉼표 [0] 2 3 2 6" xfId="1713" xr:uid="{892F0D65-8405-4E17-B6DE-02A37FAD2205}"/>
    <cellStyle name="쉼표 [0] 2 3 2 6 2" xfId="4935" xr:uid="{14582FB5-21CC-42C6-AB59-E7BC74711A1C}"/>
    <cellStyle name="쉼표 [0] 2 3 2 7" xfId="2165" xr:uid="{0064BD6C-07BE-4F08-92E5-CF05D6E36073}"/>
    <cellStyle name="쉼표 [0] 2 3 2 7 2" xfId="5380" xr:uid="{AE9AE802-5BE7-441E-B00F-FDBD7CFD08D3}"/>
    <cellStyle name="쉼표 [0] 2 3 2 8" xfId="2617" xr:uid="{CBD311DE-639A-47F7-93EE-ED71E30FEA6D}"/>
    <cellStyle name="쉼표 [0] 2 3 2 8 2" xfId="5825" xr:uid="{4CB35A76-DC6B-41D0-8187-5CC71A95189F}"/>
    <cellStyle name="쉼표 [0] 2 3 2 9" xfId="3069" xr:uid="{BFE8D0F2-D7CB-4DA9-9982-18A2834D1A96}"/>
    <cellStyle name="쉼표 [0] 2 3 2 9 2" xfId="6270" xr:uid="{17DF6600-F11D-45BA-9571-BEC9B5899FCB}"/>
    <cellStyle name="쉼표 [0] 2 3 3" xfId="339" xr:uid="{FCF849E0-D917-4ABA-B5F1-7184DC28D89A}"/>
    <cellStyle name="쉼표 [0] 2 3 3 2" xfId="583" xr:uid="{8AE7B6FC-F605-48E0-B4FE-C942CE4CC9CA}"/>
    <cellStyle name="쉼표 [0] 2 3 3 2 2" xfId="1035" xr:uid="{8DD631A9-CB54-4AC6-80DF-5A2BAFA57487}"/>
    <cellStyle name="쉼표 [0] 2 3 3 2 2 2" xfId="4269" xr:uid="{993FFBE5-FFC9-4636-AF21-4368CA9157FC}"/>
    <cellStyle name="쉼표 [0] 2 3 3 2 3" xfId="1487" xr:uid="{4E0D6A4B-3BCF-453C-B2CF-A321B6BFBE06}"/>
    <cellStyle name="쉼표 [0] 2 3 3 2 3 2" xfId="4714" xr:uid="{7DA082F0-B116-4A2F-905F-836F9F9F5ABB}"/>
    <cellStyle name="쉼표 [0] 2 3 3 2 4" xfId="1939" xr:uid="{7B6B3C8E-1526-49B6-815B-EE35B2C20C4C}"/>
    <cellStyle name="쉼표 [0] 2 3 3 2 4 2" xfId="5159" xr:uid="{738324B8-D84F-4D1E-85C0-C303FE011F1D}"/>
    <cellStyle name="쉼표 [0] 2 3 3 2 5" xfId="2391" xr:uid="{0BDEC829-CD99-4E29-8694-63E0560C03AE}"/>
    <cellStyle name="쉼표 [0] 2 3 3 2 5 2" xfId="5604" xr:uid="{8872D943-5DE8-4C33-8305-C18F89418469}"/>
    <cellStyle name="쉼표 [0] 2 3 3 2 6" xfId="2843" xr:uid="{D7E787D4-EDB8-41FB-BB66-5A5C6CD6A9B6}"/>
    <cellStyle name="쉼표 [0] 2 3 3 2 6 2" xfId="6049" xr:uid="{B4E1D563-8808-45F8-ACA2-9873FBC40973}"/>
    <cellStyle name="쉼표 [0] 2 3 3 2 7" xfId="3295" xr:uid="{D47B6D07-C472-4DEF-82FC-D0F295602B83}"/>
    <cellStyle name="쉼표 [0] 2 3 3 2 7 2" xfId="6494" xr:uid="{4F6D688D-36DE-4BF0-A46A-3B718E420E33}"/>
    <cellStyle name="쉼표 [0] 2 3 3 2 8" xfId="3824" xr:uid="{BADC3D9B-54B1-4FCC-A64F-779B0247C1D2}"/>
    <cellStyle name="쉼표 [0] 2 3 3 3" xfId="811" xr:uid="{060BF39E-667A-4DAF-AE49-E21BFDCA679B}"/>
    <cellStyle name="쉼표 [0] 2 3 3 3 2" xfId="4047" xr:uid="{54D8BE4D-BAB0-4499-92FE-B35287E54781}"/>
    <cellStyle name="쉼표 [0] 2 3 3 4" xfId="1263" xr:uid="{A1971656-60B7-4B25-B1B1-17D8AD1F6A23}"/>
    <cellStyle name="쉼표 [0] 2 3 3 4 2" xfId="4492" xr:uid="{A2872A9B-A9A9-4259-B742-F5AF167F6321}"/>
    <cellStyle name="쉼표 [0] 2 3 3 5" xfId="1715" xr:uid="{3BB2C568-3DB9-4A98-9498-794E36C4771D}"/>
    <cellStyle name="쉼표 [0] 2 3 3 5 2" xfId="4937" xr:uid="{08FD59C2-2444-454B-BCE6-F89DBC87D81D}"/>
    <cellStyle name="쉼표 [0] 2 3 3 6" xfId="2167" xr:uid="{A0552CE6-6AEE-4D26-9326-E4896912ACF7}"/>
    <cellStyle name="쉼표 [0] 2 3 3 6 2" xfId="5382" xr:uid="{57948807-10CC-4ACC-BF50-ED90F9C71A8B}"/>
    <cellStyle name="쉼표 [0] 2 3 3 7" xfId="2619" xr:uid="{D4050DB7-6072-4147-8BA1-0C5D2D6FE795}"/>
    <cellStyle name="쉼표 [0] 2 3 3 7 2" xfId="5827" xr:uid="{AC91948C-609C-44DE-ACB4-A66F73E120D6}"/>
    <cellStyle name="쉼표 [0] 2 3 3 8" xfId="3071" xr:uid="{F737B8AC-A176-42B2-9B03-30FF1C90E199}"/>
    <cellStyle name="쉼표 [0] 2 3 3 8 2" xfId="6272" xr:uid="{4FEF19A4-C6C8-4F50-AE9C-9BBFE37FE461}"/>
    <cellStyle name="쉼표 [0] 2 3 3 9" xfId="3601" xr:uid="{5BC307E8-88BB-4DE8-82AF-643AE57BF34A}"/>
    <cellStyle name="쉼표 [0] 2 3 4" xfId="580" xr:uid="{D42E481D-6F55-464A-A447-B7066C7B8285}"/>
    <cellStyle name="쉼표 [0] 2 3 4 2" xfId="1032" xr:uid="{5189D61B-46F4-495C-B3D7-E341821D3977}"/>
    <cellStyle name="쉼표 [0] 2 3 4 2 2" xfId="4266" xr:uid="{36D6BAF2-FD02-4E7B-93F1-A2FAF9945D95}"/>
    <cellStyle name="쉼표 [0] 2 3 4 3" xfId="1484" xr:uid="{FF8FE471-3B35-441C-8C72-023DCE065489}"/>
    <cellStyle name="쉼표 [0] 2 3 4 3 2" xfId="4711" xr:uid="{6C7577BE-8A6F-4F3E-9578-FF4D73F81EBF}"/>
    <cellStyle name="쉼표 [0] 2 3 4 4" xfId="1936" xr:uid="{F59FD710-1EE2-42D9-AE15-F0169D846590}"/>
    <cellStyle name="쉼표 [0] 2 3 4 4 2" xfId="5156" xr:uid="{01A7945D-0A20-4379-9E8E-24A7EDADF32A}"/>
    <cellStyle name="쉼표 [0] 2 3 4 5" xfId="2388" xr:uid="{13C3990E-A902-484A-878D-C5B9118A3625}"/>
    <cellStyle name="쉼표 [0] 2 3 4 5 2" xfId="5601" xr:uid="{3CD11A7F-58E4-4F49-9376-1B8D3C9A9877}"/>
    <cellStyle name="쉼표 [0] 2 3 4 6" xfId="2840" xr:uid="{7B84F9A4-000C-4768-87DA-FD7CF41DAA58}"/>
    <cellStyle name="쉼표 [0] 2 3 4 6 2" xfId="6046" xr:uid="{8A34154A-D7BE-402A-A7E9-C271C1B30966}"/>
    <cellStyle name="쉼표 [0] 2 3 4 7" xfId="3292" xr:uid="{62C19957-9DE0-4D5D-A2A6-7FC17E43F5C7}"/>
    <cellStyle name="쉼표 [0] 2 3 4 7 2" xfId="6491" xr:uid="{5B654363-084A-4647-96F1-E58F19EDD46F}"/>
    <cellStyle name="쉼표 [0] 2 3 4 8" xfId="3821" xr:uid="{1B6EA3AC-BE70-4CAD-8733-42D54D97701A}"/>
    <cellStyle name="쉼표 [0] 2 3 5" xfId="808" xr:uid="{1E831082-3DE1-4494-AE12-D73ECDE65AD0}"/>
    <cellStyle name="쉼표 [0] 2 3 5 2" xfId="4044" xr:uid="{59E4BD29-3C6A-4877-B974-5818B21DD389}"/>
    <cellStyle name="쉼표 [0] 2 3 6" xfId="1260" xr:uid="{8E239EDF-F9B8-46B9-801B-44B0F77E70D1}"/>
    <cellStyle name="쉼표 [0] 2 3 6 2" xfId="4489" xr:uid="{6B104E4B-B92D-4554-AFAE-68E1C038DFB3}"/>
    <cellStyle name="쉼표 [0] 2 3 7" xfId="1712" xr:uid="{7C05357D-1E1D-4F42-942D-28D9B2EC3C8C}"/>
    <cellStyle name="쉼표 [0] 2 3 7 2" xfId="4934" xr:uid="{949EC9C6-452A-401C-A13C-D6B1EC675C3E}"/>
    <cellStyle name="쉼표 [0] 2 3 8" xfId="2164" xr:uid="{6D11404F-7943-471B-8A83-ADD31CBA37E5}"/>
    <cellStyle name="쉼표 [0] 2 3 8 2" xfId="5379" xr:uid="{BAF83411-28A5-4D69-BFA0-15F35FC8226A}"/>
    <cellStyle name="쉼표 [0] 2 3 9" xfId="2616" xr:uid="{0038873A-306B-4206-A21A-9A4536791300}"/>
    <cellStyle name="쉼표 [0] 2 3 9 2" xfId="5824" xr:uid="{CDA50362-1C49-4232-981A-54DFC8B73A95}"/>
    <cellStyle name="쉼표 [0] 2 4" xfId="340" xr:uid="{3933A446-160E-4FF1-894F-0DC0A78AE154}"/>
    <cellStyle name="쉼표 [0] 2 4 10" xfId="3602" xr:uid="{081F8864-F470-40C2-A086-8DE12BBA64EA}"/>
    <cellStyle name="쉼표 [0] 2 4 2" xfId="341" xr:uid="{BEB1735C-8206-4822-ADB7-3806D2FF8ABC}"/>
    <cellStyle name="쉼표 [0] 2 4 2 2" xfId="585" xr:uid="{33F7DF1D-8E4D-484B-8A5B-0C8A6D52A55E}"/>
    <cellStyle name="쉼표 [0] 2 4 2 2 2" xfId="1037" xr:uid="{16A253A5-8A96-44C6-9E38-CB865C42F0C8}"/>
    <cellStyle name="쉼표 [0] 2 4 2 2 2 2" xfId="4271" xr:uid="{FFF75DE2-D7BE-4916-B282-DFE2E3AA7B2E}"/>
    <cellStyle name="쉼표 [0] 2 4 2 2 3" xfId="1489" xr:uid="{39A2BA23-98A2-49C9-99E7-33FF38A421E4}"/>
    <cellStyle name="쉼표 [0] 2 4 2 2 3 2" xfId="4716" xr:uid="{C5A2F33C-A9B6-4500-A911-18324DDB5812}"/>
    <cellStyle name="쉼표 [0] 2 4 2 2 4" xfId="1941" xr:uid="{E9E65592-419A-45D1-8FAB-CC3CC7775322}"/>
    <cellStyle name="쉼표 [0] 2 4 2 2 4 2" xfId="5161" xr:uid="{173B7DD3-01B8-4F52-9130-DCA686816E59}"/>
    <cellStyle name="쉼표 [0] 2 4 2 2 5" xfId="2393" xr:uid="{00079DE9-E962-4B0A-80E0-08680C93D0F1}"/>
    <cellStyle name="쉼표 [0] 2 4 2 2 5 2" xfId="5606" xr:uid="{FC8CBE7D-89CA-453F-922B-28B9E4EF11D1}"/>
    <cellStyle name="쉼표 [0] 2 4 2 2 6" xfId="2845" xr:uid="{95EFA394-F74F-4413-A9D3-F35B3B1640CB}"/>
    <cellStyle name="쉼표 [0] 2 4 2 2 6 2" xfId="6051" xr:uid="{1CA9C4EA-1299-4BCD-9B52-A311F8A3FA20}"/>
    <cellStyle name="쉼표 [0] 2 4 2 2 7" xfId="3297" xr:uid="{A55C4BB9-CEAE-4CD2-B9FA-46B14395A64A}"/>
    <cellStyle name="쉼표 [0] 2 4 2 2 7 2" xfId="6496" xr:uid="{1A97E7C4-8FF5-4229-A253-1EE30D820367}"/>
    <cellStyle name="쉼표 [0] 2 4 2 2 8" xfId="3826" xr:uid="{672EC863-B232-4582-8FB8-BE87A7E5D5D8}"/>
    <cellStyle name="쉼표 [0] 2 4 2 3" xfId="813" xr:uid="{9BAE9454-7B95-43B2-8223-A508D7202B42}"/>
    <cellStyle name="쉼표 [0] 2 4 2 3 2" xfId="4049" xr:uid="{863E484A-B0D4-41C8-A43D-77AD802E25B8}"/>
    <cellStyle name="쉼표 [0] 2 4 2 4" xfId="1265" xr:uid="{C9B9EE6E-BDC2-4B86-AF50-178580AF9B27}"/>
    <cellStyle name="쉼표 [0] 2 4 2 4 2" xfId="4494" xr:uid="{739E5A69-EA79-4D4E-AF8B-030D862BEF52}"/>
    <cellStyle name="쉼표 [0] 2 4 2 5" xfId="1717" xr:uid="{F148D4DD-7E38-4A9F-AE7C-CCCFCFC4ECDE}"/>
    <cellStyle name="쉼표 [0] 2 4 2 5 2" xfId="4939" xr:uid="{BE19A13E-8A7B-4B85-AE80-176905D9D8D2}"/>
    <cellStyle name="쉼표 [0] 2 4 2 6" xfId="2169" xr:uid="{75645D03-527C-4287-8012-CD88B28CB8BB}"/>
    <cellStyle name="쉼표 [0] 2 4 2 6 2" xfId="5384" xr:uid="{1A7A3C80-2CE7-49DF-8254-4F148CB32882}"/>
    <cellStyle name="쉼표 [0] 2 4 2 7" xfId="2621" xr:uid="{6492D989-7E06-4087-875D-418B9F011A27}"/>
    <cellStyle name="쉼표 [0] 2 4 2 7 2" xfId="5829" xr:uid="{0B631223-96D7-4E8B-AB41-3E689690C35F}"/>
    <cellStyle name="쉼표 [0] 2 4 2 8" xfId="3073" xr:uid="{4E617193-D4ED-4527-8E41-6CF6B5287F85}"/>
    <cellStyle name="쉼표 [0] 2 4 2 8 2" xfId="6274" xr:uid="{739917C9-AF0D-4C6C-814C-128C607EC77E}"/>
    <cellStyle name="쉼표 [0] 2 4 2 9" xfId="3603" xr:uid="{1803BA76-9A6E-441F-843D-041DFC7F43CA}"/>
    <cellStyle name="쉼표 [0] 2 4 3" xfId="584" xr:uid="{6FC01F8C-30A2-4833-B47E-5EA1F80CC08D}"/>
    <cellStyle name="쉼표 [0] 2 4 3 2" xfId="1036" xr:uid="{96BE49D0-9FAB-4964-87E4-D5F6B8D4A6D2}"/>
    <cellStyle name="쉼표 [0] 2 4 3 2 2" xfId="4270" xr:uid="{FC754238-0D9B-4B2D-9E44-1D1A28CDD88C}"/>
    <cellStyle name="쉼표 [0] 2 4 3 3" xfId="1488" xr:uid="{1B530220-5BD2-4055-932F-8211F153FB75}"/>
    <cellStyle name="쉼표 [0] 2 4 3 3 2" xfId="4715" xr:uid="{AAFCF798-4A55-4801-ACA8-E9D6F5097DBE}"/>
    <cellStyle name="쉼표 [0] 2 4 3 4" xfId="1940" xr:uid="{C640286B-202A-4002-A00E-B0AA7928BE09}"/>
    <cellStyle name="쉼표 [0] 2 4 3 4 2" xfId="5160" xr:uid="{FC1AAD7C-CCA2-49A0-8C37-18214EC7459E}"/>
    <cellStyle name="쉼표 [0] 2 4 3 5" xfId="2392" xr:uid="{3D57F59C-71BE-406E-86AE-D5EB79A2FE21}"/>
    <cellStyle name="쉼표 [0] 2 4 3 5 2" xfId="5605" xr:uid="{3E64B741-FF29-4D7B-9EBF-35AA59ED03EA}"/>
    <cellStyle name="쉼표 [0] 2 4 3 6" xfId="2844" xr:uid="{B6FD3C1C-98FE-4651-8C40-94AD85588B50}"/>
    <cellStyle name="쉼표 [0] 2 4 3 6 2" xfId="6050" xr:uid="{801CF6CE-0E80-4AF8-B3CE-3BD996A4AA19}"/>
    <cellStyle name="쉼표 [0] 2 4 3 7" xfId="3296" xr:uid="{EB275896-6F61-45FB-B7B3-2ACBDD222936}"/>
    <cellStyle name="쉼표 [0] 2 4 3 7 2" xfId="6495" xr:uid="{D7B28B63-9910-4200-8C12-7855E406A13F}"/>
    <cellStyle name="쉼표 [0] 2 4 3 8" xfId="3825" xr:uid="{2534F893-3321-4553-8046-AF2F268605C8}"/>
    <cellStyle name="쉼표 [0] 2 4 4" xfId="812" xr:uid="{6EC4B64D-EB14-4E48-B935-818E56C71327}"/>
    <cellStyle name="쉼표 [0] 2 4 4 2" xfId="4048" xr:uid="{5DE81A0A-4907-465B-BE57-2DF0EE20AF8A}"/>
    <cellStyle name="쉼표 [0] 2 4 5" xfId="1264" xr:uid="{D5F57DC3-F6B7-4A66-A162-34949E5481DA}"/>
    <cellStyle name="쉼표 [0] 2 4 5 2" xfId="4493" xr:uid="{C2D79CD9-CE19-4972-833C-0B6E0AE6BF0F}"/>
    <cellStyle name="쉼표 [0] 2 4 6" xfId="1716" xr:uid="{6CC54950-D2A9-4CFC-8A0C-48D933C7EB98}"/>
    <cellStyle name="쉼표 [0] 2 4 6 2" xfId="4938" xr:uid="{AA68F4E0-F9FF-419D-8B8D-BC47A1A1AEDC}"/>
    <cellStyle name="쉼표 [0] 2 4 7" xfId="2168" xr:uid="{060EE3BD-26BA-4E0E-9C03-96E317C0B61A}"/>
    <cellStyle name="쉼표 [0] 2 4 7 2" xfId="5383" xr:uid="{4FC86FCA-E9B2-49DC-880D-E2370CD15231}"/>
    <cellStyle name="쉼표 [0] 2 4 8" xfId="2620" xr:uid="{23B69726-06AA-4883-9677-74C688C48C2C}"/>
    <cellStyle name="쉼표 [0] 2 4 8 2" xfId="5828" xr:uid="{81AD7459-E35D-450B-9FC1-9392458E180C}"/>
    <cellStyle name="쉼표 [0] 2 4 9" xfId="3072" xr:uid="{350C54EA-F2F3-4C87-A59D-08BD3D7C5FE5}"/>
    <cellStyle name="쉼표 [0] 2 4 9 2" xfId="6273" xr:uid="{902C35DF-427C-4504-99AD-64815146F3AE}"/>
    <cellStyle name="쉼표 [0] 2 5" xfId="342" xr:uid="{895ACF51-7F7E-44DC-BEB6-3ABD4D192526}"/>
    <cellStyle name="쉼표 [0] 2 5 2" xfId="586" xr:uid="{E0F2A2CF-8C3D-40B1-8100-6B4C3C9190CE}"/>
    <cellStyle name="쉼표 [0] 2 5 2 2" xfId="1038" xr:uid="{E63D2C49-04DA-410D-8478-13C9C1C82920}"/>
    <cellStyle name="쉼표 [0] 2 5 2 2 2" xfId="4272" xr:uid="{AC8CEA3D-F2DF-46C6-ACD7-EF878DDE6E22}"/>
    <cellStyle name="쉼표 [0] 2 5 2 3" xfId="1490" xr:uid="{19FA3B5B-7F61-41D8-BBFF-68F8FBC72EE3}"/>
    <cellStyle name="쉼표 [0] 2 5 2 3 2" xfId="4717" xr:uid="{AEEBBA23-972F-4B06-A543-BE50DB43CB83}"/>
    <cellStyle name="쉼표 [0] 2 5 2 4" xfId="1942" xr:uid="{F51CAC29-3BF4-4656-80F7-0823387AC3C7}"/>
    <cellStyle name="쉼표 [0] 2 5 2 4 2" xfId="5162" xr:uid="{DB32C0A3-4016-4F82-BCED-567422E80A7E}"/>
    <cellStyle name="쉼표 [0] 2 5 2 5" xfId="2394" xr:uid="{EA08B09D-ABEB-4A5A-956B-FFD98326C250}"/>
    <cellStyle name="쉼표 [0] 2 5 2 5 2" xfId="5607" xr:uid="{DC6110DC-BC82-484E-B113-D6E073B60A35}"/>
    <cellStyle name="쉼표 [0] 2 5 2 6" xfId="2846" xr:uid="{FF21469F-3DA4-4D84-A5BD-E0AA7547DC12}"/>
    <cellStyle name="쉼표 [0] 2 5 2 6 2" xfId="6052" xr:uid="{0C25DCC0-A61D-4C6B-9B86-EADE5D553AD1}"/>
    <cellStyle name="쉼표 [0] 2 5 2 7" xfId="3298" xr:uid="{AE6437B4-2935-4C47-980D-5C2FD322FFBC}"/>
    <cellStyle name="쉼표 [0] 2 5 2 7 2" xfId="6497" xr:uid="{5ED2CC06-A1D2-430E-AF06-99B9DB61DE02}"/>
    <cellStyle name="쉼표 [0] 2 5 2 8" xfId="3827" xr:uid="{300A2A6B-2F75-4C29-BB61-9E4AA130C211}"/>
    <cellStyle name="쉼표 [0] 2 5 3" xfId="814" xr:uid="{2B0C3A4E-F889-482D-9FEF-80EF9D99E801}"/>
    <cellStyle name="쉼표 [0] 2 5 3 2" xfId="4050" xr:uid="{2CC114F0-8AE2-47B8-885C-EB3FF67E77A9}"/>
    <cellStyle name="쉼표 [0] 2 5 4" xfId="1266" xr:uid="{429073F8-947D-4E74-9BEB-31EE1A99967E}"/>
    <cellStyle name="쉼표 [0] 2 5 4 2" xfId="4495" xr:uid="{55B436F5-843E-4A71-94E5-E982624166E6}"/>
    <cellStyle name="쉼표 [0] 2 5 5" xfId="1718" xr:uid="{EA3CC8D9-7727-4521-8531-888E2DEC641C}"/>
    <cellStyle name="쉼표 [0] 2 5 5 2" xfId="4940" xr:uid="{9A7B1B25-2A04-4E20-BF38-CE641830CB95}"/>
    <cellStyle name="쉼표 [0] 2 5 6" xfId="2170" xr:uid="{632639DE-06B6-4389-8A1D-3F8C2598548F}"/>
    <cellStyle name="쉼표 [0] 2 5 6 2" xfId="5385" xr:uid="{DFDC9A33-916A-44FE-B243-4C77E5F1FE64}"/>
    <cellStyle name="쉼표 [0] 2 5 7" xfId="2622" xr:uid="{0D41B3ED-6303-46ED-9783-F7CA5EF0049F}"/>
    <cellStyle name="쉼표 [0] 2 5 7 2" xfId="5830" xr:uid="{F9A21254-E1C1-4654-88DE-14A266DF6F7F}"/>
    <cellStyle name="쉼표 [0] 2 5 8" xfId="3074" xr:uid="{E8AFA388-E46B-47CF-B5BC-50D5187067EC}"/>
    <cellStyle name="쉼표 [0] 2 5 8 2" xfId="6275" xr:uid="{370211C3-EC91-43EF-B32D-6FC0DD1CE2B8}"/>
    <cellStyle name="쉼표 [0] 2 5 9" xfId="3604" xr:uid="{74EEA888-536F-49A1-AD82-2F859EBD83DF}"/>
    <cellStyle name="쉼표 [0] 2 6" xfId="563" xr:uid="{7B820058-1AC0-4CFC-8F1C-90D950AEA1F3}"/>
    <cellStyle name="쉼표 [0] 2 6 2" xfId="1015" xr:uid="{99F27F80-19C7-4270-9357-E5806EC1F615}"/>
    <cellStyle name="쉼표 [0] 2 6 2 2" xfId="4249" xr:uid="{8D9A1687-991B-4F57-8533-9489F70B99AD}"/>
    <cellStyle name="쉼표 [0] 2 6 3" xfId="1467" xr:uid="{32B096C4-587D-4698-804D-5EEEA0C7F7B5}"/>
    <cellStyle name="쉼표 [0] 2 6 3 2" xfId="4694" xr:uid="{60C6A5E6-E00F-4AED-911F-519C2AF2E297}"/>
    <cellStyle name="쉼표 [0] 2 6 4" xfId="1919" xr:uid="{AC316BF6-2334-4A13-8FDF-64319C025279}"/>
    <cellStyle name="쉼표 [0] 2 6 4 2" xfId="5139" xr:uid="{55847ACE-D4D0-44AE-B917-3CE3B0986F01}"/>
    <cellStyle name="쉼표 [0] 2 6 5" xfId="2371" xr:uid="{D1F3D805-8FD5-4400-B309-DA0D70B4A563}"/>
    <cellStyle name="쉼표 [0] 2 6 5 2" xfId="5584" xr:uid="{C7892A04-1AE2-43FF-AB27-D1D31806728B}"/>
    <cellStyle name="쉼표 [0] 2 6 6" xfId="2823" xr:uid="{1A4A7E4F-32DB-45BA-9AA1-D654E349BF3E}"/>
    <cellStyle name="쉼표 [0] 2 6 6 2" xfId="6029" xr:uid="{9A4E3680-18EA-4A86-BC4E-FB47A5C76799}"/>
    <cellStyle name="쉼표 [0] 2 6 7" xfId="3275" xr:uid="{F80A9668-F579-4F9B-AC11-000421DDF242}"/>
    <cellStyle name="쉼표 [0] 2 6 7 2" xfId="6474" xr:uid="{18AE54D6-26BB-43C5-A557-A892DFA1D30F}"/>
    <cellStyle name="쉼표 [0] 2 6 8" xfId="3804" xr:uid="{0CC30226-F552-4834-B1A9-3C882969B78C}"/>
    <cellStyle name="쉼표 [0] 2 7" xfId="319" xr:uid="{A7C8EBD8-9BC9-409C-BE92-4A6A8C253696}"/>
    <cellStyle name="쉼표 [0] 2 7 2" xfId="3581" xr:uid="{1B38FC11-89D4-43F5-966E-6E75EF0DC646}"/>
    <cellStyle name="쉼표 [0] 2 8" xfId="791" xr:uid="{134C83FE-061F-4C1C-A30B-0AEB4C0C1B52}"/>
    <cellStyle name="쉼표 [0] 2 8 2" xfId="4027" xr:uid="{33696FFB-92BA-4BC0-A417-721FCCC1857D}"/>
    <cellStyle name="쉼표 [0] 2 9" xfId="1243" xr:uid="{51777D96-126F-4C16-9DB1-0573700B6C03}"/>
    <cellStyle name="쉼표 [0] 2 9 2" xfId="4472" xr:uid="{59AA236E-A9F1-4863-9B72-ACCD9215AB31}"/>
    <cellStyle name="쉼표 [0] 3" xfId="43" xr:uid="{7C7A6C49-E5E8-4421-841D-19EEF5A2978A}"/>
    <cellStyle name="쉼표 [0] 3 10" xfId="3075" xr:uid="{EB18A14D-D0A6-432F-95D6-A608617A8F2B}"/>
    <cellStyle name="쉼표 [0] 3 10 2" xfId="6276" xr:uid="{26B8ECDB-48A6-4916-AE62-E4CB5579ED71}"/>
    <cellStyle name="쉼표 [0] 3 11" xfId="3389" xr:uid="{89A2DEEA-2DD6-4F1E-8463-9C9355D2B8CA}"/>
    <cellStyle name="쉼표 [0] 3 2" xfId="344" xr:uid="{939A58FD-FDD6-4907-9EA1-FAFE799C82C8}"/>
    <cellStyle name="쉼표 [0] 3 2 10" xfId="2624" xr:uid="{4493C034-07F7-4FF4-8528-2AF891DFCA08}"/>
    <cellStyle name="쉼표 [0] 3 2 10 2" xfId="5832" xr:uid="{7A335159-0A0A-4CFA-AA1F-75DD34F0F13F}"/>
    <cellStyle name="쉼표 [0] 3 2 11" xfId="3076" xr:uid="{D9C9EF47-B96B-47C0-98C6-5E5E2D683A9B}"/>
    <cellStyle name="쉼표 [0] 3 2 11 2" xfId="6277" xr:uid="{8090DB44-1225-4150-8199-C769CDDE047A}"/>
    <cellStyle name="쉼표 [0] 3 2 12" xfId="3606" xr:uid="{A16CA9B8-783F-450D-9FDE-FA13F3805741}"/>
    <cellStyle name="쉼표 [0] 3 2 2" xfId="345" xr:uid="{A452BFD8-A53B-46C4-89FA-126C1138A144}"/>
    <cellStyle name="쉼표 [0] 3 2 2 10" xfId="3077" xr:uid="{79955CF1-15DC-4567-BDCD-58C7E1D919DF}"/>
    <cellStyle name="쉼표 [0] 3 2 2 10 2" xfId="6278" xr:uid="{07D5F4AF-9DC7-4566-B9AB-488D19BA9478}"/>
    <cellStyle name="쉼표 [0] 3 2 2 11" xfId="3607" xr:uid="{59B1C75C-2A70-4892-ADE0-0B46717F9395}"/>
    <cellStyle name="쉼표 [0] 3 2 2 2" xfId="346" xr:uid="{5F8F1119-918D-48DD-A7FE-7C865689AFE1}"/>
    <cellStyle name="쉼표 [0] 3 2 2 2 10" xfId="3608" xr:uid="{61BD66A4-1536-4AD5-A34E-014589F47E03}"/>
    <cellStyle name="쉼표 [0] 3 2 2 2 2" xfId="347" xr:uid="{D7CBAED6-DF97-4285-A4B0-A990ED3BB50F}"/>
    <cellStyle name="쉼표 [0] 3 2 2 2 2 2" xfId="591" xr:uid="{A05291DB-3BCE-4B60-9AAC-01CBEDAC5CD0}"/>
    <cellStyle name="쉼표 [0] 3 2 2 2 2 2 2" xfId="1043" xr:uid="{8E8468F4-3960-4E5B-8DF6-09660C28BB1A}"/>
    <cellStyle name="쉼표 [0] 3 2 2 2 2 2 2 2" xfId="4277" xr:uid="{572B9B6D-4AA0-4DD9-B220-82CFE7E898DD}"/>
    <cellStyle name="쉼표 [0] 3 2 2 2 2 2 3" xfId="1495" xr:uid="{876CF02A-8294-47C3-8491-F049FFD98CE8}"/>
    <cellStyle name="쉼표 [0] 3 2 2 2 2 2 3 2" xfId="4722" xr:uid="{CAC511E4-9E06-4FC8-8568-1CB58C9F3E45}"/>
    <cellStyle name="쉼표 [0] 3 2 2 2 2 2 4" xfId="1947" xr:uid="{9CA872CC-D0B2-4271-B035-515E404B16E1}"/>
    <cellStyle name="쉼표 [0] 3 2 2 2 2 2 4 2" xfId="5167" xr:uid="{AF36B253-96D5-47C8-9663-C3719906E477}"/>
    <cellStyle name="쉼표 [0] 3 2 2 2 2 2 5" xfId="2399" xr:uid="{F6793A9B-32C9-4A21-9D54-8D3F1C733D9A}"/>
    <cellStyle name="쉼표 [0] 3 2 2 2 2 2 5 2" xfId="5612" xr:uid="{71CAF616-282E-4DAC-82C2-DFF759F2CEF8}"/>
    <cellStyle name="쉼표 [0] 3 2 2 2 2 2 6" xfId="2851" xr:uid="{D44E4EED-DADF-40B0-8624-C6321C960E8F}"/>
    <cellStyle name="쉼표 [0] 3 2 2 2 2 2 6 2" xfId="6057" xr:uid="{CBB85AF6-C670-4E57-A952-2F215DEF7AF5}"/>
    <cellStyle name="쉼표 [0] 3 2 2 2 2 2 7" xfId="3303" xr:uid="{ECB7F751-1768-4834-B871-C5E1FD5CAC9A}"/>
    <cellStyle name="쉼표 [0] 3 2 2 2 2 2 7 2" xfId="6502" xr:uid="{44136BAE-EF35-415D-9834-ACA21F581F2D}"/>
    <cellStyle name="쉼표 [0] 3 2 2 2 2 2 8" xfId="3832" xr:uid="{A1AB64EB-8405-458A-9B11-F243498C6749}"/>
    <cellStyle name="쉼표 [0] 3 2 2 2 2 3" xfId="819" xr:uid="{3860376F-41A2-4DA3-9E4B-2B80406EA0A4}"/>
    <cellStyle name="쉼표 [0] 3 2 2 2 2 3 2" xfId="4055" xr:uid="{CE540813-E005-4E38-8F03-30D26251A83B}"/>
    <cellStyle name="쉼표 [0] 3 2 2 2 2 4" xfId="1271" xr:uid="{1B57FD76-A698-4CEE-8F04-BA03C220C71F}"/>
    <cellStyle name="쉼표 [0] 3 2 2 2 2 4 2" xfId="4500" xr:uid="{42DA7BE6-31A1-4FD6-80DF-F440A8FF2F8B}"/>
    <cellStyle name="쉼표 [0] 3 2 2 2 2 5" xfId="1723" xr:uid="{FADAEE4F-BFAD-4FFE-B1F7-2EFA15B8144E}"/>
    <cellStyle name="쉼표 [0] 3 2 2 2 2 5 2" xfId="4945" xr:uid="{FA03167E-8BF5-42BB-93D9-259EFC7F3EC3}"/>
    <cellStyle name="쉼표 [0] 3 2 2 2 2 6" xfId="2175" xr:uid="{37A84346-B6A7-4CD3-9710-8CADF90A0102}"/>
    <cellStyle name="쉼표 [0] 3 2 2 2 2 6 2" xfId="5390" xr:uid="{D417127A-04EB-4804-8726-5E97609281C3}"/>
    <cellStyle name="쉼표 [0] 3 2 2 2 2 7" xfId="2627" xr:uid="{32CF013E-4EDF-4E70-B0C9-4E022AABCCB2}"/>
    <cellStyle name="쉼표 [0] 3 2 2 2 2 7 2" xfId="5835" xr:uid="{28428743-C25F-4EB8-9948-16D30FE0AF6F}"/>
    <cellStyle name="쉼표 [0] 3 2 2 2 2 8" xfId="3079" xr:uid="{AEAD464A-B7EA-4820-A327-B6D3605D14DD}"/>
    <cellStyle name="쉼표 [0] 3 2 2 2 2 8 2" xfId="6280" xr:uid="{FB32C2BF-4D21-4E9E-BD2B-C58E25F11B61}"/>
    <cellStyle name="쉼표 [0] 3 2 2 2 2 9" xfId="3609" xr:uid="{5C569025-C04F-434A-9F57-64C6E45D71CB}"/>
    <cellStyle name="쉼표 [0] 3 2 2 2 3" xfId="590" xr:uid="{900695DD-540D-41E2-94AC-1D6472CDC3A5}"/>
    <cellStyle name="쉼표 [0] 3 2 2 2 3 2" xfId="1042" xr:uid="{8F7B52F7-CDB5-4D97-9077-D38E3BAC9A4F}"/>
    <cellStyle name="쉼표 [0] 3 2 2 2 3 2 2" xfId="4276" xr:uid="{70DCBED8-ADC0-4CD7-ADBE-F65D2F7AC032}"/>
    <cellStyle name="쉼표 [0] 3 2 2 2 3 3" xfId="1494" xr:uid="{6AF6590D-A273-4E86-8025-7439F7154AAE}"/>
    <cellStyle name="쉼표 [0] 3 2 2 2 3 3 2" xfId="4721" xr:uid="{59BC0DFC-48E1-430E-BAF9-BA9376D33D46}"/>
    <cellStyle name="쉼표 [0] 3 2 2 2 3 4" xfId="1946" xr:uid="{D74C38BC-28CD-4194-9A19-AF1450A603C4}"/>
    <cellStyle name="쉼표 [0] 3 2 2 2 3 4 2" xfId="5166" xr:uid="{BBEDEADB-D948-49EE-B19F-CD5CFD466BF4}"/>
    <cellStyle name="쉼표 [0] 3 2 2 2 3 5" xfId="2398" xr:uid="{4AC8E572-30FA-4BD7-8C0F-3D997AD0E06F}"/>
    <cellStyle name="쉼표 [0] 3 2 2 2 3 5 2" xfId="5611" xr:uid="{C2648C63-9A47-45EA-AA06-7F2126348543}"/>
    <cellStyle name="쉼표 [0] 3 2 2 2 3 6" xfId="2850" xr:uid="{C4DD6C6A-98EA-41A2-8A4B-9B02754847F4}"/>
    <cellStyle name="쉼표 [0] 3 2 2 2 3 6 2" xfId="6056" xr:uid="{63C8D5BC-7C7F-4383-BDD9-B7193E66762D}"/>
    <cellStyle name="쉼표 [0] 3 2 2 2 3 7" xfId="3302" xr:uid="{9438614C-CF17-4BA1-A385-8E9A0581C966}"/>
    <cellStyle name="쉼표 [0] 3 2 2 2 3 7 2" xfId="6501" xr:uid="{52D130A8-90D6-4E15-818C-C462EAFD5CB0}"/>
    <cellStyle name="쉼표 [0] 3 2 2 2 3 8" xfId="3831" xr:uid="{69C38F68-C45A-480E-96F4-D4CC9471760B}"/>
    <cellStyle name="쉼표 [0] 3 2 2 2 4" xfId="818" xr:uid="{11FE3312-1F91-4614-9051-999F08F24EBD}"/>
    <cellStyle name="쉼표 [0] 3 2 2 2 4 2" xfId="4054" xr:uid="{7A6C4C14-1871-4DF2-BE05-0A5AF1EFE73B}"/>
    <cellStyle name="쉼표 [0] 3 2 2 2 5" xfId="1270" xr:uid="{9AA74E66-01FE-4825-9C1E-1851C0B51024}"/>
    <cellStyle name="쉼표 [0] 3 2 2 2 5 2" xfId="4499" xr:uid="{C1EF207E-854B-4D7A-A961-9FE60EA94ABB}"/>
    <cellStyle name="쉼표 [0] 3 2 2 2 6" xfId="1722" xr:uid="{68F2AF3D-F27B-4016-8281-A88C81C7F0C2}"/>
    <cellStyle name="쉼표 [0] 3 2 2 2 6 2" xfId="4944" xr:uid="{C47E324D-2369-49C4-A27D-244CF9B5F276}"/>
    <cellStyle name="쉼표 [0] 3 2 2 2 7" xfId="2174" xr:uid="{4C4AEA09-F8E9-4CB0-98BC-5EAFBF6E8A95}"/>
    <cellStyle name="쉼표 [0] 3 2 2 2 7 2" xfId="5389" xr:uid="{4386BB3D-125E-4F6E-B173-5DAD62F3EFA2}"/>
    <cellStyle name="쉼표 [0] 3 2 2 2 8" xfId="2626" xr:uid="{34F3C832-CDCF-4673-B94E-37D68A6D994E}"/>
    <cellStyle name="쉼표 [0] 3 2 2 2 8 2" xfId="5834" xr:uid="{514B0A31-12EF-4BFC-A0C0-4596CC1C681C}"/>
    <cellStyle name="쉼표 [0] 3 2 2 2 9" xfId="3078" xr:uid="{56129DD0-55A9-4147-82B4-17EE5D5B4A8A}"/>
    <cellStyle name="쉼표 [0] 3 2 2 2 9 2" xfId="6279" xr:uid="{35BAA066-F9D1-468B-B9A2-D219F7281907}"/>
    <cellStyle name="쉼표 [0] 3 2 2 3" xfId="348" xr:uid="{442F6DF3-7C8D-4F77-B1D1-ECE8A185EFD9}"/>
    <cellStyle name="쉼표 [0] 3 2 2 3 2" xfId="592" xr:uid="{4A82E42C-1A77-4AF5-B1CA-6EFB559F5AFD}"/>
    <cellStyle name="쉼표 [0] 3 2 2 3 2 2" xfId="1044" xr:uid="{4050AC98-B69F-480E-BDA7-8B81065426C3}"/>
    <cellStyle name="쉼표 [0] 3 2 2 3 2 2 2" xfId="4278" xr:uid="{4289FE69-233C-46E6-9EE8-A6671F6B7C7A}"/>
    <cellStyle name="쉼표 [0] 3 2 2 3 2 3" xfId="1496" xr:uid="{1B51320A-E79B-4AAD-8E5F-FD395A770E49}"/>
    <cellStyle name="쉼표 [0] 3 2 2 3 2 3 2" xfId="4723" xr:uid="{2A187069-515E-4284-B003-550033EC6705}"/>
    <cellStyle name="쉼표 [0] 3 2 2 3 2 4" xfId="1948" xr:uid="{4A14D1DD-EA0E-40F8-B882-C834C0C32FA3}"/>
    <cellStyle name="쉼표 [0] 3 2 2 3 2 4 2" xfId="5168" xr:uid="{B07A7871-EA2C-4FBB-B8DC-2475106F9CD3}"/>
    <cellStyle name="쉼표 [0] 3 2 2 3 2 5" xfId="2400" xr:uid="{0BC316AF-783A-4B98-A03B-8C9343647BFC}"/>
    <cellStyle name="쉼표 [0] 3 2 2 3 2 5 2" xfId="5613" xr:uid="{0A417E6C-A6B8-47F3-B877-F65A511CF936}"/>
    <cellStyle name="쉼표 [0] 3 2 2 3 2 6" xfId="2852" xr:uid="{C20A2943-E4B1-4F0E-A2A3-6BA10EE76CC3}"/>
    <cellStyle name="쉼표 [0] 3 2 2 3 2 6 2" xfId="6058" xr:uid="{C0F013AD-2D2B-4A6F-B07B-33240937D5FB}"/>
    <cellStyle name="쉼표 [0] 3 2 2 3 2 7" xfId="3304" xr:uid="{EE4558FD-1C0F-4639-AF5E-CFDD6F234444}"/>
    <cellStyle name="쉼표 [0] 3 2 2 3 2 7 2" xfId="6503" xr:uid="{FC26A102-B180-4DC0-BDE5-07555CA73F83}"/>
    <cellStyle name="쉼표 [0] 3 2 2 3 2 8" xfId="3833" xr:uid="{B4623873-6B9C-4121-AE7F-19D9DCCB8203}"/>
    <cellStyle name="쉼표 [0] 3 2 2 3 3" xfId="820" xr:uid="{1D585C32-01FB-4F2C-ACBF-4DF12C389110}"/>
    <cellStyle name="쉼표 [0] 3 2 2 3 3 2" xfId="4056" xr:uid="{ECB70C92-C5C9-45F6-B999-A0DCB05349A6}"/>
    <cellStyle name="쉼표 [0] 3 2 2 3 4" xfId="1272" xr:uid="{B3D5670D-9079-4EAC-B472-D6686737F873}"/>
    <cellStyle name="쉼표 [0] 3 2 2 3 4 2" xfId="4501" xr:uid="{EA18E3EB-311E-4381-A127-C3DC96C5A5AB}"/>
    <cellStyle name="쉼표 [0] 3 2 2 3 5" xfId="1724" xr:uid="{E9132A29-A75A-444B-A12B-1DF61C54B6AC}"/>
    <cellStyle name="쉼표 [0] 3 2 2 3 5 2" xfId="4946" xr:uid="{FFB82412-23EB-4A6B-925A-C72400D553B8}"/>
    <cellStyle name="쉼표 [0] 3 2 2 3 6" xfId="2176" xr:uid="{A9C98913-E7BA-4B8D-B23C-88D7B6B2A027}"/>
    <cellStyle name="쉼표 [0] 3 2 2 3 6 2" xfId="5391" xr:uid="{95498F5F-FB10-4C80-814E-625769137719}"/>
    <cellStyle name="쉼표 [0] 3 2 2 3 7" xfId="2628" xr:uid="{1D2D8FFF-EFAB-4420-8D2F-2E7BB2310B94}"/>
    <cellStyle name="쉼표 [0] 3 2 2 3 7 2" xfId="5836" xr:uid="{C451B250-50E2-416B-AD4E-4CD4DCCC8CD0}"/>
    <cellStyle name="쉼표 [0] 3 2 2 3 8" xfId="3080" xr:uid="{FD27F952-4ED5-45B9-86BA-4C36A8425B96}"/>
    <cellStyle name="쉼표 [0] 3 2 2 3 8 2" xfId="6281" xr:uid="{3A53213C-0EED-4A5D-B582-7FFB77C554BB}"/>
    <cellStyle name="쉼표 [0] 3 2 2 3 9" xfId="3610" xr:uid="{819D29F4-0632-4EE3-AB0E-5F6B700ECE5E}"/>
    <cellStyle name="쉼표 [0] 3 2 2 4" xfId="589" xr:uid="{5A3B01FB-C8FE-4762-8113-F9B24C87CC01}"/>
    <cellStyle name="쉼표 [0] 3 2 2 4 2" xfId="1041" xr:uid="{CCAA996D-AA91-4FB1-9411-D9062E051406}"/>
    <cellStyle name="쉼표 [0] 3 2 2 4 2 2" xfId="4275" xr:uid="{9F719407-89BD-48B3-9514-8EBF1566CEAA}"/>
    <cellStyle name="쉼표 [0] 3 2 2 4 3" xfId="1493" xr:uid="{7CB3549A-D85F-425B-A06A-410935A6B6E7}"/>
    <cellStyle name="쉼표 [0] 3 2 2 4 3 2" xfId="4720" xr:uid="{AB222A75-D467-4D0C-B877-F55A65A3F688}"/>
    <cellStyle name="쉼표 [0] 3 2 2 4 4" xfId="1945" xr:uid="{56902E62-AD56-4B06-BCBF-BE84621AA62A}"/>
    <cellStyle name="쉼표 [0] 3 2 2 4 4 2" xfId="5165" xr:uid="{D8D15E0A-CD75-4CC2-B612-DF431EEE605B}"/>
    <cellStyle name="쉼표 [0] 3 2 2 4 5" xfId="2397" xr:uid="{04E8AFFE-F3D6-4F07-A53E-DE47DF4029D3}"/>
    <cellStyle name="쉼표 [0] 3 2 2 4 5 2" xfId="5610" xr:uid="{4C637067-456F-4304-8C06-1ADAB6FA54F1}"/>
    <cellStyle name="쉼표 [0] 3 2 2 4 6" xfId="2849" xr:uid="{2C1D179F-B206-4C37-BC9F-C163A221B5BD}"/>
    <cellStyle name="쉼표 [0] 3 2 2 4 6 2" xfId="6055" xr:uid="{EB5B1039-4F32-4E05-AC93-56F1786DD268}"/>
    <cellStyle name="쉼표 [0] 3 2 2 4 7" xfId="3301" xr:uid="{A4EEA779-6534-4ADC-928A-A795BC15628C}"/>
    <cellStyle name="쉼표 [0] 3 2 2 4 7 2" xfId="6500" xr:uid="{065BCF50-6CB5-44CA-B6BF-EB9F13C6E41F}"/>
    <cellStyle name="쉼표 [0] 3 2 2 4 8" xfId="3830" xr:uid="{5928470B-D944-4A2C-BB3E-56CD50204F20}"/>
    <cellStyle name="쉼표 [0] 3 2 2 5" xfId="817" xr:uid="{1CE9781B-C95F-4D14-9A7C-24CBDBB824BF}"/>
    <cellStyle name="쉼표 [0] 3 2 2 5 2" xfId="4053" xr:uid="{5FA45660-17DF-4C42-96AB-B9C3514555FC}"/>
    <cellStyle name="쉼표 [0] 3 2 2 6" xfId="1269" xr:uid="{97C60A69-8132-42F3-8BED-C95D130972D3}"/>
    <cellStyle name="쉼표 [0] 3 2 2 6 2" xfId="4498" xr:uid="{D2A52561-B0BD-4383-9886-21D3CD0A0609}"/>
    <cellStyle name="쉼표 [0] 3 2 2 7" xfId="1721" xr:uid="{CE27A7BB-D586-428F-BF36-417DC8EFF5C5}"/>
    <cellStyle name="쉼표 [0] 3 2 2 7 2" xfId="4943" xr:uid="{CFC8439A-C831-4F81-8911-6FF271019C9E}"/>
    <cellStyle name="쉼표 [0] 3 2 2 8" xfId="2173" xr:uid="{E36AE864-0ACC-4030-AE97-53A1C29EBD49}"/>
    <cellStyle name="쉼표 [0] 3 2 2 8 2" xfId="5388" xr:uid="{6B03449A-7424-472C-AD36-56FF881F9632}"/>
    <cellStyle name="쉼표 [0] 3 2 2 9" xfId="2625" xr:uid="{8F0483E1-3546-4ACE-ADCB-5F68AD65C529}"/>
    <cellStyle name="쉼표 [0] 3 2 2 9 2" xfId="5833" xr:uid="{85112954-A33E-4E16-B080-8286E6A06BE6}"/>
    <cellStyle name="쉼표 [0] 3 2 3" xfId="349" xr:uid="{9D418C9A-1014-4704-AF7A-C9358D313693}"/>
    <cellStyle name="쉼표 [0] 3 2 3 10" xfId="3611" xr:uid="{20A7800C-C55F-40BA-BADB-66C812AFF7A3}"/>
    <cellStyle name="쉼표 [0] 3 2 3 2" xfId="350" xr:uid="{BC4F6385-2F4C-4821-A1DD-C6D66C759BF0}"/>
    <cellStyle name="쉼표 [0] 3 2 3 2 2" xfId="594" xr:uid="{D0228075-FF30-4FB9-8296-04425127B7EE}"/>
    <cellStyle name="쉼표 [0] 3 2 3 2 2 2" xfId="1046" xr:uid="{D1035911-A67B-4E02-9B64-53C45B0FFF64}"/>
    <cellStyle name="쉼표 [0] 3 2 3 2 2 2 2" xfId="4280" xr:uid="{5FA42164-A7FE-4501-92F7-7EAA9D73A66A}"/>
    <cellStyle name="쉼표 [0] 3 2 3 2 2 3" xfId="1498" xr:uid="{40161354-5454-4198-96D4-7D38F7C9BE9D}"/>
    <cellStyle name="쉼표 [0] 3 2 3 2 2 3 2" xfId="4725" xr:uid="{90D07ABD-8467-4067-82E0-30B6CB1FDAEA}"/>
    <cellStyle name="쉼표 [0] 3 2 3 2 2 4" xfId="1950" xr:uid="{D5023A5D-9DA2-4973-97C7-3F3626F92F51}"/>
    <cellStyle name="쉼표 [0] 3 2 3 2 2 4 2" xfId="5170" xr:uid="{F1E3782E-8091-48F9-9009-3BDB122E82F5}"/>
    <cellStyle name="쉼표 [0] 3 2 3 2 2 5" xfId="2402" xr:uid="{8D4A0F14-C913-4382-A77E-543E71CC48C7}"/>
    <cellStyle name="쉼표 [0] 3 2 3 2 2 5 2" xfId="5615" xr:uid="{833DE355-940C-4B19-BAAE-955166731A1C}"/>
    <cellStyle name="쉼표 [0] 3 2 3 2 2 6" xfId="2854" xr:uid="{A0ACD434-D3C4-488E-8915-3E87C6EEFA1B}"/>
    <cellStyle name="쉼표 [0] 3 2 3 2 2 6 2" xfId="6060" xr:uid="{DA40C0A0-977D-4244-AA3D-99A8CA69A029}"/>
    <cellStyle name="쉼표 [0] 3 2 3 2 2 7" xfId="3306" xr:uid="{554EA1EB-B4D7-4903-912C-C7AD2841C09B}"/>
    <cellStyle name="쉼표 [0] 3 2 3 2 2 7 2" xfId="6505" xr:uid="{6577C392-A386-4D7A-8361-A9F1059542FB}"/>
    <cellStyle name="쉼표 [0] 3 2 3 2 2 8" xfId="3835" xr:uid="{F03CDD09-8092-4506-93D2-5B56381A630B}"/>
    <cellStyle name="쉼표 [0] 3 2 3 2 3" xfId="822" xr:uid="{4D3E18D5-F081-427E-8F65-0B70CD4F4B72}"/>
    <cellStyle name="쉼표 [0] 3 2 3 2 3 2" xfId="4058" xr:uid="{FDE300B0-A322-4A55-8CFA-1D55B27EB490}"/>
    <cellStyle name="쉼표 [0] 3 2 3 2 4" xfId="1274" xr:uid="{915BC8F4-328E-4878-A544-99563DE0A5ED}"/>
    <cellStyle name="쉼표 [0] 3 2 3 2 4 2" xfId="4503" xr:uid="{A85F7B6D-3B69-4ADF-B0BA-3535A84AF9FE}"/>
    <cellStyle name="쉼표 [0] 3 2 3 2 5" xfId="1726" xr:uid="{7D311FB7-08AC-4C79-8037-57F0440A7402}"/>
    <cellStyle name="쉼표 [0] 3 2 3 2 5 2" xfId="4948" xr:uid="{D60CD736-5910-4F9B-9029-E72B7990373D}"/>
    <cellStyle name="쉼표 [0] 3 2 3 2 6" xfId="2178" xr:uid="{C38BAAB1-7182-4D52-B442-888C53522F5D}"/>
    <cellStyle name="쉼표 [0] 3 2 3 2 6 2" xfId="5393" xr:uid="{29F17319-0BD7-4AED-843A-69CB5D9CD621}"/>
    <cellStyle name="쉼표 [0] 3 2 3 2 7" xfId="2630" xr:uid="{AFC03197-FA5F-4843-92B2-2B90B45FFDA9}"/>
    <cellStyle name="쉼표 [0] 3 2 3 2 7 2" xfId="5838" xr:uid="{8493D7CB-B8CC-428D-BB93-00A6FE7EF9E0}"/>
    <cellStyle name="쉼표 [0] 3 2 3 2 8" xfId="3082" xr:uid="{4B513285-0234-48DA-9468-E1422A51EE7F}"/>
    <cellStyle name="쉼표 [0] 3 2 3 2 8 2" xfId="6283" xr:uid="{8368F845-5CBF-4335-8B3C-CBB87CE5F14C}"/>
    <cellStyle name="쉼표 [0] 3 2 3 2 9" xfId="3612" xr:uid="{FC4800DA-6F85-49A4-BF31-4A137064B3BC}"/>
    <cellStyle name="쉼표 [0] 3 2 3 3" xfId="593" xr:uid="{BB45D67A-48CC-43B0-B192-D1E76924B137}"/>
    <cellStyle name="쉼표 [0] 3 2 3 3 2" xfId="1045" xr:uid="{AAC07ABB-98DD-42F2-9070-4998E7AE26AB}"/>
    <cellStyle name="쉼표 [0] 3 2 3 3 2 2" xfId="4279" xr:uid="{7573AB00-81A0-42FA-A1D9-76FDA53D2225}"/>
    <cellStyle name="쉼표 [0] 3 2 3 3 3" xfId="1497" xr:uid="{2F0D1119-AEBC-4A3D-94CE-63FA832141ED}"/>
    <cellStyle name="쉼표 [0] 3 2 3 3 3 2" xfId="4724" xr:uid="{3791A503-9895-4130-938D-2AA7D48853F6}"/>
    <cellStyle name="쉼표 [0] 3 2 3 3 4" xfId="1949" xr:uid="{532983DE-9537-4996-A1A1-E6C3DF6C4C59}"/>
    <cellStyle name="쉼표 [0] 3 2 3 3 4 2" xfId="5169" xr:uid="{F1988209-F2A7-4F96-96AE-556B109794EC}"/>
    <cellStyle name="쉼표 [0] 3 2 3 3 5" xfId="2401" xr:uid="{63A826AE-633A-473E-A058-C73DD1E19425}"/>
    <cellStyle name="쉼표 [0] 3 2 3 3 5 2" xfId="5614" xr:uid="{75901961-1DD9-484E-BFC4-E5747A970FD2}"/>
    <cellStyle name="쉼표 [0] 3 2 3 3 6" xfId="2853" xr:uid="{885CA458-D459-4F4B-8662-D70B5E6E057A}"/>
    <cellStyle name="쉼표 [0] 3 2 3 3 6 2" xfId="6059" xr:uid="{709C6F6E-4668-4F0D-94ED-9A95646700E7}"/>
    <cellStyle name="쉼표 [0] 3 2 3 3 7" xfId="3305" xr:uid="{A93743AF-E319-4AD3-A55D-C517AE8C4C7F}"/>
    <cellStyle name="쉼표 [0] 3 2 3 3 7 2" xfId="6504" xr:uid="{E9F6A83E-3251-4A31-B1A0-9A17753B556E}"/>
    <cellStyle name="쉼표 [0] 3 2 3 3 8" xfId="3834" xr:uid="{E3D1D090-D981-4AB4-A879-CBA1CA58A4DB}"/>
    <cellStyle name="쉼표 [0] 3 2 3 4" xfId="821" xr:uid="{4E162A62-64F0-4BCD-9AED-B6A911D55B0E}"/>
    <cellStyle name="쉼표 [0] 3 2 3 4 2" xfId="4057" xr:uid="{24640155-2CF3-49DF-8BA2-7F971FA2344B}"/>
    <cellStyle name="쉼표 [0] 3 2 3 5" xfId="1273" xr:uid="{B83D2370-C861-4B94-9D63-2E602DAA628B}"/>
    <cellStyle name="쉼표 [0] 3 2 3 5 2" xfId="4502" xr:uid="{39044E1A-2DC6-4E52-B6A6-D39BD6B5BE8C}"/>
    <cellStyle name="쉼표 [0] 3 2 3 6" xfId="1725" xr:uid="{60193974-D672-4F96-894E-7016B058EA83}"/>
    <cellStyle name="쉼표 [0] 3 2 3 6 2" xfId="4947" xr:uid="{10914400-C39D-4F1D-ACED-F6DA5D4B8045}"/>
    <cellStyle name="쉼표 [0] 3 2 3 7" xfId="2177" xr:uid="{E13840DA-CDB8-4A22-9856-43968C9BB7B2}"/>
    <cellStyle name="쉼표 [0] 3 2 3 7 2" xfId="5392" xr:uid="{0E9152A3-0D7E-40AE-99AA-C8C45F4AF706}"/>
    <cellStyle name="쉼표 [0] 3 2 3 8" xfId="2629" xr:uid="{84C17D31-1A6F-40C3-8E3D-585973FCE66D}"/>
    <cellStyle name="쉼표 [0] 3 2 3 8 2" xfId="5837" xr:uid="{98D301BF-E34A-4DE4-B69A-C07B3F6AA839}"/>
    <cellStyle name="쉼표 [0] 3 2 3 9" xfId="3081" xr:uid="{295F6512-D8A2-46EB-96D4-5A1032567E10}"/>
    <cellStyle name="쉼표 [0] 3 2 3 9 2" xfId="6282" xr:uid="{A63EBC37-8BFD-4834-8526-E7D2739981C4}"/>
    <cellStyle name="쉼표 [0] 3 2 4" xfId="351" xr:uid="{99B7BC24-96D5-498F-BEA4-76A593A3F093}"/>
    <cellStyle name="쉼표 [0] 3 2 4 2" xfId="595" xr:uid="{5B64DABB-698A-400A-9EB0-C166772302FD}"/>
    <cellStyle name="쉼표 [0] 3 2 4 2 2" xfId="1047" xr:uid="{1D43638D-A22C-4E84-AC62-5B8F0DC2CCFB}"/>
    <cellStyle name="쉼표 [0] 3 2 4 2 2 2" xfId="4281" xr:uid="{CECBD1D5-CE28-452F-B6EA-ABF215D2351A}"/>
    <cellStyle name="쉼표 [0] 3 2 4 2 3" xfId="1499" xr:uid="{261BC279-DC2D-48A1-8275-5B61E7BE27B8}"/>
    <cellStyle name="쉼표 [0] 3 2 4 2 3 2" xfId="4726" xr:uid="{7AB363EF-679D-42F1-A31F-CBF2EA6D936A}"/>
    <cellStyle name="쉼표 [0] 3 2 4 2 4" xfId="1951" xr:uid="{9827CFFC-9690-49D0-BD30-160860109730}"/>
    <cellStyle name="쉼표 [0] 3 2 4 2 4 2" xfId="5171" xr:uid="{AB39EC08-1CB1-4150-B792-2B2A82C30846}"/>
    <cellStyle name="쉼표 [0] 3 2 4 2 5" xfId="2403" xr:uid="{6FD4E9EE-D959-4CA9-974F-0458F940010C}"/>
    <cellStyle name="쉼표 [0] 3 2 4 2 5 2" xfId="5616" xr:uid="{50E2A69A-BA66-46E2-85D7-44E4DA1CB7AC}"/>
    <cellStyle name="쉼표 [0] 3 2 4 2 6" xfId="2855" xr:uid="{B6B5581D-3A2B-4861-8A2D-8C7D381CBAA8}"/>
    <cellStyle name="쉼표 [0] 3 2 4 2 6 2" xfId="6061" xr:uid="{A4F583C3-C8E3-4610-B5A7-3013BB3E56CC}"/>
    <cellStyle name="쉼표 [0] 3 2 4 2 7" xfId="3307" xr:uid="{71EEE10E-8765-40A6-9F9C-9D36425D3530}"/>
    <cellStyle name="쉼표 [0] 3 2 4 2 7 2" xfId="6506" xr:uid="{B3C98A9D-30C1-43B1-B839-915B77EDC04E}"/>
    <cellStyle name="쉼표 [0] 3 2 4 2 8" xfId="3836" xr:uid="{1E51F703-2278-4BF4-982C-911C35E6506A}"/>
    <cellStyle name="쉼표 [0] 3 2 4 3" xfId="823" xr:uid="{8FC58E99-9E7C-4FAA-8E02-E2A42D060207}"/>
    <cellStyle name="쉼표 [0] 3 2 4 3 2" xfId="4059" xr:uid="{F22744AA-B687-4452-8439-F158E30CB1A5}"/>
    <cellStyle name="쉼표 [0] 3 2 4 4" xfId="1275" xr:uid="{6F40197E-5882-49F1-930E-06730C991E46}"/>
    <cellStyle name="쉼표 [0] 3 2 4 4 2" xfId="4504" xr:uid="{F537DDAF-5C6C-44A7-B330-CBBDC6283F8A}"/>
    <cellStyle name="쉼표 [0] 3 2 4 5" xfId="1727" xr:uid="{F3DE0C27-A046-4902-A1AB-762704F73C8F}"/>
    <cellStyle name="쉼표 [0] 3 2 4 5 2" xfId="4949" xr:uid="{028EBDEF-A356-4946-AA2E-7199DCA1B8FA}"/>
    <cellStyle name="쉼표 [0] 3 2 4 6" xfId="2179" xr:uid="{60B00C4E-7D04-4290-89A9-DDEF1A734041}"/>
    <cellStyle name="쉼표 [0] 3 2 4 6 2" xfId="5394" xr:uid="{F9C03D1F-8E65-44AE-9ED5-FC480CAA32E5}"/>
    <cellStyle name="쉼표 [0] 3 2 4 7" xfId="2631" xr:uid="{C757EAAC-386C-4AE8-A2B1-8E39391F0818}"/>
    <cellStyle name="쉼표 [0] 3 2 4 7 2" xfId="5839" xr:uid="{4694D96A-F63B-433E-B96D-919D0FCB2722}"/>
    <cellStyle name="쉼표 [0] 3 2 4 8" xfId="3083" xr:uid="{B2C0CE93-29D3-40B4-8E76-B1B01F28562F}"/>
    <cellStyle name="쉼표 [0] 3 2 4 8 2" xfId="6284" xr:uid="{AACFFB0A-CDF9-4203-A605-2C42C4102159}"/>
    <cellStyle name="쉼표 [0] 3 2 4 9" xfId="3613" xr:uid="{2DC7E41E-5788-4A48-8291-377F259F8DFB}"/>
    <cellStyle name="쉼표 [0] 3 2 5" xfId="588" xr:uid="{31125F16-D7BB-4390-941F-3587720BA80C}"/>
    <cellStyle name="쉼표 [0] 3 2 5 2" xfId="1040" xr:uid="{44EF1BF4-031B-46CC-A0F8-A2C56E6021F2}"/>
    <cellStyle name="쉼표 [0] 3 2 5 2 2" xfId="4274" xr:uid="{C24D3898-BE6C-4691-9099-E2844A4860CA}"/>
    <cellStyle name="쉼표 [0] 3 2 5 3" xfId="1492" xr:uid="{E50D2186-B72E-4A0D-AC14-E89FD305300A}"/>
    <cellStyle name="쉼표 [0] 3 2 5 3 2" xfId="4719" xr:uid="{4AABF2D4-6505-45A8-8A47-28658EBDF709}"/>
    <cellStyle name="쉼표 [0] 3 2 5 4" xfId="1944" xr:uid="{F06BE792-A09C-456A-BDE6-31F569A50200}"/>
    <cellStyle name="쉼표 [0] 3 2 5 4 2" xfId="5164" xr:uid="{E80F2ABB-92A2-425A-819D-6708B46CAD7C}"/>
    <cellStyle name="쉼표 [0] 3 2 5 5" xfId="2396" xr:uid="{BF8ACCED-C7C1-4675-84D8-6E3ABB75183F}"/>
    <cellStyle name="쉼표 [0] 3 2 5 5 2" xfId="5609" xr:uid="{85135C41-DB4C-4B66-9185-F41B077255F8}"/>
    <cellStyle name="쉼표 [0] 3 2 5 6" xfId="2848" xr:uid="{C37CA7F2-F738-45A9-913F-D06AE287E3CC}"/>
    <cellStyle name="쉼표 [0] 3 2 5 6 2" xfId="6054" xr:uid="{9B334FCC-9F0D-455B-AC82-B4DD8625C485}"/>
    <cellStyle name="쉼표 [0] 3 2 5 7" xfId="3300" xr:uid="{8B5F26C5-486E-4D8D-9195-67F53EF38162}"/>
    <cellStyle name="쉼표 [0] 3 2 5 7 2" xfId="6499" xr:uid="{ED8D752C-D81F-4F1B-A1E4-8CAE303BB5AB}"/>
    <cellStyle name="쉼표 [0] 3 2 5 8" xfId="3829" xr:uid="{5E0DBFE0-E11B-454D-A159-8E3BE92E3A1E}"/>
    <cellStyle name="쉼표 [0] 3 2 6" xfId="816" xr:uid="{71DA7042-6A01-4698-AEA2-CDF5556E1137}"/>
    <cellStyle name="쉼표 [0] 3 2 6 2" xfId="4052" xr:uid="{502806C5-06A8-4A9B-BA48-5259FD7BB903}"/>
    <cellStyle name="쉼표 [0] 3 2 7" xfId="1268" xr:uid="{442F2E6E-C931-410C-816B-368F75457EE5}"/>
    <cellStyle name="쉼표 [0] 3 2 7 2" xfId="4497" xr:uid="{15839B2B-3E0D-489B-83CA-A0454F42FDB8}"/>
    <cellStyle name="쉼표 [0] 3 2 8" xfId="1720" xr:uid="{BB7A7A86-4D48-4C3C-A46F-E0BCAC76D482}"/>
    <cellStyle name="쉼표 [0] 3 2 8 2" xfId="4942" xr:uid="{8D0D24BE-CDE0-48F6-8A49-0EC24BDD5A8E}"/>
    <cellStyle name="쉼표 [0] 3 2 9" xfId="2172" xr:uid="{16BB6BFA-4E27-4C8C-82E4-B5133338FF41}"/>
    <cellStyle name="쉼표 [0] 3 2 9 2" xfId="5387" xr:uid="{9EAF6F66-DDB9-41C3-9D73-FADE8D2DD588}"/>
    <cellStyle name="쉼표 [0] 3 3" xfId="587" xr:uid="{F35CD734-EAB4-4BA7-B002-AB32CEC92993}"/>
    <cellStyle name="쉼표 [0] 3 3 2" xfId="1039" xr:uid="{88374465-C48D-4AF8-9CC3-FFA26D15C6B9}"/>
    <cellStyle name="쉼표 [0] 3 3 2 2" xfId="4273" xr:uid="{C40FED22-2A94-49FE-9544-1FA497B4CC84}"/>
    <cellStyle name="쉼표 [0] 3 3 3" xfId="1491" xr:uid="{8929D788-FBD8-44F1-BB6E-3E2CD988CBBB}"/>
    <cellStyle name="쉼표 [0] 3 3 3 2" xfId="4718" xr:uid="{3E58BB9E-10CD-4A00-9659-FF6BCA7E3929}"/>
    <cellStyle name="쉼표 [0] 3 3 4" xfId="1943" xr:uid="{A72820BE-4349-4439-9EEA-9F89E8D45D3E}"/>
    <cellStyle name="쉼표 [0] 3 3 4 2" xfId="5163" xr:uid="{8AF33BB1-16C8-4B3B-95AF-5907EAC9B3CD}"/>
    <cellStyle name="쉼표 [0] 3 3 5" xfId="2395" xr:uid="{CA34729B-F30D-4CE5-AF86-6B00D0056E2A}"/>
    <cellStyle name="쉼표 [0] 3 3 5 2" xfId="5608" xr:uid="{0DB8A00E-EFF9-4B94-B464-56B6FE130D00}"/>
    <cellStyle name="쉼표 [0] 3 3 6" xfId="2847" xr:uid="{74A84EDB-6EEE-4CAD-B0E4-718947F922B1}"/>
    <cellStyle name="쉼표 [0] 3 3 6 2" xfId="6053" xr:uid="{864C98F8-B685-43AF-B6BA-1B1CB0601616}"/>
    <cellStyle name="쉼표 [0] 3 3 7" xfId="3299" xr:uid="{494BA706-06DE-4E84-B84D-C6B513EA45EF}"/>
    <cellStyle name="쉼표 [0] 3 3 7 2" xfId="6498" xr:uid="{A070E4E5-C4B6-4E03-BBCE-D76F0E3AE84D}"/>
    <cellStyle name="쉼표 [0] 3 3 8" xfId="3828" xr:uid="{6CBD1BAD-8E37-41CD-9E92-1B6C6CB243FA}"/>
    <cellStyle name="쉼표 [0] 3 4" xfId="343" xr:uid="{65E1E6CA-D768-4ADF-A5D7-8196118F5BBE}"/>
    <cellStyle name="쉼표 [0] 3 4 2" xfId="3605" xr:uid="{D94D836E-E366-40B8-8060-1E1115C198D2}"/>
    <cellStyle name="쉼표 [0] 3 5" xfId="815" xr:uid="{75DF6C33-B53F-4FB0-8E98-FBF1C22A8179}"/>
    <cellStyle name="쉼표 [0] 3 5 2" xfId="4051" xr:uid="{B3833F71-D9CF-45DB-ABAA-8B975EE666C0}"/>
    <cellStyle name="쉼표 [0] 3 6" xfId="1267" xr:uid="{5C0FCB23-D471-4556-9A8B-F61D86066497}"/>
    <cellStyle name="쉼표 [0] 3 6 2" xfId="4496" xr:uid="{FB99D5F9-5E4E-4FB2-916F-A328EF4CDCAF}"/>
    <cellStyle name="쉼표 [0] 3 7" xfId="1719" xr:uid="{7F3E3A50-786C-4E9D-B44A-A243BCA61ACE}"/>
    <cellStyle name="쉼표 [0] 3 7 2" xfId="4941" xr:uid="{7C60CAAA-1F73-43B8-BA1F-E6820BC48E4C}"/>
    <cellStyle name="쉼표 [0] 3 8" xfId="2171" xr:uid="{E0963084-97B1-43BB-A292-79230610CEA8}"/>
    <cellStyle name="쉼표 [0] 3 8 2" xfId="5386" xr:uid="{39DC1EEF-81C8-4C01-A0C0-30AA9986DA45}"/>
    <cellStyle name="쉼표 [0] 3 9" xfId="2623" xr:uid="{333259EE-30B2-4FAF-A96F-40C44F6BC33F}"/>
    <cellStyle name="쉼표 [0] 3 9 2" xfId="5831" xr:uid="{AD822E22-56D3-426B-9E7A-907581C8DE61}"/>
    <cellStyle name="쉼표 [0] 4" xfId="49" xr:uid="{607D9CA0-41B8-4B66-892A-74F08A59F235}"/>
    <cellStyle name="쉼표 [0] 4 10" xfId="3392" xr:uid="{65D997EE-A418-446D-92A3-1C9A86A68219}"/>
    <cellStyle name="쉼표 [0] 4 2" xfId="596" xr:uid="{0BB94258-7D9A-46DD-B52E-833C0D5110FE}"/>
    <cellStyle name="쉼표 [0] 4 2 2" xfId="1048" xr:uid="{E3EBC03D-1316-46AC-A792-129DD9F25D52}"/>
    <cellStyle name="쉼표 [0] 4 2 2 2" xfId="4282" xr:uid="{0520A1AF-3244-4B78-B71F-097C0D18ECAC}"/>
    <cellStyle name="쉼표 [0] 4 2 3" xfId="1500" xr:uid="{0F25D45D-B9FA-41DF-8B15-A327852CA397}"/>
    <cellStyle name="쉼표 [0] 4 2 3 2" xfId="4727" xr:uid="{B0F16462-73A1-4236-858B-B5D127CFFE6A}"/>
    <cellStyle name="쉼표 [0] 4 2 4" xfId="1952" xr:uid="{9034117D-493B-4509-A51C-129241647B0A}"/>
    <cellStyle name="쉼표 [0] 4 2 4 2" xfId="5172" xr:uid="{74659A23-C35C-43C3-8659-2F8F600455D3}"/>
    <cellStyle name="쉼표 [0] 4 2 5" xfId="2404" xr:uid="{C1443389-12D9-4B27-A5C1-ACBB8776D7CD}"/>
    <cellStyle name="쉼표 [0] 4 2 5 2" xfId="5617" xr:uid="{033EDBE8-A794-473F-AF48-4927B3D22717}"/>
    <cellStyle name="쉼표 [0] 4 2 6" xfId="2856" xr:uid="{3347093C-C036-49FE-81A5-836F1559F2F8}"/>
    <cellStyle name="쉼표 [0] 4 2 6 2" xfId="6062" xr:uid="{F378ADBA-9B4C-45CA-862D-BFAD33431D00}"/>
    <cellStyle name="쉼표 [0] 4 2 7" xfId="3308" xr:uid="{31FFC40B-87E8-4C97-A48F-41744AEF3188}"/>
    <cellStyle name="쉼표 [0] 4 2 7 2" xfId="6507" xr:uid="{72BB8790-7C77-44A4-B1E8-56CB935948C7}"/>
    <cellStyle name="쉼표 [0] 4 2 8" xfId="3837" xr:uid="{2CA45E7D-E23F-4088-8A32-8EAE69C76B90}"/>
    <cellStyle name="쉼표 [0] 4 3" xfId="352" xr:uid="{67B1EAAF-0AC8-4F0D-85EC-88E1B23D48FD}"/>
    <cellStyle name="쉼표 [0] 4 3 2" xfId="3614" xr:uid="{1D465C1B-6EEE-4B44-B152-F0FC4DF61FDF}"/>
    <cellStyle name="쉼표 [0] 4 4" xfId="824" xr:uid="{B2D84942-051A-457B-AF0E-679775CAF49B}"/>
    <cellStyle name="쉼표 [0] 4 4 2" xfId="4060" xr:uid="{9B51C2FB-CE35-4CDB-BDBC-5EC0A6EA60BF}"/>
    <cellStyle name="쉼표 [0] 4 5" xfId="1276" xr:uid="{5C0041B9-8770-4403-BC77-BB17946D36FC}"/>
    <cellStyle name="쉼표 [0] 4 5 2" xfId="4505" xr:uid="{460C8191-A2A4-4326-9C7A-A5AFF71DE9E5}"/>
    <cellStyle name="쉼표 [0] 4 6" xfId="1728" xr:uid="{D951BC73-EE3C-40C6-BB6B-BA54668D9BBE}"/>
    <cellStyle name="쉼표 [0] 4 6 2" xfId="4950" xr:uid="{DF2CB3E5-1552-4778-93A1-61DA74A45903}"/>
    <cellStyle name="쉼표 [0] 4 7" xfId="2180" xr:uid="{7D765592-3094-434A-91F9-2D7A329AB42E}"/>
    <cellStyle name="쉼표 [0] 4 7 2" xfId="5395" xr:uid="{6F59A20B-654E-4C90-8BEC-0E1C4ABC1BE5}"/>
    <cellStyle name="쉼표 [0] 4 8" xfId="2632" xr:uid="{203E35E8-4CE7-480C-B289-7D431C327B27}"/>
    <cellStyle name="쉼표 [0] 4 8 2" xfId="5840" xr:uid="{419B51CE-497E-43F4-9E94-05EABB96F5AE}"/>
    <cellStyle name="쉼표 [0] 4 9" xfId="3084" xr:uid="{B30B5403-A327-4982-AAC8-9A9849536B24}"/>
    <cellStyle name="쉼표 [0] 4 9 2" xfId="6285" xr:uid="{16422A1F-B278-4031-AACB-677864CBED8F}"/>
    <cellStyle name="쉼표 [0] 5" xfId="55" xr:uid="{88E17514-4B89-4D5B-A283-7CAA0ABC43F4}"/>
    <cellStyle name="쉼표 [0] 5 10" xfId="2181" xr:uid="{FBB889E0-6D71-47BC-9AFD-9B718BD504F1}"/>
    <cellStyle name="쉼표 [0] 5 10 2" xfId="5396" xr:uid="{12F035F9-E171-4578-801F-58C1AA8C0B1A}"/>
    <cellStyle name="쉼표 [0] 5 11" xfId="2633" xr:uid="{5DDBFFC8-2758-48BA-8166-AA54466CF07E}"/>
    <cellStyle name="쉼표 [0] 5 11 2" xfId="5841" xr:uid="{DCC8DE8B-F72E-49C8-9133-A302E5D8816B}"/>
    <cellStyle name="쉼표 [0] 5 12" xfId="3085" xr:uid="{FC26FE63-1D41-4BCF-B377-D803A2026993}"/>
    <cellStyle name="쉼표 [0] 5 12 2" xfId="6286" xr:uid="{E169780C-E659-43AA-BD31-B8FB7F47D46D}"/>
    <cellStyle name="쉼표 [0] 5 13" xfId="3395" xr:uid="{FFD8A041-ED33-4E58-BAAC-BC01859364EE}"/>
    <cellStyle name="쉼표 [0] 5 2" xfId="354" xr:uid="{BA494529-BD39-4FA8-B9AA-3ABE5053A582}"/>
    <cellStyle name="쉼표 [0] 5 2 10" xfId="3086" xr:uid="{40357E29-C80C-4A19-A063-05AA3E5685F6}"/>
    <cellStyle name="쉼표 [0] 5 2 10 2" xfId="6287" xr:uid="{05688AAF-F8D3-41EF-92F3-ACB93AF9C87E}"/>
    <cellStyle name="쉼표 [0] 5 2 11" xfId="3616" xr:uid="{E4AF3532-ADF4-4E84-870C-ECF5B8929EC8}"/>
    <cellStyle name="쉼표 [0] 5 2 2" xfId="355" xr:uid="{361A92B1-DBD5-4DF0-9C4A-0B7B4DF10085}"/>
    <cellStyle name="쉼표 [0] 5 2 2 10" xfId="3617" xr:uid="{30D162FB-02DF-4328-90CA-8A0320DDBF9C}"/>
    <cellStyle name="쉼표 [0] 5 2 2 2" xfId="356" xr:uid="{CAE65B20-A765-4FB4-8154-DE6FA387BA8F}"/>
    <cellStyle name="쉼표 [0] 5 2 2 2 2" xfId="600" xr:uid="{2622E5F0-3834-48BA-8513-F3742286448F}"/>
    <cellStyle name="쉼표 [0] 5 2 2 2 2 2" xfId="1052" xr:uid="{739B2FCF-C502-48C1-A253-82C8A8D1944B}"/>
    <cellStyle name="쉼표 [0] 5 2 2 2 2 2 2" xfId="4286" xr:uid="{1C01BEEB-2046-492B-B4D3-F53EAD1966D8}"/>
    <cellStyle name="쉼표 [0] 5 2 2 2 2 3" xfId="1504" xr:uid="{53F7C5BF-C66A-4AAB-A0BA-CE7EEAD6621F}"/>
    <cellStyle name="쉼표 [0] 5 2 2 2 2 3 2" xfId="4731" xr:uid="{16F10B06-F316-407A-B413-5C912F4D81CB}"/>
    <cellStyle name="쉼표 [0] 5 2 2 2 2 4" xfId="1956" xr:uid="{26CB5A83-838C-4976-BD4C-0011E92A5CF1}"/>
    <cellStyle name="쉼표 [0] 5 2 2 2 2 4 2" xfId="5176" xr:uid="{3526B7AD-61AB-4895-AF79-BF22CD7E5922}"/>
    <cellStyle name="쉼표 [0] 5 2 2 2 2 5" xfId="2408" xr:uid="{9CC59106-7A72-407F-8757-3884A97C76D7}"/>
    <cellStyle name="쉼표 [0] 5 2 2 2 2 5 2" xfId="5621" xr:uid="{38B09973-AA25-464E-A0FD-095DA6D0E19B}"/>
    <cellStyle name="쉼표 [0] 5 2 2 2 2 6" xfId="2860" xr:uid="{B8C28141-F7CB-4D47-8256-4256990FD504}"/>
    <cellStyle name="쉼표 [0] 5 2 2 2 2 6 2" xfId="6066" xr:uid="{993061C1-C3A8-4008-8E43-BC646E03252E}"/>
    <cellStyle name="쉼표 [0] 5 2 2 2 2 7" xfId="3312" xr:uid="{DD339B47-C1B2-4962-96AE-15E981C2A304}"/>
    <cellStyle name="쉼표 [0] 5 2 2 2 2 7 2" xfId="6511" xr:uid="{DFE0A155-3492-454C-8A5A-8F15E473EF55}"/>
    <cellStyle name="쉼표 [0] 5 2 2 2 2 8" xfId="3841" xr:uid="{F50A5924-9310-4BDB-96B3-5225CD504483}"/>
    <cellStyle name="쉼표 [0] 5 2 2 2 3" xfId="828" xr:uid="{1E158840-96FB-4CAD-A473-D1E6C9CEE78B}"/>
    <cellStyle name="쉼표 [0] 5 2 2 2 3 2" xfId="4064" xr:uid="{4A37124F-D1FF-4ABF-B5D8-9130B5216186}"/>
    <cellStyle name="쉼표 [0] 5 2 2 2 4" xfId="1280" xr:uid="{AFB117D8-65A3-400B-AFD8-3AC0CA695E98}"/>
    <cellStyle name="쉼표 [0] 5 2 2 2 4 2" xfId="4509" xr:uid="{85188177-F468-4D11-8722-40DB0DD689FD}"/>
    <cellStyle name="쉼표 [0] 5 2 2 2 5" xfId="1732" xr:uid="{1BD2AE05-0BAD-44A1-B2C4-17C1AE1F8465}"/>
    <cellStyle name="쉼표 [0] 5 2 2 2 5 2" xfId="4954" xr:uid="{37637A81-85A1-4558-B5A0-9EBCF6031B05}"/>
    <cellStyle name="쉼표 [0] 5 2 2 2 6" xfId="2184" xr:uid="{E73032DD-C7BA-489A-918F-CDBA6A9341BF}"/>
    <cellStyle name="쉼표 [0] 5 2 2 2 6 2" xfId="5399" xr:uid="{E429D862-81B1-490E-9DA6-8F789F6FDFC0}"/>
    <cellStyle name="쉼표 [0] 5 2 2 2 7" xfId="2636" xr:uid="{F643F8F0-A15E-4164-88BC-9D784B5E2702}"/>
    <cellStyle name="쉼표 [0] 5 2 2 2 7 2" xfId="5844" xr:uid="{F65D55FE-C8A2-4DB3-9BFB-9299162F2FFD}"/>
    <cellStyle name="쉼표 [0] 5 2 2 2 8" xfId="3088" xr:uid="{268E3741-F98E-4EC1-82A2-D84D25826E31}"/>
    <cellStyle name="쉼표 [0] 5 2 2 2 8 2" xfId="6289" xr:uid="{5971C9DE-CB80-4C69-BA63-10985953E080}"/>
    <cellStyle name="쉼표 [0] 5 2 2 2 9" xfId="3618" xr:uid="{EA83B3E4-09DB-42F0-8298-5BE32363BF74}"/>
    <cellStyle name="쉼표 [0] 5 2 2 3" xfId="599" xr:uid="{DCE36343-E9A1-4E92-8810-36AE6E017E5B}"/>
    <cellStyle name="쉼표 [0] 5 2 2 3 2" xfId="1051" xr:uid="{B2C1FC61-40C7-4206-A3F2-FA4E909CD8FC}"/>
    <cellStyle name="쉼표 [0] 5 2 2 3 2 2" xfId="4285" xr:uid="{306BDE65-98E1-454F-AB85-A403C8CB0E56}"/>
    <cellStyle name="쉼표 [0] 5 2 2 3 3" xfId="1503" xr:uid="{A0512BBC-A125-4C3C-8D4B-CCDF1F34AC47}"/>
    <cellStyle name="쉼표 [0] 5 2 2 3 3 2" xfId="4730" xr:uid="{F679AA48-FC67-4240-89EC-C6726A9934FF}"/>
    <cellStyle name="쉼표 [0] 5 2 2 3 4" xfId="1955" xr:uid="{AC407A4F-FCA0-48D9-AAE3-7D8A4E8BEBC0}"/>
    <cellStyle name="쉼표 [0] 5 2 2 3 4 2" xfId="5175" xr:uid="{33770218-8E20-4BF4-BB79-F4B6D5C3B315}"/>
    <cellStyle name="쉼표 [0] 5 2 2 3 5" xfId="2407" xr:uid="{2B3C06E6-C970-4EF8-B1A0-CB4EBE7AAB6E}"/>
    <cellStyle name="쉼표 [0] 5 2 2 3 5 2" xfId="5620" xr:uid="{10A756DB-EA6B-4F0A-9274-B0BC1D5F5A3E}"/>
    <cellStyle name="쉼표 [0] 5 2 2 3 6" xfId="2859" xr:uid="{C71AB236-485B-4D35-B649-A6C6B172D7DF}"/>
    <cellStyle name="쉼표 [0] 5 2 2 3 6 2" xfId="6065" xr:uid="{F80BCA80-E3AB-42B7-9353-ACBAB7BF8831}"/>
    <cellStyle name="쉼표 [0] 5 2 2 3 7" xfId="3311" xr:uid="{D7FA3D8B-A552-4946-98A5-157E4EC7632C}"/>
    <cellStyle name="쉼표 [0] 5 2 2 3 7 2" xfId="6510" xr:uid="{BA887070-EAF1-4941-ABA2-FA959B5F7F81}"/>
    <cellStyle name="쉼표 [0] 5 2 2 3 8" xfId="3840" xr:uid="{26760DE5-B600-4C8F-95D4-1ECABFE52CBD}"/>
    <cellStyle name="쉼표 [0] 5 2 2 4" xfId="827" xr:uid="{078D11C4-A187-4E5F-A360-277D37735192}"/>
    <cellStyle name="쉼표 [0] 5 2 2 4 2" xfId="4063" xr:uid="{9A6C8A2E-D39A-4382-9D95-409B606D2859}"/>
    <cellStyle name="쉼표 [0] 5 2 2 5" xfId="1279" xr:uid="{8DD71B38-B085-49DF-B524-97B4FAE98522}"/>
    <cellStyle name="쉼표 [0] 5 2 2 5 2" xfId="4508" xr:uid="{1AD25294-C2B1-47CC-BA91-A74D7047FF63}"/>
    <cellStyle name="쉼표 [0] 5 2 2 6" xfId="1731" xr:uid="{CD9412BA-3B68-4133-8433-AF2E067C00CE}"/>
    <cellStyle name="쉼표 [0] 5 2 2 6 2" xfId="4953" xr:uid="{48203B72-7B2B-46CB-B26A-C8B54A2F717E}"/>
    <cellStyle name="쉼표 [0] 5 2 2 7" xfId="2183" xr:uid="{4A9F890A-87B6-4CED-B03E-8AD2C32313F7}"/>
    <cellStyle name="쉼표 [0] 5 2 2 7 2" xfId="5398" xr:uid="{157AC8F8-D90B-478B-ACD3-9A029AABBC46}"/>
    <cellStyle name="쉼표 [0] 5 2 2 8" xfId="2635" xr:uid="{215121CE-1FA4-4FE3-934C-EE753EC43C3E}"/>
    <cellStyle name="쉼표 [0] 5 2 2 8 2" xfId="5843" xr:uid="{9482DF3A-EDE6-4394-96FF-D60FD46F78F9}"/>
    <cellStyle name="쉼표 [0] 5 2 2 9" xfId="3087" xr:uid="{F0AD7826-5281-4CBA-9F1A-368A3135DE84}"/>
    <cellStyle name="쉼표 [0] 5 2 2 9 2" xfId="6288" xr:uid="{DF959C75-04B0-4ECA-8243-5F177DF338D7}"/>
    <cellStyle name="쉼표 [0] 5 2 3" xfId="357" xr:uid="{4ED0AF38-EF1F-4C12-BC26-188AB1FC0E06}"/>
    <cellStyle name="쉼표 [0] 5 2 3 2" xfId="601" xr:uid="{06A25FDA-CD0D-41AD-A378-A530F7BE15B0}"/>
    <cellStyle name="쉼표 [0] 5 2 3 2 2" xfId="1053" xr:uid="{5D5CC53F-2448-421B-9757-FD6AA339E7CF}"/>
    <cellStyle name="쉼표 [0] 5 2 3 2 2 2" xfId="4287" xr:uid="{A0102D9A-B259-4CFA-85D4-88D7870CC235}"/>
    <cellStyle name="쉼표 [0] 5 2 3 2 3" xfId="1505" xr:uid="{61098B74-D8BC-4265-B606-6C66E50547ED}"/>
    <cellStyle name="쉼표 [0] 5 2 3 2 3 2" xfId="4732" xr:uid="{0D4BEFA3-0508-4B99-80DB-1FA4268223E0}"/>
    <cellStyle name="쉼표 [0] 5 2 3 2 4" xfId="1957" xr:uid="{A538A8FB-86F4-4487-A909-C5453DEA06FA}"/>
    <cellStyle name="쉼표 [0] 5 2 3 2 4 2" xfId="5177" xr:uid="{B0EB6673-59A7-4056-9677-CC7547A180CA}"/>
    <cellStyle name="쉼표 [0] 5 2 3 2 5" xfId="2409" xr:uid="{B3AC9BE6-8688-49A7-AD5B-95488240D9E1}"/>
    <cellStyle name="쉼표 [0] 5 2 3 2 5 2" xfId="5622" xr:uid="{43C63959-C017-43CF-81C5-953551C704A9}"/>
    <cellStyle name="쉼표 [0] 5 2 3 2 6" xfId="2861" xr:uid="{8ED5EF59-3B6D-46D2-9FEF-54434A31B39F}"/>
    <cellStyle name="쉼표 [0] 5 2 3 2 6 2" xfId="6067" xr:uid="{62226136-9714-4233-A590-872975D42D85}"/>
    <cellStyle name="쉼표 [0] 5 2 3 2 7" xfId="3313" xr:uid="{5789C595-4DA8-4F30-B2B4-81867FD8FCFB}"/>
    <cellStyle name="쉼표 [0] 5 2 3 2 7 2" xfId="6512" xr:uid="{7396BA89-8D1A-46F4-93C3-62F9168C1F71}"/>
    <cellStyle name="쉼표 [0] 5 2 3 2 8" xfId="3842" xr:uid="{5A6FDF77-E346-4798-B48C-A6DE244AC69D}"/>
    <cellStyle name="쉼표 [0] 5 2 3 3" xfId="829" xr:uid="{9203B349-D3B5-480B-8150-10A2FEFE63B5}"/>
    <cellStyle name="쉼표 [0] 5 2 3 3 2" xfId="4065" xr:uid="{A1345D35-1419-4102-AFF4-FDCF57265D0E}"/>
    <cellStyle name="쉼표 [0] 5 2 3 4" xfId="1281" xr:uid="{CC659B89-0B5D-4839-BA77-1AA8514F0A93}"/>
    <cellStyle name="쉼표 [0] 5 2 3 4 2" xfId="4510" xr:uid="{B948CC9F-2523-4C70-A02E-9962E0E3FEB5}"/>
    <cellStyle name="쉼표 [0] 5 2 3 5" xfId="1733" xr:uid="{9BDF3D5B-62E8-403F-9C62-80382A7E292D}"/>
    <cellStyle name="쉼표 [0] 5 2 3 5 2" xfId="4955" xr:uid="{5D269F72-C5D5-4369-A4C8-5161464AC955}"/>
    <cellStyle name="쉼표 [0] 5 2 3 6" xfId="2185" xr:uid="{840C4A23-8F60-46FE-9581-750C70F83B05}"/>
    <cellStyle name="쉼표 [0] 5 2 3 6 2" xfId="5400" xr:uid="{C7EF2E6B-28FB-489D-8BEB-E4C603137F89}"/>
    <cellStyle name="쉼표 [0] 5 2 3 7" xfId="2637" xr:uid="{BF2338B4-80BB-4A2B-B5BB-FA81A49D1165}"/>
    <cellStyle name="쉼표 [0] 5 2 3 7 2" xfId="5845" xr:uid="{D30217C3-DCA1-456C-A8DF-5951B52A3682}"/>
    <cellStyle name="쉼표 [0] 5 2 3 8" xfId="3089" xr:uid="{EDD4BAD9-6213-4759-8E58-CF0AD575A0D5}"/>
    <cellStyle name="쉼표 [0] 5 2 3 8 2" xfId="6290" xr:uid="{3E1388A7-5E6C-4A83-BB4C-77A69631A7CF}"/>
    <cellStyle name="쉼표 [0] 5 2 3 9" xfId="3619" xr:uid="{01F5EE4D-DDF0-407F-A631-06C4B8A5867F}"/>
    <cellStyle name="쉼표 [0] 5 2 4" xfId="598" xr:uid="{8385428F-F511-4F32-8329-DF107961203A}"/>
    <cellStyle name="쉼표 [0] 5 2 4 2" xfId="1050" xr:uid="{78460010-7A2E-46C9-96BC-C2E25E0BD852}"/>
    <cellStyle name="쉼표 [0] 5 2 4 2 2" xfId="4284" xr:uid="{DE18A017-76B2-480E-A115-6033945D3C3C}"/>
    <cellStyle name="쉼표 [0] 5 2 4 3" xfId="1502" xr:uid="{B3F0D992-3542-4E9D-BBA0-E25F3DC923D8}"/>
    <cellStyle name="쉼표 [0] 5 2 4 3 2" xfId="4729" xr:uid="{82FD4F4E-D21F-43F0-BE6F-6D3697120619}"/>
    <cellStyle name="쉼표 [0] 5 2 4 4" xfId="1954" xr:uid="{D969D75E-CA3A-417E-AC46-C8DF6152984A}"/>
    <cellStyle name="쉼표 [0] 5 2 4 4 2" xfId="5174" xr:uid="{5FDCC127-0663-443F-AD1D-3961E9118266}"/>
    <cellStyle name="쉼표 [0] 5 2 4 5" xfId="2406" xr:uid="{1A742512-B7B9-4CAA-BA10-456BF9C19940}"/>
    <cellStyle name="쉼표 [0] 5 2 4 5 2" xfId="5619" xr:uid="{5C88EB2D-60EA-4093-AC2E-18549BB07515}"/>
    <cellStyle name="쉼표 [0] 5 2 4 6" xfId="2858" xr:uid="{C151377F-DA87-4340-9DB1-74B50C60413B}"/>
    <cellStyle name="쉼표 [0] 5 2 4 6 2" xfId="6064" xr:uid="{D3A7FF6D-AF38-45A0-8635-DC325AAF87AA}"/>
    <cellStyle name="쉼표 [0] 5 2 4 7" xfId="3310" xr:uid="{C138F8ED-1107-4EAD-9E6E-4CD19F3FB857}"/>
    <cellStyle name="쉼표 [0] 5 2 4 7 2" xfId="6509" xr:uid="{8671DA8E-2127-4BF1-8E81-19E0B30A8E9C}"/>
    <cellStyle name="쉼표 [0] 5 2 4 8" xfId="3839" xr:uid="{110128F1-1A99-4058-9621-E2B5943FBD91}"/>
    <cellStyle name="쉼표 [0] 5 2 5" xfId="826" xr:uid="{550B5B4D-9414-4083-87B0-D67FD6420D73}"/>
    <cellStyle name="쉼표 [0] 5 2 5 2" xfId="4062" xr:uid="{C250B4C4-9E84-4AAF-A29C-B50C1C9B8E51}"/>
    <cellStyle name="쉼표 [0] 5 2 6" xfId="1278" xr:uid="{C30BCB96-4F13-451D-85ED-728906486C3E}"/>
    <cellStyle name="쉼표 [0] 5 2 6 2" xfId="4507" xr:uid="{9D49083C-BF11-4A7D-AF6B-37C72CEE994A}"/>
    <cellStyle name="쉼표 [0] 5 2 7" xfId="1730" xr:uid="{7F3E1902-A471-4652-BE28-3F21DCFDADEA}"/>
    <cellStyle name="쉼표 [0] 5 2 7 2" xfId="4952" xr:uid="{76939389-519F-4B6E-A254-30B2B09008BE}"/>
    <cellStyle name="쉼표 [0] 5 2 8" xfId="2182" xr:uid="{C096F5F4-3AF1-4605-A4BD-F668B9D0DD6C}"/>
    <cellStyle name="쉼표 [0] 5 2 8 2" xfId="5397" xr:uid="{0D8A6DF1-EED7-4D5F-A4FF-46B08BD42768}"/>
    <cellStyle name="쉼표 [0] 5 2 9" xfId="2634" xr:uid="{30AD0ACF-45A8-4A55-92EA-7CEC34A0B197}"/>
    <cellStyle name="쉼표 [0] 5 2 9 2" xfId="5842" xr:uid="{54EBACA9-9E70-4B28-AF00-A25C25CA204E}"/>
    <cellStyle name="쉼표 [0] 5 3" xfId="358" xr:uid="{2B2F49F4-E09D-4369-B93B-4FB91C4CBD88}"/>
    <cellStyle name="쉼표 [0] 5 3 10" xfId="3620" xr:uid="{FA323433-1F54-4085-A257-86F703B1C284}"/>
    <cellStyle name="쉼표 [0] 5 3 2" xfId="359" xr:uid="{8F071A54-8F23-4943-9EB9-21ED03AF8BF5}"/>
    <cellStyle name="쉼표 [0] 5 3 2 2" xfId="603" xr:uid="{BC30F02A-B67D-46BB-893C-12AD4A4AF110}"/>
    <cellStyle name="쉼표 [0] 5 3 2 2 2" xfId="1055" xr:uid="{FEBBC1FB-5B72-4D42-BEB8-D8C3ED4D8E9B}"/>
    <cellStyle name="쉼표 [0] 5 3 2 2 2 2" xfId="4289" xr:uid="{12F752FC-5F9A-4F7D-A753-91844FEB97AB}"/>
    <cellStyle name="쉼표 [0] 5 3 2 2 3" xfId="1507" xr:uid="{7EE61C0F-7CA8-437C-A36E-85BBD3F79C8F}"/>
    <cellStyle name="쉼표 [0] 5 3 2 2 3 2" xfId="4734" xr:uid="{CBC3BBF4-74ED-4376-8130-6A960654BE52}"/>
    <cellStyle name="쉼표 [0] 5 3 2 2 4" xfId="1959" xr:uid="{53D589E6-6CF4-4774-B0C1-ADA625B84EF1}"/>
    <cellStyle name="쉼표 [0] 5 3 2 2 4 2" xfId="5179" xr:uid="{3AC60DE2-17AA-4E2A-A662-DAA2ABB3DFD0}"/>
    <cellStyle name="쉼표 [0] 5 3 2 2 5" xfId="2411" xr:uid="{FE66390D-AEEF-48A5-92F1-5B4EF07EA685}"/>
    <cellStyle name="쉼표 [0] 5 3 2 2 5 2" xfId="5624" xr:uid="{4DBC224A-CA8E-48D5-B239-33FB20585DE6}"/>
    <cellStyle name="쉼표 [0] 5 3 2 2 6" xfId="2863" xr:uid="{19E24E18-FF6D-46C4-86F4-CC6580F65B63}"/>
    <cellStyle name="쉼표 [0] 5 3 2 2 6 2" xfId="6069" xr:uid="{F3939617-A884-4B44-9B44-3525B7039C57}"/>
    <cellStyle name="쉼표 [0] 5 3 2 2 7" xfId="3315" xr:uid="{C1173C2F-73CA-4C5C-A05F-22AB72B0888A}"/>
    <cellStyle name="쉼표 [0] 5 3 2 2 7 2" xfId="6514" xr:uid="{6C6FA241-4B3C-4F10-B8FB-881B637D0809}"/>
    <cellStyle name="쉼표 [0] 5 3 2 2 8" xfId="3844" xr:uid="{64FA317A-025C-4984-A54B-C1CFEC0D5766}"/>
    <cellStyle name="쉼표 [0] 5 3 2 3" xfId="831" xr:uid="{6ED6CC43-6C62-46D8-A2F4-27618EF51607}"/>
    <cellStyle name="쉼표 [0] 5 3 2 3 2" xfId="4067" xr:uid="{49EB637E-8867-4872-B447-D03B3FAE2AAE}"/>
    <cellStyle name="쉼표 [0] 5 3 2 4" xfId="1283" xr:uid="{A2FECFA3-730D-4BAE-8213-CD670B439709}"/>
    <cellStyle name="쉼표 [0] 5 3 2 4 2" xfId="4512" xr:uid="{A01EE10C-69F8-4713-906F-400416030015}"/>
    <cellStyle name="쉼표 [0] 5 3 2 5" xfId="1735" xr:uid="{73E56C52-39EE-482E-892D-426BF7D707C4}"/>
    <cellStyle name="쉼표 [0] 5 3 2 5 2" xfId="4957" xr:uid="{BFF7AAA3-C987-4BD7-BF9C-618BFDEB3D83}"/>
    <cellStyle name="쉼표 [0] 5 3 2 6" xfId="2187" xr:uid="{F3DF51FF-8B2E-4BC3-BAB1-3949596E3411}"/>
    <cellStyle name="쉼표 [0] 5 3 2 6 2" xfId="5402" xr:uid="{7D2DF7BB-D5B1-4124-B633-E8904E16A077}"/>
    <cellStyle name="쉼표 [0] 5 3 2 7" xfId="2639" xr:uid="{EA330F49-6CB5-4FF5-8758-A634F08371F6}"/>
    <cellStyle name="쉼표 [0] 5 3 2 7 2" xfId="5847" xr:uid="{8E12C36D-C6C2-450D-B110-C5BE9C888A7F}"/>
    <cellStyle name="쉼표 [0] 5 3 2 8" xfId="3091" xr:uid="{46B79C0D-FA9D-472C-83CE-7EC00C16F322}"/>
    <cellStyle name="쉼표 [0] 5 3 2 8 2" xfId="6292" xr:uid="{C9A10177-A505-4EE1-BAA7-42F31D22B848}"/>
    <cellStyle name="쉼표 [0] 5 3 2 9" xfId="3621" xr:uid="{F706D4E6-2B8D-4ABA-BEA5-83F5E0C41E24}"/>
    <cellStyle name="쉼표 [0] 5 3 3" xfId="602" xr:uid="{E03E14DA-04C5-470A-B96F-59AA7F0C9C1E}"/>
    <cellStyle name="쉼표 [0] 5 3 3 2" xfId="1054" xr:uid="{885AE50D-31C8-44CB-89AE-4E415038C9C1}"/>
    <cellStyle name="쉼표 [0] 5 3 3 2 2" xfId="4288" xr:uid="{8E49FE73-5A11-41E5-895E-95E200192A37}"/>
    <cellStyle name="쉼표 [0] 5 3 3 3" xfId="1506" xr:uid="{4A24A7FE-DF44-4AF0-A628-62E670AEE935}"/>
    <cellStyle name="쉼표 [0] 5 3 3 3 2" xfId="4733" xr:uid="{6AB34C3C-6A70-4698-ADC6-37D7DC2530F9}"/>
    <cellStyle name="쉼표 [0] 5 3 3 4" xfId="1958" xr:uid="{BF192C1F-6275-42B0-9D92-BE6626C649D7}"/>
    <cellStyle name="쉼표 [0] 5 3 3 4 2" xfId="5178" xr:uid="{4C947301-1C9A-4FF1-B1D7-7ABDCA126109}"/>
    <cellStyle name="쉼표 [0] 5 3 3 5" xfId="2410" xr:uid="{0BFB6D64-88C5-4C53-86C4-E841E639A6C6}"/>
    <cellStyle name="쉼표 [0] 5 3 3 5 2" xfId="5623" xr:uid="{55FE0D90-1AF7-4E93-8BB0-ECD284DCEEA3}"/>
    <cellStyle name="쉼표 [0] 5 3 3 6" xfId="2862" xr:uid="{2EA40BB4-BAF7-49C0-B6E6-C1E1BC58A6AB}"/>
    <cellStyle name="쉼표 [0] 5 3 3 6 2" xfId="6068" xr:uid="{A0B0AA9D-3CF0-4EAF-B053-7D6A8DCA1777}"/>
    <cellStyle name="쉼표 [0] 5 3 3 7" xfId="3314" xr:uid="{F4C7F371-5C6B-450E-A112-BD37201D9D56}"/>
    <cellStyle name="쉼표 [0] 5 3 3 7 2" xfId="6513" xr:uid="{8A7B8F95-2FA4-4418-8FB1-6EBCD99C720F}"/>
    <cellStyle name="쉼표 [0] 5 3 3 8" xfId="3843" xr:uid="{EF7546C0-4CAE-4A79-9546-ACF7166B3491}"/>
    <cellStyle name="쉼표 [0] 5 3 4" xfId="830" xr:uid="{F1585C81-FC83-4242-9751-EEF6391A4D8C}"/>
    <cellStyle name="쉼표 [0] 5 3 4 2" xfId="4066" xr:uid="{29DB5A27-394B-4D85-8E7D-CCF2D78092ED}"/>
    <cellStyle name="쉼표 [0] 5 3 5" xfId="1282" xr:uid="{90AD05A3-3096-4ACD-A901-268139178B25}"/>
    <cellStyle name="쉼표 [0] 5 3 5 2" xfId="4511" xr:uid="{0F7BE0E6-D276-42A0-AA1B-D20BCC552ABD}"/>
    <cellStyle name="쉼표 [0] 5 3 6" xfId="1734" xr:uid="{CE7946F7-1CDC-4A00-8988-319E4653148E}"/>
    <cellStyle name="쉼표 [0] 5 3 6 2" xfId="4956" xr:uid="{C810F4A1-06B3-4788-8665-ECBEEB335801}"/>
    <cellStyle name="쉼표 [0] 5 3 7" xfId="2186" xr:uid="{C3DB3EE5-01B4-41DE-91B2-B350340F4D47}"/>
    <cellStyle name="쉼표 [0] 5 3 7 2" xfId="5401" xr:uid="{2FF3B338-17E1-4C9D-B778-CE9409BA4A23}"/>
    <cellStyle name="쉼표 [0] 5 3 8" xfId="2638" xr:uid="{FAB2E512-BF40-4313-98D9-8CF77F8F45A1}"/>
    <cellStyle name="쉼표 [0] 5 3 8 2" xfId="5846" xr:uid="{70A3BED9-0CD3-47A4-AEAD-A471D025EF83}"/>
    <cellStyle name="쉼표 [0] 5 3 9" xfId="3090" xr:uid="{3155CF39-45F0-403F-9724-BA605571F004}"/>
    <cellStyle name="쉼표 [0] 5 3 9 2" xfId="6291" xr:uid="{7B50FEE8-82D1-469C-BA13-57F951F8EF58}"/>
    <cellStyle name="쉼표 [0] 5 4" xfId="360" xr:uid="{43953CE0-5A63-429D-9C6E-BD2E7E05C1B2}"/>
    <cellStyle name="쉼표 [0] 5 4 2" xfId="604" xr:uid="{1AD7E804-96CE-4D5A-A42D-B74D005A576B}"/>
    <cellStyle name="쉼표 [0] 5 4 2 2" xfId="1056" xr:uid="{ED1FB88F-C468-4207-A43D-5EBFD2565849}"/>
    <cellStyle name="쉼표 [0] 5 4 2 2 2" xfId="4290" xr:uid="{03C90337-A7F5-4FB6-9A35-D09DA8B934F3}"/>
    <cellStyle name="쉼표 [0] 5 4 2 3" xfId="1508" xr:uid="{8D562206-F96A-485E-A165-B770231FDAC1}"/>
    <cellStyle name="쉼표 [0] 5 4 2 3 2" xfId="4735" xr:uid="{F94C65FC-0CB2-439F-8197-37E342DB92BD}"/>
    <cellStyle name="쉼표 [0] 5 4 2 4" xfId="1960" xr:uid="{DA632643-ACD6-4F91-BC59-5442E6A8EC00}"/>
    <cellStyle name="쉼표 [0] 5 4 2 4 2" xfId="5180" xr:uid="{C85FBC0D-20B8-4BF8-BA5E-0E9224F342F9}"/>
    <cellStyle name="쉼표 [0] 5 4 2 5" xfId="2412" xr:uid="{E47CD5CD-0643-4495-9DCC-30AF44161E6E}"/>
    <cellStyle name="쉼표 [0] 5 4 2 5 2" xfId="5625" xr:uid="{8AA5DBFC-6ECC-4860-8A2A-94998187B118}"/>
    <cellStyle name="쉼표 [0] 5 4 2 6" xfId="2864" xr:uid="{B4D338E3-B305-4875-90C2-6EDB4DD74D53}"/>
    <cellStyle name="쉼표 [0] 5 4 2 6 2" xfId="6070" xr:uid="{8302F64E-1B17-4AAC-8CAE-0A01D4E1B313}"/>
    <cellStyle name="쉼표 [0] 5 4 2 7" xfId="3316" xr:uid="{CBF35165-2D3F-4C1B-94CB-A54D7E1E6B41}"/>
    <cellStyle name="쉼표 [0] 5 4 2 7 2" xfId="6515" xr:uid="{C45AB562-0CDE-4DA1-9771-762A9899C5D0}"/>
    <cellStyle name="쉼표 [0] 5 4 2 8" xfId="3845" xr:uid="{F89950CA-9DF5-4042-A99F-B9CE6FE3725F}"/>
    <cellStyle name="쉼표 [0] 5 4 3" xfId="832" xr:uid="{A09DC307-CBB2-4FCE-BFE6-485CF6815AB2}"/>
    <cellStyle name="쉼표 [0] 5 4 3 2" xfId="4068" xr:uid="{A6C9438D-5AF1-41F4-A3A6-2545BF5AC842}"/>
    <cellStyle name="쉼표 [0] 5 4 4" xfId="1284" xr:uid="{7A220B85-2FB5-4A4A-A35E-94DEAD91EF3C}"/>
    <cellStyle name="쉼표 [0] 5 4 4 2" xfId="4513" xr:uid="{CA55B5BE-AEDD-4412-AD67-299B2E440D8F}"/>
    <cellStyle name="쉼표 [0] 5 4 5" xfId="1736" xr:uid="{1CC5A65A-D8C6-46E6-9A03-502F87BDC8A8}"/>
    <cellStyle name="쉼표 [0] 5 4 5 2" xfId="4958" xr:uid="{8DC6700F-BB9E-4F09-BE31-E1D85C6A2D72}"/>
    <cellStyle name="쉼표 [0] 5 4 6" xfId="2188" xr:uid="{428CC734-4B83-4E4A-A719-27FC2D5A5F45}"/>
    <cellStyle name="쉼표 [0] 5 4 6 2" xfId="5403" xr:uid="{E36CD72F-9C5A-4782-BE57-1C310A58E623}"/>
    <cellStyle name="쉼표 [0] 5 4 7" xfId="2640" xr:uid="{829F337C-DEA0-448D-9C96-A8D3E2BF5910}"/>
    <cellStyle name="쉼표 [0] 5 4 7 2" xfId="5848" xr:uid="{049EBB89-5490-408B-96FB-18C9EC2BA084}"/>
    <cellStyle name="쉼표 [0] 5 4 8" xfId="3092" xr:uid="{F27D0D9D-9EAD-4DF1-93CB-1297951BA5EB}"/>
    <cellStyle name="쉼표 [0] 5 4 8 2" xfId="6293" xr:uid="{771056B5-9D60-4D39-B4E5-1D3F30BFEFAE}"/>
    <cellStyle name="쉼표 [0] 5 4 9" xfId="3622" xr:uid="{4C3D1A88-2F01-4EE5-8F1E-01C3F9ADF5BB}"/>
    <cellStyle name="쉼표 [0] 5 5" xfId="597" xr:uid="{2CD536F5-FB78-4ED5-AB2C-4D0FF3A5A606}"/>
    <cellStyle name="쉼표 [0] 5 5 2" xfId="1049" xr:uid="{78470AD5-2098-4E96-A209-566BA41E41C7}"/>
    <cellStyle name="쉼표 [0] 5 5 2 2" xfId="4283" xr:uid="{4AB23C96-98A6-4E0F-9DF7-ED18EC3755C9}"/>
    <cellStyle name="쉼표 [0] 5 5 3" xfId="1501" xr:uid="{4AF2D937-6A19-4E61-B273-8FC39076A2DE}"/>
    <cellStyle name="쉼표 [0] 5 5 3 2" xfId="4728" xr:uid="{1EA7883B-E4B8-4F46-8681-2C411D7225DB}"/>
    <cellStyle name="쉼표 [0] 5 5 4" xfId="1953" xr:uid="{02A52177-8893-4141-97EE-442FAF82A9CA}"/>
    <cellStyle name="쉼표 [0] 5 5 4 2" xfId="5173" xr:uid="{2818AE59-94BA-44F1-AD62-04D96B5C84CD}"/>
    <cellStyle name="쉼표 [0] 5 5 5" xfId="2405" xr:uid="{AE231998-6124-427B-BCC1-987E80F66100}"/>
    <cellStyle name="쉼표 [0] 5 5 5 2" xfId="5618" xr:uid="{9DA3892D-C0E2-4D5E-9797-99E12F01CD6B}"/>
    <cellStyle name="쉼표 [0] 5 5 6" xfId="2857" xr:uid="{50040021-FE9A-413F-9D04-D171F75B6F2F}"/>
    <cellStyle name="쉼표 [0] 5 5 6 2" xfId="6063" xr:uid="{F18EA96A-3B85-4BC4-9961-03CD0E24B132}"/>
    <cellStyle name="쉼표 [0] 5 5 7" xfId="3309" xr:uid="{98060D17-11B0-4AFE-AECF-268046ACC9F6}"/>
    <cellStyle name="쉼표 [0] 5 5 7 2" xfId="6508" xr:uid="{9BB9193F-0F78-4713-A52B-DF78AD8766AE}"/>
    <cellStyle name="쉼표 [0] 5 5 8" xfId="3838" xr:uid="{964AE0B6-523A-4189-B51B-0F619FB3E8C5}"/>
    <cellStyle name="쉼표 [0] 5 6" xfId="353" xr:uid="{F60955A0-5B53-4203-99A2-0E98A7F5FB31}"/>
    <cellStyle name="쉼표 [0] 5 6 2" xfId="3615" xr:uid="{B3843D07-DA0F-460F-8D78-6E9B9708861E}"/>
    <cellStyle name="쉼표 [0] 5 7" xfId="825" xr:uid="{E1DB6892-853A-4F8B-9F7B-EFB8A764AE19}"/>
    <cellStyle name="쉼표 [0] 5 7 2" xfId="4061" xr:uid="{B7D0FDE2-3D2A-419B-9306-8E9796E4AD59}"/>
    <cellStyle name="쉼표 [0] 5 8" xfId="1277" xr:uid="{C36631DD-0D3A-4D2E-8255-97185BBC4251}"/>
    <cellStyle name="쉼표 [0] 5 8 2" xfId="4506" xr:uid="{3F3F2F63-68DE-4CF0-81C8-B04F13B78C54}"/>
    <cellStyle name="쉼표 [0] 5 9" xfId="1729" xr:uid="{ACC6E9F5-763D-4BF0-9DB4-62D1D77504A3}"/>
    <cellStyle name="쉼표 [0] 5 9 2" xfId="4951" xr:uid="{AC5649FF-F0A7-4381-B361-96ECB5A682A8}"/>
    <cellStyle name="쉼표 [0] 6" xfId="61" xr:uid="{685409C1-092B-4FFE-85FE-F50C52C78FDF}"/>
    <cellStyle name="쉼표 [0] 6 2" xfId="318" xr:uid="{884BAA17-AD5F-4B5D-8B75-B97F1345FD49}"/>
    <cellStyle name="쉼표 [0] 6 2 2" xfId="3580" xr:uid="{05DB6324-F5CD-497C-A8BF-D2D2ADED8E24}"/>
    <cellStyle name="쉼표 [0] 6 3" xfId="790" xr:uid="{BF373898-54EA-4E26-87E2-F6FB27D95DC4}"/>
    <cellStyle name="쉼표 [0] 6 3 2" xfId="4026" xr:uid="{F08F70ED-D351-4B94-B057-8703DB76B5CF}"/>
    <cellStyle name="쉼표 [0] 6 4" xfId="1242" xr:uid="{DBB58C7D-B1F0-48AC-9FCB-0B97AC46E4DF}"/>
    <cellStyle name="쉼표 [0] 6 4 2" xfId="4471" xr:uid="{1D9B9BFE-0CEE-491C-96CF-3381F6CA81EA}"/>
    <cellStyle name="쉼표 [0] 6 5" xfId="1694" xr:uid="{8FA5B437-6000-4CFA-AC7D-A8DD049D8373}"/>
    <cellStyle name="쉼표 [0] 6 5 2" xfId="4916" xr:uid="{F82A210A-BB0B-41C2-B047-28899808F18D}"/>
    <cellStyle name="쉼표 [0] 6 6" xfId="2146" xr:uid="{C713D0E0-9249-4D74-9804-4DCD4D8B0C38}"/>
    <cellStyle name="쉼표 [0] 6 6 2" xfId="5361" xr:uid="{A4FBF3C9-7988-492D-B436-8686F512247E}"/>
    <cellStyle name="쉼표 [0] 6 7" xfId="2598" xr:uid="{944ED980-F805-4BED-80C1-7E7EC6AD28C0}"/>
    <cellStyle name="쉼표 [0] 6 7 2" xfId="5806" xr:uid="{E8A5271C-6E6B-414A-921D-07A1C3691B24}"/>
    <cellStyle name="쉼표 [0] 6 8" xfId="3050" xr:uid="{7E427AEE-4883-44FB-9F0F-1911EA7AD97F}"/>
    <cellStyle name="쉼표 [0] 6 8 2" xfId="6251" xr:uid="{2A9F5466-1960-4AA5-B6AA-83712E58DF4D}"/>
    <cellStyle name="쉼표 [0] 6 9" xfId="3398" xr:uid="{B67CF331-0806-4707-A473-010DDE346BB6}"/>
    <cellStyle name="쉼표 [0] 7" xfId="67" xr:uid="{958D683D-7DB9-43BD-B8E6-007C69C21DAB}"/>
    <cellStyle name="쉼표 [0] 7 2" xfId="562" xr:uid="{AF0DBDAE-72C4-41F8-B656-A7CAE1BCD83C}"/>
    <cellStyle name="쉼표 [0] 7 2 2" xfId="3803" xr:uid="{CA04E7A6-CD4A-483B-B3B7-855BB65B6D8A}"/>
    <cellStyle name="쉼표 [0] 7 3" xfId="1014" xr:uid="{5566B31B-E60E-4BFD-8377-BBB0B7925FDD}"/>
    <cellStyle name="쉼표 [0] 7 3 2" xfId="4248" xr:uid="{50C6E9CD-0127-4209-9525-095046C15E4C}"/>
    <cellStyle name="쉼표 [0] 7 4" xfId="1466" xr:uid="{F93C12B4-F434-4D01-869A-A9F4FDB9B19D}"/>
    <cellStyle name="쉼표 [0] 7 4 2" xfId="4693" xr:uid="{96066CD2-CADE-418C-8F8D-BED64B282358}"/>
    <cellStyle name="쉼표 [0] 7 5" xfId="1918" xr:uid="{AC8EB9F8-785A-408C-B263-9713C3D29CCA}"/>
    <cellStyle name="쉼표 [0] 7 5 2" xfId="5138" xr:uid="{8EE52BA4-0FDC-4C55-99E0-6D56327D021F}"/>
    <cellStyle name="쉼표 [0] 7 6" xfId="2370" xr:uid="{52A0AE44-5A95-453C-8811-6321593E5465}"/>
    <cellStyle name="쉼표 [0] 7 6 2" xfId="5583" xr:uid="{FB25E979-3369-4FE5-8DB4-5EA4FA6DDC38}"/>
    <cellStyle name="쉼표 [0] 7 7" xfId="2822" xr:uid="{9C5823CF-1BD2-4088-980B-2FCC2273EA42}"/>
    <cellStyle name="쉼표 [0] 7 7 2" xfId="6028" xr:uid="{760FA99E-C2B1-4B21-89D5-1CD40A5041B9}"/>
    <cellStyle name="쉼표 [0] 7 8" xfId="3274" xr:uid="{03ABFF89-EF8F-4B1F-870D-A7BBCB74A848}"/>
    <cellStyle name="쉼표 [0] 7 8 2" xfId="6473" xr:uid="{E42BFB91-FCD7-4555-B891-3CA08D05C68B}"/>
    <cellStyle name="쉼표 [0] 7 9" xfId="3401" xr:uid="{E26C3CC7-3359-47A6-AF84-A8F25FC6019D}"/>
    <cellStyle name="쉼표 [0] 8" xfId="73" xr:uid="{DF9D224B-CEE2-479D-AA63-3BA072C35B35}"/>
    <cellStyle name="쉼표 [0] 8 2" xfId="3404" xr:uid="{74C03E65-50F4-4B47-920A-CD4219620514}"/>
    <cellStyle name="쉼표 [0] 9" xfId="611" xr:uid="{9697B49C-EB34-409A-BFB8-11C1E2FE55AF}"/>
    <cellStyle name="쉼표 [0] 9 2" xfId="3850" xr:uid="{D82E90A2-0AF4-4914-ACF2-17375F61A65E}"/>
    <cellStyle name="쉼표 10" xfId="610" xr:uid="{90F72F96-452F-442E-8C72-FDB43DFA277D}"/>
    <cellStyle name="쉼표 10 2" xfId="3849" xr:uid="{8FBE6907-2813-4EEE-85DB-9DCFCFCB4C84}"/>
    <cellStyle name="쉼표 11" xfId="1062" xr:uid="{F01A461A-F07A-4196-9A71-C9CC778C5568}"/>
    <cellStyle name="쉼표 11 2" xfId="4294" xr:uid="{E6310058-A381-4D68-8820-75F181B89AD3}"/>
    <cellStyle name="쉼표 12" xfId="1514" xr:uid="{C73AA701-3929-4CE0-95DE-8AA2169E6556}"/>
    <cellStyle name="쉼표 12 2" xfId="4739" xr:uid="{3D05C20B-8B93-4091-A7D6-61925DC7E561}"/>
    <cellStyle name="쉼표 13" xfId="1966" xr:uid="{FB83AD4B-0866-4B85-9063-EBE48ACE97E7}"/>
    <cellStyle name="쉼표 13 2" xfId="5184" xr:uid="{B64FD8E0-7C0F-4D45-92B0-D904D0474BC4}"/>
    <cellStyle name="쉼표 14" xfId="2418" xr:uid="{38C061FD-926C-4A51-A538-CC72807970E7}"/>
    <cellStyle name="쉼표 14 2" xfId="5629" xr:uid="{BFB63367-48D5-47C4-B254-053D8657C632}"/>
    <cellStyle name="쉼표 15" xfId="2870" xr:uid="{ED5C8BCB-29D7-41A1-9200-AF0CA73EA926}"/>
    <cellStyle name="쉼표 15 2" xfId="6074" xr:uid="{C18D4598-42B3-4437-9766-E824BB8975D4}"/>
    <cellStyle name="쉼표 16" xfId="11" xr:uid="{A1AA322A-6020-482C-90B5-59AC0C823B29}"/>
    <cellStyle name="쉼표 16 2" xfId="3370" xr:uid="{8F6A7158-BEEE-44A0-8CDD-D09462565943}"/>
    <cellStyle name="쉼표 2" xfId="36" xr:uid="{51D45A80-DCFA-4BB9-928C-A5904EB55544}"/>
    <cellStyle name="쉼표 2 10" xfId="3385" xr:uid="{A0E3EF8F-3BDC-473D-BD40-7C3EDDEFC2BE}"/>
    <cellStyle name="쉼표 2 2" xfId="605" xr:uid="{53A3CC2C-70A7-4C36-806D-0A496603A0F5}"/>
    <cellStyle name="쉼표 2 2 2" xfId="1057" xr:uid="{155D1D90-1F8C-4DF8-BDEA-486454EB6D1C}"/>
    <cellStyle name="쉼표 2 2 2 2" xfId="4291" xr:uid="{76815681-0E36-4CDF-ADBF-2495D8D1C861}"/>
    <cellStyle name="쉼표 2 2 3" xfId="1509" xr:uid="{D0E27E07-D895-4E0B-85A7-E39D5B753B22}"/>
    <cellStyle name="쉼표 2 2 3 2" xfId="4736" xr:uid="{779559BA-9340-467C-A3FD-778F8BC022FB}"/>
    <cellStyle name="쉼표 2 2 4" xfId="1961" xr:uid="{1BE0DF63-2E12-4C4E-99D9-5C582A326BF7}"/>
    <cellStyle name="쉼표 2 2 4 2" xfId="5181" xr:uid="{1319845A-46FF-49AB-BC0D-03C1F0BF27D2}"/>
    <cellStyle name="쉼표 2 2 5" xfId="2413" xr:uid="{02A19E78-A4EA-49CC-91C4-F91B60DA6F18}"/>
    <cellStyle name="쉼표 2 2 5 2" xfId="5626" xr:uid="{860263F4-B863-4AD5-BEE0-28D7FCCB6F15}"/>
    <cellStyle name="쉼표 2 2 6" xfId="2865" xr:uid="{8B19AF9E-931E-4A47-85ED-4BD1A4A11F7D}"/>
    <cellStyle name="쉼표 2 2 6 2" xfId="6071" xr:uid="{92DE0489-425B-4187-ADEC-0E8AAA1C8830}"/>
    <cellStyle name="쉼표 2 2 7" xfId="3317" xr:uid="{59B228B5-F460-4259-8BB9-A82ACB4311A0}"/>
    <cellStyle name="쉼표 2 2 7 2" xfId="6516" xr:uid="{D0159FD7-5DC8-49C9-B9D7-9A154CF6BCDA}"/>
    <cellStyle name="쉼표 2 2 8" xfId="3846" xr:uid="{047C42CF-D769-4BD9-A7E5-18824B5C6E02}"/>
    <cellStyle name="쉼표 2 3" xfId="361" xr:uid="{822FF49E-6B77-4E9F-A0AB-443C4E7A2219}"/>
    <cellStyle name="쉼표 2 3 2" xfId="3623" xr:uid="{7347DF7D-381A-4C7B-A809-7FE5F13B7FD6}"/>
    <cellStyle name="쉼표 2 4" xfId="833" xr:uid="{AF9A5A3B-AC34-4AFC-B9C8-435B0C1C0FF3}"/>
    <cellStyle name="쉼표 2 4 2" xfId="4069" xr:uid="{D79D599F-210E-4DAC-9F2E-E22AE41F9EB2}"/>
    <cellStyle name="쉼표 2 5" xfId="1285" xr:uid="{C2F2EFB1-446C-470C-8889-CD20F92945EF}"/>
    <cellStyle name="쉼표 2 5 2" xfId="4514" xr:uid="{4AA95411-AF6A-42DF-99F4-6F1E82EC4961}"/>
    <cellStyle name="쉼표 2 6" xfId="1737" xr:uid="{31D163F3-829D-4C4C-A595-AFAA5C99159D}"/>
    <cellStyle name="쉼표 2 6 2" xfId="4959" xr:uid="{80293720-4F15-432C-9E7A-0DF045DBA655}"/>
    <cellStyle name="쉼표 2 7" xfId="2189" xr:uid="{C34986C3-D2F8-4707-A27C-1E6C29652891}"/>
    <cellStyle name="쉼표 2 7 2" xfId="5404" xr:uid="{2BF6B77B-93E9-48DC-865C-7E54A69BD9B9}"/>
    <cellStyle name="쉼표 2 8" xfId="2641" xr:uid="{206269BF-A82F-4812-8D92-6A634EEB1992}"/>
    <cellStyle name="쉼표 2 8 2" xfId="5849" xr:uid="{7C53F869-114F-4406-96F8-43F42B50D148}"/>
    <cellStyle name="쉼표 2 9" xfId="3093" xr:uid="{8FFC42E8-9515-4989-9D32-EAE2B5077E4E}"/>
    <cellStyle name="쉼표 2 9 2" xfId="6294" xr:uid="{7993832D-0EB6-4CF0-BB64-72A94E1EADA2}"/>
    <cellStyle name="쉼표 3" xfId="42" xr:uid="{419B93D3-F2EB-42BA-AF41-E70F9E6DD4D6}"/>
    <cellStyle name="쉼표 3 10" xfId="3388" xr:uid="{72CC71E6-79D9-4C9B-98B7-438ABEF1BDD0}"/>
    <cellStyle name="쉼표 3 2" xfId="606" xr:uid="{60D05330-D8EB-4A40-9576-00F841389E93}"/>
    <cellStyle name="쉼표 3 2 2" xfId="1058" xr:uid="{80F663F8-C835-4649-AD48-FE35846FEFF4}"/>
    <cellStyle name="쉼표 3 2 2 2" xfId="4292" xr:uid="{4CFA1F28-BFA4-4F96-97EF-CFEE59109C23}"/>
    <cellStyle name="쉼표 3 2 3" xfId="1510" xr:uid="{B313A017-B188-4DC0-9F3E-EBD1E45C35D8}"/>
    <cellStyle name="쉼표 3 2 3 2" xfId="4737" xr:uid="{5C1D9796-E53A-4E75-BCA8-5FDEA4D7EA77}"/>
    <cellStyle name="쉼표 3 2 4" xfId="1962" xr:uid="{1699C755-B132-4C65-9C5A-63EB0FB064F2}"/>
    <cellStyle name="쉼표 3 2 4 2" xfId="5182" xr:uid="{FF65C5ED-5F26-4C14-8EC9-C81F4E6525A6}"/>
    <cellStyle name="쉼표 3 2 5" xfId="2414" xr:uid="{84ADD33A-3212-4DAF-B098-BA484BF49A7B}"/>
    <cellStyle name="쉼표 3 2 5 2" xfId="5627" xr:uid="{B6C79E42-5B5A-4737-8A92-F465F8D35B57}"/>
    <cellStyle name="쉼표 3 2 6" xfId="2866" xr:uid="{0671652E-14A2-44F5-9455-459231683300}"/>
    <cellStyle name="쉼표 3 2 6 2" xfId="6072" xr:uid="{9E3ACF77-EACD-462B-8291-E50F4CB201BA}"/>
    <cellStyle name="쉼표 3 2 7" xfId="3318" xr:uid="{63CEED66-16E0-41E8-80F8-55E97ED17101}"/>
    <cellStyle name="쉼표 3 2 7 2" xfId="6517" xr:uid="{5110AC8A-F89D-454C-A4B1-C8FAF64FA58B}"/>
    <cellStyle name="쉼표 3 2 8" xfId="3847" xr:uid="{848BE727-FDC8-44D0-B7F2-2BCA678326F6}"/>
    <cellStyle name="쉼표 3 3" xfId="362" xr:uid="{20B22C0A-CCF4-4BFA-B33B-16B6C88AC119}"/>
    <cellStyle name="쉼표 3 3 2" xfId="3624" xr:uid="{4C78D55D-B07A-4DDA-9A28-3F05B24C120D}"/>
    <cellStyle name="쉼표 3 4" xfId="834" xr:uid="{6E1CD573-9CAF-4367-A796-64C8E6170789}"/>
    <cellStyle name="쉼표 3 4 2" xfId="4070" xr:uid="{8248BEA8-95CF-4355-9523-62AF6A8361EF}"/>
    <cellStyle name="쉼표 3 5" xfId="1286" xr:uid="{CD63A7D7-24DD-4E3C-BE22-7F9E48210737}"/>
    <cellStyle name="쉼표 3 5 2" xfId="4515" xr:uid="{CBFBE91F-F536-4E01-9C38-67C3D5787D5C}"/>
    <cellStyle name="쉼표 3 6" xfId="1738" xr:uid="{BA13FA6E-6D49-4BBD-9B26-F35E26D14907}"/>
    <cellStyle name="쉼표 3 6 2" xfId="4960" xr:uid="{FBA8C706-8244-4D33-A033-EDAA34F26951}"/>
    <cellStyle name="쉼표 3 7" xfId="2190" xr:uid="{97BAFCDF-430B-46CF-805C-150D6E916307}"/>
    <cellStyle name="쉼표 3 7 2" xfId="5405" xr:uid="{9C6BD2AA-1E1B-4AE0-982F-FF48B6385C12}"/>
    <cellStyle name="쉼표 3 8" xfId="2642" xr:uid="{AD6B6B4E-DDD6-45D5-8CFD-61B44894BB0F}"/>
    <cellStyle name="쉼표 3 8 2" xfId="5850" xr:uid="{93360C30-7CE6-4311-A7D1-09D4F2115A48}"/>
    <cellStyle name="쉼표 3 9" xfId="3094" xr:uid="{21CA1A56-6D09-4C29-B3C5-3A8A09BA8AE7}"/>
    <cellStyle name="쉼표 3 9 2" xfId="6295" xr:uid="{6CE74078-CC0B-463B-BF49-2A5A602B50B4}"/>
    <cellStyle name="쉼표 4" xfId="48" xr:uid="{BC925C39-1D77-49F4-A2BF-2B4C84FD20D8}"/>
    <cellStyle name="쉼표 4 10" xfId="3391" xr:uid="{5E5A8BB8-4432-45BD-9096-D52A35B17453}"/>
    <cellStyle name="쉼표 4 2" xfId="607" xr:uid="{4F6BAFDC-6365-4724-9BDF-9B9D452E32C9}"/>
    <cellStyle name="쉼표 4 2 2" xfId="1059" xr:uid="{029F8943-B9FD-4397-BF14-A6D3D653AECD}"/>
    <cellStyle name="쉼표 4 2 2 2" xfId="4293" xr:uid="{E7FE0CEB-C143-42EA-9B21-4B5F1F3A12C1}"/>
    <cellStyle name="쉼표 4 2 3" xfId="1511" xr:uid="{FA664785-61E3-4DE8-AC35-577352F72A55}"/>
    <cellStyle name="쉼표 4 2 3 2" xfId="4738" xr:uid="{CC281CA2-92A1-4E00-BD9C-A6E1668EED61}"/>
    <cellStyle name="쉼표 4 2 4" xfId="1963" xr:uid="{2425D716-83AC-420F-A474-451163BA8C02}"/>
    <cellStyle name="쉼표 4 2 4 2" xfId="5183" xr:uid="{C253636D-8DCF-4920-8D7C-A97D0F5B23E1}"/>
    <cellStyle name="쉼표 4 2 5" xfId="2415" xr:uid="{DB1192C4-A4F4-4440-8D1F-536E5D7BEE6D}"/>
    <cellStyle name="쉼표 4 2 5 2" xfId="5628" xr:uid="{D3E45EF4-68EE-4C2D-A90F-777157BAEC3A}"/>
    <cellStyle name="쉼표 4 2 6" xfId="2867" xr:uid="{D5523D70-4678-479C-86E0-1EFEB28829B3}"/>
    <cellStyle name="쉼표 4 2 6 2" xfId="6073" xr:uid="{8C74A797-D067-4006-B30B-F382254072F7}"/>
    <cellStyle name="쉼표 4 2 7" xfId="3319" xr:uid="{E6B80DFB-983E-48DE-818B-5185CFE27F22}"/>
    <cellStyle name="쉼표 4 2 7 2" xfId="6518" xr:uid="{79134DA7-CB9F-436E-870D-B7EBD217CA71}"/>
    <cellStyle name="쉼표 4 2 8" xfId="3848" xr:uid="{75EFD9E9-27BB-4CD8-961D-50BB6C81528E}"/>
    <cellStyle name="쉼표 4 3" xfId="363" xr:uid="{C3455AF5-4EDF-4353-B6BF-3B50E6C62897}"/>
    <cellStyle name="쉼표 4 3 2" xfId="3625" xr:uid="{EA8A71D5-A5DD-4B42-9086-28F5E9EDB455}"/>
    <cellStyle name="쉼표 4 4" xfId="835" xr:uid="{A8E73A36-5AB5-4C09-9958-A4340E9B3FAD}"/>
    <cellStyle name="쉼표 4 4 2" xfId="4071" xr:uid="{DAD0103A-A72C-4694-BF7A-789B7F05B2D3}"/>
    <cellStyle name="쉼표 4 5" xfId="1287" xr:uid="{41F3292D-5B13-4CB3-9FF3-C1EA2FF2344D}"/>
    <cellStyle name="쉼표 4 5 2" xfId="4516" xr:uid="{A61F8602-50CB-4C63-ABFA-4935AB63455E}"/>
    <cellStyle name="쉼표 4 6" xfId="1739" xr:uid="{86D3E496-DE94-411B-A350-079B7979D955}"/>
    <cellStyle name="쉼표 4 6 2" xfId="4961" xr:uid="{5D7B0460-44EF-4FEC-8863-209113EC4B26}"/>
    <cellStyle name="쉼표 4 7" xfId="2191" xr:uid="{E862F1FD-1564-407F-BC87-C3C09E8CFFBE}"/>
    <cellStyle name="쉼표 4 7 2" xfId="5406" xr:uid="{06AE2485-3561-446B-84A4-BA67A6EFCEAD}"/>
    <cellStyle name="쉼표 4 8" xfId="2643" xr:uid="{FA3BC974-8DC7-41DD-9046-A08AA3E54CFF}"/>
    <cellStyle name="쉼표 4 8 2" xfId="5851" xr:uid="{8F6CF727-354C-44B5-86E9-731B63456A11}"/>
    <cellStyle name="쉼표 4 9" xfId="3095" xr:uid="{83E8D170-D0BD-46EB-893B-66D8067D510F}"/>
    <cellStyle name="쉼표 4 9 2" xfId="6296" xr:uid="{B53FC418-C55A-492A-B027-746E485544C4}"/>
    <cellStyle name="쉼표 5" xfId="54" xr:uid="{CD6A0871-FE47-4A92-9BA0-7B09181F94B3}"/>
    <cellStyle name="쉼표 5 2" xfId="317" xr:uid="{6B5A784F-DEA8-4071-A6DE-C2167BD0331F}"/>
    <cellStyle name="쉼표 5 2 2" xfId="3579" xr:uid="{C5498DD8-C63D-4A39-AF70-B43924B5A1FD}"/>
    <cellStyle name="쉼표 5 3" xfId="789" xr:uid="{A872F150-A6EE-47C7-B9B1-A704652A4869}"/>
    <cellStyle name="쉼표 5 3 2" xfId="4025" xr:uid="{0FB6F83A-6D55-41CE-89FC-6114FAB8C6FA}"/>
    <cellStyle name="쉼표 5 4" xfId="1241" xr:uid="{06BF1144-2FCD-439F-853A-F0A39AECB242}"/>
    <cellStyle name="쉼표 5 4 2" xfId="4470" xr:uid="{0FA4B989-1ECE-45C5-9983-024EF78AE489}"/>
    <cellStyle name="쉼표 5 5" xfId="1693" xr:uid="{00FBE9D7-5F07-4069-BCC0-A49EA047D0E8}"/>
    <cellStyle name="쉼표 5 5 2" xfId="4915" xr:uid="{1FEE9FC7-6AA5-4657-941A-05F275B28730}"/>
    <cellStyle name="쉼표 5 6" xfId="2145" xr:uid="{6C1F3479-E591-4A82-B48A-ECF46C022662}"/>
    <cellStyle name="쉼표 5 6 2" xfId="5360" xr:uid="{5B12CBA9-837C-4433-B306-AF76C1954FA7}"/>
    <cellStyle name="쉼표 5 7" xfId="2597" xr:uid="{ECA16339-8C0B-43EE-AF5E-F6F56CD9EAAA}"/>
    <cellStyle name="쉼표 5 7 2" xfId="5805" xr:uid="{3CED89BB-86C0-4AD2-83FD-2F9E36E8F929}"/>
    <cellStyle name="쉼표 5 8" xfId="3049" xr:uid="{CAC74807-1E68-46C0-A4CF-F9D59291DE41}"/>
    <cellStyle name="쉼표 5 8 2" xfId="6250" xr:uid="{F57130EE-854C-4DD7-8CCC-475822B20D37}"/>
    <cellStyle name="쉼표 5 9" xfId="3394" xr:uid="{95C6EA9D-F8B8-4C09-863F-1031E289C945}"/>
    <cellStyle name="쉼표 6" xfId="60" xr:uid="{250FD1D1-99B9-4662-B155-72A099A5ED40}"/>
    <cellStyle name="쉼표 6 2" xfId="387" xr:uid="{AF1C1866-E255-4129-B79D-B10ACD0A6245}"/>
    <cellStyle name="쉼표 6 2 2" xfId="3628" xr:uid="{2B101276-DA2E-4946-BA65-1F255EF8A5B7}"/>
    <cellStyle name="쉼표 6 3" xfId="839" xr:uid="{DB926534-C2E5-4026-9FAE-17FF1251BEEF}"/>
    <cellStyle name="쉼표 6 3 2" xfId="4073" xr:uid="{735FE2DE-9B5B-4D6C-A95C-5E72429113C3}"/>
    <cellStyle name="쉼표 6 4" xfId="1291" xr:uid="{6182032C-7E13-4CFB-BDFA-6BE62BECEE18}"/>
    <cellStyle name="쉼표 6 4 2" xfId="4518" xr:uid="{8E461BDE-D9EB-4363-83FF-28682E075C35}"/>
    <cellStyle name="쉼표 6 5" xfId="1743" xr:uid="{6E710337-7F2C-4C70-A0A0-73553EA5581F}"/>
    <cellStyle name="쉼표 6 5 2" xfId="4963" xr:uid="{71315DC6-6A91-4D00-A800-5F609114271F}"/>
    <cellStyle name="쉼표 6 6" xfId="2195" xr:uid="{FF2A21AB-9A3C-495F-B06B-2EEBDE84EE4C}"/>
    <cellStyle name="쉼표 6 6 2" xfId="5408" xr:uid="{B73476CA-2570-43BB-89A7-E41439541EB6}"/>
    <cellStyle name="쉼표 6 7" xfId="2647" xr:uid="{49816B5C-C2AB-465C-8F5E-F9A0AFF45A00}"/>
    <cellStyle name="쉼표 6 7 2" xfId="5853" xr:uid="{21B4AF9F-0B14-4A61-AE49-42621BDA725E}"/>
    <cellStyle name="쉼표 6 8" xfId="3099" xr:uid="{7567C52A-CDC7-46CA-B7EE-3808B40AEC33}"/>
    <cellStyle name="쉼표 6 8 2" xfId="6298" xr:uid="{DE1A7135-D19E-4E9F-BBBC-270BBCC95E9A}"/>
    <cellStyle name="쉼표 6 9" xfId="3397" xr:uid="{8D55D88A-EB63-4E53-9C53-959A58C5DBC0}"/>
    <cellStyle name="쉼표 7" xfId="66" xr:uid="{F12C5241-D207-4A1A-80B8-17BB18C7B115}"/>
    <cellStyle name="쉼표 7 2" xfId="386" xr:uid="{AFBDF227-13B4-4690-99EF-F3495D872E81}"/>
    <cellStyle name="쉼표 7 2 2" xfId="3627" xr:uid="{80F8E164-24DB-48C4-B26F-731325D6F3D5}"/>
    <cellStyle name="쉼표 7 3" xfId="838" xr:uid="{9980E4BD-9E5B-4558-8342-ED237F2DDF35}"/>
    <cellStyle name="쉼표 7 3 2" xfId="4072" xr:uid="{02123907-C7E3-47A0-BD22-E17F0482C9DB}"/>
    <cellStyle name="쉼표 7 4" xfId="1290" xr:uid="{9B08E001-68A5-49C5-9184-2814EDD702D3}"/>
    <cellStyle name="쉼표 7 4 2" xfId="4517" xr:uid="{B873726B-0BBB-4D2C-9A7F-4F75C7249829}"/>
    <cellStyle name="쉼표 7 5" xfId="1742" xr:uid="{F683A0AB-2FC1-42A2-97CA-59DDC1C8E940}"/>
    <cellStyle name="쉼표 7 5 2" xfId="4962" xr:uid="{BA2DE9CF-E0FD-4C56-922D-7BC9907643E2}"/>
    <cellStyle name="쉼표 7 6" xfId="2194" xr:uid="{649B54C1-C31E-4C9A-A8F5-59C8CB99A67B}"/>
    <cellStyle name="쉼표 7 6 2" xfId="5407" xr:uid="{58768708-2A3A-4B3F-8F64-E30BADAA55E2}"/>
    <cellStyle name="쉼표 7 7" xfId="2646" xr:uid="{6DF51CA8-F6BB-44AA-A918-B4C6D9142831}"/>
    <cellStyle name="쉼표 7 7 2" xfId="5852" xr:uid="{10F354FA-9825-4E8B-8814-C80D597A27E2}"/>
    <cellStyle name="쉼표 7 8" xfId="3098" xr:uid="{C420FB35-2726-43FF-B143-3CEDF42ED167}"/>
    <cellStyle name="쉼표 7 8 2" xfId="6297" xr:uid="{F2D58D5E-28AF-4675-8636-6632D159732A}"/>
    <cellStyle name="쉼표 7 9" xfId="3400" xr:uid="{B5199E72-8CE5-47DE-B82B-28174D2B8C14}"/>
    <cellStyle name="쉼표 8" xfId="561" xr:uid="{1D1DBE02-47AD-4377-94C4-D87CB14B656C}"/>
    <cellStyle name="쉼표 8 2" xfId="1013" xr:uid="{6E2C3B8A-382E-489B-BB79-80F12F09E308}"/>
    <cellStyle name="쉼표 8 2 2" xfId="4247" xr:uid="{02A55ECC-E38C-4E2B-935F-150124BFE212}"/>
    <cellStyle name="쉼표 8 3" xfId="1465" xr:uid="{DBF6057D-E0CA-4532-9ECF-25DC33C357C9}"/>
    <cellStyle name="쉼표 8 3 2" xfId="4692" xr:uid="{BAC75C9B-BF68-4EBF-BA14-045BB59112D4}"/>
    <cellStyle name="쉼표 8 4" xfId="1917" xr:uid="{6D095AD0-4D06-4425-A5FA-174C49B58975}"/>
    <cellStyle name="쉼표 8 4 2" xfId="5137" xr:uid="{86C7B559-CFD6-4C36-8DCB-0733D59968A4}"/>
    <cellStyle name="쉼표 8 5" xfId="2369" xr:uid="{E3FC3A3D-BF43-4E69-9C6E-664B76D8D1AC}"/>
    <cellStyle name="쉼표 8 5 2" xfId="5582" xr:uid="{5B3DD2A8-F306-43CD-BDE6-030731748A63}"/>
    <cellStyle name="쉼표 8 6" xfId="2821" xr:uid="{8DD72AFB-CFEA-47F3-AB21-0F2BA91F1CA9}"/>
    <cellStyle name="쉼표 8 6 2" xfId="6027" xr:uid="{18AD6E1F-85E6-4138-B53C-5C4F9B1169D4}"/>
    <cellStyle name="쉼표 8 7" xfId="3273" xr:uid="{C68030E4-C046-468F-96E0-94ADC9A26B10}"/>
    <cellStyle name="쉼표 8 7 2" xfId="6472" xr:uid="{E2223CBC-5F12-48C7-92BE-667F2E73AB40}"/>
    <cellStyle name="쉼표 8 8" xfId="3802" xr:uid="{B1622777-D661-4D00-83EA-A8AA2863E344}"/>
    <cellStyle name="쉼표 9" xfId="72" xr:uid="{93EAD9C4-4EAF-4788-85D1-3F2ADC5406A0}"/>
    <cellStyle name="쉼표 9 2" xfId="3403" xr:uid="{CC634C9D-1A7D-4E30-BD3C-7594B258F2FB}"/>
    <cellStyle name="스타일 1" xfId="364" xr:uid="{C969066F-6E04-4E2A-AFB3-F91B0FA8BA77}"/>
    <cellStyle name="지정되지 않음" xfId="365" xr:uid="{A4D155E3-53E5-4272-8CBE-65CC71310ECB}"/>
    <cellStyle name="콤마 [0]_ 2팀층별 " xfId="366" xr:uid="{CAD65F86-9147-4EDD-9302-2BD63EF4B65E}"/>
    <cellStyle name="콤마_ 2팀층별 " xfId="367" xr:uid="{4E1B8902-A938-42F1-A0ED-3D871851C62B}"/>
    <cellStyle name="통화 [0] 10" xfId="1064" xr:uid="{61AC126D-7BF3-4FEB-BC95-9AF1C8D7F49E}"/>
    <cellStyle name="통화 [0] 11" xfId="1516" xr:uid="{1B3FC7AA-E749-4741-9643-003E571EE04D}"/>
    <cellStyle name="통화 [0] 12" xfId="1968" xr:uid="{310C4338-AC45-4DD8-8F09-A6E7F6E98E2E}"/>
    <cellStyle name="통화 [0] 13" xfId="2420" xr:uid="{DC77A905-038D-42CF-B8DE-B9B0169A787D}"/>
    <cellStyle name="통화 [0] 14" xfId="2872" xr:uid="{71FCB3DD-059B-4C02-8D24-85450A2EA881}"/>
    <cellStyle name="통화 [0] 15" xfId="3327" xr:uid="{AD775395-2EE7-498B-9B8B-16F818824427}"/>
    <cellStyle name="통화 [0] 15 2" xfId="6524" xr:uid="{9E798DEC-19C9-4111-9B5E-B0323170128D}"/>
    <cellStyle name="통화 [0] 2" xfId="38" xr:uid="{8EAF352D-30FC-40D7-A286-DA9AD4C53E53}"/>
    <cellStyle name="통화 [0] 2 2" xfId="368" xr:uid="{AF29B6D9-6E1F-4586-BDD0-B072E3AAEFF5}"/>
    <cellStyle name="통화 [0] 2 3" xfId="836" xr:uid="{CD9C02D1-4490-4A6A-A394-7FE30A2D89D1}"/>
    <cellStyle name="통화 [0] 2 4" xfId="1288" xr:uid="{E7E488E0-4B3E-47A6-B470-AFDD3D39A5D0}"/>
    <cellStyle name="통화 [0] 2 5" xfId="1740" xr:uid="{A08AF9A1-78E2-483C-86D3-69C4BB74ECE4}"/>
    <cellStyle name="통화 [0] 2 6" xfId="2192" xr:uid="{7014087D-ABFA-46F0-A37B-D000448F367C}"/>
    <cellStyle name="통화 [0] 2 7" xfId="2644" xr:uid="{692013CA-B33D-4E6F-997C-794306DDB8D1}"/>
    <cellStyle name="통화 [0] 2 8" xfId="3096" xr:uid="{A4EABB75-EFF1-46DD-8416-F1411AF31EAB}"/>
    <cellStyle name="통화 [0] 2 9" xfId="3347" xr:uid="{66599BE3-54F8-4759-8294-A64527BE041B}"/>
    <cellStyle name="통화 [0] 2 9 2" xfId="6534" xr:uid="{081A0F35-7389-483F-867E-5752B4A78463}"/>
    <cellStyle name="통화 [0] 3" xfId="44" xr:uid="{8A33F159-A34A-4620-8DFB-5A41A0E931DA}"/>
    <cellStyle name="통화 [0] 3 2" xfId="608" xr:uid="{68C89310-FA88-4D7D-BBA6-1ED3BB101617}"/>
    <cellStyle name="통화 [0] 3 3" xfId="1060" xr:uid="{C225CCBB-CFB0-4AB5-B2EF-70E6CDB6A844}"/>
    <cellStyle name="통화 [0] 3 4" xfId="1512" xr:uid="{2AAA8B38-A5C6-495E-94C4-ECE000C7590F}"/>
    <cellStyle name="통화 [0] 3 5" xfId="1964" xr:uid="{A1432957-AE4F-4407-AC64-23C708021FB6}"/>
    <cellStyle name="통화 [0] 3 6" xfId="2416" xr:uid="{F3743A54-FC40-40A0-84A4-D57B28F5C063}"/>
    <cellStyle name="통화 [0] 3 7" xfId="2868" xr:uid="{3092802C-A103-41CA-BC6E-BF388EB21C6F}"/>
    <cellStyle name="통화 [0] 3 8" xfId="3320" xr:uid="{E933D2E9-2C99-4BCE-9CF4-1AF0DBE06710}"/>
    <cellStyle name="통화 [0] 4" xfId="50" xr:uid="{EE67D19B-751A-45BE-B118-7117BB00DBAC}"/>
    <cellStyle name="통화 [0] 5" xfId="56" xr:uid="{A5DCA564-4037-423C-81CC-9B05A571B101}"/>
    <cellStyle name="통화 [0] 6" xfId="62" xr:uid="{3E0781E4-AE9A-496A-A241-A8434D746291}"/>
    <cellStyle name="통화 [0] 7" xfId="68" xr:uid="{DCFFAD6D-1A34-495A-B30A-D77EFCCEB338}"/>
    <cellStyle name="통화 [0] 8" xfId="74" xr:uid="{0309AA0C-CE35-4E41-94A4-8B945C5E2CDC}"/>
    <cellStyle name="통화 [0] 9" xfId="612" xr:uid="{A08F44C5-386C-4526-9DBD-8E3C273DBF13}"/>
    <cellStyle name="표준 10" xfId="369" xr:uid="{030864D7-F1BE-4152-B51A-92D3EDD75D7D}"/>
    <cellStyle name="표준 11" xfId="78" xr:uid="{C7B8BA24-3952-4B87-A821-F4A90DAE6F5A}"/>
    <cellStyle name="표준 12" xfId="77" xr:uid="{0584A959-BC6C-44F1-A7CD-6875C64FD530}"/>
    <cellStyle name="표준 12 2" xfId="615" xr:uid="{54ABB43B-1237-4EA8-B0CD-3B001CE57DC4}"/>
    <cellStyle name="표준 12 3" xfId="1067" xr:uid="{FB4EBCD5-D649-4CAC-BF7D-E8C0CB07DDE2}"/>
    <cellStyle name="표준 12 4" xfId="1519" xr:uid="{3D1350E3-49A0-4248-A719-FB5697264424}"/>
    <cellStyle name="표준 12 5" xfId="1971" xr:uid="{65D5F4F8-35C8-49D3-A50D-86B0A1932E69}"/>
    <cellStyle name="표준 12 6" xfId="2423" xr:uid="{EBAFBA8A-2AD1-46FE-B9E4-AEF24656F001}"/>
    <cellStyle name="표준 12 7" xfId="2875" xr:uid="{1CDAEB2F-9941-4E23-A875-39DBCD87D8FE}"/>
    <cellStyle name="표준 13" xfId="71" xr:uid="{28DC7463-9A01-486F-9409-49DD6A549E7C}"/>
    <cellStyle name="표준 14" xfId="609" xr:uid="{8C0D8F27-369D-4357-8C90-1DEB725E88A3}"/>
    <cellStyle name="표준 15" xfId="1061" xr:uid="{D47E74C1-431C-4014-A36F-8F5474A96765}"/>
    <cellStyle name="표준 16" xfId="1513" xr:uid="{739C2417-0EDA-4382-871E-9F8C77253597}"/>
    <cellStyle name="표준 17" xfId="1965" xr:uid="{E401ED0C-8E75-4CC5-B7AA-D3FFC79E2B32}"/>
    <cellStyle name="표준 18" xfId="2417" xr:uid="{C2B6249C-A7DA-4C06-96A0-264E40411B48}"/>
    <cellStyle name="표준 19" xfId="2869" xr:uid="{BBC6EB7D-84FA-4757-B85D-C5F078F79871}"/>
    <cellStyle name="표준 2" xfId="35" xr:uid="{CE308569-1301-45B5-B039-C15D95231E3A}"/>
    <cellStyle name="표준 2 10" xfId="371" xr:uid="{F583697E-31FC-48D1-B7A3-A030E93FADE5}"/>
    <cellStyle name="표준 2 11" xfId="3097" xr:uid="{2110E262-8A21-423B-9BCB-931865732A09}"/>
    <cellStyle name="표준 2 2" xfId="372" xr:uid="{F7E43E19-AE4C-4DE3-8224-0EF8D8D1ED4F}"/>
    <cellStyle name="표준 2 2 3 2" xfId="373" xr:uid="{EF1171A7-EC27-4065-89D6-0560D9CC88C6}"/>
    <cellStyle name="표준 2 2_Jongro_110623_lease-up stacking plan" xfId="374" xr:uid="{2287780C-CF8A-4153-A4B8-AAD97F47DFEB}"/>
    <cellStyle name="표준 2 3" xfId="375" xr:uid="{2ABC3314-545B-4F22-B9C6-0F3909F16900}"/>
    <cellStyle name="표준 2 4" xfId="370" xr:uid="{85C5164D-7EC7-4262-ABED-E24DC19601A7}"/>
    <cellStyle name="표준 2 5" xfId="837" xr:uid="{649B948A-BC29-4A5D-AF18-109172C2AA09}"/>
    <cellStyle name="표준 2 6" xfId="1289" xr:uid="{C4BE3E20-0592-4203-9CFE-CF093795E094}"/>
    <cellStyle name="표준 2 7" xfId="1741" xr:uid="{6E26BC63-CAB0-40D3-AF89-47283CEB6C19}"/>
    <cellStyle name="표준 2 8" xfId="2193" xr:uid="{0414FA27-0728-45DB-95A7-D1F63CC247B7}"/>
    <cellStyle name="표준 2 9" xfId="2645" xr:uid="{A6CD6C9A-F48F-49B1-B9C8-E68D31582969}"/>
    <cellStyle name="표준 2_Pantech Operating Budget_2008_071220" xfId="376" xr:uid="{D42C04EF-7F9B-446A-85B4-1392ECB223E2}"/>
    <cellStyle name="표준 3" xfId="41" xr:uid="{523E8290-A72E-40FA-A06C-E3E07073471D}"/>
    <cellStyle name="표준 3 2" xfId="378" xr:uid="{05251649-2761-4A8E-9C92-409F2B34687E}"/>
    <cellStyle name="표준 3 2 2" xfId="3365" xr:uid="{805603CE-687B-46D2-9B41-C71204C395F0}"/>
    <cellStyle name="표준 3 3" xfId="377" xr:uid="{C250DD99-885D-4199-8C9A-DBB24AE4BBD8}"/>
    <cellStyle name="표준 3 4" xfId="3328" xr:uid="{77A9223F-91F9-4564-BFA2-139A4ED9682C}"/>
    <cellStyle name="표준 4" xfId="47" xr:uid="{C942AF39-C2F9-48B6-82D7-3D59D99998D5}"/>
    <cellStyle name="표준 4 2" xfId="379" xr:uid="{2C357227-1989-4D7F-B1EC-DBB909CA6AEF}"/>
    <cellStyle name="표준 4 3" xfId="3366" xr:uid="{CCE905EC-48D3-4ACF-8748-22ACDBCD44F5}"/>
    <cellStyle name="표준 5" xfId="53" xr:uid="{F0866889-5B10-4F59-B23D-61B061ED3475}"/>
    <cellStyle name="표준 5 2" xfId="380" xr:uid="{11AC0804-09B4-4531-9885-9535A31B0C30}"/>
    <cellStyle name="표준 6" xfId="59" xr:uid="{F5CC5DAE-4CDC-4657-A1F7-B74CF117E6B5}"/>
    <cellStyle name="표준 6 2" xfId="381" xr:uid="{4F059E3D-1CAF-4109-9763-1D80D5766E24}"/>
    <cellStyle name="표준 7" xfId="65" xr:uid="{7F31AC8E-1A5B-4DDE-BBD6-8AEF8C5F1D77}"/>
    <cellStyle name="표준 7 2" xfId="382" xr:uid="{059B569A-3361-4535-AADB-430BEDB9E246}"/>
    <cellStyle name="표준 8" xfId="383" xr:uid="{11397CA6-538E-41B8-81E0-EED2336C90D6}"/>
    <cellStyle name="표준 9" xfId="384" xr:uid="{AFF584D7-81AF-4DAC-9655-EA520DEF67AF}"/>
    <cellStyle name="하이퍼링크 2" xfId="385" xr:uid="{1077DD45-94E8-4725-BE0F-D6D5D994FB9D}"/>
    <cellStyle name="一般 3" xfId="9" xr:uid="{1D2B8873-AC16-4471-A497-1B42196382C5}"/>
  </cellStyles>
  <dxfs count="28">
    <dxf>
      <font>
        <strike val="0"/>
        <outline val="0"/>
        <shadow val="0"/>
        <u val="none"/>
        <vertAlign val="baseline"/>
        <sz val="14"/>
        <color rgb="FF000000"/>
        <name val="Open Sans"/>
        <family val="2"/>
        <scheme val="none"/>
      </font>
      <alignment vertical="center" textRotation="0" indent="0" justifyLastLine="0" shrinkToFit="0" readingOrder="0"/>
    </dxf>
    <dxf>
      <font>
        <b val="0"/>
        <i val="0"/>
        <strike val="0"/>
        <condense val="0"/>
        <extend val="0"/>
        <outline val="0"/>
        <shadow val="0"/>
        <u val="none"/>
        <vertAlign val="baseline"/>
        <sz val="14"/>
        <color theme="1"/>
        <name val="Open Sans"/>
        <family val="2"/>
        <scheme val="none"/>
      </font>
      <numFmt numFmtId="3" formatCode="#,##0"/>
      <alignment vertical="center" textRotation="0" indent="0" justifyLastLine="0" shrinkToFit="0" readingOrder="0"/>
    </dxf>
    <dxf>
      <font>
        <strike val="0"/>
        <outline val="0"/>
        <shadow val="0"/>
        <u val="none"/>
        <vertAlign val="baseline"/>
        <sz val="14"/>
        <color theme="1"/>
        <name val="Open Sans"/>
        <family val="2"/>
        <scheme val="none"/>
      </font>
      <alignment horizontal="right" vertical="bottom" textRotation="0" wrapText="0" indent="0" justifyLastLine="0" shrinkToFit="0" readingOrder="0"/>
    </dxf>
    <dxf>
      <font>
        <strike val="0"/>
        <outline val="0"/>
        <shadow val="0"/>
        <u val="none"/>
        <vertAlign val="baseline"/>
        <sz val="14"/>
        <color rgb="FF000000"/>
        <name val="Open Sans"/>
        <family val="2"/>
        <scheme val="none"/>
      </font>
    </dxf>
    <dxf>
      <font>
        <strike val="0"/>
        <outline val="0"/>
        <shadow val="0"/>
        <u val="none"/>
        <vertAlign val="baseline"/>
        <sz val="14"/>
        <color theme="1"/>
        <name val="Open Sans"/>
        <family val="2"/>
        <scheme val="none"/>
      </font>
      <fill>
        <patternFill patternType="solid">
          <fgColor indexed="64"/>
          <bgColor rgb="FF25408F"/>
        </patternFill>
      </fill>
      <alignment horizontal="center" vertical="center" textRotation="0" indent="0" justifyLastLine="0" shrinkToFit="0" readingOrder="0"/>
    </dxf>
    <dxf>
      <font>
        <strike val="0"/>
        <outline val="0"/>
        <shadow val="0"/>
        <u val="none"/>
        <vertAlign val="baseline"/>
        <sz val="10"/>
        <color theme="1"/>
        <name val="Open Sans"/>
        <family val="2"/>
        <scheme val="none"/>
      </font>
    </dxf>
    <dxf>
      <font>
        <strike val="0"/>
        <outline val="0"/>
        <shadow val="0"/>
        <u val="none"/>
        <vertAlign val="baseline"/>
        <sz val="10"/>
        <color theme="1"/>
        <name val="Open Sans"/>
        <family val="2"/>
        <scheme val="none"/>
      </font>
      <numFmt numFmtId="0" formatCode="General"/>
    </dxf>
    <dxf>
      <font>
        <strike val="0"/>
        <outline val="0"/>
        <shadow val="0"/>
        <u val="none"/>
        <vertAlign val="baseline"/>
        <sz val="10"/>
        <color theme="1"/>
        <name val="Open Sans"/>
        <family val="2"/>
        <scheme val="none"/>
      </font>
      <numFmt numFmtId="166" formatCode="_-* #,##0.00_-;\-* #,##0.00_-;_-* &quot;-&quot;??_-;_-@_-"/>
      <alignment horizontal="center" textRotation="0" wrapText="0" indent="0" justifyLastLine="0" shrinkToFit="0" readingOrder="0"/>
    </dxf>
    <dxf>
      <font>
        <strike val="0"/>
        <outline val="0"/>
        <shadow val="0"/>
        <u val="none"/>
        <vertAlign val="baseline"/>
        <sz val="10"/>
        <color theme="1"/>
        <name val="Open Sans"/>
        <family val="2"/>
        <scheme val="none"/>
      </font>
      <alignment horizontal="center" textRotation="0" wrapText="0" indent="0" justifyLastLine="0" shrinkToFit="0" readingOrder="0"/>
    </dxf>
    <dxf>
      <font>
        <strike val="0"/>
        <outline val="0"/>
        <shadow val="0"/>
        <u val="none"/>
        <vertAlign val="baseline"/>
        <sz val="10"/>
        <color theme="1"/>
        <name val="Open Sans"/>
        <family val="2"/>
        <scheme val="none"/>
      </font>
    </dxf>
    <dxf>
      <font>
        <strike val="0"/>
        <outline val="0"/>
        <shadow val="0"/>
        <u val="none"/>
        <vertAlign val="baseline"/>
        <sz val="10"/>
        <color theme="1"/>
        <name val="Open Sans"/>
        <family val="2"/>
        <scheme val="none"/>
      </font>
    </dxf>
    <dxf>
      <font>
        <strike val="0"/>
        <outline val="0"/>
        <shadow val="0"/>
        <u val="none"/>
        <vertAlign val="baseline"/>
        <sz val="10"/>
        <name val="Open Sans"/>
        <family val="2"/>
        <scheme val="none"/>
      </font>
      <fill>
        <patternFill patternType="solid">
          <fgColor indexed="64"/>
          <bgColor rgb="FF25408F"/>
        </patternFill>
      </fill>
    </dxf>
    <dxf>
      <font>
        <strike val="0"/>
        <outline val="0"/>
        <shadow val="0"/>
        <u val="none"/>
        <vertAlign val="baseline"/>
        <sz val="10"/>
        <color rgb="FF00B050"/>
        <name val="Open Sans"/>
        <family val="2"/>
        <scheme val="none"/>
      </font>
    </dxf>
    <dxf>
      <font>
        <strike val="0"/>
        <outline val="0"/>
        <shadow val="0"/>
        <u val="none"/>
        <vertAlign val="baseline"/>
        <sz val="10"/>
        <color rgb="FF00B050"/>
        <name val="Open Sans"/>
        <family val="2"/>
        <scheme val="none"/>
      </font>
      <numFmt numFmtId="170" formatCode="0.0%"/>
      <alignment horizontal="center" vertical="center" textRotation="0" indent="0" justifyLastLine="0" shrinkToFit="0" readingOrder="0"/>
    </dxf>
    <dxf>
      <font>
        <strike val="0"/>
        <outline val="0"/>
        <shadow val="0"/>
        <u val="none"/>
        <vertAlign val="baseline"/>
        <color rgb="FF00B050"/>
        <name val="Open Sans"/>
        <family val="2"/>
        <scheme val="none"/>
      </font>
      <numFmt numFmtId="175" formatCode="0.0%&quot;p&quot;"/>
    </dxf>
    <dxf>
      <font>
        <strike val="0"/>
        <outline val="0"/>
        <shadow val="0"/>
        <u val="none"/>
        <vertAlign val="baseline"/>
        <color auto="1"/>
        <name val="Open Sans"/>
        <family val="2"/>
        <scheme val="none"/>
      </font>
      <numFmt numFmtId="175" formatCode="0.0%&quot;p&quot;"/>
    </dxf>
    <dxf>
      <font>
        <b val="0"/>
        <i val="0"/>
        <strike val="0"/>
        <condense val="0"/>
        <extend val="0"/>
        <outline val="0"/>
        <shadow val="0"/>
        <u val="none"/>
        <vertAlign val="baseline"/>
        <sz val="10"/>
        <color auto="1"/>
        <name val="Open Sans"/>
        <family val="2"/>
        <scheme val="none"/>
      </font>
      <numFmt numFmtId="175" formatCode="0.0%&quot;p&quot;"/>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0"/>
        <color auto="1"/>
        <name val="Open Sans"/>
        <family val="2"/>
        <scheme val="none"/>
      </font>
      <numFmt numFmtId="170" formatCode="0.0%"/>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0"/>
        <color auto="1"/>
        <name val="Open Sans"/>
        <family val="2"/>
        <scheme val="none"/>
      </font>
      <numFmt numFmtId="170" formatCode="0.0%"/>
      <fill>
        <patternFill patternType="solid">
          <fgColor indexed="64"/>
          <bgColor theme="0"/>
        </patternFill>
      </fill>
      <alignment horizontal="center" vertical="center" textRotation="0" wrapText="0" indent="0" justifyLastLine="0" shrinkToFit="0" readingOrder="0"/>
    </dxf>
    <dxf>
      <font>
        <strike val="0"/>
        <outline val="0"/>
        <shadow val="0"/>
        <u val="none"/>
        <vertAlign val="baseline"/>
        <sz val="10"/>
        <name val="Open Sans"/>
        <family val="2"/>
        <scheme val="none"/>
      </font>
      <numFmt numFmtId="170" formatCode="0.0%"/>
      <alignment horizontal="center" vertical="center" textRotation="0" indent="0" justifyLastLine="0" shrinkToFit="0" readingOrder="0"/>
    </dxf>
    <dxf>
      <font>
        <strike val="0"/>
        <outline val="0"/>
        <shadow val="0"/>
        <u val="none"/>
        <vertAlign val="baseline"/>
        <sz val="10"/>
        <name val="Open Sans"/>
        <family val="2"/>
        <scheme val="none"/>
      </font>
      <alignment horizontal="center" vertical="center" textRotation="0" indent="0" justifyLastLine="0" shrinkToFit="0" readingOrder="0"/>
    </dxf>
    <dxf>
      <font>
        <strike val="0"/>
        <outline val="0"/>
        <shadow val="0"/>
        <u val="none"/>
        <vertAlign val="baseline"/>
        <sz val="10"/>
        <name val="Open Sans"/>
        <family val="2"/>
        <scheme val="none"/>
      </font>
      <alignment horizontal="center" vertical="center" textRotation="0" indent="0" justifyLastLine="0" shrinkToFit="0" readingOrder="0"/>
    </dxf>
    <dxf>
      <font>
        <strike val="0"/>
        <outline val="0"/>
        <shadow val="0"/>
        <u val="none"/>
        <vertAlign val="baseline"/>
        <sz val="10"/>
        <name val="Open Sans"/>
        <family val="2"/>
        <scheme val="none"/>
      </font>
      <alignment horizontal="center" vertical="center" textRotation="0" indent="0" justifyLastLine="0" shrinkToFit="0" readingOrder="0"/>
    </dxf>
    <dxf>
      <font>
        <strike val="0"/>
        <outline val="0"/>
        <shadow val="0"/>
        <u val="none"/>
        <vertAlign val="baseline"/>
        <sz val="10"/>
        <name val="Open Sans"/>
        <family val="2"/>
        <scheme val="none"/>
      </font>
      <alignment horizontal="center" vertical="center" textRotation="0" indent="0" justifyLastLine="0" shrinkToFit="0" readingOrder="0"/>
    </dxf>
    <dxf>
      <font>
        <strike val="0"/>
        <outline val="0"/>
        <shadow val="0"/>
        <u val="none"/>
        <vertAlign val="baseline"/>
        <sz val="10"/>
        <name val="Open Sans"/>
        <family val="2"/>
        <scheme val="none"/>
      </font>
      <alignment horizontal="center" vertical="center" textRotation="0" indent="0" justifyLastLine="0" shrinkToFit="0" readingOrder="0"/>
    </dxf>
    <dxf>
      <font>
        <strike val="0"/>
        <outline val="0"/>
        <shadow val="0"/>
        <u val="none"/>
        <vertAlign val="baseline"/>
        <sz val="10"/>
        <name val="Open Sans"/>
        <family val="2"/>
        <scheme val="none"/>
      </font>
    </dxf>
    <dxf>
      <font>
        <strike val="0"/>
        <outline val="0"/>
        <shadow val="0"/>
        <u val="none"/>
        <vertAlign val="baseline"/>
        <sz val="10"/>
        <name val="Open Sans"/>
        <family val="2"/>
        <scheme val="none"/>
      </font>
    </dxf>
    <dxf>
      <font>
        <strike val="0"/>
        <outline val="0"/>
        <shadow val="0"/>
        <u val="none"/>
        <vertAlign val="baseline"/>
        <name val="Open Sans"/>
        <family val="2"/>
        <scheme val="none"/>
      </font>
      <fill>
        <patternFill patternType="solid">
          <fgColor indexed="64"/>
          <bgColor rgb="FF25408F"/>
        </patternFill>
      </fill>
    </dxf>
  </dxfs>
  <tableStyles count="0" defaultTableStyle="TableStyleMedium2" defaultPivotStyle="PivotStyleLight16"/>
  <colors>
    <mruColors>
      <color rgb="FF339088"/>
      <color rgb="FF25408F"/>
      <color rgb="FF9EA2A2"/>
      <color rgb="FFB7E4F4"/>
      <color rgb="FFE7E7E7"/>
      <color rgb="FF0C9ED9"/>
      <color rgb="FFFFD400"/>
      <color rgb="FFE2BC00"/>
      <color rgb="FFED1B34"/>
      <color rgb="FF59595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6.xml"/><Relationship Id="rId39" Type="http://schemas.openxmlformats.org/officeDocument/2006/relationships/externalLink" Target="externalLinks/externalLink19.xml"/><Relationship Id="rId21" Type="http://schemas.openxmlformats.org/officeDocument/2006/relationships/externalLink" Target="externalLinks/externalLink1.xml"/><Relationship Id="rId34" Type="http://schemas.openxmlformats.org/officeDocument/2006/relationships/externalLink" Target="externalLinks/externalLink14.xml"/><Relationship Id="rId42" Type="http://schemas.openxmlformats.org/officeDocument/2006/relationships/externalLink" Target="externalLinks/externalLink22.xml"/><Relationship Id="rId47" Type="http://schemas.openxmlformats.org/officeDocument/2006/relationships/sheetMetadata" Target="metadata.xml"/><Relationship Id="rId50" Type="http://schemas.openxmlformats.org/officeDocument/2006/relationships/customXml" Target="../customXml/item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9.xml"/><Relationship Id="rId11" Type="http://schemas.openxmlformats.org/officeDocument/2006/relationships/worksheet" Target="worksheets/sheet11.xml"/><Relationship Id="rId24" Type="http://schemas.openxmlformats.org/officeDocument/2006/relationships/externalLink" Target="externalLinks/externalLink4.xml"/><Relationship Id="rId32" Type="http://schemas.openxmlformats.org/officeDocument/2006/relationships/externalLink" Target="externalLinks/externalLink12.xml"/><Relationship Id="rId37" Type="http://schemas.openxmlformats.org/officeDocument/2006/relationships/externalLink" Target="externalLinks/externalLink17.xml"/><Relationship Id="rId40" Type="http://schemas.openxmlformats.org/officeDocument/2006/relationships/externalLink" Target="externalLinks/externalLink20.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3.xml"/><Relationship Id="rId28" Type="http://schemas.openxmlformats.org/officeDocument/2006/relationships/externalLink" Target="externalLinks/externalLink8.xml"/><Relationship Id="rId36" Type="http://schemas.openxmlformats.org/officeDocument/2006/relationships/externalLink" Target="externalLinks/externalLink16.xml"/><Relationship Id="rId49"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11.xml"/><Relationship Id="rId44" Type="http://schemas.openxmlformats.org/officeDocument/2006/relationships/theme" Target="theme/theme1.xml"/><Relationship Id="rId52"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2.xml"/><Relationship Id="rId27" Type="http://schemas.openxmlformats.org/officeDocument/2006/relationships/externalLink" Target="externalLinks/externalLink7.xml"/><Relationship Id="rId30" Type="http://schemas.openxmlformats.org/officeDocument/2006/relationships/externalLink" Target="externalLinks/externalLink10.xml"/><Relationship Id="rId35" Type="http://schemas.openxmlformats.org/officeDocument/2006/relationships/externalLink" Target="externalLinks/externalLink15.xml"/><Relationship Id="rId43" Type="http://schemas.openxmlformats.org/officeDocument/2006/relationships/externalLink" Target="externalLinks/externalLink23.xml"/><Relationship Id="rId48" Type="http://schemas.microsoft.com/office/2017/10/relationships/person" Target="persons/person.xml"/><Relationship Id="rId8" Type="http://schemas.openxmlformats.org/officeDocument/2006/relationships/worksheet" Target="worksheets/sheet8.xml"/><Relationship Id="rId51" Type="http://schemas.openxmlformats.org/officeDocument/2006/relationships/customXml" Target="../customXml/item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5.xml"/><Relationship Id="rId33" Type="http://schemas.openxmlformats.org/officeDocument/2006/relationships/externalLink" Target="externalLinks/externalLink13.xml"/><Relationship Id="rId38" Type="http://schemas.openxmlformats.org/officeDocument/2006/relationships/externalLink" Target="externalLinks/externalLink18.xml"/><Relationship Id="rId4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externalLink" Target="externalLinks/externalLink21.xml"/><Relationship Id="rId1" Type="http://schemas.openxmlformats.org/officeDocument/2006/relationships/worksheet" Target="worksheets/sheet1.xml"/><Relationship Id="rId6" Type="http://schemas.openxmlformats.org/officeDocument/2006/relationships/worksheet" Target="worksheets/sheet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3" Type="http://schemas.openxmlformats.org/officeDocument/2006/relationships/chartUserShapes" Target="../drawings/drawing13.xml"/><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9026500577095311E-2"/>
          <c:y val="4.09912070343725E-2"/>
          <c:w val="0.8978372113950871"/>
          <c:h val="0.64596040937962695"/>
        </c:manualLayout>
      </c:layout>
      <c:lineChart>
        <c:grouping val="standard"/>
        <c:varyColors val="0"/>
        <c:ser>
          <c:idx val="0"/>
          <c:order val="0"/>
          <c:tx>
            <c:strRef>
              <c:f>Headlines!$B$4</c:f>
              <c:strCache>
                <c:ptCount val="1"/>
                <c:pt idx="0">
                  <c:v>Real GDP Growth Rate</c:v>
                </c:pt>
              </c:strCache>
            </c:strRef>
          </c:tx>
          <c:spPr>
            <a:ln w="28575" cap="rnd">
              <a:solidFill>
                <a:srgbClr val="25408F"/>
              </a:solidFill>
              <a:round/>
            </a:ln>
            <a:effectLst/>
          </c:spPr>
          <c:marker>
            <c:symbol val="none"/>
          </c:marker>
          <c:dPt>
            <c:idx val="9"/>
            <c:marker>
              <c:symbol val="none"/>
            </c:marker>
            <c:bubble3D val="0"/>
            <c:spPr>
              <a:ln w="28575" cap="rnd">
                <a:solidFill>
                  <a:srgbClr val="25408F"/>
                </a:solidFill>
                <a:prstDash val="dash"/>
                <a:round/>
              </a:ln>
              <a:effectLst/>
            </c:spPr>
            <c:extLst>
              <c:ext xmlns:c16="http://schemas.microsoft.com/office/drawing/2014/chart" uri="{C3380CC4-5D6E-409C-BE32-E72D297353CC}">
                <c16:uniqueId val="{00000009-0AB5-4878-9597-E9D804A29532}"/>
              </c:ext>
            </c:extLst>
          </c:dPt>
          <c:dPt>
            <c:idx val="10"/>
            <c:marker>
              <c:symbol val="none"/>
            </c:marker>
            <c:bubble3D val="0"/>
            <c:spPr>
              <a:ln w="28575" cap="rnd">
                <a:solidFill>
                  <a:srgbClr val="25408F"/>
                </a:solidFill>
                <a:prstDash val="dash"/>
                <a:round/>
              </a:ln>
              <a:effectLst/>
            </c:spPr>
            <c:extLst>
              <c:ext xmlns:c16="http://schemas.microsoft.com/office/drawing/2014/chart" uri="{C3380CC4-5D6E-409C-BE32-E72D297353CC}">
                <c16:uniqueId val="{00000008-0AB5-4878-9597-E9D804A29532}"/>
              </c:ext>
            </c:extLst>
          </c:dPt>
          <c:dLbls>
            <c:dLbl>
              <c:idx val="2"/>
              <c:layout>
                <c:manualLayout>
                  <c:x val="-4.1843979244450998E-2"/>
                  <c:y val="7.094285792406439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03D-49DB-8AEF-7926A8A9A325}"/>
                </c:ext>
              </c:extLst>
            </c:dLbl>
            <c:dLbl>
              <c:idx val="3"/>
              <c:layout>
                <c:manualLayout>
                  <c:x val="-1.5284639006570675E-2"/>
                  <c:y val="0.1103415374675471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03D-49DB-8AEF-7926A8A9A325}"/>
                </c:ext>
              </c:extLst>
            </c:dLbl>
            <c:dLbl>
              <c:idx val="4"/>
              <c:layout>
                <c:manualLayout>
                  <c:x val="-3.6463148288335502E-2"/>
                  <c:y val="8.372397818233708E-2"/>
                </c:manualLayout>
              </c:layout>
              <c:showLegendKey val="0"/>
              <c:showVal val="1"/>
              <c:showCatName val="0"/>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02-546C-476D-9AA8-E156CE3B88EE}"/>
                </c:ext>
              </c:extLst>
            </c:dLbl>
            <c:dLbl>
              <c:idx val="5"/>
              <c:layout>
                <c:manualLayout>
                  <c:x val="-2.0242988115825269E-2"/>
                  <c:y val="0.11201503882747002"/>
                </c:manualLayout>
              </c:layout>
              <c:showLegendKey val="0"/>
              <c:showVal val="1"/>
              <c:showCatName val="0"/>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03-546C-476D-9AA8-E156CE3B88EE}"/>
                </c:ext>
              </c:extLst>
            </c:dLbl>
            <c:dLbl>
              <c:idx val="6"/>
              <c:layout>
                <c:manualLayout>
                  <c:x val="-7.5716636301168486E-3"/>
                  <c:y val="-0.1558567421878952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546C-476D-9AA8-E156CE3B88EE}"/>
                </c:ext>
              </c:extLst>
            </c:dLbl>
            <c:dLbl>
              <c:idx val="8"/>
              <c:layout>
                <c:manualLayout>
                  <c:x val="-1.6536904063933561E-2"/>
                  <c:y val="9.1947207229737413E-2"/>
                </c:manualLayout>
              </c:layout>
              <c:showLegendKey val="0"/>
              <c:showVal val="1"/>
              <c:showCatName val="0"/>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04-0AB5-4878-9597-E9D804A29532}"/>
                </c:ext>
              </c:extLst>
            </c:dLbl>
            <c:dLbl>
              <c:idx val="9"/>
              <c:layout>
                <c:manualLayout>
                  <c:x val="0"/>
                  <c:y val="3.995083216482386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0AB5-4878-9597-E9D804A29532}"/>
                </c:ext>
              </c:extLst>
            </c:dLbl>
            <c:numFmt formatCode="0.0%" sourceLinked="0"/>
            <c:spPr>
              <a:noFill/>
              <a:ln>
                <a:noFill/>
              </a:ln>
              <a:effectLst/>
            </c:spPr>
            <c:txPr>
              <a:bodyPr rot="0" spcFirstLastPara="1" vertOverflow="ellipsis" vert="horz" wrap="square" anchor="ctr" anchorCtr="1"/>
              <a:lstStyle/>
              <a:p>
                <a:pPr>
                  <a:defRPr sz="2000" b="0" i="0" u="none" strike="noStrike" kern="1200" baseline="0">
                    <a:solidFill>
                      <a:schemeClr val="tx1">
                        <a:lumMod val="75000"/>
                        <a:lumOff val="25000"/>
                      </a:schemeClr>
                    </a:solidFill>
                    <a:latin typeface="Arial" panose="020B0604020202020204" pitchFamily="34" charset="0"/>
                    <a:ea typeface="Open Sans" panose="020B0606030504020204" pitchFamily="34" charset="0"/>
                    <a:cs typeface="Arial" panose="020B060402020202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Headlines!$C$3:$P$3</c15:sqref>
                  </c15:fullRef>
                </c:ext>
              </c:extLst>
              <c:f>Headlines!$C$3:$O$3</c:f>
              <c:strCache>
                <c:ptCount val="11"/>
                <c:pt idx="0">
                  <c:v>2019</c:v>
                </c:pt>
                <c:pt idx="1">
                  <c:v>2020</c:v>
                </c:pt>
                <c:pt idx="2">
                  <c:v>2021</c:v>
                </c:pt>
                <c:pt idx="3">
                  <c:v>2022</c:v>
                </c:pt>
                <c:pt idx="4">
                  <c:v>2023</c:v>
                </c:pt>
                <c:pt idx="5">
                  <c:v>2024</c:v>
                </c:pt>
                <c:pt idx="6">
                  <c:v>1Q 2025</c:v>
                </c:pt>
                <c:pt idx="7">
                  <c:v>2Q 2025</c:v>
                </c:pt>
                <c:pt idx="8">
                  <c:v>3Q 2025</c:v>
                </c:pt>
                <c:pt idx="9">
                  <c:v>4Q 2025</c:v>
                </c:pt>
                <c:pt idx="10">
                  <c:v>2025 (F)</c:v>
                </c:pt>
              </c:strCache>
            </c:strRef>
          </c:cat>
          <c:val>
            <c:numRef>
              <c:extLst>
                <c:ext xmlns:c15="http://schemas.microsoft.com/office/drawing/2012/chart" uri="{02D57815-91ED-43cb-92C2-25804820EDAC}">
                  <c15:fullRef>
                    <c15:sqref>Headlines!$C$4:$P$4</c15:sqref>
                  </c15:fullRef>
                </c:ext>
              </c:extLst>
              <c:f>Headlines!$C$4:$O$4</c:f>
              <c:numCache>
                <c:formatCode>0.0%</c:formatCode>
                <c:ptCount val="11"/>
                <c:pt idx="0">
                  <c:v>2.1999999999999999E-2</c:v>
                </c:pt>
                <c:pt idx="1">
                  <c:v>-7.0000000000000001E-3</c:v>
                </c:pt>
                <c:pt idx="2">
                  <c:v>4.1000000000000002E-2</c:v>
                </c:pt>
                <c:pt idx="3">
                  <c:v>2.5999999999999999E-2</c:v>
                </c:pt>
                <c:pt idx="4">
                  <c:v>1.4E-2</c:v>
                </c:pt>
                <c:pt idx="5">
                  <c:v>0.02</c:v>
                </c:pt>
                <c:pt idx="6">
                  <c:v>-1E-3</c:v>
                </c:pt>
                <c:pt idx="7">
                  <c:v>3.0000000000000001E-3</c:v>
                </c:pt>
                <c:pt idx="8">
                  <c:v>1.2999999999999999E-2</c:v>
                </c:pt>
                <c:pt idx="9">
                  <c:v>1.4999999999999999E-2</c:v>
                </c:pt>
                <c:pt idx="10">
                  <c:v>8.9999999999999993E-3</c:v>
                </c:pt>
              </c:numCache>
            </c:numRef>
          </c:val>
          <c:smooth val="0"/>
          <c:extLst>
            <c:ext xmlns:c16="http://schemas.microsoft.com/office/drawing/2014/chart" uri="{C3380CC4-5D6E-409C-BE32-E72D297353CC}">
              <c16:uniqueId val="{00000005-546C-476D-9AA8-E156CE3B88EE}"/>
            </c:ext>
          </c:extLst>
        </c:ser>
        <c:ser>
          <c:idx val="2"/>
          <c:order val="1"/>
          <c:tx>
            <c:strRef>
              <c:f>Headlines!$B$8</c:f>
              <c:strCache>
                <c:ptCount val="1"/>
                <c:pt idx="0">
                  <c:v>Unemployment Rate</c:v>
                </c:pt>
              </c:strCache>
            </c:strRef>
          </c:tx>
          <c:spPr>
            <a:ln w="28575" cap="rnd">
              <a:solidFill>
                <a:srgbClr val="0C9ED9"/>
              </a:solidFill>
              <a:round/>
            </a:ln>
            <a:effectLst/>
          </c:spPr>
          <c:marker>
            <c:symbol val="none"/>
          </c:marker>
          <c:dPt>
            <c:idx val="9"/>
            <c:marker>
              <c:symbol val="none"/>
            </c:marker>
            <c:bubble3D val="0"/>
            <c:spPr>
              <a:ln w="28575" cap="rnd">
                <a:solidFill>
                  <a:srgbClr val="0C9ED9"/>
                </a:solidFill>
                <a:prstDash val="dash"/>
                <a:round/>
              </a:ln>
              <a:effectLst/>
            </c:spPr>
            <c:extLst>
              <c:ext xmlns:c16="http://schemas.microsoft.com/office/drawing/2014/chart" uri="{C3380CC4-5D6E-409C-BE32-E72D297353CC}">
                <c16:uniqueId val="{0000000B-0AB5-4878-9597-E9D804A29532}"/>
              </c:ext>
            </c:extLst>
          </c:dPt>
          <c:dPt>
            <c:idx val="10"/>
            <c:marker>
              <c:symbol val="none"/>
            </c:marker>
            <c:bubble3D val="0"/>
            <c:spPr>
              <a:ln w="28575" cap="rnd">
                <a:solidFill>
                  <a:srgbClr val="0C9ED9"/>
                </a:solidFill>
                <a:prstDash val="dash"/>
                <a:round/>
              </a:ln>
              <a:effectLst/>
            </c:spPr>
            <c:extLst>
              <c:ext xmlns:c16="http://schemas.microsoft.com/office/drawing/2014/chart" uri="{C3380CC4-5D6E-409C-BE32-E72D297353CC}">
                <c16:uniqueId val="{0000000A-0AB5-4878-9597-E9D804A29532}"/>
              </c:ext>
            </c:extLst>
          </c:dPt>
          <c:dLbls>
            <c:dLbl>
              <c:idx val="0"/>
              <c:layout>
                <c:manualLayout>
                  <c:x val="-2.8149188631037724E-2"/>
                  <c:y val="8.633093525179859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112A-47CE-BCBB-D4E03FD1027A}"/>
                </c:ext>
              </c:extLst>
            </c:dLbl>
            <c:dLbl>
              <c:idx val="1"/>
              <c:layout>
                <c:manualLayout>
                  <c:x val="-3.4804439201903875E-2"/>
                  <c:y val="-0.15301106140950374"/>
                </c:manualLayout>
              </c:layout>
              <c:showLegendKey val="0"/>
              <c:showVal val="1"/>
              <c:showCatName val="0"/>
              <c:showSerName val="0"/>
              <c:showPercent val="0"/>
              <c:showBubbleSize val="0"/>
              <c:extLst>
                <c:ext xmlns:c15="http://schemas.microsoft.com/office/drawing/2012/chart" uri="{CE6537A1-D6FC-4f65-9D91-7224C49458BB}">
                  <c15:layout>
                    <c:manualLayout>
                      <c:w val="9.7021718983676453E-2"/>
                      <c:h val="0.11139802527724883"/>
                    </c:manualLayout>
                  </c15:layout>
                </c:ext>
                <c:ext xmlns:c16="http://schemas.microsoft.com/office/drawing/2014/chart" uri="{C3380CC4-5D6E-409C-BE32-E72D297353CC}">
                  <c16:uniqueId val="{00000009-112A-47CE-BCBB-D4E03FD1027A}"/>
                </c:ext>
              </c:extLst>
            </c:dLbl>
            <c:dLbl>
              <c:idx val="2"/>
              <c:layout>
                <c:manualLayout>
                  <c:x val="6.6029936810340266E-3"/>
                  <c:y val="-0.1203843878229653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546C-476D-9AA8-E156CE3B88EE}"/>
                </c:ext>
              </c:extLst>
            </c:dLbl>
            <c:dLbl>
              <c:idx val="3"/>
              <c:layout>
                <c:manualLayout>
                  <c:x val="-5.4587996452038125E-3"/>
                  <c:y val="-0.103654171560423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546C-476D-9AA8-E156CE3B88EE}"/>
                </c:ext>
              </c:extLst>
            </c:dLbl>
            <c:dLbl>
              <c:idx val="4"/>
              <c:layout>
                <c:manualLayout>
                  <c:x val="-2.8758675837908712E-2"/>
                  <c:y val="-0.10295463096139838"/>
                </c:manualLayout>
              </c:layout>
              <c:showLegendKey val="0"/>
              <c:showVal val="1"/>
              <c:showCatName val="0"/>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0A-546C-476D-9AA8-E156CE3B88EE}"/>
                </c:ext>
              </c:extLst>
            </c:dLbl>
            <c:dLbl>
              <c:idx val="5"/>
              <c:layout>
                <c:manualLayout>
                  <c:x val="-9.4467277873851781E-3"/>
                  <c:y val="-0.10454736957230541"/>
                </c:manualLayout>
              </c:layout>
              <c:showLegendKey val="0"/>
              <c:showVal val="1"/>
              <c:showCatName val="0"/>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0B-546C-476D-9AA8-E156CE3B88EE}"/>
                </c:ext>
              </c:extLst>
            </c:dLbl>
            <c:dLbl>
              <c:idx val="6"/>
              <c:layout>
                <c:manualLayout>
                  <c:x val="-7.9762686296591546E-3"/>
                  <c:y val="-0.1709093710135067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546C-476D-9AA8-E156CE3B88EE}"/>
                </c:ext>
              </c:extLst>
            </c:dLbl>
            <c:dLbl>
              <c:idx val="8"/>
              <c:layout>
                <c:manualLayout>
                  <c:x val="-1.8893455574770159E-2"/>
                  <c:y val="-0.11201503882747009"/>
                </c:manualLayout>
              </c:layout>
              <c:showLegendKey val="0"/>
              <c:showVal val="1"/>
              <c:showCatName val="0"/>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06-0AB5-4878-9597-E9D804A29532}"/>
                </c:ext>
              </c:extLst>
            </c:dLbl>
            <c:numFmt formatCode="0.0%" sourceLinked="0"/>
            <c:spPr>
              <a:noFill/>
              <a:ln>
                <a:noFill/>
              </a:ln>
              <a:effectLst/>
            </c:spPr>
            <c:txPr>
              <a:bodyPr rot="0" spcFirstLastPara="1" vertOverflow="ellipsis" vert="horz" wrap="square" anchor="ctr" anchorCtr="1"/>
              <a:lstStyle/>
              <a:p>
                <a:pPr>
                  <a:defRPr sz="2000" b="0" i="0" u="none" strike="noStrike" kern="1200" baseline="0">
                    <a:solidFill>
                      <a:schemeClr val="tx1">
                        <a:lumMod val="75000"/>
                        <a:lumOff val="25000"/>
                      </a:schemeClr>
                    </a:solidFill>
                    <a:latin typeface="Arial" panose="020B0604020202020204" pitchFamily="34" charset="0"/>
                    <a:ea typeface="Open Sans" panose="020B0606030504020204" pitchFamily="34" charset="0"/>
                    <a:cs typeface="Arial" panose="020B060402020202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Headlines!$C$3:$P$3</c15:sqref>
                  </c15:fullRef>
                </c:ext>
              </c:extLst>
              <c:f>Headlines!$C$3:$O$3</c:f>
              <c:strCache>
                <c:ptCount val="11"/>
                <c:pt idx="0">
                  <c:v>2019</c:v>
                </c:pt>
                <c:pt idx="1">
                  <c:v>2020</c:v>
                </c:pt>
                <c:pt idx="2">
                  <c:v>2021</c:v>
                </c:pt>
                <c:pt idx="3">
                  <c:v>2022</c:v>
                </c:pt>
                <c:pt idx="4">
                  <c:v>2023</c:v>
                </c:pt>
                <c:pt idx="5">
                  <c:v>2024</c:v>
                </c:pt>
                <c:pt idx="6">
                  <c:v>1Q 2025</c:v>
                </c:pt>
                <c:pt idx="7">
                  <c:v>2Q 2025</c:v>
                </c:pt>
                <c:pt idx="8">
                  <c:v>3Q 2025</c:v>
                </c:pt>
                <c:pt idx="9">
                  <c:v>4Q 2025</c:v>
                </c:pt>
                <c:pt idx="10">
                  <c:v>2025 (F)</c:v>
                </c:pt>
              </c:strCache>
            </c:strRef>
          </c:cat>
          <c:val>
            <c:numRef>
              <c:extLst>
                <c:ext xmlns:c15="http://schemas.microsoft.com/office/drawing/2012/chart" uri="{02D57815-91ED-43cb-92C2-25804820EDAC}">
                  <c15:fullRef>
                    <c15:sqref>Headlines!$C$8:$P$8</c15:sqref>
                  </c15:fullRef>
                </c:ext>
              </c:extLst>
              <c:f>Headlines!$C$8:$O$8</c:f>
              <c:numCache>
                <c:formatCode>0.0%</c:formatCode>
                <c:ptCount val="11"/>
                <c:pt idx="0">
                  <c:v>3.7999999999999999E-2</c:v>
                </c:pt>
                <c:pt idx="1">
                  <c:v>0.04</c:v>
                </c:pt>
                <c:pt idx="2">
                  <c:v>3.6999999999999998E-2</c:v>
                </c:pt>
                <c:pt idx="3">
                  <c:v>2.9000000000000001E-2</c:v>
                </c:pt>
                <c:pt idx="4">
                  <c:v>2.7E-2</c:v>
                </c:pt>
                <c:pt idx="5">
                  <c:v>2.8000000000000001E-2</c:v>
                </c:pt>
                <c:pt idx="6">
                  <c:v>3.4000000000000002E-2</c:v>
                </c:pt>
                <c:pt idx="7">
                  <c:v>3.3000000000000002E-2</c:v>
                </c:pt>
                <c:pt idx="8">
                  <c:v>2.5000000000000001E-2</c:v>
                </c:pt>
                <c:pt idx="9">
                  <c:v>2.5000000000000001E-2</c:v>
                </c:pt>
                <c:pt idx="10">
                  <c:v>2.8000000000000001E-2</c:v>
                </c:pt>
              </c:numCache>
            </c:numRef>
          </c:val>
          <c:smooth val="0"/>
          <c:extLst>
            <c:ext xmlns:c16="http://schemas.microsoft.com/office/drawing/2014/chart" uri="{C3380CC4-5D6E-409C-BE32-E72D297353CC}">
              <c16:uniqueId val="{0000000D-546C-476D-9AA8-E156CE3B88EE}"/>
            </c:ext>
          </c:extLst>
        </c:ser>
        <c:dLbls>
          <c:showLegendKey val="0"/>
          <c:showVal val="0"/>
          <c:showCatName val="0"/>
          <c:showSerName val="0"/>
          <c:showPercent val="0"/>
          <c:showBubbleSize val="0"/>
        </c:dLbls>
        <c:smooth val="0"/>
        <c:axId val="518030216"/>
        <c:axId val="518029888"/>
      </c:lineChart>
      <c:catAx>
        <c:axId val="518030216"/>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800" b="0" i="0" u="none" strike="noStrike" kern="1200" baseline="0">
                <a:solidFill>
                  <a:schemeClr val="tx1">
                    <a:lumMod val="65000"/>
                    <a:lumOff val="35000"/>
                  </a:schemeClr>
                </a:solidFill>
                <a:latin typeface="Arial" panose="020B0604020202020204" pitchFamily="34" charset="0"/>
                <a:ea typeface="Open Sans" panose="020B0606030504020204" pitchFamily="34" charset="0"/>
                <a:cs typeface="Arial" panose="020B0604020202020204" pitchFamily="34" charset="0"/>
              </a:defRPr>
            </a:pPr>
            <a:endParaRPr lang="en-US"/>
          </a:p>
        </c:txPr>
        <c:crossAx val="518029888"/>
        <c:crosses val="autoZero"/>
        <c:auto val="1"/>
        <c:lblAlgn val="ctr"/>
        <c:lblOffset val="100"/>
        <c:noMultiLvlLbl val="0"/>
      </c:catAx>
      <c:valAx>
        <c:axId val="518029888"/>
        <c:scaling>
          <c:orientation val="minMax"/>
        </c:scaling>
        <c:delete val="0"/>
        <c:axPos val="l"/>
        <c:numFmt formatCode="0.0%" sourceLinked="0"/>
        <c:majorTickMark val="out"/>
        <c:minorTickMark val="none"/>
        <c:tickLblPos val="nextTo"/>
        <c:spPr>
          <a:noFill/>
          <a:ln>
            <a:solidFill>
              <a:schemeClr val="bg1">
                <a:lumMod val="85000"/>
              </a:schemeClr>
            </a:solidFill>
          </a:ln>
          <a:effectLst/>
        </c:spPr>
        <c:txPr>
          <a:bodyPr rot="-60000000" spcFirstLastPara="1" vertOverflow="ellipsis" vert="horz" wrap="square" anchor="ctr" anchorCtr="1"/>
          <a:lstStyle/>
          <a:p>
            <a:pPr>
              <a:defRPr sz="2000" b="0" i="0" u="none" strike="noStrike" kern="1200" baseline="0">
                <a:solidFill>
                  <a:schemeClr val="tx1">
                    <a:lumMod val="65000"/>
                    <a:lumOff val="35000"/>
                  </a:schemeClr>
                </a:solidFill>
                <a:latin typeface="Arial" panose="020B0604020202020204" pitchFamily="34" charset="0"/>
                <a:ea typeface="Open Sans" panose="020B0606030504020204" pitchFamily="34" charset="0"/>
                <a:cs typeface="Arial" panose="020B0604020202020204" pitchFamily="34" charset="0"/>
              </a:defRPr>
            </a:pPr>
            <a:endParaRPr lang="en-US"/>
          </a:p>
        </c:txPr>
        <c:crossAx val="518030216"/>
        <c:crosses val="autoZero"/>
        <c:crossBetween val="between"/>
      </c:valAx>
      <c:spPr>
        <a:noFill/>
        <a:ln>
          <a:noFill/>
        </a:ln>
        <a:effectLst/>
      </c:spPr>
    </c:plotArea>
    <c:legend>
      <c:legendPos val="b"/>
      <c:layout>
        <c:manualLayout>
          <c:xMode val="edge"/>
          <c:yMode val="edge"/>
          <c:x val="0.1225489732388781"/>
          <c:y val="0.90012080572035225"/>
          <c:w val="0.74965452192907323"/>
          <c:h val="6.8309950209170453E-2"/>
        </c:manualLayout>
      </c:layout>
      <c:overlay val="0"/>
      <c:spPr>
        <a:noFill/>
        <a:ln>
          <a:noFill/>
        </a:ln>
        <a:effectLst/>
      </c:spPr>
      <c:txPr>
        <a:bodyPr rot="0" spcFirstLastPara="1" vertOverflow="ellipsis" vert="horz" wrap="square" anchor="ctr" anchorCtr="1"/>
        <a:lstStyle/>
        <a:p>
          <a:pPr>
            <a:defRPr sz="2000" b="0" i="0" u="none" strike="noStrike" kern="1200" baseline="0">
              <a:solidFill>
                <a:schemeClr val="tx1">
                  <a:lumMod val="65000"/>
                  <a:lumOff val="35000"/>
                </a:schemeClr>
              </a:solidFill>
              <a:latin typeface="Arial" panose="020B0604020202020204" pitchFamily="34" charset="0"/>
              <a:ea typeface="Open Sans" panose="020B0606030504020204" pitchFamily="34" charset="0"/>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lumMod val="85000"/>
        </a:schemeClr>
      </a:solidFill>
      <a:round/>
    </a:ln>
    <a:effectLst/>
  </c:spPr>
  <c:txPr>
    <a:bodyPr/>
    <a:lstStyle/>
    <a:p>
      <a:pPr>
        <a:defRPr sz="2000">
          <a:latin typeface="Arial" panose="020B0604020202020204" pitchFamily="34" charset="0"/>
          <a:ea typeface="Open Sans" panose="020B0606030504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400" b="0" i="0" u="none" strike="noStrike" kern="1200" spc="0" baseline="0">
                <a:solidFill>
                  <a:schemeClr val="tx1">
                    <a:lumMod val="65000"/>
                    <a:lumOff val="35000"/>
                  </a:schemeClr>
                </a:solidFill>
                <a:latin typeface="Arial" panose="020B0604020202020204" pitchFamily="34" charset="0"/>
                <a:ea typeface="Open Sans" panose="020B0606030504020204" pitchFamily="34" charset="0"/>
                <a:cs typeface="Arial" panose="020B0604020202020204" pitchFamily="34" charset="0"/>
              </a:defRPr>
            </a:pPr>
            <a:r>
              <a:rPr lang="en-HK">
                <a:solidFill>
                  <a:sysClr val="windowText" lastClr="000000"/>
                </a:solidFill>
              </a:rPr>
              <a:t>2025 (July YTD) YoY Visitor Arrivals to Seoul increased by 15.9% </a:t>
            </a:r>
          </a:p>
        </c:rich>
      </c:tx>
      <c:layout>
        <c:manualLayout>
          <c:xMode val="edge"/>
          <c:yMode val="edge"/>
          <c:x val="0.16430928176186188"/>
          <c:y val="8.8984605079432781E-3"/>
        </c:manualLayout>
      </c:layout>
      <c:overlay val="0"/>
      <c:spPr>
        <a:noFill/>
        <a:ln>
          <a:noFill/>
        </a:ln>
        <a:effectLst/>
      </c:spPr>
      <c:txPr>
        <a:bodyPr rot="0" spcFirstLastPara="1" vertOverflow="ellipsis" vert="horz" wrap="square" anchor="ctr" anchorCtr="1"/>
        <a:lstStyle/>
        <a:p>
          <a:pPr>
            <a:defRPr sz="2400" b="0" i="0" u="none" strike="noStrike" kern="1200" spc="0" baseline="0">
              <a:solidFill>
                <a:schemeClr val="tx1">
                  <a:lumMod val="65000"/>
                  <a:lumOff val="35000"/>
                </a:schemeClr>
              </a:solidFill>
              <a:latin typeface="Arial" panose="020B0604020202020204" pitchFamily="34" charset="0"/>
              <a:ea typeface="Open Sans" panose="020B0606030504020204" pitchFamily="34" charset="0"/>
              <a:cs typeface="Arial" panose="020B0604020202020204" pitchFamily="34" charset="0"/>
            </a:defRPr>
          </a:pPr>
          <a:endParaRPr lang="en-US"/>
        </a:p>
      </c:txPr>
    </c:title>
    <c:autoTitleDeleted val="0"/>
    <c:plotArea>
      <c:layout/>
      <c:barChart>
        <c:barDir val="col"/>
        <c:grouping val="stacked"/>
        <c:varyColors val="0"/>
        <c:ser>
          <c:idx val="0"/>
          <c:order val="0"/>
          <c:tx>
            <c:strRef>
              <c:f>'Visitor Arrivals'!$B$5</c:f>
              <c:strCache>
                <c:ptCount val="1"/>
                <c:pt idx="0">
                  <c:v>Total visitor</c:v>
                </c:pt>
              </c:strCache>
            </c:strRef>
          </c:tx>
          <c:spPr>
            <a:solidFill>
              <a:srgbClr val="25408F"/>
            </a:solidFill>
            <a:ln>
              <a:noFill/>
            </a:ln>
            <a:effectLst/>
          </c:spPr>
          <c:invertIfNegative val="0"/>
          <c:cat>
            <c:strRef>
              <c:f>'Visitor Arrivals'!$A$17:$A$23</c:f>
              <c:strCache>
                <c:ptCount val="7"/>
                <c:pt idx="0">
                  <c:v>2019</c:v>
                </c:pt>
                <c:pt idx="1">
                  <c:v>2020</c:v>
                </c:pt>
                <c:pt idx="2">
                  <c:v>2021</c:v>
                </c:pt>
                <c:pt idx="3">
                  <c:v>2022</c:v>
                </c:pt>
                <c:pt idx="4">
                  <c:v>2023</c:v>
                </c:pt>
                <c:pt idx="5">
                  <c:v>2024</c:v>
                </c:pt>
                <c:pt idx="6">
                  <c:v>2025 (Oct)</c:v>
                </c:pt>
              </c:strCache>
              <c:extLst/>
            </c:strRef>
          </c:cat>
          <c:val>
            <c:numRef>
              <c:f>'Visitor Arrivals'!$B$17:$B$23</c:f>
              <c:numCache>
                <c:formatCode>#,##0</c:formatCode>
                <c:ptCount val="7"/>
                <c:pt idx="0">
                  <c:v>17502.756000000001</c:v>
                </c:pt>
                <c:pt idx="1">
                  <c:v>2519.1179999999999</c:v>
                </c:pt>
                <c:pt idx="2">
                  <c:v>967.00300000000004</c:v>
                </c:pt>
                <c:pt idx="3">
                  <c:v>3198.0169999999998</c:v>
                </c:pt>
                <c:pt idx="4">
                  <c:v>11031.665000000001</c:v>
                </c:pt>
                <c:pt idx="5">
                  <c:v>16369.609</c:v>
                </c:pt>
                <c:pt idx="6">
                  <c:v>15821.331</c:v>
                </c:pt>
              </c:numCache>
              <c:extLst/>
            </c:numRef>
          </c:val>
          <c:extLst>
            <c:ext xmlns:c16="http://schemas.microsoft.com/office/drawing/2014/chart" uri="{C3380CC4-5D6E-409C-BE32-E72D297353CC}">
              <c16:uniqueId val="{00000000-9D39-45AC-BC00-F1F226C793C3}"/>
            </c:ext>
          </c:extLst>
        </c:ser>
        <c:dLbls>
          <c:showLegendKey val="0"/>
          <c:showVal val="0"/>
          <c:showCatName val="0"/>
          <c:showSerName val="0"/>
          <c:showPercent val="0"/>
          <c:showBubbleSize val="0"/>
        </c:dLbls>
        <c:gapWidth val="150"/>
        <c:overlap val="100"/>
        <c:axId val="881674896"/>
        <c:axId val="881824344"/>
        <c:extLst>
          <c:ext xmlns:c15="http://schemas.microsoft.com/office/drawing/2012/chart" uri="{02D57815-91ED-43cb-92C2-25804820EDAC}">
            <c15:filteredBarSeries>
              <c15:ser>
                <c:idx val="1"/>
                <c:order val="1"/>
                <c:tx>
                  <c:strRef>
                    <c:extLst>
                      <c:ext uri="{02D57815-91ED-43cb-92C2-25804820EDAC}">
                        <c15:formulaRef>
                          <c15:sqref>'[1]ML vs Other Visitor Arrivals'!#REF!</c15:sqref>
                        </c15:formulaRef>
                      </c:ext>
                    </c:extLst>
                    <c:strCache>
                      <c:ptCount val="1"/>
                      <c:pt idx="0">
                        <c:v>#REF!</c:v>
                      </c:pt>
                    </c:strCache>
                  </c:strRef>
                </c:tx>
                <c:spPr>
                  <a:solidFill>
                    <a:schemeClr val="accent2"/>
                  </a:solidFill>
                  <a:ln>
                    <a:noFill/>
                  </a:ln>
                  <a:effectLst/>
                </c:spPr>
                <c:invertIfNegative val="0"/>
                <c:cat>
                  <c:strRef>
                    <c:extLst>
                      <c:ext uri="{02D57815-91ED-43cb-92C2-25804820EDAC}">
                        <c15:formulaRef>
                          <c15:sqref>'Visitor Arrivals'!$A$17:$A$23</c15:sqref>
                        </c15:formulaRef>
                      </c:ext>
                    </c:extLst>
                    <c:strCache>
                      <c:ptCount val="7"/>
                      <c:pt idx="0">
                        <c:v>2019</c:v>
                      </c:pt>
                      <c:pt idx="1">
                        <c:v>2020</c:v>
                      </c:pt>
                      <c:pt idx="2">
                        <c:v>2021</c:v>
                      </c:pt>
                      <c:pt idx="3">
                        <c:v>2022</c:v>
                      </c:pt>
                      <c:pt idx="4">
                        <c:v>2023</c:v>
                      </c:pt>
                      <c:pt idx="5">
                        <c:v>2024</c:v>
                      </c:pt>
                      <c:pt idx="6">
                        <c:v>2025 (Oct)</c:v>
                      </c:pt>
                    </c:strCache>
                  </c:strRef>
                </c:cat>
                <c:val>
                  <c:numRef>
                    <c:extLst>
                      <c:ext uri="{02D57815-91ED-43cb-92C2-25804820EDAC}">
                        <c15:formulaRef>
                          <c15:sqref>'[1]ML vs Other Visitor Arrivals'!#REF!</c15:sqref>
                        </c15:formulaRef>
                      </c:ext>
                    </c:extLst>
                    <c:numCache>
                      <c:formatCode>General</c:formatCode>
                      <c:ptCount val="1"/>
                      <c:pt idx="0">
                        <c:v>1</c:v>
                      </c:pt>
                    </c:numCache>
                  </c:numRef>
                </c:val>
                <c:extLst>
                  <c:ext xmlns:c16="http://schemas.microsoft.com/office/drawing/2014/chart" uri="{C3380CC4-5D6E-409C-BE32-E72D297353CC}">
                    <c16:uniqueId val="{00000001-9D39-45AC-BC00-F1F226C793C3}"/>
                  </c:ext>
                </c:extLst>
              </c15:ser>
            </c15:filteredBarSeries>
            <c15:filteredBarSeries>
              <c15:ser>
                <c:idx val="4"/>
                <c:order val="4"/>
                <c:tx>
                  <c:strRef>
                    <c:extLst xmlns:c15="http://schemas.microsoft.com/office/drawing/2012/chart">
                      <c:ext xmlns:c15="http://schemas.microsoft.com/office/drawing/2012/chart" uri="{02D57815-91ED-43cb-92C2-25804820EDAC}">
                        <c15:formulaRef>
                          <c15:sqref>'[1]ML vs Other Visitor Arrivals'!#REF!</c15:sqref>
                        </c15:formulaRef>
                      </c:ext>
                    </c:extLst>
                    <c:strCache>
                      <c:ptCount val="1"/>
                      <c:pt idx="0">
                        <c:v>#REF!</c:v>
                      </c:pt>
                    </c:strCache>
                  </c:strRef>
                </c:tx>
                <c:spPr>
                  <a:solidFill>
                    <a:schemeClr val="accent5"/>
                  </a:solidFill>
                  <a:ln>
                    <a:noFill/>
                  </a:ln>
                  <a:effectLst/>
                </c:spPr>
                <c:invertIfNegative val="0"/>
                <c:cat>
                  <c:strRef>
                    <c:extLst xmlns:c15="http://schemas.microsoft.com/office/drawing/2012/chart">
                      <c:ext xmlns:c15="http://schemas.microsoft.com/office/drawing/2012/chart" uri="{02D57815-91ED-43cb-92C2-25804820EDAC}">
                        <c15:formulaRef>
                          <c15:sqref>'Visitor Arrivals'!$A$17:$A$23</c15:sqref>
                        </c15:formulaRef>
                      </c:ext>
                    </c:extLst>
                    <c:strCache>
                      <c:ptCount val="7"/>
                      <c:pt idx="0">
                        <c:v>2019</c:v>
                      </c:pt>
                      <c:pt idx="1">
                        <c:v>2020</c:v>
                      </c:pt>
                      <c:pt idx="2">
                        <c:v>2021</c:v>
                      </c:pt>
                      <c:pt idx="3">
                        <c:v>2022</c:v>
                      </c:pt>
                      <c:pt idx="4">
                        <c:v>2023</c:v>
                      </c:pt>
                      <c:pt idx="5">
                        <c:v>2024</c:v>
                      </c:pt>
                      <c:pt idx="6">
                        <c:v>2025 (Oct)</c:v>
                      </c:pt>
                    </c:strCache>
                  </c:strRef>
                </c:cat>
                <c:val>
                  <c:numRef>
                    <c:extLst xmlns:c15="http://schemas.microsoft.com/office/drawing/2012/chart">
                      <c:ext xmlns:c15="http://schemas.microsoft.com/office/drawing/2012/chart" uri="{02D57815-91ED-43cb-92C2-25804820EDAC}">
                        <c15:formulaRef>
                          <c15:sqref>'[1]ML vs Other Visitor Arrivals'!#REF!</c15:sqref>
                        </c15:formulaRef>
                      </c:ext>
                    </c:extLst>
                    <c:numCache>
                      <c:formatCode>General</c:formatCode>
                      <c:ptCount val="1"/>
                      <c:pt idx="0">
                        <c:v>1</c:v>
                      </c:pt>
                    </c:numCache>
                  </c:numRef>
                </c:val>
                <c:extLst xmlns:c15="http://schemas.microsoft.com/office/drawing/2012/chart">
                  <c:ext xmlns:c16="http://schemas.microsoft.com/office/drawing/2014/chart" uri="{C3380CC4-5D6E-409C-BE32-E72D297353CC}">
                    <c16:uniqueId val="{0000000C-9D39-45AC-BC00-F1F226C793C3}"/>
                  </c:ext>
                </c:extLst>
              </c15:ser>
            </c15:filteredBarSeries>
          </c:ext>
        </c:extLst>
      </c:barChart>
      <c:lineChart>
        <c:grouping val="standard"/>
        <c:varyColors val="0"/>
        <c:dLbls>
          <c:showLegendKey val="0"/>
          <c:showVal val="0"/>
          <c:showCatName val="0"/>
          <c:showSerName val="0"/>
          <c:showPercent val="0"/>
          <c:showBubbleSize val="0"/>
        </c:dLbls>
        <c:marker val="1"/>
        <c:smooth val="0"/>
        <c:axId val="881674896"/>
        <c:axId val="881824344"/>
        <c:extLst>
          <c:ext xmlns:c15="http://schemas.microsoft.com/office/drawing/2012/chart" uri="{02D57815-91ED-43cb-92C2-25804820EDAC}">
            <c15:filteredLineSeries>
              <c15:ser>
                <c:idx val="3"/>
                <c:order val="3"/>
                <c:tx>
                  <c:strRef>
                    <c:extLst>
                      <c:ext uri="{02D57815-91ED-43cb-92C2-25804820EDAC}">
                        <c15:formulaRef>
                          <c15:sqref> </c15:sqref>
                        </c15:formulaRef>
                      </c:ext>
                    </c:extLst>
                  </c:strRef>
                </c:tx>
                <c:spPr>
                  <a:ln w="28575" cap="rnd">
                    <a:solidFill>
                      <a:schemeClr val="accent4"/>
                    </a:solidFill>
                    <a:round/>
                  </a:ln>
                  <a:effectLst/>
                </c:spPr>
                <c:marker>
                  <c:symbol val="none"/>
                </c:marker>
                <c:cat>
                  <c:strRef>
                    <c:extLst>
                      <c:ext uri="{02D57815-91ED-43cb-92C2-25804820EDAC}">
                        <c15:formulaRef>
                          <c15:sqref>'Visitor Arrivals'!#REF!</c15:sqref>
                        </c15:formulaRef>
                      </c:ext>
                    </c:extLst>
                    <c:strCache>
                      <c:ptCount val="1"/>
                      <c:pt idx="0">
                        <c:v>#REF!</c:v>
                      </c:pt>
                    </c:strCache>
                  </c:strRef>
                </c:cat>
                <c:val>
                  <c:numRef>
                    <c:extLst>
                      <c:ext uri="{02D57815-91ED-43cb-92C2-25804820EDAC}">
                        <c15:formulaRef>
                          <c15:sqref>'Visitor Arrivals'!#REF!</c15:sqref>
                        </c15:formulaRef>
                      </c:ext>
                    </c:extLst>
                    <c:numCache>
                      <c:formatCode>General</c:formatCode>
                      <c:ptCount val="1"/>
                      <c:pt idx="0">
                        <c:v>1</c:v>
                      </c:pt>
                    </c:numCache>
                  </c:numRef>
                </c:val>
                <c:smooth val="0"/>
                <c:extLst>
                  <c:ext xmlns:c16="http://schemas.microsoft.com/office/drawing/2014/chart" uri="{C3380CC4-5D6E-409C-BE32-E72D297353CC}">
                    <c16:uniqueId val="{00000002-9D39-45AC-BC00-F1F226C793C3}"/>
                  </c:ext>
                </c:extLst>
              </c15:ser>
            </c15:filteredLineSeries>
          </c:ext>
        </c:extLst>
      </c:lineChart>
      <c:lineChart>
        <c:grouping val="standard"/>
        <c:varyColors val="0"/>
        <c:ser>
          <c:idx val="2"/>
          <c:order val="2"/>
          <c:tx>
            <c:strRef>
              <c:f>'Visitor Arrivals'!$C$5</c:f>
              <c:strCache>
                <c:ptCount val="1"/>
                <c:pt idx="0">
                  <c:v>YoY Change in All Visitors</c:v>
                </c:pt>
              </c:strCache>
            </c:strRef>
          </c:tx>
          <c:spPr>
            <a:ln w="28575" cap="rnd">
              <a:solidFill>
                <a:srgbClr val="339088"/>
              </a:solidFill>
              <a:round/>
            </a:ln>
            <a:effectLst/>
          </c:spPr>
          <c:marker>
            <c:symbol val="circle"/>
            <c:size val="7"/>
            <c:spPr>
              <a:solidFill>
                <a:srgbClr val="339088"/>
              </a:solidFill>
              <a:ln w="9525">
                <a:solidFill>
                  <a:srgbClr val="339088"/>
                </a:solidFill>
              </a:ln>
              <a:effectLst/>
            </c:spPr>
          </c:marker>
          <c:dLbls>
            <c:dLbl>
              <c:idx val="1"/>
              <c:layout>
                <c:manualLayout>
                  <c:x val="-2.5333335189685981E-2"/>
                  <c:y val="-9.495262605378147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F55-4B57-BE50-1A28C837D5E9}"/>
                </c:ext>
              </c:extLst>
            </c:dLbl>
            <c:dLbl>
              <c:idx val="4"/>
              <c:layout>
                <c:manualLayout>
                  <c:x val="-3.5613259457275386E-2"/>
                  <c:y val="7.555644686350350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F021-41C1-90FD-D42398201DEF}"/>
                </c:ext>
              </c:extLst>
            </c:dLbl>
            <c:spPr>
              <a:noFill/>
              <a:ln>
                <a:noFill/>
              </a:ln>
              <a:effectLst/>
            </c:spPr>
            <c:txPr>
              <a:bodyPr rot="0" spcFirstLastPara="1" vertOverflow="ellipsis" vert="horz" wrap="square" anchor="ctr" anchorCtr="1"/>
              <a:lstStyle/>
              <a:p>
                <a:pPr>
                  <a:defRPr sz="1400" b="0" i="0" u="none" strike="noStrike" kern="1200" baseline="0">
                    <a:solidFill>
                      <a:schemeClr val="tx1">
                        <a:lumMod val="75000"/>
                        <a:lumOff val="25000"/>
                      </a:schemeClr>
                    </a:solidFill>
                    <a:latin typeface="Arial" panose="020B0604020202020204" pitchFamily="34" charset="0"/>
                    <a:ea typeface="Open Sans" panose="020B0606030504020204" pitchFamily="34" charset="0"/>
                    <a:cs typeface="Arial" panose="020B0604020202020204" pitchFamily="34" charset="0"/>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'Visitor Arrivals'!$A$17:$A$23</c:f>
              <c:strCache>
                <c:ptCount val="7"/>
                <c:pt idx="0">
                  <c:v>2019</c:v>
                </c:pt>
                <c:pt idx="1">
                  <c:v>2020</c:v>
                </c:pt>
                <c:pt idx="2">
                  <c:v>2021</c:v>
                </c:pt>
                <c:pt idx="3">
                  <c:v>2022</c:v>
                </c:pt>
                <c:pt idx="4">
                  <c:v>2023</c:v>
                </c:pt>
                <c:pt idx="5">
                  <c:v>2024</c:v>
                </c:pt>
                <c:pt idx="6">
                  <c:v>2025 (Oct)</c:v>
                </c:pt>
              </c:strCache>
              <c:extLst/>
            </c:strRef>
          </c:cat>
          <c:val>
            <c:numRef>
              <c:f>'Visitor Arrivals'!$C$17:$C$23</c:f>
              <c:numCache>
                <c:formatCode>0.00%</c:formatCode>
                <c:ptCount val="7"/>
                <c:pt idx="0">
                  <c:v>0.14047657507431976</c:v>
                </c:pt>
                <c:pt idx="1">
                  <c:v>-0.85607306643593728</c:v>
                </c:pt>
                <c:pt idx="2">
                  <c:v>-0.61613429779788009</c:v>
                </c:pt>
                <c:pt idx="3">
                  <c:v>2.3071427906635238</c:v>
                </c:pt>
                <c:pt idx="4">
                  <c:v>2.4495329449468222</c:v>
                </c:pt>
                <c:pt idx="5">
                  <c:v>0.48387473695040595</c:v>
                </c:pt>
                <c:pt idx="6">
                  <c:v>-3.349365278058869E-2</c:v>
                </c:pt>
              </c:numCache>
              <c:extLst/>
            </c:numRef>
          </c:val>
          <c:smooth val="0"/>
          <c:extLst>
            <c:ext xmlns:c16="http://schemas.microsoft.com/office/drawing/2014/chart" uri="{C3380CC4-5D6E-409C-BE32-E72D297353CC}">
              <c16:uniqueId val="{00000003-9D39-45AC-BC00-F1F226C793C3}"/>
            </c:ext>
          </c:extLst>
        </c:ser>
        <c:dLbls>
          <c:showLegendKey val="0"/>
          <c:showVal val="0"/>
          <c:showCatName val="0"/>
          <c:showSerName val="0"/>
          <c:showPercent val="0"/>
          <c:showBubbleSize val="0"/>
        </c:dLbls>
        <c:marker val="1"/>
        <c:smooth val="0"/>
        <c:axId val="1007515560"/>
        <c:axId val="1007512936"/>
      </c:lineChart>
      <c:catAx>
        <c:axId val="881674896"/>
        <c:scaling>
          <c:orientation val="minMax"/>
        </c:scaling>
        <c:delete val="0"/>
        <c:axPos val="b"/>
        <c:title>
          <c:tx>
            <c:rich>
              <a:bodyPr rot="0" spcFirstLastPara="1" vertOverflow="ellipsis" vert="horz" wrap="square" anchor="ctr" anchorCtr="1"/>
              <a:lstStyle/>
              <a:p>
                <a:pPr>
                  <a:defRPr sz="2000" b="0" i="0" u="none" strike="noStrike" kern="1200" baseline="0">
                    <a:solidFill>
                      <a:schemeClr val="tx1">
                        <a:lumMod val="65000"/>
                        <a:lumOff val="35000"/>
                      </a:schemeClr>
                    </a:solidFill>
                    <a:latin typeface="Arial" panose="020B0604020202020204" pitchFamily="34" charset="0"/>
                    <a:ea typeface="Open Sans" panose="020B0606030504020204" pitchFamily="34" charset="0"/>
                    <a:cs typeface="Arial" panose="020B0604020202020204" pitchFamily="34" charset="0"/>
                  </a:defRPr>
                </a:pPr>
                <a:r>
                  <a:rPr lang="en-HK"/>
                  <a:t>Year</a:t>
                </a:r>
              </a:p>
            </c:rich>
          </c:tx>
          <c:overlay val="0"/>
          <c:spPr>
            <a:noFill/>
            <a:ln>
              <a:noFill/>
            </a:ln>
            <a:effectLst/>
          </c:spPr>
          <c:txPr>
            <a:bodyPr rot="0" spcFirstLastPara="1" vertOverflow="ellipsis" vert="horz" wrap="square" anchor="ctr" anchorCtr="1"/>
            <a:lstStyle/>
            <a:p>
              <a:pPr>
                <a:defRPr sz="2000" b="0" i="0" u="none" strike="noStrike" kern="1200" baseline="0">
                  <a:solidFill>
                    <a:schemeClr val="tx1">
                      <a:lumMod val="65000"/>
                      <a:lumOff val="35000"/>
                    </a:schemeClr>
                  </a:solidFill>
                  <a:latin typeface="Arial" panose="020B0604020202020204" pitchFamily="34" charset="0"/>
                  <a:ea typeface="Open Sans" panose="020B0606030504020204" pitchFamily="34" charset="0"/>
                  <a:cs typeface="Arial" panose="020B0604020202020204" pitchFamily="34" charset="0"/>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000" b="0" i="0" u="none" strike="noStrike" kern="1200" baseline="0">
                <a:solidFill>
                  <a:schemeClr val="tx1">
                    <a:lumMod val="65000"/>
                    <a:lumOff val="35000"/>
                  </a:schemeClr>
                </a:solidFill>
                <a:latin typeface="Arial" panose="020B0604020202020204" pitchFamily="34" charset="0"/>
                <a:ea typeface="Open Sans" panose="020B0606030504020204" pitchFamily="34" charset="0"/>
                <a:cs typeface="Arial" panose="020B0604020202020204" pitchFamily="34" charset="0"/>
              </a:defRPr>
            </a:pPr>
            <a:endParaRPr lang="en-US"/>
          </a:p>
        </c:txPr>
        <c:crossAx val="881824344"/>
        <c:crosses val="autoZero"/>
        <c:auto val="1"/>
        <c:lblAlgn val="ctr"/>
        <c:lblOffset val="100"/>
        <c:noMultiLvlLbl val="0"/>
      </c:catAx>
      <c:valAx>
        <c:axId val="881824344"/>
        <c:scaling>
          <c:orientation val="minMax"/>
          <c:max val="200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2000" b="0" i="0" u="none" strike="noStrike" kern="1200" baseline="0">
                    <a:solidFill>
                      <a:schemeClr val="tx1">
                        <a:lumMod val="65000"/>
                        <a:lumOff val="35000"/>
                      </a:schemeClr>
                    </a:solidFill>
                    <a:latin typeface="Arial" panose="020B0604020202020204" pitchFamily="34" charset="0"/>
                    <a:ea typeface="Open Sans" panose="020B0606030504020204" pitchFamily="34" charset="0"/>
                    <a:cs typeface="Arial" panose="020B0604020202020204" pitchFamily="34" charset="0"/>
                  </a:defRPr>
                </a:pPr>
                <a:r>
                  <a:rPr lang="en-HK"/>
                  <a:t>Number of Visitor Arrivals ('000)</a:t>
                </a:r>
              </a:p>
            </c:rich>
          </c:tx>
          <c:overlay val="0"/>
          <c:spPr>
            <a:noFill/>
            <a:ln>
              <a:noFill/>
            </a:ln>
            <a:effectLst/>
          </c:spPr>
          <c:txPr>
            <a:bodyPr rot="-5400000" spcFirstLastPara="1" vertOverflow="ellipsis" vert="horz" wrap="square" anchor="ctr" anchorCtr="1"/>
            <a:lstStyle/>
            <a:p>
              <a:pPr>
                <a:defRPr sz="2000" b="0" i="0" u="none" strike="noStrike" kern="1200" baseline="0">
                  <a:solidFill>
                    <a:schemeClr val="tx1">
                      <a:lumMod val="65000"/>
                      <a:lumOff val="35000"/>
                    </a:schemeClr>
                  </a:solidFill>
                  <a:latin typeface="Arial" panose="020B0604020202020204" pitchFamily="34" charset="0"/>
                  <a:ea typeface="Open Sans" panose="020B0606030504020204" pitchFamily="34" charset="0"/>
                  <a:cs typeface="Arial" panose="020B0604020202020204" pitchFamily="34" charset="0"/>
                </a:defRPr>
              </a:pPr>
              <a:endParaRPr lang="en-US"/>
            </a:p>
          </c:txPr>
        </c:title>
        <c:numFmt formatCode="#,##0_);[Red]\(#,##0\)" sourceLinked="0"/>
        <c:majorTickMark val="none"/>
        <c:minorTickMark val="none"/>
        <c:tickLblPos val="nextTo"/>
        <c:spPr>
          <a:noFill/>
          <a:ln>
            <a:noFill/>
          </a:ln>
          <a:effectLst/>
        </c:spPr>
        <c:txPr>
          <a:bodyPr rot="-60000000" spcFirstLastPara="1" vertOverflow="ellipsis" vert="horz" wrap="square" anchor="ctr" anchorCtr="1"/>
          <a:lstStyle/>
          <a:p>
            <a:pPr>
              <a:defRPr sz="2000" b="0" i="0" u="none" strike="noStrike" kern="1200" baseline="0">
                <a:solidFill>
                  <a:schemeClr val="tx1">
                    <a:lumMod val="65000"/>
                    <a:lumOff val="35000"/>
                  </a:schemeClr>
                </a:solidFill>
                <a:latin typeface="Arial" panose="020B0604020202020204" pitchFamily="34" charset="0"/>
                <a:ea typeface="Open Sans" panose="020B0606030504020204" pitchFamily="34" charset="0"/>
                <a:cs typeface="Arial" panose="020B0604020202020204" pitchFamily="34" charset="0"/>
              </a:defRPr>
            </a:pPr>
            <a:endParaRPr lang="en-US"/>
          </a:p>
        </c:txPr>
        <c:crossAx val="881674896"/>
        <c:crosses val="autoZero"/>
        <c:crossBetween val="between"/>
      </c:valAx>
      <c:valAx>
        <c:axId val="1007512936"/>
        <c:scaling>
          <c:orientation val="minMax"/>
        </c:scaling>
        <c:delete val="0"/>
        <c:axPos val="r"/>
        <c:title>
          <c:tx>
            <c:rich>
              <a:bodyPr rot="-5400000" spcFirstLastPara="1" vertOverflow="ellipsis" vert="horz" wrap="square" anchor="ctr" anchorCtr="1"/>
              <a:lstStyle/>
              <a:p>
                <a:pPr>
                  <a:defRPr sz="2000" b="0" i="0" u="none" strike="noStrike" kern="1200" baseline="0">
                    <a:solidFill>
                      <a:schemeClr val="tx1">
                        <a:lumMod val="65000"/>
                        <a:lumOff val="35000"/>
                      </a:schemeClr>
                    </a:solidFill>
                    <a:latin typeface="Arial" panose="020B0604020202020204" pitchFamily="34" charset="0"/>
                    <a:ea typeface="Open Sans" panose="020B0606030504020204" pitchFamily="34" charset="0"/>
                    <a:cs typeface="Arial" panose="020B0604020202020204" pitchFamily="34" charset="0"/>
                  </a:defRPr>
                </a:pPr>
                <a:r>
                  <a:rPr lang="en-HK"/>
                  <a:t>YoY % change in Visitors</a:t>
                </a:r>
              </a:p>
            </c:rich>
          </c:tx>
          <c:overlay val="0"/>
          <c:spPr>
            <a:noFill/>
            <a:ln>
              <a:noFill/>
            </a:ln>
            <a:effectLst/>
          </c:spPr>
          <c:txPr>
            <a:bodyPr rot="-5400000" spcFirstLastPara="1" vertOverflow="ellipsis" vert="horz" wrap="square" anchor="ctr" anchorCtr="1"/>
            <a:lstStyle/>
            <a:p>
              <a:pPr>
                <a:defRPr sz="2000" b="0" i="0" u="none" strike="noStrike" kern="1200" baseline="0">
                  <a:solidFill>
                    <a:schemeClr val="tx1">
                      <a:lumMod val="65000"/>
                      <a:lumOff val="35000"/>
                    </a:schemeClr>
                  </a:solidFill>
                  <a:latin typeface="Arial" panose="020B0604020202020204" pitchFamily="34" charset="0"/>
                  <a:ea typeface="Open Sans" panose="020B0606030504020204" pitchFamily="34" charset="0"/>
                  <a:cs typeface="Arial" panose="020B0604020202020204" pitchFamily="34" charset="0"/>
                </a:defRPr>
              </a:pPr>
              <a:endParaRPr lang="en-US"/>
            </a:p>
          </c:txPr>
        </c:title>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2000" b="0" i="0" u="none" strike="noStrike" kern="1200" baseline="0">
                <a:solidFill>
                  <a:schemeClr val="tx1">
                    <a:lumMod val="65000"/>
                    <a:lumOff val="35000"/>
                  </a:schemeClr>
                </a:solidFill>
                <a:latin typeface="Arial" panose="020B0604020202020204" pitchFamily="34" charset="0"/>
                <a:ea typeface="Open Sans" panose="020B0606030504020204" pitchFamily="34" charset="0"/>
                <a:cs typeface="Arial" panose="020B0604020202020204" pitchFamily="34" charset="0"/>
              </a:defRPr>
            </a:pPr>
            <a:endParaRPr lang="en-US"/>
          </a:p>
        </c:txPr>
        <c:crossAx val="1007515560"/>
        <c:crosses val="max"/>
        <c:crossBetween val="between"/>
      </c:valAx>
      <c:catAx>
        <c:axId val="1007515560"/>
        <c:scaling>
          <c:orientation val="minMax"/>
        </c:scaling>
        <c:delete val="1"/>
        <c:axPos val="b"/>
        <c:numFmt formatCode="General" sourceLinked="1"/>
        <c:majorTickMark val="out"/>
        <c:minorTickMark val="none"/>
        <c:tickLblPos val="nextTo"/>
        <c:crossAx val="1007512936"/>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2000" b="0" i="0" u="none" strike="noStrike" kern="1200" baseline="0">
              <a:solidFill>
                <a:schemeClr val="tx1">
                  <a:lumMod val="65000"/>
                  <a:lumOff val="35000"/>
                </a:schemeClr>
              </a:solidFill>
              <a:latin typeface="Arial" panose="020B0604020202020204" pitchFamily="34" charset="0"/>
              <a:ea typeface="Open Sans" panose="020B0606030504020204" pitchFamily="34" charset="0"/>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2000">
          <a:latin typeface="Arial" panose="020B0604020202020204" pitchFamily="34" charset="0"/>
          <a:ea typeface="Open Sans" panose="020B0606030504020204" pitchFamily="34" charset="0"/>
          <a:cs typeface="Arial" panose="020B0604020202020204" pitchFamily="34" charset="0"/>
        </a:defRPr>
      </a:pPr>
      <a:endParaRPr lang="en-US"/>
    </a:p>
  </c:txPr>
  <c:printSettings>
    <c:headerFooter/>
    <c:pageMargins b="0.75" l="0.7" r="0.7" t="0.75" header="0.3" footer="0.3"/>
    <c:pageSetup orientation="portrait"/>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400" b="0" i="0" u="none" strike="noStrike" kern="1200" spc="0" baseline="0">
                <a:solidFill>
                  <a:schemeClr val="tx1">
                    <a:lumMod val="65000"/>
                    <a:lumOff val="35000"/>
                  </a:schemeClr>
                </a:solidFill>
                <a:latin typeface="Arial" panose="020B0604020202020204" pitchFamily="34" charset="0"/>
                <a:ea typeface="Open Sans" panose="020B0606030504020204" pitchFamily="34" charset="0"/>
                <a:cs typeface="Arial" panose="020B0604020202020204" pitchFamily="34" charset="0"/>
              </a:defRPr>
            </a:pPr>
            <a:r>
              <a:rPr lang="en-HK"/>
              <a:t>Retail Sales &amp; Proportion of Online Sales</a:t>
            </a:r>
          </a:p>
        </c:rich>
      </c:tx>
      <c:overlay val="0"/>
      <c:spPr>
        <a:noFill/>
        <a:ln>
          <a:noFill/>
        </a:ln>
        <a:effectLst/>
      </c:spPr>
      <c:txPr>
        <a:bodyPr rot="0" spcFirstLastPara="1" vertOverflow="ellipsis" vert="horz" wrap="square" anchor="ctr" anchorCtr="1"/>
        <a:lstStyle/>
        <a:p>
          <a:pPr>
            <a:defRPr sz="2400" b="0" i="0" u="none" strike="noStrike" kern="1200" spc="0" baseline="0">
              <a:solidFill>
                <a:schemeClr val="tx1">
                  <a:lumMod val="65000"/>
                  <a:lumOff val="35000"/>
                </a:schemeClr>
              </a:solidFill>
              <a:latin typeface="Arial" panose="020B0604020202020204" pitchFamily="34" charset="0"/>
              <a:ea typeface="Open Sans" panose="020B0606030504020204" pitchFamily="34" charset="0"/>
              <a:cs typeface="Arial" panose="020B0604020202020204" pitchFamily="34" charset="0"/>
            </a:defRPr>
          </a:pPr>
          <a:endParaRPr lang="en-US"/>
        </a:p>
      </c:txPr>
    </c:title>
    <c:autoTitleDeleted val="0"/>
    <c:plotArea>
      <c:layout>
        <c:manualLayout>
          <c:layoutTarget val="inner"/>
          <c:xMode val="edge"/>
          <c:yMode val="edge"/>
          <c:x val="5.2334321038091686E-2"/>
          <c:y val="0.13987791219511395"/>
          <c:w val="0.88829870072329453"/>
          <c:h val="0.68983926771582937"/>
        </c:manualLayout>
      </c:layout>
      <c:barChart>
        <c:barDir val="col"/>
        <c:grouping val="stacked"/>
        <c:varyColors val="0"/>
        <c:ser>
          <c:idx val="0"/>
          <c:order val="0"/>
          <c:tx>
            <c:strRef>
              <c:f>'Retail Sales Trend'!$D$6</c:f>
              <c:strCache>
                <c:ptCount val="1"/>
                <c:pt idx="0">
                  <c:v>Physical Retail Sales</c:v>
                </c:pt>
              </c:strCache>
            </c:strRef>
          </c:tx>
          <c:spPr>
            <a:solidFill>
              <a:srgbClr val="25408F"/>
            </a:solidFill>
            <a:ln>
              <a:noFill/>
            </a:ln>
            <a:effectLst/>
          </c:spPr>
          <c:invertIfNegative val="0"/>
          <c:cat>
            <c:numRef>
              <c:f>'Retail Sales Trend'!$A$7:$A$79</c:f>
              <c:numCache>
                <c:formatCode>mmm\-yy</c:formatCode>
                <c:ptCount val="73"/>
                <c:pt idx="0">
                  <c:v>43739</c:v>
                </c:pt>
                <c:pt idx="1">
                  <c:v>43770</c:v>
                </c:pt>
                <c:pt idx="2">
                  <c:v>43800</c:v>
                </c:pt>
                <c:pt idx="3">
                  <c:v>43831</c:v>
                </c:pt>
                <c:pt idx="4">
                  <c:v>43862</c:v>
                </c:pt>
                <c:pt idx="5">
                  <c:v>43891</c:v>
                </c:pt>
                <c:pt idx="6">
                  <c:v>43922</c:v>
                </c:pt>
                <c:pt idx="7">
                  <c:v>43952</c:v>
                </c:pt>
                <c:pt idx="8">
                  <c:v>43983</c:v>
                </c:pt>
                <c:pt idx="9">
                  <c:v>44013</c:v>
                </c:pt>
                <c:pt idx="10">
                  <c:v>44044</c:v>
                </c:pt>
                <c:pt idx="11">
                  <c:v>44075</c:v>
                </c:pt>
                <c:pt idx="12">
                  <c:v>44105</c:v>
                </c:pt>
                <c:pt idx="13">
                  <c:v>44136</c:v>
                </c:pt>
                <c:pt idx="14">
                  <c:v>44166</c:v>
                </c:pt>
                <c:pt idx="15">
                  <c:v>44197</c:v>
                </c:pt>
                <c:pt idx="16">
                  <c:v>44228</c:v>
                </c:pt>
                <c:pt idx="17">
                  <c:v>44256</c:v>
                </c:pt>
                <c:pt idx="18">
                  <c:v>44287</c:v>
                </c:pt>
                <c:pt idx="19">
                  <c:v>44317</c:v>
                </c:pt>
                <c:pt idx="20">
                  <c:v>44348</c:v>
                </c:pt>
                <c:pt idx="21">
                  <c:v>44378</c:v>
                </c:pt>
                <c:pt idx="22">
                  <c:v>44409</c:v>
                </c:pt>
                <c:pt idx="23">
                  <c:v>44440</c:v>
                </c:pt>
                <c:pt idx="24">
                  <c:v>44470</c:v>
                </c:pt>
                <c:pt idx="25">
                  <c:v>44501</c:v>
                </c:pt>
                <c:pt idx="26">
                  <c:v>44531</c:v>
                </c:pt>
                <c:pt idx="27">
                  <c:v>44562</c:v>
                </c:pt>
                <c:pt idx="28">
                  <c:v>44593</c:v>
                </c:pt>
                <c:pt idx="29">
                  <c:v>44621</c:v>
                </c:pt>
                <c:pt idx="30">
                  <c:v>44652</c:v>
                </c:pt>
                <c:pt idx="31">
                  <c:v>44682</c:v>
                </c:pt>
                <c:pt idx="32">
                  <c:v>44713</c:v>
                </c:pt>
                <c:pt idx="33">
                  <c:v>44743</c:v>
                </c:pt>
                <c:pt idx="34">
                  <c:v>44774</c:v>
                </c:pt>
                <c:pt idx="35">
                  <c:v>44805</c:v>
                </c:pt>
                <c:pt idx="36">
                  <c:v>44835</c:v>
                </c:pt>
                <c:pt idx="37">
                  <c:v>44866</c:v>
                </c:pt>
                <c:pt idx="38">
                  <c:v>44896</c:v>
                </c:pt>
                <c:pt idx="39">
                  <c:v>44927</c:v>
                </c:pt>
                <c:pt idx="40">
                  <c:v>44958</c:v>
                </c:pt>
                <c:pt idx="41">
                  <c:v>44986</c:v>
                </c:pt>
                <c:pt idx="42">
                  <c:v>45017</c:v>
                </c:pt>
                <c:pt idx="43">
                  <c:v>45047</c:v>
                </c:pt>
                <c:pt idx="44">
                  <c:v>45078</c:v>
                </c:pt>
                <c:pt idx="45">
                  <c:v>45108</c:v>
                </c:pt>
                <c:pt idx="46">
                  <c:v>45139</c:v>
                </c:pt>
                <c:pt idx="47">
                  <c:v>45170</c:v>
                </c:pt>
                <c:pt idx="48">
                  <c:v>45200</c:v>
                </c:pt>
                <c:pt idx="49">
                  <c:v>45231</c:v>
                </c:pt>
                <c:pt idx="50">
                  <c:v>45261</c:v>
                </c:pt>
                <c:pt idx="51">
                  <c:v>45292</c:v>
                </c:pt>
                <c:pt idx="52">
                  <c:v>45323</c:v>
                </c:pt>
                <c:pt idx="53">
                  <c:v>45352</c:v>
                </c:pt>
                <c:pt idx="54">
                  <c:v>45383</c:v>
                </c:pt>
                <c:pt idx="55">
                  <c:v>45413</c:v>
                </c:pt>
                <c:pt idx="56">
                  <c:v>45444</c:v>
                </c:pt>
                <c:pt idx="57">
                  <c:v>45474</c:v>
                </c:pt>
                <c:pt idx="58">
                  <c:v>45505</c:v>
                </c:pt>
                <c:pt idx="59">
                  <c:v>45536</c:v>
                </c:pt>
                <c:pt idx="60">
                  <c:v>45566</c:v>
                </c:pt>
                <c:pt idx="61">
                  <c:v>45597</c:v>
                </c:pt>
                <c:pt idx="62">
                  <c:v>45627</c:v>
                </c:pt>
                <c:pt idx="63">
                  <c:v>45658</c:v>
                </c:pt>
                <c:pt idx="64">
                  <c:v>45689</c:v>
                </c:pt>
                <c:pt idx="65">
                  <c:v>45717</c:v>
                </c:pt>
                <c:pt idx="66">
                  <c:v>45748</c:v>
                </c:pt>
                <c:pt idx="67">
                  <c:v>45778</c:v>
                </c:pt>
                <c:pt idx="68">
                  <c:v>45809</c:v>
                </c:pt>
                <c:pt idx="69">
                  <c:v>45839</c:v>
                </c:pt>
                <c:pt idx="70">
                  <c:v>45870</c:v>
                </c:pt>
                <c:pt idx="71">
                  <c:v>45901</c:v>
                </c:pt>
                <c:pt idx="72">
                  <c:v>45931</c:v>
                </c:pt>
              </c:numCache>
            </c:numRef>
          </c:cat>
          <c:val>
            <c:numRef>
              <c:f>'Retail Sales Trend'!$D$7:$D$79</c:f>
              <c:numCache>
                <c:formatCode>"$"#,##0.00</c:formatCode>
                <c:ptCount val="73"/>
                <c:pt idx="0">
                  <c:v>21.415263905502393</c:v>
                </c:pt>
                <c:pt idx="1">
                  <c:v>21.647475328947369</c:v>
                </c:pt>
                <c:pt idx="2">
                  <c:v>22.202924641148325</c:v>
                </c:pt>
                <c:pt idx="3">
                  <c:v>20.505086722488038</c:v>
                </c:pt>
                <c:pt idx="4">
                  <c:v>17.048074162679427</c:v>
                </c:pt>
                <c:pt idx="5">
                  <c:v>18.742654754784688</c:v>
                </c:pt>
                <c:pt idx="6">
                  <c:v>19.333522727272729</c:v>
                </c:pt>
                <c:pt idx="7">
                  <c:v>21.264075209330144</c:v>
                </c:pt>
                <c:pt idx="8">
                  <c:v>21.035152511961723</c:v>
                </c:pt>
                <c:pt idx="9">
                  <c:v>19.43468525717703</c:v>
                </c:pt>
                <c:pt idx="10">
                  <c:v>19.392697368421054</c:v>
                </c:pt>
                <c:pt idx="11">
                  <c:v>21.176257476076557</c:v>
                </c:pt>
                <c:pt idx="12">
                  <c:v>20.273375448564593</c:v>
                </c:pt>
                <c:pt idx="13">
                  <c:v>19.975028409090907</c:v>
                </c:pt>
                <c:pt idx="14">
                  <c:v>19.489946172248803</c:v>
                </c:pt>
                <c:pt idx="15">
                  <c:v>18.705043361244016</c:v>
                </c:pt>
                <c:pt idx="16">
                  <c:v>18.284773474880382</c:v>
                </c:pt>
                <c:pt idx="17">
                  <c:v>20.35399297248804</c:v>
                </c:pt>
                <c:pt idx="18">
                  <c:v>20.858252093301434</c:v>
                </c:pt>
                <c:pt idx="19">
                  <c:v>21.193335825358851</c:v>
                </c:pt>
                <c:pt idx="20">
                  <c:v>20.581915370813398</c:v>
                </c:pt>
                <c:pt idx="21">
                  <c:v>20.633550388755982</c:v>
                </c:pt>
                <c:pt idx="22">
                  <c:v>20.16500448564593</c:v>
                </c:pt>
                <c:pt idx="23">
                  <c:v>21.854130532296651</c:v>
                </c:pt>
                <c:pt idx="24">
                  <c:v>21.857085077751194</c:v>
                </c:pt>
                <c:pt idx="25">
                  <c:v>21.562986692583735</c:v>
                </c:pt>
                <c:pt idx="26">
                  <c:v>21.748674491626794</c:v>
                </c:pt>
                <c:pt idx="27">
                  <c:v>20.398734300239237</c:v>
                </c:pt>
                <c:pt idx="28">
                  <c:v>18.424261363636361</c:v>
                </c:pt>
                <c:pt idx="29">
                  <c:v>21.522165071770338</c:v>
                </c:pt>
                <c:pt idx="30">
                  <c:v>21.723648325358852</c:v>
                </c:pt>
                <c:pt idx="31">
                  <c:v>22.581564742822962</c:v>
                </c:pt>
                <c:pt idx="32">
                  <c:v>21.685780502392344</c:v>
                </c:pt>
                <c:pt idx="33">
                  <c:v>21.740787978468894</c:v>
                </c:pt>
                <c:pt idx="34">
                  <c:v>21.382932117224875</c:v>
                </c:pt>
                <c:pt idx="35">
                  <c:v>21.740787978468894</c:v>
                </c:pt>
                <c:pt idx="36">
                  <c:v>21.280082145615388</c:v>
                </c:pt>
                <c:pt idx="37">
                  <c:v>22.194327418865633</c:v>
                </c:pt>
                <c:pt idx="38">
                  <c:v>27.263778525250341</c:v>
                </c:pt>
                <c:pt idx="39">
                  <c:v>28.219717779114053</c:v>
                </c:pt>
                <c:pt idx="40">
                  <c:v>24.60856351417285</c:v>
                </c:pt>
                <c:pt idx="41">
                  <c:v>27.328380293016167</c:v>
                </c:pt>
                <c:pt idx="42">
                  <c:v>26.228634631555821</c:v>
                </c:pt>
                <c:pt idx="43">
                  <c:v>26.697550086206249</c:v>
                </c:pt>
                <c:pt idx="44">
                  <c:v>26.432745178181698</c:v>
                </c:pt>
                <c:pt idx="45">
                  <c:v>25.254541708777115</c:v>
                </c:pt>
                <c:pt idx="46">
                  <c:v>24.620001213527807</c:v>
                </c:pt>
                <c:pt idx="47">
                  <c:v>26.644504200922171</c:v>
                </c:pt>
                <c:pt idx="48">
                  <c:v>24.998132065833012</c:v>
                </c:pt>
                <c:pt idx="49">
                  <c:v>26.265852914017955</c:v>
                </c:pt>
                <c:pt idx="50">
                  <c:v>27.118552431785766</c:v>
                </c:pt>
                <c:pt idx="51">
                  <c:v>23.895138149096763</c:v>
                </c:pt>
                <c:pt idx="52">
                  <c:v>23.44621773018757</c:v>
                </c:pt>
                <c:pt idx="53">
                  <c:v>25.458391511170891</c:v>
                </c:pt>
                <c:pt idx="54">
                  <c:v>23.863878552159264</c:v>
                </c:pt>
                <c:pt idx="55">
                  <c:v>24.75771537802386</c:v>
                </c:pt>
                <c:pt idx="56">
                  <c:v>23.581598834892361</c:v>
                </c:pt>
                <c:pt idx="57">
                  <c:v>23.246776735242669</c:v>
                </c:pt>
                <c:pt idx="58">
                  <c:v>24.002926559096114</c:v>
                </c:pt>
                <c:pt idx="59">
                  <c:v>25.923507289372345</c:v>
                </c:pt>
                <c:pt idx="60">
                  <c:v>24.557021307861866</c:v>
                </c:pt>
                <c:pt idx="61">
                  <c:v>24.134693335629905</c:v>
                </c:pt>
                <c:pt idx="62">
                  <c:v>22.900543076644219</c:v>
                </c:pt>
                <c:pt idx="63">
                  <c:v>21.635173342308988</c:v>
                </c:pt>
                <c:pt idx="64">
                  <c:v>19.983568997481949</c:v>
                </c:pt>
                <c:pt idx="65">
                  <c:v>22.502886166306318</c:v>
                </c:pt>
                <c:pt idx="66">
                  <c:v>21.824271105233649</c:v>
                </c:pt>
                <c:pt idx="67">
                  <c:v>23.479581065479138</c:v>
                </c:pt>
                <c:pt idx="68">
                  <c:v>22.983610958703679</c:v>
                </c:pt>
                <c:pt idx="69">
                  <c:v>22.864221724524075</c:v>
                </c:pt>
                <c:pt idx="70">
                  <c:v>22.113840795590285</c:v>
                </c:pt>
                <c:pt idx="71">
                  <c:v>23.773998261281907</c:v>
                </c:pt>
                <c:pt idx="72">
                  <c:v>23.141287516861517</c:v>
                </c:pt>
              </c:numCache>
            </c:numRef>
          </c:val>
          <c:extLst>
            <c:ext xmlns:c16="http://schemas.microsoft.com/office/drawing/2014/chart" uri="{C3380CC4-5D6E-409C-BE32-E72D297353CC}">
              <c16:uniqueId val="{00000000-B9D7-431C-9C26-3FCAD9B55297}"/>
            </c:ext>
          </c:extLst>
        </c:ser>
        <c:ser>
          <c:idx val="1"/>
          <c:order val="1"/>
          <c:tx>
            <c:strRef>
              <c:f>'Retail Sales Trend'!$C$6</c:f>
              <c:strCache>
                <c:ptCount val="1"/>
                <c:pt idx="0">
                  <c:v>Online Retail Sales</c:v>
                </c:pt>
              </c:strCache>
            </c:strRef>
          </c:tx>
          <c:spPr>
            <a:solidFill>
              <a:srgbClr val="B7E4F4"/>
            </a:solidFill>
            <a:ln>
              <a:noFill/>
            </a:ln>
            <a:effectLst/>
          </c:spPr>
          <c:invertIfNegative val="0"/>
          <c:cat>
            <c:numRef>
              <c:f>'Retail Sales Trend'!$A$7:$A$79</c:f>
              <c:numCache>
                <c:formatCode>mmm\-yy</c:formatCode>
                <c:ptCount val="73"/>
                <c:pt idx="0">
                  <c:v>43739</c:v>
                </c:pt>
                <c:pt idx="1">
                  <c:v>43770</c:v>
                </c:pt>
                <c:pt idx="2">
                  <c:v>43800</c:v>
                </c:pt>
                <c:pt idx="3">
                  <c:v>43831</c:v>
                </c:pt>
                <c:pt idx="4">
                  <c:v>43862</c:v>
                </c:pt>
                <c:pt idx="5">
                  <c:v>43891</c:v>
                </c:pt>
                <c:pt idx="6">
                  <c:v>43922</c:v>
                </c:pt>
                <c:pt idx="7">
                  <c:v>43952</c:v>
                </c:pt>
                <c:pt idx="8">
                  <c:v>43983</c:v>
                </c:pt>
                <c:pt idx="9">
                  <c:v>44013</c:v>
                </c:pt>
                <c:pt idx="10">
                  <c:v>44044</c:v>
                </c:pt>
                <c:pt idx="11">
                  <c:v>44075</c:v>
                </c:pt>
                <c:pt idx="12">
                  <c:v>44105</c:v>
                </c:pt>
                <c:pt idx="13">
                  <c:v>44136</c:v>
                </c:pt>
                <c:pt idx="14">
                  <c:v>44166</c:v>
                </c:pt>
                <c:pt idx="15">
                  <c:v>44197</c:v>
                </c:pt>
                <c:pt idx="16">
                  <c:v>44228</c:v>
                </c:pt>
                <c:pt idx="17">
                  <c:v>44256</c:v>
                </c:pt>
                <c:pt idx="18">
                  <c:v>44287</c:v>
                </c:pt>
                <c:pt idx="19">
                  <c:v>44317</c:v>
                </c:pt>
                <c:pt idx="20">
                  <c:v>44348</c:v>
                </c:pt>
                <c:pt idx="21">
                  <c:v>44378</c:v>
                </c:pt>
                <c:pt idx="22">
                  <c:v>44409</c:v>
                </c:pt>
                <c:pt idx="23">
                  <c:v>44440</c:v>
                </c:pt>
                <c:pt idx="24">
                  <c:v>44470</c:v>
                </c:pt>
                <c:pt idx="25">
                  <c:v>44501</c:v>
                </c:pt>
                <c:pt idx="26">
                  <c:v>44531</c:v>
                </c:pt>
                <c:pt idx="27">
                  <c:v>44562</c:v>
                </c:pt>
                <c:pt idx="28">
                  <c:v>44593</c:v>
                </c:pt>
                <c:pt idx="29">
                  <c:v>44621</c:v>
                </c:pt>
                <c:pt idx="30">
                  <c:v>44652</c:v>
                </c:pt>
                <c:pt idx="31">
                  <c:v>44682</c:v>
                </c:pt>
                <c:pt idx="32">
                  <c:v>44713</c:v>
                </c:pt>
                <c:pt idx="33">
                  <c:v>44743</c:v>
                </c:pt>
                <c:pt idx="34">
                  <c:v>44774</c:v>
                </c:pt>
                <c:pt idx="35">
                  <c:v>44805</c:v>
                </c:pt>
                <c:pt idx="36">
                  <c:v>44835</c:v>
                </c:pt>
                <c:pt idx="37">
                  <c:v>44866</c:v>
                </c:pt>
                <c:pt idx="38">
                  <c:v>44896</c:v>
                </c:pt>
                <c:pt idx="39">
                  <c:v>44927</c:v>
                </c:pt>
                <c:pt idx="40">
                  <c:v>44958</c:v>
                </c:pt>
                <c:pt idx="41">
                  <c:v>44986</c:v>
                </c:pt>
                <c:pt idx="42">
                  <c:v>45017</c:v>
                </c:pt>
                <c:pt idx="43">
                  <c:v>45047</c:v>
                </c:pt>
                <c:pt idx="44">
                  <c:v>45078</c:v>
                </c:pt>
                <c:pt idx="45">
                  <c:v>45108</c:v>
                </c:pt>
                <c:pt idx="46">
                  <c:v>45139</c:v>
                </c:pt>
                <c:pt idx="47">
                  <c:v>45170</c:v>
                </c:pt>
                <c:pt idx="48">
                  <c:v>45200</c:v>
                </c:pt>
                <c:pt idx="49">
                  <c:v>45231</c:v>
                </c:pt>
                <c:pt idx="50">
                  <c:v>45261</c:v>
                </c:pt>
                <c:pt idx="51">
                  <c:v>45292</c:v>
                </c:pt>
                <c:pt idx="52">
                  <c:v>45323</c:v>
                </c:pt>
                <c:pt idx="53">
                  <c:v>45352</c:v>
                </c:pt>
                <c:pt idx="54">
                  <c:v>45383</c:v>
                </c:pt>
                <c:pt idx="55">
                  <c:v>45413</c:v>
                </c:pt>
                <c:pt idx="56">
                  <c:v>45444</c:v>
                </c:pt>
                <c:pt idx="57">
                  <c:v>45474</c:v>
                </c:pt>
                <c:pt idx="58">
                  <c:v>45505</c:v>
                </c:pt>
                <c:pt idx="59">
                  <c:v>45536</c:v>
                </c:pt>
                <c:pt idx="60">
                  <c:v>45566</c:v>
                </c:pt>
                <c:pt idx="61">
                  <c:v>45597</c:v>
                </c:pt>
                <c:pt idx="62">
                  <c:v>45627</c:v>
                </c:pt>
                <c:pt idx="63">
                  <c:v>45658</c:v>
                </c:pt>
                <c:pt idx="64">
                  <c:v>45689</c:v>
                </c:pt>
                <c:pt idx="65">
                  <c:v>45717</c:v>
                </c:pt>
                <c:pt idx="66">
                  <c:v>45748</c:v>
                </c:pt>
                <c:pt idx="67">
                  <c:v>45778</c:v>
                </c:pt>
                <c:pt idx="68">
                  <c:v>45809</c:v>
                </c:pt>
                <c:pt idx="69">
                  <c:v>45839</c:v>
                </c:pt>
                <c:pt idx="70">
                  <c:v>45870</c:v>
                </c:pt>
                <c:pt idx="71">
                  <c:v>45901</c:v>
                </c:pt>
                <c:pt idx="72">
                  <c:v>45931</c:v>
                </c:pt>
              </c:numCache>
            </c:numRef>
          </c:cat>
          <c:val>
            <c:numRef>
              <c:f>'Retail Sales Trend'!$C$7:$C$79</c:f>
              <c:numCache>
                <c:formatCode>"$"#,##0.00</c:formatCode>
                <c:ptCount val="73"/>
                <c:pt idx="0">
                  <c:v>8.9772973983253586</c:v>
                </c:pt>
                <c:pt idx="1">
                  <c:v>9.7126233552631582</c:v>
                </c:pt>
                <c:pt idx="2">
                  <c:v>9.6020858253588521</c:v>
                </c:pt>
                <c:pt idx="3">
                  <c:v>9.0506354665071775</c:v>
                </c:pt>
                <c:pt idx="4">
                  <c:v>8.8117284688995223</c:v>
                </c:pt>
                <c:pt idx="5">
                  <c:v>9.2667516447368428</c:v>
                </c:pt>
                <c:pt idx="6">
                  <c:v>8.8703685705741631</c:v>
                </c:pt>
                <c:pt idx="7">
                  <c:v>9.354215759569378</c:v>
                </c:pt>
                <c:pt idx="8">
                  <c:v>9.2877825956937805</c:v>
                </c:pt>
                <c:pt idx="9">
                  <c:v>9.5440572667464121</c:v>
                </c:pt>
                <c:pt idx="10">
                  <c:v>9.9497988935406703</c:v>
                </c:pt>
                <c:pt idx="11">
                  <c:v>10.237085825358852</c:v>
                </c:pt>
                <c:pt idx="12">
                  <c:v>10.275361094497608</c:v>
                </c:pt>
                <c:pt idx="13">
                  <c:v>11.125837320574163</c:v>
                </c:pt>
                <c:pt idx="14">
                  <c:v>11.839816836124402</c:v>
                </c:pt>
                <c:pt idx="15">
                  <c:v>11.092331040669857</c:v>
                </c:pt>
                <c:pt idx="16">
                  <c:v>10.150839563397129</c:v>
                </c:pt>
                <c:pt idx="17">
                  <c:v>11.597094049043061</c:v>
                </c:pt>
                <c:pt idx="18">
                  <c:v>10.99053528708134</c:v>
                </c:pt>
                <c:pt idx="19">
                  <c:v>11.697275717703349</c:v>
                </c:pt>
                <c:pt idx="20">
                  <c:v>11.362989683014353</c:v>
                </c:pt>
                <c:pt idx="21">
                  <c:v>11.699274072966507</c:v>
                </c:pt>
                <c:pt idx="22">
                  <c:v>11.420134569377991</c:v>
                </c:pt>
                <c:pt idx="23">
                  <c:v>11.671983403110048</c:v>
                </c:pt>
                <c:pt idx="24">
                  <c:v>12.236739683014354</c:v>
                </c:pt>
                <c:pt idx="25">
                  <c:v>12.62688322368421</c:v>
                </c:pt>
                <c:pt idx="26">
                  <c:v>13.315193630382774</c:v>
                </c:pt>
                <c:pt idx="27">
                  <c:v>12.321819677033492</c:v>
                </c:pt>
                <c:pt idx="28">
                  <c:v>11.522120215311006</c:v>
                </c:pt>
                <c:pt idx="29">
                  <c:v>12.880277362440191</c:v>
                </c:pt>
                <c:pt idx="30">
                  <c:v>12.309311453349283</c:v>
                </c:pt>
                <c:pt idx="31">
                  <c:v>12.968489832535885</c:v>
                </c:pt>
                <c:pt idx="32">
                  <c:v>12.5267120215311</c:v>
                </c:pt>
                <c:pt idx="33">
                  <c:v>12.732675687799043</c:v>
                </c:pt>
                <c:pt idx="34">
                  <c:v>13.246175239234452</c:v>
                </c:pt>
                <c:pt idx="35">
                  <c:v>12.732675687799043</c:v>
                </c:pt>
                <c:pt idx="36">
                  <c:v>12.435231341711718</c:v>
                </c:pt>
                <c:pt idx="37">
                  <c:v>13.739839247801031</c:v>
                </c:pt>
                <c:pt idx="38">
                  <c:v>14.578981191464411</c:v>
                </c:pt>
                <c:pt idx="39">
                  <c:v>14.389130487071558</c:v>
                </c:pt>
                <c:pt idx="40">
                  <c:v>13.411077797189039</c:v>
                </c:pt>
                <c:pt idx="41">
                  <c:v>14.289077374342321</c:v>
                </c:pt>
                <c:pt idx="42">
                  <c:v>13.531354307921909</c:v>
                </c:pt>
                <c:pt idx="43">
                  <c:v>14.491767868032918</c:v>
                </c:pt>
                <c:pt idx="44">
                  <c:v>14.24420494944899</c:v>
                </c:pt>
                <c:pt idx="45">
                  <c:v>14.697082329161159</c:v>
                </c:pt>
                <c:pt idx="46">
                  <c:v>14.468807784780843</c:v>
                </c:pt>
                <c:pt idx="47">
                  <c:v>14.307995667446427</c:v>
                </c:pt>
                <c:pt idx="48">
                  <c:v>14.874266486018257</c:v>
                </c:pt>
                <c:pt idx="49">
                  <c:v>16.029851418280053</c:v>
                </c:pt>
                <c:pt idx="50">
                  <c:v>15.755174159112869</c:v>
                </c:pt>
                <c:pt idx="51">
                  <c:v>15.322254961958944</c:v>
                </c:pt>
                <c:pt idx="52">
                  <c:v>14.315522549446589</c:v>
                </c:pt>
                <c:pt idx="53">
                  <c:v>15.347748912218474</c:v>
                </c:pt>
                <c:pt idx="54">
                  <c:v>14.477487699494821</c:v>
                </c:pt>
                <c:pt idx="55">
                  <c:v>15.267609254498714</c:v>
                </c:pt>
                <c:pt idx="56">
                  <c:v>14.528858151043741</c:v>
                </c:pt>
                <c:pt idx="57">
                  <c:v>14.396459396550476</c:v>
                </c:pt>
                <c:pt idx="58">
                  <c:v>14.456667282058856</c:v>
                </c:pt>
                <c:pt idx="59">
                  <c:v>14.684000089899763</c:v>
                </c:pt>
                <c:pt idx="60">
                  <c:v>14.907156502571638</c:v>
                </c:pt>
                <c:pt idx="61">
                  <c:v>15.231527652183898</c:v>
                </c:pt>
                <c:pt idx="62">
                  <c:v>15.943492143165878</c:v>
                </c:pt>
                <c:pt idx="63">
                  <c:v>15.058993398773174</c:v>
                </c:pt>
                <c:pt idx="64">
                  <c:v>14.594439525166717</c:v>
                </c:pt>
                <c:pt idx="65">
                  <c:v>15.36592333299015</c:v>
                </c:pt>
                <c:pt idx="66">
                  <c:v>15.060234991103018</c:v>
                </c:pt>
                <c:pt idx="67">
                  <c:v>16.125590000645396</c:v>
                </c:pt>
                <c:pt idx="68">
                  <c:v>16.084627821061488</c:v>
                </c:pt>
                <c:pt idx="69">
                  <c:v>16.828386730850337</c:v>
                </c:pt>
                <c:pt idx="70">
                  <c:v>16.077657844364808</c:v>
                </c:pt>
                <c:pt idx="71">
                  <c:v>17.027517728458218</c:v>
                </c:pt>
                <c:pt idx="72">
                  <c:v>15.955430109037771</c:v>
                </c:pt>
              </c:numCache>
            </c:numRef>
          </c:val>
          <c:extLst>
            <c:ext xmlns:c16="http://schemas.microsoft.com/office/drawing/2014/chart" uri="{C3380CC4-5D6E-409C-BE32-E72D297353CC}">
              <c16:uniqueId val="{00000001-B9D7-431C-9C26-3FCAD9B55297}"/>
            </c:ext>
          </c:extLst>
        </c:ser>
        <c:ser>
          <c:idx val="4"/>
          <c:order val="3"/>
          <c:spPr>
            <a:noFill/>
            <a:ln>
              <a:noFill/>
            </a:ln>
            <a:effectLst/>
          </c:spPr>
          <c:invertIfNegative val="0"/>
          <c:cat>
            <c:numRef>
              <c:f>'Retail Sales Trend'!$A$7:$A$79</c:f>
              <c:numCache>
                <c:formatCode>mmm\-yy</c:formatCode>
                <c:ptCount val="73"/>
                <c:pt idx="0">
                  <c:v>43739</c:v>
                </c:pt>
                <c:pt idx="1">
                  <c:v>43770</c:v>
                </c:pt>
                <c:pt idx="2">
                  <c:v>43800</c:v>
                </c:pt>
                <c:pt idx="3">
                  <c:v>43831</c:v>
                </c:pt>
                <c:pt idx="4">
                  <c:v>43862</c:v>
                </c:pt>
                <c:pt idx="5">
                  <c:v>43891</c:v>
                </c:pt>
                <c:pt idx="6">
                  <c:v>43922</c:v>
                </c:pt>
                <c:pt idx="7">
                  <c:v>43952</c:v>
                </c:pt>
                <c:pt idx="8">
                  <c:v>43983</c:v>
                </c:pt>
                <c:pt idx="9">
                  <c:v>44013</c:v>
                </c:pt>
                <c:pt idx="10">
                  <c:v>44044</c:v>
                </c:pt>
                <c:pt idx="11">
                  <c:v>44075</c:v>
                </c:pt>
                <c:pt idx="12">
                  <c:v>44105</c:v>
                </c:pt>
                <c:pt idx="13">
                  <c:v>44136</c:v>
                </c:pt>
                <c:pt idx="14">
                  <c:v>44166</c:v>
                </c:pt>
                <c:pt idx="15">
                  <c:v>44197</c:v>
                </c:pt>
                <c:pt idx="16">
                  <c:v>44228</c:v>
                </c:pt>
                <c:pt idx="17">
                  <c:v>44256</c:v>
                </c:pt>
                <c:pt idx="18">
                  <c:v>44287</c:v>
                </c:pt>
                <c:pt idx="19">
                  <c:v>44317</c:v>
                </c:pt>
                <c:pt idx="20">
                  <c:v>44348</c:v>
                </c:pt>
                <c:pt idx="21">
                  <c:v>44378</c:v>
                </c:pt>
                <c:pt idx="22">
                  <c:v>44409</c:v>
                </c:pt>
                <c:pt idx="23">
                  <c:v>44440</c:v>
                </c:pt>
                <c:pt idx="24">
                  <c:v>44470</c:v>
                </c:pt>
                <c:pt idx="25">
                  <c:v>44501</c:v>
                </c:pt>
                <c:pt idx="26">
                  <c:v>44531</c:v>
                </c:pt>
                <c:pt idx="27">
                  <c:v>44562</c:v>
                </c:pt>
                <c:pt idx="28">
                  <c:v>44593</c:v>
                </c:pt>
                <c:pt idx="29">
                  <c:v>44621</c:v>
                </c:pt>
                <c:pt idx="30">
                  <c:v>44652</c:v>
                </c:pt>
                <c:pt idx="31">
                  <c:v>44682</c:v>
                </c:pt>
                <c:pt idx="32">
                  <c:v>44713</c:v>
                </c:pt>
                <c:pt idx="33">
                  <c:v>44743</c:v>
                </c:pt>
                <c:pt idx="34">
                  <c:v>44774</c:v>
                </c:pt>
                <c:pt idx="35">
                  <c:v>44805</c:v>
                </c:pt>
                <c:pt idx="36">
                  <c:v>44835</c:v>
                </c:pt>
                <c:pt idx="37">
                  <c:v>44866</c:v>
                </c:pt>
                <c:pt idx="38">
                  <c:v>44896</c:v>
                </c:pt>
                <c:pt idx="39">
                  <c:v>44927</c:v>
                </c:pt>
                <c:pt idx="40">
                  <c:v>44958</c:v>
                </c:pt>
                <c:pt idx="41">
                  <c:v>44986</c:v>
                </c:pt>
                <c:pt idx="42">
                  <c:v>45017</c:v>
                </c:pt>
                <c:pt idx="43">
                  <c:v>45047</c:v>
                </c:pt>
                <c:pt idx="44">
                  <c:v>45078</c:v>
                </c:pt>
                <c:pt idx="45">
                  <c:v>45108</c:v>
                </c:pt>
                <c:pt idx="46">
                  <c:v>45139</c:v>
                </c:pt>
                <c:pt idx="47">
                  <c:v>45170</c:v>
                </c:pt>
                <c:pt idx="48">
                  <c:v>45200</c:v>
                </c:pt>
                <c:pt idx="49">
                  <c:v>45231</c:v>
                </c:pt>
                <c:pt idx="50">
                  <c:v>45261</c:v>
                </c:pt>
                <c:pt idx="51">
                  <c:v>45292</c:v>
                </c:pt>
                <c:pt idx="52">
                  <c:v>45323</c:v>
                </c:pt>
                <c:pt idx="53">
                  <c:v>45352</c:v>
                </c:pt>
                <c:pt idx="54">
                  <c:v>45383</c:v>
                </c:pt>
                <c:pt idx="55">
                  <c:v>45413</c:v>
                </c:pt>
                <c:pt idx="56">
                  <c:v>45444</c:v>
                </c:pt>
                <c:pt idx="57">
                  <c:v>45474</c:v>
                </c:pt>
                <c:pt idx="58">
                  <c:v>45505</c:v>
                </c:pt>
                <c:pt idx="59">
                  <c:v>45536</c:v>
                </c:pt>
                <c:pt idx="60">
                  <c:v>45566</c:v>
                </c:pt>
                <c:pt idx="61">
                  <c:v>45597</c:v>
                </c:pt>
                <c:pt idx="62">
                  <c:v>45627</c:v>
                </c:pt>
                <c:pt idx="63">
                  <c:v>45658</c:v>
                </c:pt>
                <c:pt idx="64">
                  <c:v>45689</c:v>
                </c:pt>
                <c:pt idx="65">
                  <c:v>45717</c:v>
                </c:pt>
                <c:pt idx="66">
                  <c:v>45748</c:v>
                </c:pt>
                <c:pt idx="67">
                  <c:v>45778</c:v>
                </c:pt>
                <c:pt idx="68">
                  <c:v>45809</c:v>
                </c:pt>
                <c:pt idx="69">
                  <c:v>45839</c:v>
                </c:pt>
                <c:pt idx="70">
                  <c:v>45870</c:v>
                </c:pt>
                <c:pt idx="71">
                  <c:v>45901</c:v>
                </c:pt>
                <c:pt idx="72">
                  <c:v>45931</c:v>
                </c:pt>
              </c:numCache>
            </c:numRef>
          </c:cat>
          <c:val>
            <c:numRef>
              <c:f>'Retail Sales Trend'!$B$7:$B$42</c:f>
              <c:numCache>
                <c:formatCode>"$"#,##0.00</c:formatCode>
                <c:ptCount val="36"/>
                <c:pt idx="0">
                  <c:v>30.392561303827751</c:v>
                </c:pt>
                <c:pt idx="1">
                  <c:v>31.360098684210527</c:v>
                </c:pt>
                <c:pt idx="2">
                  <c:v>31.805010466507177</c:v>
                </c:pt>
                <c:pt idx="3">
                  <c:v>29.555722188995215</c:v>
                </c:pt>
                <c:pt idx="4">
                  <c:v>25.859802631578948</c:v>
                </c:pt>
                <c:pt idx="5">
                  <c:v>28.009406399521531</c:v>
                </c:pt>
                <c:pt idx="6">
                  <c:v>28.203891297846891</c:v>
                </c:pt>
                <c:pt idx="7">
                  <c:v>30.618290968899522</c:v>
                </c:pt>
                <c:pt idx="8">
                  <c:v>30.322935107655503</c:v>
                </c:pt>
                <c:pt idx="9">
                  <c:v>28.978742523923444</c:v>
                </c:pt>
                <c:pt idx="10">
                  <c:v>29.342496261961724</c:v>
                </c:pt>
                <c:pt idx="11">
                  <c:v>31.413343301435408</c:v>
                </c:pt>
                <c:pt idx="12">
                  <c:v>30.548736543062201</c:v>
                </c:pt>
                <c:pt idx="13">
                  <c:v>31.10086572966507</c:v>
                </c:pt>
                <c:pt idx="14">
                  <c:v>31.329763008373206</c:v>
                </c:pt>
                <c:pt idx="15">
                  <c:v>29.797374401913874</c:v>
                </c:pt>
                <c:pt idx="16">
                  <c:v>28.435613038277513</c:v>
                </c:pt>
                <c:pt idx="17">
                  <c:v>31.951087021531102</c:v>
                </c:pt>
                <c:pt idx="18">
                  <c:v>31.848787380382774</c:v>
                </c:pt>
                <c:pt idx="19">
                  <c:v>32.890611543062199</c:v>
                </c:pt>
                <c:pt idx="20">
                  <c:v>31.94490505382775</c:v>
                </c:pt>
                <c:pt idx="21">
                  <c:v>32.332824461722488</c:v>
                </c:pt>
                <c:pt idx="22">
                  <c:v>31.585139055023923</c:v>
                </c:pt>
                <c:pt idx="23">
                  <c:v>33.526113935406698</c:v>
                </c:pt>
                <c:pt idx="24">
                  <c:v>34.09382476076555</c:v>
                </c:pt>
                <c:pt idx="25">
                  <c:v>34.189869916267945</c:v>
                </c:pt>
                <c:pt idx="26">
                  <c:v>35.063868122009566</c:v>
                </c:pt>
                <c:pt idx="27">
                  <c:v>32.720553977272729</c:v>
                </c:pt>
                <c:pt idx="28">
                  <c:v>29.946381578947367</c:v>
                </c:pt>
                <c:pt idx="29">
                  <c:v>34.402442434210528</c:v>
                </c:pt>
                <c:pt idx="30">
                  <c:v>34.032959778708133</c:v>
                </c:pt>
                <c:pt idx="31">
                  <c:v>35.55005457535885</c:v>
                </c:pt>
                <c:pt idx="32">
                  <c:v>34.212492523923444</c:v>
                </c:pt>
                <c:pt idx="33">
                  <c:v>34.473463666267939</c:v>
                </c:pt>
                <c:pt idx="34">
                  <c:v>34.629107356459329</c:v>
                </c:pt>
                <c:pt idx="35">
                  <c:v>34.473463666267939</c:v>
                </c:pt>
              </c:numCache>
            </c:numRef>
          </c:val>
          <c:extLst>
            <c:ext xmlns:c16="http://schemas.microsoft.com/office/drawing/2014/chart" uri="{C3380CC4-5D6E-409C-BE32-E72D297353CC}">
              <c16:uniqueId val="{00000074-B9D7-431C-9C26-3FCAD9B55297}"/>
            </c:ext>
          </c:extLst>
        </c:ser>
        <c:dLbls>
          <c:showLegendKey val="0"/>
          <c:showVal val="0"/>
          <c:showCatName val="0"/>
          <c:showSerName val="0"/>
          <c:showPercent val="0"/>
          <c:showBubbleSize val="0"/>
        </c:dLbls>
        <c:gapWidth val="219"/>
        <c:overlap val="100"/>
        <c:axId val="881674896"/>
        <c:axId val="881824344"/>
      </c:barChart>
      <c:lineChart>
        <c:grouping val="standard"/>
        <c:varyColors val="0"/>
        <c:ser>
          <c:idx val="2"/>
          <c:order val="2"/>
          <c:tx>
            <c:strRef>
              <c:f>'Retail Sales Trend'!$E$6</c:f>
              <c:strCache>
                <c:ptCount val="1"/>
                <c:pt idx="0">
                  <c:v>% of Online Retail Sales</c:v>
                </c:pt>
              </c:strCache>
            </c:strRef>
          </c:tx>
          <c:spPr>
            <a:ln w="28575" cap="rnd">
              <a:solidFill>
                <a:srgbClr val="339088"/>
              </a:solidFill>
              <a:round/>
            </a:ln>
            <a:effectLst/>
          </c:spPr>
          <c:marker>
            <c:symbol val="circle"/>
            <c:size val="5"/>
            <c:spPr>
              <a:solidFill>
                <a:srgbClr val="339088"/>
              </a:solidFill>
              <a:ln w="9525">
                <a:solidFill>
                  <a:srgbClr val="339088"/>
                </a:solidFill>
              </a:ln>
              <a:effectLst/>
            </c:spPr>
          </c:marker>
          <c:dLbls>
            <c:spPr>
              <a:noFill/>
              <a:ln>
                <a:noFill/>
              </a:ln>
              <a:effectLst/>
            </c:spPr>
            <c:txPr>
              <a:bodyPr rot="0" spcFirstLastPara="1" vertOverflow="ellipsis" vert="horz" wrap="square" anchor="ctr" anchorCtr="1"/>
              <a:lstStyle/>
              <a:p>
                <a:pPr>
                  <a:defRPr sz="2000" b="0" i="0" u="none" strike="noStrike" kern="1200" baseline="0">
                    <a:solidFill>
                      <a:schemeClr val="tx1">
                        <a:lumMod val="75000"/>
                        <a:lumOff val="25000"/>
                      </a:schemeClr>
                    </a:solidFill>
                    <a:latin typeface="Arial" panose="020B0604020202020204" pitchFamily="34" charset="0"/>
                    <a:ea typeface="Open Sans" panose="020B0606030504020204" pitchFamily="34" charset="0"/>
                    <a:cs typeface="Arial" panose="020B0604020202020204" pitchFamily="34" charset="0"/>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'Retail Sales Trend'!$A$7:$A$79</c:f>
              <c:numCache>
                <c:formatCode>mmm\-yy</c:formatCode>
                <c:ptCount val="73"/>
                <c:pt idx="0">
                  <c:v>43739</c:v>
                </c:pt>
                <c:pt idx="1">
                  <c:v>43770</c:v>
                </c:pt>
                <c:pt idx="2">
                  <c:v>43800</c:v>
                </c:pt>
                <c:pt idx="3">
                  <c:v>43831</c:v>
                </c:pt>
                <c:pt idx="4">
                  <c:v>43862</c:v>
                </c:pt>
                <c:pt idx="5">
                  <c:v>43891</c:v>
                </c:pt>
                <c:pt idx="6">
                  <c:v>43922</c:v>
                </c:pt>
                <c:pt idx="7">
                  <c:v>43952</c:v>
                </c:pt>
                <c:pt idx="8">
                  <c:v>43983</c:v>
                </c:pt>
                <c:pt idx="9">
                  <c:v>44013</c:v>
                </c:pt>
                <c:pt idx="10">
                  <c:v>44044</c:v>
                </c:pt>
                <c:pt idx="11">
                  <c:v>44075</c:v>
                </c:pt>
                <c:pt idx="12">
                  <c:v>44105</c:v>
                </c:pt>
                <c:pt idx="13">
                  <c:v>44136</c:v>
                </c:pt>
                <c:pt idx="14">
                  <c:v>44166</c:v>
                </c:pt>
                <c:pt idx="15">
                  <c:v>44197</c:v>
                </c:pt>
                <c:pt idx="16">
                  <c:v>44228</c:v>
                </c:pt>
                <c:pt idx="17">
                  <c:v>44256</c:v>
                </c:pt>
                <c:pt idx="18">
                  <c:v>44287</c:v>
                </c:pt>
                <c:pt idx="19">
                  <c:v>44317</c:v>
                </c:pt>
                <c:pt idx="20">
                  <c:v>44348</c:v>
                </c:pt>
                <c:pt idx="21">
                  <c:v>44378</c:v>
                </c:pt>
                <c:pt idx="22">
                  <c:v>44409</c:v>
                </c:pt>
                <c:pt idx="23">
                  <c:v>44440</c:v>
                </c:pt>
                <c:pt idx="24">
                  <c:v>44470</c:v>
                </c:pt>
                <c:pt idx="25">
                  <c:v>44501</c:v>
                </c:pt>
                <c:pt idx="26">
                  <c:v>44531</c:v>
                </c:pt>
                <c:pt idx="27">
                  <c:v>44562</c:v>
                </c:pt>
                <c:pt idx="28">
                  <c:v>44593</c:v>
                </c:pt>
                <c:pt idx="29">
                  <c:v>44621</c:v>
                </c:pt>
                <c:pt idx="30">
                  <c:v>44652</c:v>
                </c:pt>
                <c:pt idx="31">
                  <c:v>44682</c:v>
                </c:pt>
                <c:pt idx="32">
                  <c:v>44713</c:v>
                </c:pt>
                <c:pt idx="33">
                  <c:v>44743</c:v>
                </c:pt>
                <c:pt idx="34">
                  <c:v>44774</c:v>
                </c:pt>
                <c:pt idx="35">
                  <c:v>44805</c:v>
                </c:pt>
                <c:pt idx="36">
                  <c:v>44835</c:v>
                </c:pt>
                <c:pt idx="37">
                  <c:v>44866</c:v>
                </c:pt>
                <c:pt idx="38">
                  <c:v>44896</c:v>
                </c:pt>
                <c:pt idx="39">
                  <c:v>44927</c:v>
                </c:pt>
                <c:pt idx="40">
                  <c:v>44958</c:v>
                </c:pt>
                <c:pt idx="41">
                  <c:v>44986</c:v>
                </c:pt>
                <c:pt idx="42">
                  <c:v>45017</c:v>
                </c:pt>
                <c:pt idx="43">
                  <c:v>45047</c:v>
                </c:pt>
                <c:pt idx="44">
                  <c:v>45078</c:v>
                </c:pt>
                <c:pt idx="45">
                  <c:v>45108</c:v>
                </c:pt>
                <c:pt idx="46">
                  <c:v>45139</c:v>
                </c:pt>
                <c:pt idx="47">
                  <c:v>45170</c:v>
                </c:pt>
                <c:pt idx="48">
                  <c:v>45200</c:v>
                </c:pt>
                <c:pt idx="49">
                  <c:v>45231</c:v>
                </c:pt>
                <c:pt idx="50">
                  <c:v>45261</c:v>
                </c:pt>
                <c:pt idx="51">
                  <c:v>45292</c:v>
                </c:pt>
                <c:pt idx="52">
                  <c:v>45323</c:v>
                </c:pt>
                <c:pt idx="53">
                  <c:v>45352</c:v>
                </c:pt>
                <c:pt idx="54">
                  <c:v>45383</c:v>
                </c:pt>
                <c:pt idx="55">
                  <c:v>45413</c:v>
                </c:pt>
                <c:pt idx="56">
                  <c:v>45444</c:v>
                </c:pt>
                <c:pt idx="57">
                  <c:v>45474</c:v>
                </c:pt>
                <c:pt idx="58">
                  <c:v>45505</c:v>
                </c:pt>
                <c:pt idx="59">
                  <c:v>45536</c:v>
                </c:pt>
                <c:pt idx="60">
                  <c:v>45566</c:v>
                </c:pt>
                <c:pt idx="61">
                  <c:v>45597</c:v>
                </c:pt>
                <c:pt idx="62">
                  <c:v>45627</c:v>
                </c:pt>
                <c:pt idx="63">
                  <c:v>45658</c:v>
                </c:pt>
                <c:pt idx="64">
                  <c:v>45689</c:v>
                </c:pt>
                <c:pt idx="65">
                  <c:v>45717</c:v>
                </c:pt>
                <c:pt idx="66">
                  <c:v>45748</c:v>
                </c:pt>
                <c:pt idx="67">
                  <c:v>45778</c:v>
                </c:pt>
                <c:pt idx="68">
                  <c:v>45809</c:v>
                </c:pt>
                <c:pt idx="69">
                  <c:v>45839</c:v>
                </c:pt>
                <c:pt idx="70">
                  <c:v>45870</c:v>
                </c:pt>
                <c:pt idx="71">
                  <c:v>45901</c:v>
                </c:pt>
                <c:pt idx="72">
                  <c:v>45931</c:v>
                </c:pt>
              </c:numCache>
            </c:numRef>
          </c:cat>
          <c:val>
            <c:numRef>
              <c:f>'Retail Sales Trend'!$E$7:$E$79</c:f>
              <c:numCache>
                <c:formatCode>0.0%</c:formatCode>
                <c:ptCount val="73"/>
                <c:pt idx="0">
                  <c:v>0.29537811270926762</c:v>
                </c:pt>
                <c:pt idx="1">
                  <c:v>0.30971278034126082</c:v>
                </c:pt>
                <c:pt idx="2">
                  <c:v>0.30190481576701561</c:v>
                </c:pt>
                <c:pt idx="3">
                  <c:v>0.30622278178934476</c:v>
                </c:pt>
                <c:pt idx="4">
                  <c:v>0.34075002792708847</c:v>
                </c:pt>
                <c:pt idx="5">
                  <c:v>0.33084427111940301</c:v>
                </c:pt>
                <c:pt idx="6">
                  <c:v>0.31450867814298145</c:v>
                </c:pt>
                <c:pt idx="7">
                  <c:v>0.30551070825837101</c:v>
                </c:pt>
                <c:pt idx="8">
                  <c:v>0.30629563275188798</c:v>
                </c:pt>
                <c:pt idx="9">
                  <c:v>0.32934683963140571</c:v>
                </c:pt>
                <c:pt idx="10">
                  <c:v>0.33909176658698725</c:v>
                </c:pt>
                <c:pt idx="11">
                  <c:v>0.32588335877292873</c:v>
                </c:pt>
                <c:pt idx="12">
                  <c:v>0.33635960950506816</c:v>
                </c:pt>
                <c:pt idx="13">
                  <c:v>0.35773400706212366</c:v>
                </c:pt>
                <c:pt idx="14">
                  <c:v>0.37790955625678013</c:v>
                </c:pt>
                <c:pt idx="15">
                  <c:v>0.37225867256134487</c:v>
                </c:pt>
                <c:pt idx="16">
                  <c:v>0.35697628708524642</c:v>
                </c:pt>
                <c:pt idx="17">
                  <c:v>0.36296399059061896</c:v>
                </c:pt>
                <c:pt idx="18">
                  <c:v>0.34508488991486524</c:v>
                </c:pt>
                <c:pt idx="19">
                  <c:v>0.3556417825308183</c:v>
                </c:pt>
                <c:pt idx="20">
                  <c:v>0.35570585243147562</c:v>
                </c:pt>
                <c:pt idx="21">
                  <c:v>0.36183891347991576</c:v>
                </c:pt>
                <c:pt idx="22">
                  <c:v>0.36156670228626103</c:v>
                </c:pt>
                <c:pt idx="23">
                  <c:v>0.3481460280662993</c:v>
                </c:pt>
                <c:pt idx="24">
                  <c:v>0.35891366747142239</c:v>
                </c:pt>
                <c:pt idx="25">
                  <c:v>0.36931650382431519</c:v>
                </c:pt>
                <c:pt idx="26">
                  <c:v>0.37974115074956138</c:v>
                </c:pt>
                <c:pt idx="27">
                  <c:v>0.37657735518757007</c:v>
                </c:pt>
                <c:pt idx="28">
                  <c:v>0.38475834500857298</c:v>
                </c:pt>
                <c:pt idx="29">
                  <c:v>0.3744000847344422</c:v>
                </c:pt>
                <c:pt idx="30">
                  <c:v>0.36168794995756715</c:v>
                </c:pt>
                <c:pt idx="31">
                  <c:v>0.36479521585671093</c:v>
                </c:pt>
                <c:pt idx="32">
                  <c:v>0.36614438462125098</c:v>
                </c:pt>
                <c:pt idx="33">
                  <c:v>0.36934715383003081</c:v>
                </c:pt>
                <c:pt idx="34">
                  <c:v>0.38251564219900858</c:v>
                </c:pt>
                <c:pt idx="35">
                  <c:v>0.36934715383003081</c:v>
                </c:pt>
                <c:pt idx="36">
                  <c:v>0.36883036387562779</c:v>
                </c:pt>
                <c:pt idx="37">
                  <c:v>0.38236142708567145</c:v>
                </c:pt>
                <c:pt idx="38">
                  <c:v>0.3484230316109051</c:v>
                </c:pt>
                <c:pt idx="39">
                  <c:v>0.33770287329007143</c:v>
                </c:pt>
                <c:pt idx="40">
                  <c:v>0.35274077646758961</c:v>
                </c:pt>
                <c:pt idx="41">
                  <c:v>0.34334335096950352</c:v>
                </c:pt>
                <c:pt idx="42">
                  <c:v>0.34032590724608114</c:v>
                </c:pt>
                <c:pt idx="43">
                  <c:v>0.35183315936751119</c:v>
                </c:pt>
                <c:pt idx="44">
                  <c:v>0.35017878441612338</c:v>
                </c:pt>
                <c:pt idx="45">
                  <c:v>0.36787196223124075</c:v>
                </c:pt>
                <c:pt idx="46">
                  <c:v>0.37015217796497457</c:v>
                </c:pt>
                <c:pt idx="47">
                  <c:v>0.34938027503658731</c:v>
                </c:pt>
                <c:pt idx="48">
                  <c:v>0.37304669461194595</c:v>
                </c:pt>
                <c:pt idx="49">
                  <c:v>0.37899478614520377</c:v>
                </c:pt>
                <c:pt idx="50">
                  <c:v>0.36747853316901602</c:v>
                </c:pt>
                <c:pt idx="51">
                  <c:v>0.39070049655185962</c:v>
                </c:pt>
                <c:pt idx="52">
                  <c:v>0.37910123959957703</c:v>
                </c:pt>
                <c:pt idx="53">
                  <c:v>0.37611371114680114</c:v>
                </c:pt>
                <c:pt idx="54">
                  <c:v>0.37759446558246335</c:v>
                </c:pt>
                <c:pt idx="55">
                  <c:v>0.38144873013954317</c:v>
                </c:pt>
                <c:pt idx="56">
                  <c:v>0.38123022655974248</c:v>
                </c:pt>
                <c:pt idx="57">
                  <c:v>0.38244478625979111</c:v>
                </c:pt>
                <c:pt idx="58">
                  <c:v>0.37589235449982877</c:v>
                </c:pt>
                <c:pt idx="59">
                  <c:v>0.36160801382739233</c:v>
                </c:pt>
                <c:pt idx="60">
                  <c:v>0.37773893514716778</c:v>
                </c:pt>
                <c:pt idx="61">
                  <c:v>0.38691871533462574</c:v>
                </c:pt>
                <c:pt idx="62">
                  <c:v>0.41044891584885718</c:v>
                </c:pt>
                <c:pt idx="63">
                  <c:v>0.41039202511480882</c:v>
                </c:pt>
                <c:pt idx="64">
                  <c:v>0.4220728766264063</c:v>
                </c:pt>
                <c:pt idx="65">
                  <c:v>0.40576726694499388</c:v>
                </c:pt>
                <c:pt idx="66">
                  <c:v>0.40830789361169695</c:v>
                </c:pt>
                <c:pt idx="67">
                  <c:v>0.40715870091110618</c:v>
                </c:pt>
                <c:pt idx="68">
                  <c:v>0.41199999999999998</c:v>
                </c:pt>
                <c:pt idx="69">
                  <c:v>0.42399999999999999</c:v>
                </c:pt>
                <c:pt idx="70">
                  <c:v>0.42099999999999999</c:v>
                </c:pt>
                <c:pt idx="71">
                  <c:v>0.41699999999999998</c:v>
                </c:pt>
                <c:pt idx="72">
                  <c:v>0.40799999999999997</c:v>
                </c:pt>
              </c:numCache>
            </c:numRef>
          </c:val>
          <c:smooth val="0"/>
          <c:extLst>
            <c:ext xmlns:c16="http://schemas.microsoft.com/office/drawing/2014/chart" uri="{C3380CC4-5D6E-409C-BE32-E72D297353CC}">
              <c16:uniqueId val="{00000003-B9D7-431C-9C26-3FCAD9B55297}"/>
            </c:ext>
          </c:extLst>
        </c:ser>
        <c:dLbls>
          <c:showLegendKey val="0"/>
          <c:showVal val="0"/>
          <c:showCatName val="0"/>
          <c:showSerName val="0"/>
          <c:showPercent val="0"/>
          <c:showBubbleSize val="0"/>
        </c:dLbls>
        <c:marker val="1"/>
        <c:smooth val="0"/>
        <c:axId val="1658176128"/>
        <c:axId val="1658171136"/>
      </c:lineChart>
      <c:dateAx>
        <c:axId val="881674896"/>
        <c:scaling>
          <c:orientation val="minMax"/>
        </c:scaling>
        <c:delete val="0"/>
        <c:axPos val="b"/>
        <c:title>
          <c:tx>
            <c:rich>
              <a:bodyPr rot="0" spcFirstLastPara="1" vertOverflow="ellipsis" vert="horz" wrap="square" anchor="ctr" anchorCtr="1"/>
              <a:lstStyle/>
              <a:p>
                <a:pPr>
                  <a:defRPr sz="2000" b="0" i="0" u="none" strike="noStrike" kern="1200" baseline="0">
                    <a:solidFill>
                      <a:schemeClr val="tx1">
                        <a:lumMod val="65000"/>
                        <a:lumOff val="35000"/>
                      </a:schemeClr>
                    </a:solidFill>
                    <a:latin typeface="Arial" panose="020B0604020202020204" pitchFamily="34" charset="0"/>
                    <a:ea typeface="Open Sans" panose="020B0606030504020204" pitchFamily="34" charset="0"/>
                    <a:cs typeface="Arial" panose="020B0604020202020204" pitchFamily="34" charset="0"/>
                  </a:defRPr>
                </a:pPr>
                <a:r>
                  <a:rPr lang="en-HK"/>
                  <a:t>Month-Year</a:t>
                </a:r>
              </a:p>
            </c:rich>
          </c:tx>
          <c:overlay val="0"/>
          <c:spPr>
            <a:noFill/>
            <a:ln>
              <a:noFill/>
            </a:ln>
            <a:effectLst/>
          </c:spPr>
          <c:txPr>
            <a:bodyPr rot="0" spcFirstLastPara="1" vertOverflow="ellipsis" vert="horz" wrap="square" anchor="ctr" anchorCtr="1"/>
            <a:lstStyle/>
            <a:p>
              <a:pPr>
                <a:defRPr sz="2000" b="0" i="0" u="none" strike="noStrike" kern="1200" baseline="0">
                  <a:solidFill>
                    <a:schemeClr val="tx1">
                      <a:lumMod val="65000"/>
                      <a:lumOff val="35000"/>
                    </a:schemeClr>
                  </a:solidFill>
                  <a:latin typeface="Arial" panose="020B0604020202020204" pitchFamily="34" charset="0"/>
                  <a:ea typeface="Open Sans" panose="020B0606030504020204" pitchFamily="34" charset="0"/>
                  <a:cs typeface="Arial" panose="020B0604020202020204" pitchFamily="34" charset="0"/>
                </a:defRPr>
              </a:pPr>
              <a:endParaRPr lang="en-US"/>
            </a:p>
          </c:txPr>
        </c:title>
        <c:numFmt formatCode="mmm\-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000" b="0" i="0" u="none" strike="noStrike" kern="1200" baseline="0">
                <a:solidFill>
                  <a:schemeClr val="tx1">
                    <a:lumMod val="65000"/>
                    <a:lumOff val="35000"/>
                  </a:schemeClr>
                </a:solidFill>
                <a:latin typeface="Arial" panose="020B0604020202020204" pitchFamily="34" charset="0"/>
                <a:ea typeface="Open Sans" panose="020B0606030504020204" pitchFamily="34" charset="0"/>
                <a:cs typeface="Arial" panose="020B0604020202020204" pitchFamily="34" charset="0"/>
              </a:defRPr>
            </a:pPr>
            <a:endParaRPr lang="en-US"/>
          </a:p>
        </c:txPr>
        <c:crossAx val="881824344"/>
        <c:crosses val="autoZero"/>
        <c:auto val="1"/>
        <c:lblOffset val="100"/>
        <c:baseTimeUnit val="months"/>
      </c:dateAx>
      <c:valAx>
        <c:axId val="881824344"/>
        <c:scaling>
          <c:orientation val="minMax"/>
          <c:max val="5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2000" b="0" i="0" u="none" strike="noStrike" kern="1200" baseline="0">
                    <a:solidFill>
                      <a:schemeClr val="tx1">
                        <a:lumMod val="65000"/>
                        <a:lumOff val="35000"/>
                      </a:schemeClr>
                    </a:solidFill>
                    <a:latin typeface="Arial" panose="020B0604020202020204" pitchFamily="34" charset="0"/>
                    <a:ea typeface="Open Sans" panose="020B0606030504020204" pitchFamily="34" charset="0"/>
                    <a:cs typeface="Arial" panose="020B0604020202020204" pitchFamily="34" charset="0"/>
                  </a:defRPr>
                </a:pPr>
                <a:r>
                  <a:rPr lang="en-HK"/>
                  <a:t>Retail Sales ($ Billion)</a:t>
                </a:r>
              </a:p>
            </c:rich>
          </c:tx>
          <c:layout>
            <c:manualLayout>
              <c:xMode val="edge"/>
              <c:yMode val="edge"/>
              <c:x val="6.6279042062855221E-3"/>
              <c:y val="0.36779176400328345"/>
            </c:manualLayout>
          </c:layout>
          <c:overlay val="0"/>
          <c:spPr>
            <a:noFill/>
            <a:ln>
              <a:noFill/>
            </a:ln>
            <a:effectLst/>
          </c:spPr>
          <c:txPr>
            <a:bodyPr rot="-5400000" spcFirstLastPara="1" vertOverflow="ellipsis" vert="horz" wrap="square" anchor="ctr" anchorCtr="1"/>
            <a:lstStyle/>
            <a:p>
              <a:pPr>
                <a:defRPr sz="2000" b="0" i="0" u="none" strike="noStrike" kern="1200" baseline="0">
                  <a:solidFill>
                    <a:schemeClr val="tx1">
                      <a:lumMod val="65000"/>
                      <a:lumOff val="35000"/>
                    </a:schemeClr>
                  </a:solidFill>
                  <a:latin typeface="Arial" panose="020B0604020202020204" pitchFamily="34" charset="0"/>
                  <a:ea typeface="Open Sans" panose="020B0606030504020204" pitchFamily="34" charset="0"/>
                  <a:cs typeface="Arial" panose="020B0604020202020204" pitchFamily="34" charset="0"/>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2000" b="0" i="0" u="none" strike="noStrike" kern="1200" baseline="0">
                <a:solidFill>
                  <a:schemeClr val="tx1">
                    <a:lumMod val="65000"/>
                    <a:lumOff val="35000"/>
                  </a:schemeClr>
                </a:solidFill>
                <a:latin typeface="Arial" panose="020B0604020202020204" pitchFamily="34" charset="0"/>
                <a:ea typeface="Open Sans" panose="020B0606030504020204" pitchFamily="34" charset="0"/>
                <a:cs typeface="Arial" panose="020B0604020202020204" pitchFamily="34" charset="0"/>
              </a:defRPr>
            </a:pPr>
            <a:endParaRPr lang="en-US"/>
          </a:p>
        </c:txPr>
        <c:crossAx val="881674896"/>
        <c:crosses val="autoZero"/>
        <c:crossBetween val="between"/>
        <c:majorUnit val="10"/>
        <c:minorUnit val="1"/>
      </c:valAx>
      <c:valAx>
        <c:axId val="1658171136"/>
        <c:scaling>
          <c:orientation val="minMax"/>
        </c:scaling>
        <c:delete val="0"/>
        <c:axPos val="r"/>
        <c:title>
          <c:tx>
            <c:rich>
              <a:bodyPr rot="-5400000" spcFirstLastPara="1" vertOverflow="ellipsis" vert="horz" wrap="square" anchor="ctr" anchorCtr="1"/>
              <a:lstStyle/>
              <a:p>
                <a:pPr>
                  <a:defRPr sz="2000" b="0" i="0" u="none" strike="noStrike" kern="1200" baseline="0">
                    <a:solidFill>
                      <a:schemeClr val="tx1">
                        <a:lumMod val="65000"/>
                        <a:lumOff val="35000"/>
                      </a:schemeClr>
                    </a:solidFill>
                    <a:latin typeface="Arial" panose="020B0604020202020204" pitchFamily="34" charset="0"/>
                    <a:ea typeface="Open Sans" panose="020B0606030504020204" pitchFamily="34" charset="0"/>
                    <a:cs typeface="Arial" panose="020B0604020202020204" pitchFamily="34" charset="0"/>
                  </a:defRPr>
                </a:pPr>
                <a:r>
                  <a:rPr lang="en-HK"/>
                  <a:t>Proportion of Online Sales</a:t>
                </a:r>
              </a:p>
            </c:rich>
          </c:tx>
          <c:overlay val="0"/>
          <c:spPr>
            <a:noFill/>
            <a:ln>
              <a:noFill/>
            </a:ln>
            <a:effectLst/>
          </c:spPr>
          <c:txPr>
            <a:bodyPr rot="-5400000" spcFirstLastPara="1" vertOverflow="ellipsis" vert="horz" wrap="square" anchor="ctr" anchorCtr="1"/>
            <a:lstStyle/>
            <a:p>
              <a:pPr>
                <a:defRPr sz="2000" b="0" i="0" u="none" strike="noStrike" kern="1200" baseline="0">
                  <a:solidFill>
                    <a:schemeClr val="tx1">
                      <a:lumMod val="65000"/>
                      <a:lumOff val="35000"/>
                    </a:schemeClr>
                  </a:solidFill>
                  <a:latin typeface="Arial" panose="020B0604020202020204" pitchFamily="34" charset="0"/>
                  <a:ea typeface="Open Sans" panose="020B0606030504020204" pitchFamily="34" charset="0"/>
                  <a:cs typeface="Arial" panose="020B0604020202020204" pitchFamily="34" charset="0"/>
                </a:defRPr>
              </a:pPr>
              <a:endParaRPr lang="en-US"/>
            </a:p>
          </c:txPr>
        </c:title>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2000" b="0" i="0" u="none" strike="noStrike" kern="1200" baseline="0">
                <a:solidFill>
                  <a:schemeClr val="tx1">
                    <a:lumMod val="65000"/>
                    <a:lumOff val="35000"/>
                  </a:schemeClr>
                </a:solidFill>
                <a:latin typeface="Arial" panose="020B0604020202020204" pitchFamily="34" charset="0"/>
                <a:ea typeface="Open Sans" panose="020B0606030504020204" pitchFamily="34" charset="0"/>
                <a:cs typeface="Arial" panose="020B0604020202020204" pitchFamily="34" charset="0"/>
              </a:defRPr>
            </a:pPr>
            <a:endParaRPr lang="en-US"/>
          </a:p>
        </c:txPr>
        <c:crossAx val="1658176128"/>
        <c:crosses val="max"/>
        <c:crossBetween val="between"/>
      </c:valAx>
      <c:dateAx>
        <c:axId val="1658176128"/>
        <c:scaling>
          <c:orientation val="minMax"/>
        </c:scaling>
        <c:delete val="1"/>
        <c:axPos val="b"/>
        <c:numFmt formatCode="mmm\-yy" sourceLinked="1"/>
        <c:majorTickMark val="out"/>
        <c:minorTickMark val="none"/>
        <c:tickLblPos val="nextTo"/>
        <c:crossAx val="1658171136"/>
        <c:crosses val="autoZero"/>
        <c:auto val="1"/>
        <c:lblOffset val="100"/>
        <c:baseTimeUnit val="months"/>
        <c:majorUnit val="1"/>
        <c:minorUnit val="1"/>
      </c:dateAx>
      <c:spPr>
        <a:noFill/>
        <a:ln>
          <a:noFill/>
        </a:ln>
        <a:effectLst/>
      </c:spPr>
    </c:plotArea>
    <c:legend>
      <c:legendPos val="b"/>
      <c:legendEntry>
        <c:idx val="2"/>
        <c:delete val="1"/>
      </c:legendEntry>
      <c:overlay val="0"/>
      <c:spPr>
        <a:noFill/>
        <a:ln>
          <a:noFill/>
        </a:ln>
        <a:effectLst/>
      </c:spPr>
      <c:txPr>
        <a:bodyPr rot="0" spcFirstLastPara="1" vertOverflow="ellipsis" vert="horz" wrap="square" anchor="ctr" anchorCtr="1"/>
        <a:lstStyle/>
        <a:p>
          <a:pPr>
            <a:defRPr sz="2000" b="0" i="0" u="none" strike="noStrike" kern="1200" baseline="0">
              <a:solidFill>
                <a:schemeClr val="tx1">
                  <a:lumMod val="65000"/>
                  <a:lumOff val="35000"/>
                </a:schemeClr>
              </a:solidFill>
              <a:latin typeface="Arial" panose="020B0604020202020204" pitchFamily="34" charset="0"/>
              <a:ea typeface="Open Sans" panose="020B0606030504020204" pitchFamily="34" charset="0"/>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2000">
          <a:latin typeface="Arial" panose="020B0604020202020204" pitchFamily="34" charset="0"/>
          <a:ea typeface="Open Sans" panose="020B0606030504020204" pitchFamily="34" charset="0"/>
          <a:cs typeface="Arial" panose="020B0604020202020204" pitchFamily="34" charset="0"/>
        </a:defRPr>
      </a:pPr>
      <a:endParaRPr lang="en-US"/>
    </a:p>
  </c:txPr>
  <c:printSettings>
    <c:headerFooter/>
    <c:pageMargins b="0.75" l="0.25" r="0.25" t="0.75" header="0.3" footer="0.3"/>
    <c:pageSetup orientation="landscape"/>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400" b="0" i="0" u="none" strike="noStrike" kern="1200" spc="0" baseline="0">
                <a:solidFill>
                  <a:schemeClr val="tx1">
                    <a:lumMod val="65000"/>
                    <a:lumOff val="35000"/>
                  </a:schemeClr>
                </a:solidFill>
                <a:latin typeface="Arial" panose="020B0604020202020204" pitchFamily="34" charset="0"/>
                <a:ea typeface="Open Sans" panose="020B0606030504020204" pitchFamily="34" charset="0"/>
                <a:cs typeface="Arial" panose="020B0604020202020204" pitchFamily="34" charset="0"/>
              </a:defRPr>
            </a:pPr>
            <a:r>
              <a:rPr lang="en-US"/>
              <a:t>Retail Sales Index</a:t>
            </a:r>
          </a:p>
        </c:rich>
      </c:tx>
      <c:overlay val="0"/>
      <c:spPr>
        <a:noFill/>
        <a:ln>
          <a:noFill/>
        </a:ln>
        <a:effectLst/>
      </c:spPr>
      <c:txPr>
        <a:bodyPr rot="0" spcFirstLastPara="1" vertOverflow="ellipsis" vert="horz" wrap="square" anchor="ctr" anchorCtr="1"/>
        <a:lstStyle/>
        <a:p>
          <a:pPr>
            <a:defRPr sz="2400" b="0" i="0" u="none" strike="noStrike" kern="1200" spc="0" baseline="0">
              <a:solidFill>
                <a:schemeClr val="tx1">
                  <a:lumMod val="65000"/>
                  <a:lumOff val="35000"/>
                </a:schemeClr>
              </a:solidFill>
              <a:latin typeface="Arial" panose="020B0604020202020204" pitchFamily="34" charset="0"/>
              <a:ea typeface="Open Sans" panose="020B0606030504020204" pitchFamily="34" charset="0"/>
              <a:cs typeface="Arial" panose="020B0604020202020204" pitchFamily="34" charset="0"/>
            </a:defRPr>
          </a:pPr>
          <a:endParaRPr lang="en-US"/>
        </a:p>
      </c:txPr>
    </c:title>
    <c:autoTitleDeleted val="0"/>
    <c:plotArea>
      <c:layout>
        <c:manualLayout>
          <c:layoutTarget val="inner"/>
          <c:xMode val="edge"/>
          <c:yMode val="edge"/>
          <c:x val="0.10536881805293601"/>
          <c:y val="8.8432672408408977E-2"/>
          <c:w val="0.87446345868279507"/>
          <c:h val="0.72505176909607882"/>
        </c:manualLayout>
      </c:layout>
      <c:barChart>
        <c:barDir val="col"/>
        <c:grouping val="clustered"/>
        <c:varyColors val="0"/>
        <c:ser>
          <c:idx val="0"/>
          <c:order val="0"/>
          <c:tx>
            <c:strRef>
              <c:f>'Retail Sales Index'!$B$4</c:f>
              <c:strCache>
                <c:ptCount val="1"/>
                <c:pt idx="0">
                  <c:v>Retail Sales Index - YoY % change</c:v>
                </c:pt>
              </c:strCache>
            </c:strRef>
          </c:tx>
          <c:spPr>
            <a:solidFill>
              <a:srgbClr val="25408F"/>
            </a:solidFill>
            <a:ln>
              <a:noFill/>
            </a:ln>
            <a:effectLst/>
          </c:spPr>
          <c:invertIfNegative val="0"/>
          <c:dLbls>
            <c:dLbl>
              <c:idx val="12"/>
              <c:layout>
                <c:manualLayout>
                  <c:x val="0"/>
                  <c:y val="-2.0679110018612158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1402-49C8-B43A-312603FC211E}"/>
                </c:ext>
              </c:extLst>
            </c:dLbl>
            <c:dLbl>
              <c:idx val="26"/>
              <c:layout>
                <c:manualLayout>
                  <c:x val="-1.6454521031891429E-3"/>
                  <c:y val="-2.676120120055691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402-49C8-B43A-312603FC211E}"/>
                </c:ext>
              </c:extLst>
            </c:dLbl>
            <c:spPr>
              <a:noFill/>
              <a:ln>
                <a:noFill/>
              </a:ln>
              <a:effectLst/>
            </c:spPr>
            <c:txPr>
              <a:bodyPr rot="0" spcFirstLastPara="1" vertOverflow="ellipsis" vert="horz" wrap="square" anchor="ctr" anchorCtr="1"/>
              <a:lstStyle/>
              <a:p>
                <a:pPr>
                  <a:defRPr sz="1400" b="0" i="0" u="none" strike="noStrike" kern="1200" baseline="0">
                    <a:solidFill>
                      <a:schemeClr val="tx1">
                        <a:lumMod val="75000"/>
                        <a:lumOff val="25000"/>
                      </a:schemeClr>
                    </a:solidFill>
                    <a:latin typeface="Arial" panose="020B0604020202020204" pitchFamily="34" charset="0"/>
                    <a:ea typeface="Open Sans" panose="020B0606030504020204" pitchFamily="34" charset="0"/>
                    <a:cs typeface="Arial" panose="020B060402020202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'Retail Sales Index'!$A$5:$A$47</c:f>
              <c:numCache>
                <c:formatCode>mmm\-yy</c:formatCode>
                <c:ptCount val="43"/>
                <c:pt idx="0">
                  <c:v>44409</c:v>
                </c:pt>
                <c:pt idx="1">
                  <c:v>44440</c:v>
                </c:pt>
                <c:pt idx="2">
                  <c:v>44470</c:v>
                </c:pt>
                <c:pt idx="3">
                  <c:v>44501</c:v>
                </c:pt>
                <c:pt idx="4">
                  <c:v>44531</c:v>
                </c:pt>
                <c:pt idx="5">
                  <c:v>44562</c:v>
                </c:pt>
                <c:pt idx="6">
                  <c:v>44593</c:v>
                </c:pt>
                <c:pt idx="7">
                  <c:v>44621</c:v>
                </c:pt>
                <c:pt idx="8">
                  <c:v>44652</c:v>
                </c:pt>
                <c:pt idx="9">
                  <c:v>44682</c:v>
                </c:pt>
                <c:pt idx="10">
                  <c:v>44713</c:v>
                </c:pt>
                <c:pt idx="11">
                  <c:v>44743</c:v>
                </c:pt>
                <c:pt idx="12">
                  <c:v>44774</c:v>
                </c:pt>
                <c:pt idx="13">
                  <c:v>44805</c:v>
                </c:pt>
                <c:pt idx="14">
                  <c:v>44835</c:v>
                </c:pt>
                <c:pt idx="15">
                  <c:v>44866</c:v>
                </c:pt>
                <c:pt idx="16">
                  <c:v>44896</c:v>
                </c:pt>
                <c:pt idx="17">
                  <c:v>44927</c:v>
                </c:pt>
                <c:pt idx="18">
                  <c:v>44958</c:v>
                </c:pt>
                <c:pt idx="19">
                  <c:v>44986</c:v>
                </c:pt>
                <c:pt idx="20">
                  <c:v>45017</c:v>
                </c:pt>
                <c:pt idx="21">
                  <c:v>45047</c:v>
                </c:pt>
                <c:pt idx="22">
                  <c:v>45078</c:v>
                </c:pt>
                <c:pt idx="23">
                  <c:v>45108</c:v>
                </c:pt>
                <c:pt idx="24">
                  <c:v>45139</c:v>
                </c:pt>
                <c:pt idx="25">
                  <c:v>45170</c:v>
                </c:pt>
                <c:pt idx="26">
                  <c:v>45200</c:v>
                </c:pt>
                <c:pt idx="27">
                  <c:v>45231</c:v>
                </c:pt>
                <c:pt idx="28">
                  <c:v>45261</c:v>
                </c:pt>
                <c:pt idx="29">
                  <c:v>45292</c:v>
                </c:pt>
                <c:pt idx="30">
                  <c:v>45323</c:v>
                </c:pt>
                <c:pt idx="31">
                  <c:v>45352</c:v>
                </c:pt>
                <c:pt idx="32">
                  <c:v>45383</c:v>
                </c:pt>
                <c:pt idx="33">
                  <c:v>45413</c:v>
                </c:pt>
                <c:pt idx="34">
                  <c:v>45444</c:v>
                </c:pt>
                <c:pt idx="35">
                  <c:v>45474</c:v>
                </c:pt>
                <c:pt idx="36">
                  <c:v>45505</c:v>
                </c:pt>
                <c:pt idx="37">
                  <c:v>45536</c:v>
                </c:pt>
                <c:pt idx="38">
                  <c:v>45566</c:v>
                </c:pt>
                <c:pt idx="39">
                  <c:v>45597</c:v>
                </c:pt>
                <c:pt idx="40">
                  <c:v>45627</c:v>
                </c:pt>
                <c:pt idx="41">
                  <c:v>45658</c:v>
                </c:pt>
                <c:pt idx="42">
                  <c:v>45689</c:v>
                </c:pt>
              </c:numCache>
            </c:numRef>
          </c:cat>
          <c:val>
            <c:numRef>
              <c:f>'Retail Sales Index'!$B$5:$B$50</c:f>
              <c:numCache>
                <c:formatCode>0.0%</c:formatCode>
                <c:ptCount val="46"/>
                <c:pt idx="0">
                  <c:v>0.17300000000000004</c:v>
                </c:pt>
                <c:pt idx="1">
                  <c:v>0.23599999999999999</c:v>
                </c:pt>
                <c:pt idx="2">
                  <c:v>0.27400000000000002</c:v>
                </c:pt>
                <c:pt idx="3">
                  <c:v>0.28499999999999992</c:v>
                </c:pt>
                <c:pt idx="4">
                  <c:v>0.31300000000000017</c:v>
                </c:pt>
                <c:pt idx="5">
                  <c:v>0.22099999999999986</c:v>
                </c:pt>
                <c:pt idx="6">
                  <c:v>0.1120000000000001</c:v>
                </c:pt>
                <c:pt idx="7">
                  <c:v>0.27499999999999991</c:v>
                </c:pt>
                <c:pt idx="8">
                  <c:v>0.29000000000000004</c:v>
                </c:pt>
                <c:pt idx="9">
                  <c:v>0.36499999999999999</c:v>
                </c:pt>
                <c:pt idx="10">
                  <c:v>0.32000000000000006</c:v>
                </c:pt>
                <c:pt idx="11">
                  <c:v>0.34699999999999998</c:v>
                </c:pt>
                <c:pt idx="12">
                  <c:v>0.34599999999999997</c:v>
                </c:pt>
                <c:pt idx="13">
                  <c:v>0.35000000000000009</c:v>
                </c:pt>
                <c:pt idx="14">
                  <c:v>0.38400000000000012</c:v>
                </c:pt>
                <c:pt idx="15">
                  <c:v>0.35599999999999987</c:v>
                </c:pt>
                <c:pt idx="16">
                  <c:v>0.39599999999999985</c:v>
                </c:pt>
                <c:pt idx="17">
                  <c:v>0.33099999999999991</c:v>
                </c:pt>
                <c:pt idx="18">
                  <c:v>0.32555673382820793</c:v>
                </c:pt>
                <c:pt idx="19">
                  <c:v>0.21900000000000008</c:v>
                </c:pt>
                <c:pt idx="20">
                  <c:v>0.18300000000000005</c:v>
                </c:pt>
                <c:pt idx="21">
                  <c:v>0.22900000000000009</c:v>
                </c:pt>
                <c:pt idx="22">
                  <c:v>0.18500000000000005</c:v>
                </c:pt>
                <c:pt idx="23">
                  <c:v>0.16900000000000004</c:v>
                </c:pt>
                <c:pt idx="24">
                  <c:v>0.17100000000000004</c:v>
                </c:pt>
                <c:pt idx="25">
                  <c:v>0.21300000000000008</c:v>
                </c:pt>
                <c:pt idx="26">
                  <c:v>0.21099999999999985</c:v>
                </c:pt>
                <c:pt idx="27">
                  <c:v>0.22099999999999986</c:v>
                </c:pt>
                <c:pt idx="28">
                  <c:v>0.2629999999999999</c:v>
                </c:pt>
                <c:pt idx="29">
                  <c:v>0.16799999999999993</c:v>
                </c:pt>
                <c:pt idx="30">
                  <c:v>0.123</c:v>
                </c:pt>
                <c:pt idx="31">
                  <c:v>0.21999999999999997</c:v>
                </c:pt>
                <c:pt idx="32">
                  <c:v>0.18900000000000006</c:v>
                </c:pt>
                <c:pt idx="33">
                  <c:v>0.23399999999999999</c:v>
                </c:pt>
                <c:pt idx="34">
                  <c:v>0.18599999999999994</c:v>
                </c:pt>
                <c:pt idx="35">
                  <c:v>0.18100000000000005</c:v>
                </c:pt>
                <c:pt idx="36">
                  <c:v>0.18500000000000005</c:v>
                </c:pt>
                <c:pt idx="37">
                  <c:v>0.20599999999999996</c:v>
                </c:pt>
                <c:pt idx="38">
                  <c:v>0.20799999999999996</c:v>
                </c:pt>
                <c:pt idx="39">
                  <c:v>0.22299999999999986</c:v>
                </c:pt>
                <c:pt idx="40">
                  <c:v>0.23799999999999999</c:v>
                </c:pt>
                <c:pt idx="41">
                  <c:v>0.253</c:v>
                </c:pt>
                <c:pt idx="42">
                  <c:v>0.27242567567567566</c:v>
                </c:pt>
                <c:pt idx="43">
                  <c:v>0.29185135135135132</c:v>
                </c:pt>
                <c:pt idx="44">
                  <c:v>0.30225898361501147</c:v>
                </c:pt>
                <c:pt idx="45">
                  <c:v>0.30893121047072458</c:v>
                </c:pt>
              </c:numCache>
            </c:numRef>
          </c:val>
          <c:extLst>
            <c:ext xmlns:c16="http://schemas.microsoft.com/office/drawing/2014/chart" uri="{C3380CC4-5D6E-409C-BE32-E72D297353CC}">
              <c16:uniqueId val="{00000000-D4F3-4A95-ABBA-8EC67C6CA9C8}"/>
            </c:ext>
          </c:extLst>
        </c:ser>
        <c:dLbls>
          <c:showLegendKey val="0"/>
          <c:showVal val="0"/>
          <c:showCatName val="0"/>
          <c:showSerName val="0"/>
          <c:showPercent val="0"/>
          <c:showBubbleSize val="0"/>
        </c:dLbls>
        <c:gapWidth val="219"/>
        <c:overlap val="-27"/>
        <c:axId val="661702000"/>
        <c:axId val="661698256"/>
      </c:barChart>
      <c:dateAx>
        <c:axId val="661702000"/>
        <c:scaling>
          <c:orientation val="minMax"/>
        </c:scaling>
        <c:delete val="0"/>
        <c:axPos val="b"/>
        <c:title>
          <c:tx>
            <c:rich>
              <a:bodyPr rot="0" spcFirstLastPara="1" vertOverflow="ellipsis" vert="horz" wrap="square" anchor="ctr" anchorCtr="1"/>
              <a:lstStyle/>
              <a:p>
                <a:pPr>
                  <a:defRPr sz="2000" b="0" i="0" u="none" strike="noStrike" kern="1200" baseline="0">
                    <a:solidFill>
                      <a:schemeClr val="tx1">
                        <a:lumMod val="65000"/>
                        <a:lumOff val="35000"/>
                      </a:schemeClr>
                    </a:solidFill>
                    <a:latin typeface="Arial" panose="020B0604020202020204" pitchFamily="34" charset="0"/>
                    <a:ea typeface="Open Sans" panose="020B0606030504020204" pitchFamily="34" charset="0"/>
                    <a:cs typeface="Arial" panose="020B0604020202020204" pitchFamily="34" charset="0"/>
                  </a:defRPr>
                </a:pPr>
                <a:r>
                  <a:rPr lang="en-HK"/>
                  <a:t>Month-Year</a:t>
                </a:r>
              </a:p>
            </c:rich>
          </c:tx>
          <c:overlay val="0"/>
          <c:spPr>
            <a:noFill/>
            <a:ln>
              <a:noFill/>
            </a:ln>
            <a:effectLst/>
          </c:spPr>
          <c:txPr>
            <a:bodyPr rot="0" spcFirstLastPara="1" vertOverflow="ellipsis" vert="horz" wrap="square" anchor="ctr" anchorCtr="1"/>
            <a:lstStyle/>
            <a:p>
              <a:pPr>
                <a:defRPr sz="2000" b="0" i="0" u="none" strike="noStrike" kern="1200" baseline="0">
                  <a:solidFill>
                    <a:schemeClr val="tx1">
                      <a:lumMod val="65000"/>
                      <a:lumOff val="35000"/>
                    </a:schemeClr>
                  </a:solidFill>
                  <a:latin typeface="Arial" panose="020B0604020202020204" pitchFamily="34" charset="0"/>
                  <a:ea typeface="Open Sans" panose="020B0606030504020204" pitchFamily="34" charset="0"/>
                  <a:cs typeface="Arial" panose="020B0604020202020204" pitchFamily="34" charset="0"/>
                </a:defRPr>
              </a:pPr>
              <a:endParaRPr lang="en-US"/>
            </a:p>
          </c:txPr>
        </c:title>
        <c:numFmt formatCode="mmm\-yy" sourceLinked="1"/>
        <c:majorTickMark val="out"/>
        <c:minorTickMark val="none"/>
        <c:tickLblPos val="low"/>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2000" b="0" i="0" u="none" strike="noStrike" kern="1200" baseline="0">
                <a:solidFill>
                  <a:schemeClr val="tx1">
                    <a:lumMod val="65000"/>
                    <a:lumOff val="35000"/>
                  </a:schemeClr>
                </a:solidFill>
                <a:latin typeface="Arial" panose="020B0604020202020204" pitchFamily="34" charset="0"/>
                <a:ea typeface="Open Sans" panose="020B0606030504020204" pitchFamily="34" charset="0"/>
                <a:cs typeface="Arial" panose="020B0604020202020204" pitchFamily="34" charset="0"/>
              </a:defRPr>
            </a:pPr>
            <a:endParaRPr lang="en-US"/>
          </a:p>
        </c:txPr>
        <c:crossAx val="661698256"/>
        <c:crosses val="autoZero"/>
        <c:auto val="1"/>
        <c:lblOffset val="100"/>
        <c:baseTimeUnit val="months"/>
      </c:dateAx>
      <c:valAx>
        <c:axId val="66169825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2000" b="0" i="0" u="none" strike="noStrike" kern="1200" baseline="0">
                    <a:solidFill>
                      <a:schemeClr val="tx1">
                        <a:lumMod val="65000"/>
                        <a:lumOff val="35000"/>
                      </a:schemeClr>
                    </a:solidFill>
                    <a:latin typeface="Arial" panose="020B0604020202020204" pitchFamily="34" charset="0"/>
                    <a:ea typeface="Open Sans" panose="020B0606030504020204" pitchFamily="34" charset="0"/>
                    <a:cs typeface="Arial" panose="020B0604020202020204" pitchFamily="34" charset="0"/>
                  </a:defRPr>
                </a:pPr>
                <a:r>
                  <a:rPr lang="en-HK"/>
                  <a:t>YoY % Change</a:t>
                </a:r>
              </a:p>
            </c:rich>
          </c:tx>
          <c:layout>
            <c:manualLayout>
              <c:xMode val="edge"/>
              <c:yMode val="edge"/>
              <c:x val="1.1681783101270965E-2"/>
              <c:y val="0.37637646653917461"/>
            </c:manualLayout>
          </c:layout>
          <c:overlay val="0"/>
          <c:spPr>
            <a:noFill/>
            <a:ln>
              <a:noFill/>
            </a:ln>
            <a:effectLst/>
          </c:spPr>
          <c:txPr>
            <a:bodyPr rot="-5400000" spcFirstLastPara="1" vertOverflow="ellipsis" vert="horz" wrap="square" anchor="ctr" anchorCtr="1"/>
            <a:lstStyle/>
            <a:p>
              <a:pPr>
                <a:defRPr sz="2000" b="0" i="0" u="none" strike="noStrike" kern="1200" baseline="0">
                  <a:solidFill>
                    <a:schemeClr val="tx1">
                      <a:lumMod val="65000"/>
                      <a:lumOff val="35000"/>
                    </a:schemeClr>
                  </a:solidFill>
                  <a:latin typeface="Arial" panose="020B0604020202020204" pitchFamily="34" charset="0"/>
                  <a:ea typeface="Open Sans" panose="020B0606030504020204" pitchFamily="34" charset="0"/>
                  <a:cs typeface="Arial" panose="020B0604020202020204" pitchFamily="34" charset="0"/>
                </a:defRPr>
              </a:pPr>
              <a:endParaRPr lang="en-US"/>
            </a:p>
          </c:txPr>
        </c:title>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2000" b="0" i="0" u="none" strike="noStrike" kern="1200" baseline="0">
                <a:solidFill>
                  <a:schemeClr val="tx1">
                    <a:lumMod val="65000"/>
                    <a:lumOff val="35000"/>
                  </a:schemeClr>
                </a:solidFill>
                <a:latin typeface="Arial" panose="020B0604020202020204" pitchFamily="34" charset="0"/>
                <a:ea typeface="Open Sans" panose="020B0606030504020204" pitchFamily="34" charset="0"/>
                <a:cs typeface="Arial" panose="020B0604020202020204" pitchFamily="34" charset="0"/>
              </a:defRPr>
            </a:pPr>
            <a:endParaRPr lang="en-US"/>
          </a:p>
        </c:txPr>
        <c:crossAx val="66170200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2000" b="0" i="0" u="none" strike="noStrike" kern="1200" baseline="0">
              <a:solidFill>
                <a:schemeClr val="tx1">
                  <a:lumMod val="65000"/>
                  <a:lumOff val="35000"/>
                </a:schemeClr>
              </a:solidFill>
              <a:latin typeface="Arial" panose="020B0604020202020204" pitchFamily="34" charset="0"/>
              <a:ea typeface="Open Sans" panose="020B0606030504020204" pitchFamily="34" charset="0"/>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2000">
          <a:latin typeface="Arial" panose="020B0604020202020204" pitchFamily="34" charset="0"/>
          <a:ea typeface="Open Sans" panose="020B0606030504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920" b="0" i="0" u="none" strike="noStrike" kern="1200" spc="0" baseline="0">
                <a:solidFill>
                  <a:schemeClr val="tx1">
                    <a:lumMod val="65000"/>
                    <a:lumOff val="35000"/>
                  </a:schemeClr>
                </a:solidFill>
                <a:latin typeface="Arial" panose="020B0604020202020204" pitchFamily="34" charset="0"/>
                <a:ea typeface="Open Sans" panose="020B0606030504020204" pitchFamily="34" charset="0"/>
                <a:cs typeface="Arial" panose="020B0604020202020204" pitchFamily="34" charset="0"/>
              </a:defRPr>
            </a:pPr>
            <a:r>
              <a:rPr lang="en-US"/>
              <a:t>Unemployment Rate</a:t>
            </a:r>
          </a:p>
        </c:rich>
      </c:tx>
      <c:overlay val="0"/>
      <c:spPr>
        <a:noFill/>
        <a:ln>
          <a:noFill/>
        </a:ln>
        <a:effectLst/>
      </c:spPr>
      <c:txPr>
        <a:bodyPr rot="0" spcFirstLastPara="1" vertOverflow="ellipsis" vert="horz" wrap="square" anchor="ctr" anchorCtr="1"/>
        <a:lstStyle/>
        <a:p>
          <a:pPr>
            <a:defRPr sz="1920" b="0" i="0" u="none" strike="noStrike" kern="1200" spc="0" baseline="0">
              <a:solidFill>
                <a:schemeClr val="tx1">
                  <a:lumMod val="65000"/>
                  <a:lumOff val="35000"/>
                </a:schemeClr>
              </a:solidFill>
              <a:latin typeface="Arial" panose="020B0604020202020204" pitchFamily="34" charset="0"/>
              <a:ea typeface="Open Sans" panose="020B0606030504020204" pitchFamily="34" charset="0"/>
              <a:cs typeface="Arial" panose="020B0604020202020204" pitchFamily="34" charset="0"/>
            </a:defRPr>
          </a:pPr>
          <a:endParaRPr lang="en-US"/>
        </a:p>
      </c:txPr>
    </c:title>
    <c:autoTitleDeleted val="0"/>
    <c:plotArea>
      <c:layout/>
      <c:lineChart>
        <c:grouping val="standard"/>
        <c:varyColors val="0"/>
        <c:ser>
          <c:idx val="0"/>
          <c:order val="0"/>
          <c:tx>
            <c:strRef>
              <c:f>'Unemployment Rate'!$B$4</c:f>
              <c:strCache>
                <c:ptCount val="1"/>
                <c:pt idx="0">
                  <c:v>Unemployment Rate</c:v>
                </c:pt>
              </c:strCache>
            </c:strRef>
          </c:tx>
          <c:spPr>
            <a:ln w="28575" cap="rnd">
              <a:solidFill>
                <a:srgbClr val="25408F"/>
              </a:solidFill>
              <a:round/>
            </a:ln>
            <a:effectLst/>
          </c:spPr>
          <c:marker>
            <c:symbol val="diamond"/>
            <c:size val="5"/>
            <c:spPr>
              <a:solidFill>
                <a:srgbClr val="ED1B34"/>
              </a:solidFill>
              <a:ln w="9525">
                <a:solidFill>
                  <a:srgbClr val="25408F"/>
                </a:solidFill>
              </a:ln>
              <a:effectLst/>
            </c:spPr>
          </c:marker>
          <c:dLbls>
            <c:dLbl>
              <c:idx val="19"/>
              <c:layout>
                <c:manualLayout>
                  <c:x val="-1.9972865157800009E-2"/>
                  <c:y val="-3.639250371734452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6C90-4F8C-936F-4B4AAC694DFC}"/>
                </c:ext>
              </c:extLst>
            </c:dLbl>
            <c:dLbl>
              <c:idx val="20"/>
              <c:layout>
                <c:manualLayout>
                  <c:x val="-1.3375056211408574E-2"/>
                  <c:y val="5.958772586686073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C90-4F8C-936F-4B4AAC694DFC}"/>
                </c:ext>
              </c:extLst>
            </c:dLbl>
            <c:spPr>
              <a:noFill/>
              <a:ln>
                <a:noFill/>
              </a:ln>
              <a:effectLst/>
            </c:spPr>
            <c:txPr>
              <a:bodyPr rot="0" spcFirstLastPara="1" vertOverflow="ellipsis" vert="horz" wrap="square" anchor="ctr" anchorCtr="1"/>
              <a:lstStyle/>
              <a:p>
                <a:pPr>
                  <a:defRPr sz="1600" b="0" i="0" u="none" strike="noStrike" kern="1200" baseline="0">
                    <a:solidFill>
                      <a:schemeClr val="tx1">
                        <a:lumMod val="75000"/>
                        <a:lumOff val="25000"/>
                      </a:schemeClr>
                    </a:solidFill>
                    <a:latin typeface="Arial" panose="020B0604020202020204" pitchFamily="34" charset="0"/>
                    <a:ea typeface="Open Sans" panose="020B0606030504020204" pitchFamily="34" charset="0"/>
                    <a:cs typeface="Arial" panose="020B0604020202020204" pitchFamily="34" charset="0"/>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'Unemployment Rate'!$A$5:$A$30</c:f>
              <c:strCache>
                <c:ptCount val="13"/>
                <c:pt idx="0">
                  <c:v>2019</c:v>
                </c:pt>
                <c:pt idx="1">
                  <c:v>2020</c:v>
                </c:pt>
                <c:pt idx="2">
                  <c:v>2021</c:v>
                </c:pt>
                <c:pt idx="3">
                  <c:v>2022</c:v>
                </c:pt>
                <c:pt idx="4">
                  <c:v>2023</c:v>
                </c:pt>
                <c:pt idx="5">
                  <c:v>1Q 2024</c:v>
                </c:pt>
                <c:pt idx="6">
                  <c:v>2Q 2024</c:v>
                </c:pt>
                <c:pt idx="7">
                  <c:v>3Q 2024</c:v>
                </c:pt>
                <c:pt idx="8">
                  <c:v>4Q 2024</c:v>
                </c:pt>
                <c:pt idx="9">
                  <c:v>1Q 2025</c:v>
                </c:pt>
                <c:pt idx="10">
                  <c:v>2Q 2025</c:v>
                </c:pt>
                <c:pt idx="11">
                  <c:v>3Q 2025</c:v>
                </c:pt>
                <c:pt idx="12">
                  <c:v>4Q 2025</c:v>
                </c:pt>
              </c:strCache>
            </c:strRef>
          </c:cat>
          <c:val>
            <c:numRef>
              <c:f>'Unemployment Rate'!$B$5:$B$30</c:f>
              <c:numCache>
                <c:formatCode>0.0%</c:formatCode>
                <c:ptCount val="13"/>
                <c:pt idx="0">
                  <c:v>3.7999999999999999E-2</c:v>
                </c:pt>
                <c:pt idx="1">
                  <c:v>0.04</c:v>
                </c:pt>
                <c:pt idx="2">
                  <c:v>3.7000000000000005E-2</c:v>
                </c:pt>
                <c:pt idx="3">
                  <c:v>2.9000000000000001E-2</c:v>
                </c:pt>
                <c:pt idx="4">
                  <c:v>2.7E-2</c:v>
                </c:pt>
                <c:pt idx="5">
                  <c:v>2.8000000000000001E-2</c:v>
                </c:pt>
                <c:pt idx="6">
                  <c:v>2.8000000000000001E-2</c:v>
                </c:pt>
                <c:pt idx="7">
                  <c:v>2.5000000000000001E-2</c:v>
                </c:pt>
                <c:pt idx="8">
                  <c:v>2.4E-2</c:v>
                </c:pt>
                <c:pt idx="9">
                  <c:v>3.6999999999999998E-2</c:v>
                </c:pt>
                <c:pt idx="10">
                  <c:v>3.3000000000000002E-2</c:v>
                </c:pt>
                <c:pt idx="11">
                  <c:v>2.5000000000000001E-2</c:v>
                </c:pt>
                <c:pt idx="12">
                  <c:v>2.5999999999999999E-2</c:v>
                </c:pt>
              </c:numCache>
            </c:numRef>
          </c:val>
          <c:smooth val="0"/>
          <c:extLst>
            <c:ext xmlns:c16="http://schemas.microsoft.com/office/drawing/2014/chart" uri="{C3380CC4-5D6E-409C-BE32-E72D297353CC}">
              <c16:uniqueId val="{00000000-A638-43F1-A0EB-3266FE2C4385}"/>
            </c:ext>
          </c:extLst>
        </c:ser>
        <c:dLbls>
          <c:showLegendKey val="0"/>
          <c:showVal val="0"/>
          <c:showCatName val="0"/>
          <c:showSerName val="0"/>
          <c:showPercent val="0"/>
          <c:showBubbleSize val="0"/>
        </c:dLbls>
        <c:marker val="1"/>
        <c:smooth val="0"/>
        <c:axId val="1551654032"/>
        <c:axId val="1551654448"/>
      </c:lineChart>
      <c:catAx>
        <c:axId val="1551654032"/>
        <c:scaling>
          <c:orientation val="minMax"/>
        </c:scaling>
        <c:delete val="0"/>
        <c:axPos val="b"/>
        <c:title>
          <c:tx>
            <c:rich>
              <a:bodyPr rot="0" spcFirstLastPara="1" vertOverflow="ellipsis" vert="horz" wrap="square" anchor="ctr" anchorCtr="1"/>
              <a:lstStyle/>
              <a:p>
                <a:pPr>
                  <a:defRPr sz="1600" b="0" i="0" u="none" strike="noStrike" kern="1200" baseline="0">
                    <a:solidFill>
                      <a:schemeClr val="tx1">
                        <a:lumMod val="65000"/>
                        <a:lumOff val="35000"/>
                      </a:schemeClr>
                    </a:solidFill>
                    <a:latin typeface="Arial" panose="020B0604020202020204" pitchFamily="34" charset="0"/>
                    <a:ea typeface="Open Sans" panose="020B0606030504020204" pitchFamily="34" charset="0"/>
                    <a:cs typeface="Arial" panose="020B0604020202020204" pitchFamily="34" charset="0"/>
                  </a:defRPr>
                </a:pPr>
                <a:r>
                  <a:rPr lang="en-HK"/>
                  <a:t>Year and Quarter</a:t>
                </a:r>
              </a:p>
            </c:rich>
          </c:tx>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Arial" panose="020B0604020202020204" pitchFamily="34" charset="0"/>
                  <a:ea typeface="Open Sans" panose="020B0606030504020204" pitchFamily="34" charset="0"/>
                  <a:cs typeface="Arial" panose="020B0604020202020204" pitchFamily="34" charset="0"/>
                </a:defRPr>
              </a:pPr>
              <a:endParaRPr lang="en-US"/>
            </a:p>
          </c:txPr>
        </c:title>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Arial" panose="020B0604020202020204" pitchFamily="34" charset="0"/>
                <a:ea typeface="Open Sans" panose="020B0606030504020204" pitchFamily="34" charset="0"/>
                <a:cs typeface="Arial" panose="020B0604020202020204" pitchFamily="34" charset="0"/>
              </a:defRPr>
            </a:pPr>
            <a:endParaRPr lang="en-US"/>
          </a:p>
        </c:txPr>
        <c:crossAx val="1551654448"/>
        <c:crosses val="autoZero"/>
        <c:auto val="1"/>
        <c:lblAlgn val="ctr"/>
        <c:lblOffset val="100"/>
        <c:noMultiLvlLbl val="0"/>
      </c:catAx>
      <c:valAx>
        <c:axId val="1551654448"/>
        <c:scaling>
          <c:orientation val="minMax"/>
          <c:min val="2.0000000000000004E-2"/>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600" b="0" i="0" u="none" strike="noStrike" kern="1200" baseline="0">
                    <a:solidFill>
                      <a:schemeClr val="tx1">
                        <a:lumMod val="65000"/>
                        <a:lumOff val="35000"/>
                      </a:schemeClr>
                    </a:solidFill>
                    <a:latin typeface="Arial" panose="020B0604020202020204" pitchFamily="34" charset="0"/>
                    <a:ea typeface="Open Sans" panose="020B0606030504020204" pitchFamily="34" charset="0"/>
                    <a:cs typeface="Arial" panose="020B0604020202020204" pitchFamily="34" charset="0"/>
                  </a:defRPr>
                </a:pPr>
                <a:r>
                  <a:rPr lang="en-HK"/>
                  <a:t>Rate (%)</a:t>
                </a:r>
              </a:p>
            </c:rich>
          </c:tx>
          <c:layout>
            <c:manualLayout>
              <c:xMode val="edge"/>
              <c:yMode val="edge"/>
              <c:x val="1.303234804373396E-2"/>
              <c:y val="0.28809168664786811"/>
            </c:manualLayout>
          </c:layout>
          <c:overlay val="0"/>
          <c:spPr>
            <a:noFill/>
            <a:ln>
              <a:noFill/>
            </a:ln>
            <a:effectLst/>
          </c:spPr>
          <c:txPr>
            <a:bodyPr rot="-5400000" spcFirstLastPara="1" vertOverflow="ellipsis" vert="horz" wrap="square" anchor="ctr" anchorCtr="1"/>
            <a:lstStyle/>
            <a:p>
              <a:pPr>
                <a:defRPr sz="1600" b="0" i="0" u="none" strike="noStrike" kern="1200" baseline="0">
                  <a:solidFill>
                    <a:schemeClr val="tx1">
                      <a:lumMod val="65000"/>
                      <a:lumOff val="35000"/>
                    </a:schemeClr>
                  </a:solidFill>
                  <a:latin typeface="Arial" panose="020B0604020202020204" pitchFamily="34" charset="0"/>
                  <a:ea typeface="Open Sans" panose="020B0606030504020204" pitchFamily="34" charset="0"/>
                  <a:cs typeface="Arial" panose="020B0604020202020204" pitchFamily="34" charset="0"/>
                </a:defRPr>
              </a:pPr>
              <a:endParaRPr lang="en-US"/>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Arial" panose="020B0604020202020204" pitchFamily="34" charset="0"/>
                <a:ea typeface="Open Sans" panose="020B0606030504020204" pitchFamily="34" charset="0"/>
                <a:cs typeface="Arial" panose="020B0604020202020204" pitchFamily="34" charset="0"/>
              </a:defRPr>
            </a:pPr>
            <a:endParaRPr lang="en-US"/>
          </a:p>
        </c:txPr>
        <c:crossAx val="155165403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Arial" panose="020B0604020202020204" pitchFamily="34" charset="0"/>
              <a:ea typeface="Open Sans" panose="020B0606030504020204" pitchFamily="34" charset="0"/>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600">
          <a:latin typeface="Arial" panose="020B0604020202020204" pitchFamily="34" charset="0"/>
          <a:ea typeface="Open Sans" panose="020B0606030504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400" b="0" i="0" u="none" strike="noStrike" kern="1200" spc="0" baseline="0">
                <a:solidFill>
                  <a:schemeClr val="tx1">
                    <a:lumMod val="65000"/>
                    <a:lumOff val="35000"/>
                  </a:schemeClr>
                </a:solidFill>
                <a:latin typeface="Arial" panose="020B0604020202020204" pitchFamily="34" charset="0"/>
                <a:ea typeface="Open Sans" panose="020B0606030504020204" pitchFamily="34" charset="0"/>
                <a:cs typeface="Arial" panose="020B0604020202020204" pitchFamily="34" charset="0"/>
              </a:defRPr>
            </a:pPr>
            <a:r>
              <a:rPr lang="en-HK"/>
              <a:t>Distribution of Grade A Office Building Stock </a:t>
            </a:r>
          </a:p>
          <a:p>
            <a:pPr>
              <a:defRPr/>
            </a:pPr>
            <a:r>
              <a:rPr lang="en-HK"/>
              <a:t>by Submarkets: CBD, GBD, YBD</a:t>
            </a:r>
          </a:p>
        </c:rich>
      </c:tx>
      <c:layout>
        <c:manualLayout>
          <c:xMode val="edge"/>
          <c:yMode val="edge"/>
          <c:x val="0.14324605964804113"/>
          <c:y val="0"/>
        </c:manualLayout>
      </c:layout>
      <c:overlay val="0"/>
      <c:spPr>
        <a:noFill/>
        <a:ln>
          <a:noFill/>
        </a:ln>
        <a:effectLst/>
      </c:spPr>
      <c:txPr>
        <a:bodyPr rot="0" spcFirstLastPara="1" vertOverflow="ellipsis" vert="horz" wrap="square" anchor="ctr" anchorCtr="1"/>
        <a:lstStyle/>
        <a:p>
          <a:pPr>
            <a:defRPr sz="2400" b="0" i="0" u="none" strike="noStrike" kern="1200" spc="0" baseline="0">
              <a:solidFill>
                <a:schemeClr val="tx1">
                  <a:lumMod val="65000"/>
                  <a:lumOff val="35000"/>
                </a:schemeClr>
              </a:solidFill>
              <a:latin typeface="Arial" panose="020B0604020202020204" pitchFamily="34" charset="0"/>
              <a:ea typeface="Open Sans" panose="020B0606030504020204" pitchFamily="34" charset="0"/>
              <a:cs typeface="Arial" panose="020B0604020202020204" pitchFamily="34" charset="0"/>
            </a:defRPr>
          </a:pPr>
          <a:endParaRPr lang="en-US"/>
        </a:p>
      </c:txPr>
    </c:title>
    <c:autoTitleDeleted val="0"/>
    <c:plotArea>
      <c:layout>
        <c:manualLayout>
          <c:layoutTarget val="inner"/>
          <c:xMode val="edge"/>
          <c:yMode val="edge"/>
          <c:x val="0.31306090129582348"/>
          <c:y val="0.20686943867205324"/>
          <c:w val="0.36571788140083822"/>
          <c:h val="0.66418662686792407"/>
        </c:manualLayout>
      </c:layout>
      <c:pieChart>
        <c:varyColors val="1"/>
        <c:ser>
          <c:idx val="0"/>
          <c:order val="0"/>
          <c:explosion val="1"/>
          <c:dPt>
            <c:idx val="0"/>
            <c:bubble3D val="0"/>
            <c:spPr>
              <a:solidFill>
                <a:srgbClr val="0C9ED9"/>
              </a:solidFill>
              <a:ln w="19050">
                <a:solidFill>
                  <a:schemeClr val="lt1"/>
                </a:solidFill>
              </a:ln>
              <a:effectLst/>
            </c:spPr>
            <c:extLst>
              <c:ext xmlns:c16="http://schemas.microsoft.com/office/drawing/2014/chart" uri="{C3380CC4-5D6E-409C-BE32-E72D297353CC}">
                <c16:uniqueId val="{00000001-9459-4061-88DD-50BD3838C1AD}"/>
              </c:ext>
            </c:extLst>
          </c:dPt>
          <c:dPt>
            <c:idx val="1"/>
            <c:bubble3D val="0"/>
            <c:spPr>
              <a:solidFill>
                <a:srgbClr val="B7E4F4"/>
              </a:solidFill>
              <a:ln w="19050">
                <a:solidFill>
                  <a:schemeClr val="lt1"/>
                </a:solidFill>
              </a:ln>
              <a:effectLst/>
            </c:spPr>
            <c:extLst>
              <c:ext xmlns:c16="http://schemas.microsoft.com/office/drawing/2014/chart" uri="{C3380CC4-5D6E-409C-BE32-E72D297353CC}">
                <c16:uniqueId val="{00000003-9459-4061-88DD-50BD3838C1A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459-4061-88DD-50BD3838C1AD}"/>
              </c:ext>
            </c:extLst>
          </c:dPt>
          <c:dLbls>
            <c:dLbl>
              <c:idx val="0"/>
              <c:layout>
                <c:manualLayout>
                  <c:x val="-0.12527299250072685"/>
                  <c:y val="2.499934282674536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9459-4061-88DD-50BD3838C1AD}"/>
                </c:ext>
              </c:extLst>
            </c:dLbl>
            <c:dLbl>
              <c:idx val="1"/>
              <c:layout>
                <c:manualLayout>
                  <c:x val="9.8229320637423762E-2"/>
                  <c:y val="-0.1049945639572817"/>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9459-4061-88DD-50BD3838C1AD}"/>
                </c:ext>
              </c:extLst>
            </c:dLbl>
            <c:dLbl>
              <c:idx val="2"/>
              <c:layout>
                <c:manualLayout>
                  <c:x val="9.9368764455306985E-2"/>
                  <c:y val="9.6006322715040074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9459-4061-88DD-50BD3838C1AD}"/>
                </c:ext>
              </c:extLst>
            </c:dLbl>
            <c:numFmt formatCode="0.0%" sourceLinked="0"/>
            <c:spPr>
              <a:noFill/>
              <a:ln>
                <a:noFill/>
              </a:ln>
              <a:effectLst/>
            </c:spPr>
            <c:txPr>
              <a:bodyPr rot="0" spcFirstLastPara="1" vertOverflow="ellipsis" vert="horz" wrap="square" anchor="ctr" anchorCtr="1"/>
              <a:lstStyle/>
              <a:p>
                <a:pPr>
                  <a:defRPr sz="2000" b="0" i="0" u="none" strike="noStrike" kern="1200" baseline="0">
                    <a:solidFill>
                      <a:schemeClr val="tx1">
                        <a:lumMod val="75000"/>
                        <a:lumOff val="25000"/>
                      </a:schemeClr>
                    </a:solidFill>
                    <a:latin typeface="Arial" panose="020B0604020202020204" pitchFamily="34" charset="0"/>
                    <a:ea typeface="Open Sans" panose="020B0606030504020204" pitchFamily="34" charset="0"/>
                    <a:cs typeface="Arial" panose="020B0604020202020204" pitchFamily="34" charset="0"/>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'Existing Supply'!$A$24:$A$26</c:f>
              <c:strCache>
                <c:ptCount val="3"/>
                <c:pt idx="0">
                  <c:v>CBD</c:v>
                </c:pt>
                <c:pt idx="1">
                  <c:v>GBD</c:v>
                </c:pt>
                <c:pt idx="2">
                  <c:v>YBD</c:v>
                </c:pt>
              </c:strCache>
            </c:strRef>
          </c:cat>
          <c:val>
            <c:numRef>
              <c:f>'Existing Supply'!$F$24:$F$26</c:f>
              <c:numCache>
                <c:formatCode>0%</c:formatCode>
                <c:ptCount val="3"/>
                <c:pt idx="0">
                  <c:v>0.43564284875202197</c:v>
                </c:pt>
                <c:pt idx="1">
                  <c:v>0.33157599862723403</c:v>
                </c:pt>
                <c:pt idx="2">
                  <c:v>0.23278115262074392</c:v>
                </c:pt>
              </c:numCache>
            </c:numRef>
          </c:val>
          <c:extLst>
            <c:ext xmlns:c16="http://schemas.microsoft.com/office/drawing/2014/chart" uri="{C3380CC4-5D6E-409C-BE32-E72D297353CC}">
              <c16:uniqueId val="{00000006-9459-4061-88DD-50BD3838C1AD}"/>
            </c:ext>
          </c:extLst>
        </c:ser>
        <c:dLbls>
          <c:showLegendKey val="0"/>
          <c:showVal val="0"/>
          <c:showCatName val="0"/>
          <c:showSerName val="0"/>
          <c:showPercent val="1"/>
          <c:showBubbleSize val="0"/>
          <c:showLeaderLines val="1"/>
        </c:dLbls>
        <c:firstSliceAng val="0"/>
      </c:pieChart>
      <c:spPr>
        <a:noFill/>
        <a:ln>
          <a:noFill/>
        </a:ln>
        <a:effectLst/>
      </c:spPr>
    </c:plotArea>
    <c:legend>
      <c:legendPos val="b"/>
      <c:overlay val="1"/>
      <c:spPr>
        <a:noFill/>
        <a:ln>
          <a:noFill/>
        </a:ln>
        <a:effectLst/>
      </c:spPr>
      <c:txPr>
        <a:bodyPr rot="0" spcFirstLastPara="1" vertOverflow="ellipsis" vert="horz" wrap="square" anchor="ctr" anchorCtr="1"/>
        <a:lstStyle/>
        <a:p>
          <a:pPr>
            <a:defRPr sz="2000" b="0" i="0" u="none" strike="noStrike" kern="1200" baseline="0">
              <a:solidFill>
                <a:schemeClr val="tx1">
                  <a:lumMod val="65000"/>
                  <a:lumOff val="35000"/>
                </a:schemeClr>
              </a:solidFill>
              <a:latin typeface="Arial" panose="020B0604020202020204" pitchFamily="34" charset="0"/>
              <a:ea typeface="Open Sans" panose="020B0606030504020204" pitchFamily="34" charset="0"/>
              <a:cs typeface="Arial" panose="020B0604020202020204" pitchFamily="34" charset="0"/>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2000">
          <a:latin typeface="Arial" panose="020B0604020202020204" pitchFamily="34" charset="0"/>
          <a:ea typeface="Open Sans" panose="020B0606030504020204" pitchFamily="34" charset="0"/>
          <a:cs typeface="Arial" panose="020B0604020202020204" pitchFamily="34" charset="0"/>
        </a:defRPr>
      </a:pPr>
      <a:endParaRPr lang="en-US"/>
    </a:p>
  </c:txPr>
  <c:printSettings>
    <c:headerFooter/>
    <c:pageMargins b="0.75" l="0.7" r="0.7" t="0.75" header="0.3" footer="0.3"/>
    <c:pageSetup orientation="landscape"/>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400" b="0" i="0" u="none" strike="noStrike" kern="1200" spc="0" baseline="0">
                <a:solidFill>
                  <a:sysClr val="windowText" lastClr="000000"/>
                </a:solidFill>
                <a:latin typeface="Arial" panose="020B0604020202020204" pitchFamily="34" charset="0"/>
                <a:ea typeface="Open Sans" panose="020B0606030504020204" pitchFamily="34" charset="0"/>
                <a:cs typeface="Arial" panose="020B0604020202020204" pitchFamily="34" charset="0"/>
              </a:defRPr>
            </a:pPr>
            <a:r>
              <a:rPr lang="en-HK"/>
              <a:t>Future Supply by Submarkets: CBD, GBD, YBD</a:t>
            </a:r>
          </a:p>
        </c:rich>
      </c:tx>
      <c:layout>
        <c:manualLayout>
          <c:xMode val="edge"/>
          <c:yMode val="edge"/>
          <c:x val="0.24163434605396156"/>
          <c:y val="5.2938658873824245E-3"/>
        </c:manualLayout>
      </c:layout>
      <c:overlay val="0"/>
      <c:spPr>
        <a:noFill/>
        <a:ln>
          <a:noFill/>
        </a:ln>
        <a:effectLst/>
      </c:spPr>
      <c:txPr>
        <a:bodyPr rot="0" spcFirstLastPara="1" vertOverflow="ellipsis" vert="horz" wrap="square" anchor="ctr" anchorCtr="1"/>
        <a:lstStyle/>
        <a:p>
          <a:pPr>
            <a:defRPr sz="2400" b="0" i="0" u="none" strike="noStrike" kern="1200" spc="0" baseline="0">
              <a:solidFill>
                <a:sysClr val="windowText" lastClr="000000"/>
              </a:solidFill>
              <a:latin typeface="Arial" panose="020B0604020202020204" pitchFamily="34" charset="0"/>
              <a:ea typeface="Open Sans" panose="020B0606030504020204" pitchFamily="34" charset="0"/>
              <a:cs typeface="Arial" panose="020B0604020202020204" pitchFamily="34" charset="0"/>
            </a:defRPr>
          </a:pPr>
          <a:endParaRPr lang="en-US"/>
        </a:p>
      </c:txPr>
    </c:title>
    <c:autoTitleDeleted val="0"/>
    <c:plotArea>
      <c:layout>
        <c:manualLayout>
          <c:layoutTarget val="inner"/>
          <c:xMode val="edge"/>
          <c:yMode val="edge"/>
          <c:x val="0.19215586163080431"/>
          <c:y val="0.12846059483547626"/>
          <c:w val="0.79289484323771131"/>
          <c:h val="0.76247242392167025"/>
        </c:manualLayout>
      </c:layout>
      <c:barChart>
        <c:barDir val="col"/>
        <c:grouping val="stacked"/>
        <c:varyColors val="0"/>
        <c:ser>
          <c:idx val="0"/>
          <c:order val="0"/>
          <c:tx>
            <c:strRef>
              <c:f>'Future Supply'!$E$5</c:f>
              <c:strCache>
                <c:ptCount val="1"/>
                <c:pt idx="0">
                  <c:v>CBD</c:v>
                </c:pt>
              </c:strCache>
            </c:strRef>
          </c:tx>
          <c:spPr>
            <a:solidFill>
              <a:srgbClr val="25408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bg1"/>
                    </a:solidFill>
                    <a:latin typeface="Arial" panose="020B0604020202020204" pitchFamily="34" charset="0"/>
                    <a:ea typeface="Open Sans" panose="020B0606030504020204" pitchFamily="34" charset="0"/>
                    <a:cs typeface="Arial" panose="020B0604020202020204" pitchFamily="34" charset="0"/>
                  </a:defRPr>
                </a:pPr>
                <a:endParaRPr lang="ko-KR"/>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'Future Supply'!$F$4:$M$4</c15:sqref>
                  </c15:fullRef>
                </c:ext>
              </c:extLst>
              <c:f>'Future Supply'!$G$4:$I$4</c:f>
              <c:strCache>
                <c:ptCount val="3"/>
                <c:pt idx="0">
                  <c:v>2026F</c:v>
                </c:pt>
                <c:pt idx="1">
                  <c:v>2027F</c:v>
                </c:pt>
                <c:pt idx="2">
                  <c:v>2028F</c:v>
                </c:pt>
              </c:strCache>
            </c:strRef>
          </c:cat>
          <c:val>
            <c:numRef>
              <c:extLst>
                <c:ext xmlns:c15="http://schemas.microsoft.com/office/drawing/2012/chart" uri="{02D57815-91ED-43cb-92C2-25804820EDAC}">
                  <c15:fullRef>
                    <c15:sqref>'Future Supply'!$F$5:$M$5</c15:sqref>
                  </c15:fullRef>
                </c:ext>
              </c:extLst>
              <c:f>'Future Supply'!$G$5:$I$5</c:f>
              <c:numCache>
                <c:formatCode>_-* #,##0_-;\-* #,##0_-;_-* "-"_-;_-@_-</c:formatCode>
                <c:ptCount val="3"/>
                <c:pt idx="0">
                  <c:v>89805.209999999992</c:v>
                </c:pt>
                <c:pt idx="1">
                  <c:v>86697.826125000007</c:v>
                </c:pt>
                <c:pt idx="2">
                  <c:v>177686.55282499999</c:v>
                </c:pt>
              </c:numCache>
            </c:numRef>
          </c:val>
          <c:extLst>
            <c:ext xmlns:c16="http://schemas.microsoft.com/office/drawing/2014/chart" uri="{C3380CC4-5D6E-409C-BE32-E72D297353CC}">
              <c16:uniqueId val="{00000001-8D69-480A-98BA-A879F51075F2}"/>
            </c:ext>
          </c:extLst>
        </c:ser>
        <c:ser>
          <c:idx val="1"/>
          <c:order val="1"/>
          <c:tx>
            <c:strRef>
              <c:f>'Future Supply'!$E$6</c:f>
              <c:strCache>
                <c:ptCount val="1"/>
                <c:pt idx="0">
                  <c:v>GBD</c:v>
                </c:pt>
              </c:strCache>
            </c:strRef>
          </c:tx>
          <c:spPr>
            <a:solidFill>
              <a:srgbClr val="0C9ED9"/>
            </a:solidFill>
            <a:ln>
              <a:noFill/>
            </a:ln>
            <a:effectLst/>
          </c:spPr>
          <c:invertIfNegative val="0"/>
          <c:dLbls>
            <c:dLbl>
              <c:idx val="0"/>
              <c:delete val="1"/>
              <c:extLst>
                <c:ext xmlns:c15="http://schemas.microsoft.com/office/drawing/2012/chart" uri="{CE6537A1-D6FC-4f65-9D91-7224C49458BB}"/>
                <c:ext xmlns:c16="http://schemas.microsoft.com/office/drawing/2014/chart" uri="{C3380CC4-5D6E-409C-BE32-E72D297353CC}">
                  <c16:uniqueId val="{00000001-6CDC-47F8-B762-D146509AA667}"/>
                </c:ext>
              </c:extLst>
            </c:dLbl>
            <c:dLbl>
              <c:idx val="1"/>
              <c:delete val="1"/>
              <c:extLst>
                <c:ext xmlns:c15="http://schemas.microsoft.com/office/drawing/2012/chart" uri="{CE6537A1-D6FC-4f65-9D91-7224C49458BB}"/>
                <c:ext xmlns:c16="http://schemas.microsoft.com/office/drawing/2014/chart" uri="{C3380CC4-5D6E-409C-BE32-E72D297353CC}">
                  <c16:uniqueId val="{00000002-8D69-480A-98BA-A879F51075F2}"/>
                </c:ext>
              </c:extLst>
            </c:dLbl>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bg1"/>
                    </a:solidFill>
                    <a:latin typeface="Arial" panose="020B0604020202020204" pitchFamily="34" charset="0"/>
                    <a:ea typeface="Open Sans" panose="020B0606030504020204" pitchFamily="34" charset="0"/>
                    <a:cs typeface="Arial" panose="020B0604020202020204" pitchFamily="34" charset="0"/>
                  </a:defRPr>
                </a:pPr>
                <a:endParaRPr lang="ko-KR"/>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'Future Supply'!$F$4:$M$4</c15:sqref>
                  </c15:fullRef>
                </c:ext>
              </c:extLst>
              <c:f>'Future Supply'!$G$4:$I$4</c:f>
              <c:strCache>
                <c:ptCount val="3"/>
                <c:pt idx="0">
                  <c:v>2026F</c:v>
                </c:pt>
                <c:pt idx="1">
                  <c:v>2027F</c:v>
                </c:pt>
                <c:pt idx="2">
                  <c:v>2028F</c:v>
                </c:pt>
              </c:strCache>
            </c:strRef>
          </c:cat>
          <c:val>
            <c:numRef>
              <c:extLst>
                <c:ext xmlns:c15="http://schemas.microsoft.com/office/drawing/2012/chart" uri="{02D57815-91ED-43cb-92C2-25804820EDAC}">
                  <c15:fullRef>
                    <c15:sqref>'Future Supply'!$F$6:$M$6</c15:sqref>
                  </c15:fullRef>
                </c:ext>
              </c:extLst>
              <c:f>'Future Supply'!$G$6:$I$6</c:f>
              <c:numCache>
                <c:formatCode>_-* #,##0_-;\-* #,##0_-;_-* "-"_-;_-@_-</c:formatCode>
                <c:ptCount val="3"/>
                <c:pt idx="0">
                  <c:v>0</c:v>
                </c:pt>
                <c:pt idx="1">
                  <c:v>0</c:v>
                </c:pt>
                <c:pt idx="2">
                  <c:v>115248.26499999998</c:v>
                </c:pt>
              </c:numCache>
            </c:numRef>
          </c:val>
          <c:extLst>
            <c:ext xmlns:c16="http://schemas.microsoft.com/office/drawing/2014/chart" uri="{C3380CC4-5D6E-409C-BE32-E72D297353CC}">
              <c16:uniqueId val="{00000005-8D69-480A-98BA-A879F51075F2}"/>
            </c:ext>
          </c:extLst>
        </c:ser>
        <c:ser>
          <c:idx val="2"/>
          <c:order val="2"/>
          <c:tx>
            <c:strRef>
              <c:f>'Future Supply'!$E$7</c:f>
              <c:strCache>
                <c:ptCount val="1"/>
                <c:pt idx="0">
                  <c:v>YBD</c:v>
                </c:pt>
              </c:strCache>
            </c:strRef>
          </c:tx>
          <c:spPr>
            <a:solidFill>
              <a:srgbClr val="339088"/>
            </a:solidFill>
            <a:ln>
              <a:noFill/>
            </a:ln>
            <a:effectLst/>
          </c:spPr>
          <c:invertIfNegative val="0"/>
          <c:dLbls>
            <c:dLbl>
              <c:idx val="0"/>
              <c:delete val="1"/>
              <c:extLst>
                <c:ext xmlns:c15="http://schemas.microsoft.com/office/drawing/2012/chart" uri="{CE6537A1-D6FC-4f65-9D91-7224C49458BB}"/>
                <c:ext xmlns:c16="http://schemas.microsoft.com/office/drawing/2014/chart" uri="{C3380CC4-5D6E-409C-BE32-E72D297353CC}">
                  <c16:uniqueId val="{00000001-587A-4CD2-B66A-D66F2F907B80}"/>
                </c:ext>
              </c:extLst>
            </c:dLbl>
            <c:dLbl>
              <c:idx val="1"/>
              <c:delete val="1"/>
              <c:extLst>
                <c:ext xmlns:c15="http://schemas.microsoft.com/office/drawing/2012/chart" uri="{CE6537A1-D6FC-4f65-9D91-7224C49458BB}"/>
                <c:ext xmlns:c16="http://schemas.microsoft.com/office/drawing/2014/chart" uri="{C3380CC4-5D6E-409C-BE32-E72D297353CC}">
                  <c16:uniqueId val="{00000000-587A-4CD2-B66A-D66F2F907B80}"/>
                </c:ext>
              </c:extLst>
            </c:dLbl>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bg1"/>
                    </a:solidFill>
                    <a:latin typeface="Arial" panose="020B0604020202020204" pitchFamily="34" charset="0"/>
                    <a:ea typeface="Open Sans" panose="020B0606030504020204" pitchFamily="34" charset="0"/>
                    <a:cs typeface="Arial" panose="020B0604020202020204" pitchFamily="34" charset="0"/>
                  </a:defRPr>
                </a:pPr>
                <a:endParaRPr lang="ko-KR"/>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'Future Supply'!$F$4:$M$4</c15:sqref>
                  </c15:fullRef>
                </c:ext>
              </c:extLst>
              <c:f>'Future Supply'!$G$4:$I$4</c:f>
              <c:strCache>
                <c:ptCount val="3"/>
                <c:pt idx="0">
                  <c:v>2026F</c:v>
                </c:pt>
                <c:pt idx="1">
                  <c:v>2027F</c:v>
                </c:pt>
                <c:pt idx="2">
                  <c:v>2028F</c:v>
                </c:pt>
              </c:strCache>
            </c:strRef>
          </c:cat>
          <c:val>
            <c:numRef>
              <c:extLst>
                <c:ext xmlns:c15="http://schemas.microsoft.com/office/drawing/2012/chart" uri="{02D57815-91ED-43cb-92C2-25804820EDAC}">
                  <c15:fullRef>
                    <c15:sqref>'Future Supply'!$F$7:$M$7</c15:sqref>
                  </c15:fullRef>
                </c:ext>
              </c:extLst>
              <c:f>'Future Supply'!$G$7:$I$7</c:f>
              <c:numCache>
                <c:formatCode>_-* #,##0_-;\-* #,##0_-;_-* "-"_-;_-@_-</c:formatCode>
                <c:ptCount val="3"/>
                <c:pt idx="0">
                  <c:v>0</c:v>
                </c:pt>
                <c:pt idx="1">
                  <c:v>0</c:v>
                </c:pt>
                <c:pt idx="2">
                  <c:v>25375.678349999998</c:v>
                </c:pt>
              </c:numCache>
            </c:numRef>
          </c:val>
          <c:extLst xmlns:c15="http://schemas.microsoft.com/office/drawing/2012/chart">
            <c:ext xmlns:c16="http://schemas.microsoft.com/office/drawing/2014/chart" uri="{C3380CC4-5D6E-409C-BE32-E72D297353CC}">
              <c16:uniqueId val="{00000006-8D69-480A-98BA-A879F51075F2}"/>
            </c:ext>
          </c:extLst>
        </c:ser>
        <c:dLbls>
          <c:dLblPos val="ctr"/>
          <c:showLegendKey val="0"/>
          <c:showVal val="1"/>
          <c:showCatName val="0"/>
          <c:showSerName val="0"/>
          <c:showPercent val="0"/>
          <c:showBubbleSize val="0"/>
        </c:dLbls>
        <c:gapWidth val="60"/>
        <c:overlap val="100"/>
        <c:axId val="773278864"/>
        <c:axId val="773271976"/>
        <c:extLst/>
      </c:barChart>
      <c:catAx>
        <c:axId val="7732788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000" b="0" i="0" u="none" strike="noStrike" kern="1200" baseline="0">
                <a:solidFill>
                  <a:sysClr val="windowText" lastClr="000000"/>
                </a:solidFill>
                <a:latin typeface="Arial" panose="020B0604020202020204" pitchFamily="34" charset="0"/>
                <a:ea typeface="Open Sans" panose="020B0606030504020204" pitchFamily="34" charset="0"/>
                <a:cs typeface="Arial" panose="020B0604020202020204" pitchFamily="34" charset="0"/>
              </a:defRPr>
            </a:pPr>
            <a:endParaRPr lang="en-US"/>
          </a:p>
        </c:txPr>
        <c:crossAx val="773271976"/>
        <c:crosses val="autoZero"/>
        <c:auto val="1"/>
        <c:lblAlgn val="ctr"/>
        <c:lblOffset val="100"/>
        <c:noMultiLvlLbl val="0"/>
      </c:catAx>
      <c:valAx>
        <c:axId val="773271976"/>
        <c:scaling>
          <c:orientation val="minMax"/>
        </c:scaling>
        <c:delete val="0"/>
        <c:axPos val="l"/>
        <c:title>
          <c:tx>
            <c:rich>
              <a:bodyPr rot="-5400000" spcFirstLastPara="1" vertOverflow="ellipsis" vert="horz" wrap="square" anchor="ctr" anchorCtr="1"/>
              <a:lstStyle/>
              <a:p>
                <a:pPr>
                  <a:defRPr sz="2000" b="0" i="0" u="none" strike="noStrike" kern="1200" baseline="0">
                    <a:solidFill>
                      <a:sysClr val="windowText" lastClr="000000"/>
                    </a:solidFill>
                    <a:latin typeface="Arial" panose="020B0604020202020204" pitchFamily="34" charset="0"/>
                    <a:ea typeface="Open Sans" panose="020B0606030504020204" pitchFamily="34" charset="0"/>
                    <a:cs typeface="Arial" panose="020B0604020202020204" pitchFamily="34" charset="0"/>
                  </a:defRPr>
                </a:pPr>
                <a:r>
                  <a:rPr lang="en-GB"/>
                  <a:t>GFA (pyeong)</a:t>
                </a:r>
              </a:p>
            </c:rich>
          </c:tx>
          <c:layout>
            <c:manualLayout>
              <c:xMode val="edge"/>
              <c:yMode val="edge"/>
              <c:x val="1.3565264484366058E-3"/>
              <c:y val="0.37281924653254261"/>
            </c:manualLayout>
          </c:layout>
          <c:overlay val="0"/>
          <c:spPr>
            <a:noFill/>
            <a:ln>
              <a:noFill/>
            </a:ln>
            <a:effectLst/>
          </c:spPr>
          <c:txPr>
            <a:bodyPr rot="-5400000" spcFirstLastPara="1" vertOverflow="ellipsis" vert="horz" wrap="square" anchor="ctr" anchorCtr="1"/>
            <a:lstStyle/>
            <a:p>
              <a:pPr>
                <a:defRPr sz="2000" b="0" i="0" u="none" strike="noStrike" kern="1200" baseline="0">
                  <a:solidFill>
                    <a:sysClr val="windowText" lastClr="000000"/>
                  </a:solidFill>
                  <a:latin typeface="Arial" panose="020B0604020202020204" pitchFamily="34" charset="0"/>
                  <a:ea typeface="Open Sans" panose="020B0606030504020204" pitchFamily="34" charset="0"/>
                  <a:cs typeface="Arial" panose="020B0604020202020204" pitchFamily="34" charset="0"/>
                </a:defRPr>
              </a:pPr>
              <a:endParaRPr lang="en-US"/>
            </a:p>
          </c:txPr>
        </c:title>
        <c:numFmt formatCode="#,##0" sourceLinked="0"/>
        <c:majorTickMark val="out"/>
        <c:minorTickMark val="none"/>
        <c:tickLblPos val="nextTo"/>
        <c:spPr>
          <a:noFill/>
          <a:ln>
            <a:solidFill>
              <a:schemeClr val="bg1">
                <a:lumMod val="75000"/>
              </a:schemeClr>
            </a:solidFill>
          </a:ln>
          <a:effectLst/>
        </c:spPr>
        <c:txPr>
          <a:bodyPr rot="-60000000" spcFirstLastPara="1" vertOverflow="ellipsis" vert="horz" wrap="square" anchor="ctr" anchorCtr="1"/>
          <a:lstStyle/>
          <a:p>
            <a:pPr>
              <a:defRPr sz="2000" b="0" i="0" u="none" strike="noStrike" kern="1200" baseline="0">
                <a:solidFill>
                  <a:sysClr val="windowText" lastClr="000000"/>
                </a:solidFill>
                <a:latin typeface="Arial" panose="020B0604020202020204" pitchFamily="34" charset="0"/>
                <a:ea typeface="Open Sans" panose="020B0606030504020204" pitchFamily="34" charset="0"/>
                <a:cs typeface="Arial" panose="020B0604020202020204" pitchFamily="34" charset="0"/>
              </a:defRPr>
            </a:pPr>
            <a:endParaRPr lang="en-US"/>
          </a:p>
        </c:txPr>
        <c:crossAx val="773278864"/>
        <c:crosses val="autoZero"/>
        <c:crossBetween val="between"/>
      </c:valAx>
      <c:spPr>
        <a:noFill/>
        <a:ln>
          <a:noFill/>
        </a:ln>
        <a:effectLst/>
      </c:spPr>
    </c:plotArea>
    <c:legend>
      <c:legendPos val="r"/>
      <c:layout>
        <c:manualLayout>
          <c:xMode val="edge"/>
          <c:yMode val="edge"/>
          <c:x val="0.22708263580484786"/>
          <c:y val="0.21467696780944329"/>
          <c:w val="0.50225040240187813"/>
          <c:h val="6.7674343189772238E-2"/>
        </c:manualLayout>
      </c:layout>
      <c:overlay val="0"/>
      <c:spPr>
        <a:noFill/>
        <a:ln>
          <a:noFill/>
        </a:ln>
        <a:effectLst/>
      </c:spPr>
      <c:txPr>
        <a:bodyPr rot="0" spcFirstLastPara="1" vertOverflow="ellipsis" vert="horz" wrap="square" anchor="ctr" anchorCtr="1"/>
        <a:lstStyle/>
        <a:p>
          <a:pPr>
            <a:defRPr sz="2000" b="0" i="0" u="none" strike="noStrike" kern="1200" baseline="0">
              <a:solidFill>
                <a:sysClr val="windowText" lastClr="000000"/>
              </a:solidFill>
              <a:latin typeface="Arial" panose="020B0604020202020204" pitchFamily="34" charset="0"/>
              <a:ea typeface="Open Sans" panose="020B0606030504020204" pitchFamily="34" charset="0"/>
              <a:cs typeface="Arial" panose="020B0604020202020204" pitchFamily="34" charset="0"/>
            </a:defRPr>
          </a:pPr>
          <a:endParaRPr lang="ko-K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2000" b="0">
          <a:solidFill>
            <a:sysClr val="windowText" lastClr="000000"/>
          </a:solidFill>
          <a:latin typeface="Arial" panose="020B0604020202020204" pitchFamily="34" charset="0"/>
          <a:ea typeface="Open Sans" panose="020B0606030504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400" b="0" i="0" u="none" strike="noStrike" kern="1200" spc="0" baseline="0">
                <a:solidFill>
                  <a:schemeClr val="tx1">
                    <a:lumMod val="65000"/>
                    <a:lumOff val="35000"/>
                  </a:schemeClr>
                </a:solidFill>
                <a:latin typeface="Arial" panose="020B0604020202020204" pitchFamily="34" charset="0"/>
                <a:ea typeface="Open Sans" panose="020B0606030504020204" pitchFamily="34" charset="0"/>
                <a:cs typeface="Arial" panose="020B0604020202020204" pitchFamily="34" charset="0"/>
              </a:defRPr>
            </a:pPr>
            <a:r>
              <a:rPr lang="en-HK"/>
              <a:t>Yearly Net Absorption</a:t>
            </a:r>
          </a:p>
        </c:rich>
      </c:tx>
      <c:overlay val="0"/>
      <c:spPr>
        <a:noFill/>
        <a:ln>
          <a:noFill/>
        </a:ln>
        <a:effectLst/>
      </c:spPr>
      <c:txPr>
        <a:bodyPr rot="0" spcFirstLastPara="1" vertOverflow="ellipsis" vert="horz" wrap="square" anchor="ctr" anchorCtr="1"/>
        <a:lstStyle/>
        <a:p>
          <a:pPr>
            <a:defRPr sz="2400" b="0" i="0" u="none" strike="noStrike" kern="1200" spc="0" baseline="0">
              <a:solidFill>
                <a:schemeClr val="tx1">
                  <a:lumMod val="65000"/>
                  <a:lumOff val="35000"/>
                </a:schemeClr>
              </a:solidFill>
              <a:latin typeface="Arial" panose="020B0604020202020204" pitchFamily="34" charset="0"/>
              <a:ea typeface="Open Sans" panose="020B0606030504020204" pitchFamily="34" charset="0"/>
              <a:cs typeface="Arial" panose="020B0604020202020204" pitchFamily="34" charset="0"/>
            </a:defRPr>
          </a:pPr>
          <a:endParaRPr lang="en-US"/>
        </a:p>
      </c:txPr>
    </c:title>
    <c:autoTitleDeleted val="0"/>
    <c:plotArea>
      <c:layout>
        <c:manualLayout>
          <c:layoutTarget val="inner"/>
          <c:xMode val="edge"/>
          <c:yMode val="edge"/>
          <c:x val="0.16694514773486302"/>
          <c:y val="9.6517543693629831E-2"/>
          <c:w val="0.81661247551310412"/>
          <c:h val="0.68193981456763608"/>
        </c:manualLayout>
      </c:layout>
      <c:barChart>
        <c:barDir val="col"/>
        <c:grouping val="clustered"/>
        <c:varyColors val="0"/>
        <c:ser>
          <c:idx val="0"/>
          <c:order val="0"/>
          <c:tx>
            <c:strRef>
              <c:f>'Net Absorption'!$B$4</c:f>
              <c:strCache>
                <c:ptCount val="1"/>
                <c:pt idx="0">
                  <c:v>Yearly Net Absorption
(pyeong)</c:v>
                </c:pt>
              </c:strCache>
            </c:strRef>
          </c:tx>
          <c:spPr>
            <a:solidFill>
              <a:srgbClr val="25408F"/>
            </a:solidFill>
            <a:ln>
              <a:noFill/>
            </a:ln>
            <a:effectLst/>
          </c:spPr>
          <c:invertIfNegative val="0"/>
          <c:cat>
            <c:strRef>
              <c:extLst>
                <c:ext xmlns:c15="http://schemas.microsoft.com/office/drawing/2012/chart" uri="{02D57815-91ED-43cb-92C2-25804820EDAC}">
                  <c15:fullRef>
                    <c15:sqref>'Net Absorption'!$A$5:$A$32</c15:sqref>
                  </c15:fullRef>
                </c:ext>
              </c:extLst>
              <c:f>('Net Absorption'!$A$5,'Net Absorption'!$A$9,'Net Absorption'!$A$13,'Net Absorption'!$A$17,'Net Absorption'!$A$21,'Net Absorption'!$A$25,'Net Absorption'!$A$29)</c:f>
              <c:strCache>
                <c:ptCount val="7"/>
                <c:pt idx="0">
                  <c:v>2019</c:v>
                </c:pt>
                <c:pt idx="1">
                  <c:v>2020</c:v>
                </c:pt>
                <c:pt idx="2">
                  <c:v>2021</c:v>
                </c:pt>
                <c:pt idx="3">
                  <c:v>2022</c:v>
                </c:pt>
                <c:pt idx="4">
                  <c:v>2023</c:v>
                </c:pt>
                <c:pt idx="5">
                  <c:v>2024</c:v>
                </c:pt>
                <c:pt idx="6">
                  <c:v>2025 YTD</c:v>
                </c:pt>
              </c:strCache>
            </c:strRef>
          </c:cat>
          <c:val>
            <c:numRef>
              <c:extLst>
                <c:ext xmlns:c15="http://schemas.microsoft.com/office/drawing/2012/chart" uri="{02D57815-91ED-43cb-92C2-25804820EDAC}">
                  <c15:fullRef>
                    <c15:sqref>'Net Absorption'!$B$5:$B$32</c15:sqref>
                  </c15:fullRef>
                </c:ext>
              </c:extLst>
              <c:f>('Net Absorption'!$B$5,'Net Absorption'!$B$9,'Net Absorption'!$B$13,'Net Absorption'!$B$17,'Net Absorption'!$B$21,'Net Absorption'!$B$25,'Net Absorption'!$B$29)</c:f>
              <c:numCache>
                <c:formatCode>General</c:formatCode>
                <c:ptCount val="7"/>
                <c:pt idx="0" formatCode="#,##0">
                  <c:v>91600.025000000009</c:v>
                </c:pt>
                <c:pt idx="1" formatCode="#,##0">
                  <c:v>46861.485000000001</c:v>
                </c:pt>
                <c:pt idx="2" formatCode="#,##0">
                  <c:v>150786.26750000002</c:v>
                </c:pt>
                <c:pt idx="3" formatCode="#,##0">
                  <c:v>126882.71749999998</c:v>
                </c:pt>
                <c:pt idx="4" formatCode="#,##0">
                  <c:v>39036</c:v>
                </c:pt>
                <c:pt idx="5" formatCode="#,##0">
                  <c:v>-59209</c:v>
                </c:pt>
                <c:pt idx="6" formatCode="#,##0">
                  <c:v>11528</c:v>
                </c:pt>
              </c:numCache>
            </c:numRef>
          </c:val>
          <c:extLst>
            <c:ext xmlns:c16="http://schemas.microsoft.com/office/drawing/2014/chart" uri="{C3380CC4-5D6E-409C-BE32-E72D297353CC}">
              <c16:uniqueId val="{00000000-2134-4DAF-9937-3F51480C02BC}"/>
            </c:ext>
          </c:extLst>
        </c:ser>
        <c:dLbls>
          <c:showLegendKey val="0"/>
          <c:showVal val="0"/>
          <c:showCatName val="0"/>
          <c:showSerName val="0"/>
          <c:showPercent val="0"/>
          <c:showBubbleSize val="0"/>
        </c:dLbls>
        <c:gapWidth val="150"/>
        <c:axId val="22347103"/>
        <c:axId val="22346119"/>
      </c:barChart>
      <c:catAx>
        <c:axId val="223471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000" b="0" i="0" u="none" strike="noStrike" kern="1200" baseline="0">
                <a:solidFill>
                  <a:schemeClr val="tx1">
                    <a:lumMod val="65000"/>
                    <a:lumOff val="35000"/>
                  </a:schemeClr>
                </a:solidFill>
                <a:latin typeface="Arial" panose="020B0604020202020204" pitchFamily="34" charset="0"/>
                <a:ea typeface="Open Sans" panose="020B0606030504020204" pitchFamily="34" charset="0"/>
                <a:cs typeface="Arial" panose="020B0604020202020204" pitchFamily="34" charset="0"/>
              </a:defRPr>
            </a:pPr>
            <a:endParaRPr lang="en-US"/>
          </a:p>
        </c:txPr>
        <c:crossAx val="22346119"/>
        <c:crosses val="autoZero"/>
        <c:auto val="1"/>
        <c:lblAlgn val="ctr"/>
        <c:lblOffset val="100"/>
        <c:noMultiLvlLbl val="0"/>
      </c:catAx>
      <c:valAx>
        <c:axId val="2234611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2000" b="0" i="0" u="none" strike="noStrike" kern="1200" baseline="0">
                    <a:solidFill>
                      <a:schemeClr val="tx1">
                        <a:lumMod val="65000"/>
                        <a:lumOff val="35000"/>
                      </a:schemeClr>
                    </a:solidFill>
                    <a:latin typeface="Arial" panose="020B0604020202020204" pitchFamily="34" charset="0"/>
                    <a:ea typeface="Open Sans" panose="020B0606030504020204" pitchFamily="34" charset="0"/>
                    <a:cs typeface="Arial" panose="020B0604020202020204" pitchFamily="34" charset="0"/>
                  </a:defRPr>
                </a:pPr>
                <a:r>
                  <a:rPr lang="en-GB"/>
                  <a:t>Net Absorption (pyeong)</a:t>
                </a:r>
              </a:p>
            </c:rich>
          </c:tx>
          <c:layout>
            <c:manualLayout>
              <c:xMode val="edge"/>
              <c:yMode val="edge"/>
              <c:x val="4.1574220864217908E-2"/>
              <c:y val="7.5004313507142081E-2"/>
            </c:manualLayout>
          </c:layout>
          <c:overlay val="0"/>
          <c:spPr>
            <a:noFill/>
            <a:ln>
              <a:noFill/>
            </a:ln>
            <a:effectLst/>
          </c:spPr>
          <c:txPr>
            <a:bodyPr rot="-5400000" spcFirstLastPara="1" vertOverflow="ellipsis" vert="horz" wrap="square" anchor="ctr" anchorCtr="1"/>
            <a:lstStyle/>
            <a:p>
              <a:pPr>
                <a:defRPr sz="2000" b="0" i="0" u="none" strike="noStrike" kern="1200" baseline="0">
                  <a:solidFill>
                    <a:schemeClr val="tx1">
                      <a:lumMod val="65000"/>
                      <a:lumOff val="35000"/>
                    </a:schemeClr>
                  </a:solidFill>
                  <a:latin typeface="Arial" panose="020B0604020202020204" pitchFamily="34" charset="0"/>
                  <a:ea typeface="Open Sans" panose="020B0606030504020204" pitchFamily="34" charset="0"/>
                  <a:cs typeface="Arial" panose="020B0604020202020204" pitchFamily="34" charset="0"/>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2000" b="0" i="0" u="none" strike="noStrike" kern="1200" baseline="0">
                <a:solidFill>
                  <a:schemeClr val="tx1">
                    <a:lumMod val="65000"/>
                    <a:lumOff val="35000"/>
                  </a:schemeClr>
                </a:solidFill>
                <a:latin typeface="Arial" panose="020B0604020202020204" pitchFamily="34" charset="0"/>
                <a:ea typeface="Open Sans" panose="020B0606030504020204" pitchFamily="34" charset="0"/>
                <a:cs typeface="Arial" panose="020B0604020202020204" pitchFamily="34" charset="0"/>
              </a:defRPr>
            </a:pPr>
            <a:endParaRPr lang="en-US"/>
          </a:p>
        </c:txPr>
        <c:crossAx val="22347103"/>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2000" b="0" i="0" u="none" strike="noStrike" kern="1200" baseline="0">
                <a:solidFill>
                  <a:schemeClr val="tx1">
                    <a:lumMod val="65000"/>
                    <a:lumOff val="35000"/>
                  </a:schemeClr>
                </a:solidFill>
                <a:latin typeface="Arial" panose="020B0604020202020204" pitchFamily="34" charset="0"/>
                <a:ea typeface="Open Sans" panose="020B0606030504020204" pitchFamily="34" charset="0"/>
                <a:cs typeface="Arial" panose="020B0604020202020204" pitchFamily="34" charset="0"/>
              </a:defRPr>
            </a:pPr>
            <a:endParaRPr lang="en-US"/>
          </a:p>
        </c:txPr>
      </c:dTable>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sz="2000">
          <a:latin typeface="Arial" panose="020B0604020202020204" pitchFamily="34" charset="0"/>
          <a:ea typeface="Open Sans" panose="020B0606030504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5950440912533922"/>
          <c:y val="7.1388644027397974E-2"/>
          <c:w val="0.84021231039084265"/>
          <c:h val="0.59444283707914525"/>
        </c:manualLayout>
      </c:layout>
      <c:lineChart>
        <c:grouping val="standard"/>
        <c:varyColors val="0"/>
        <c:ser>
          <c:idx val="0"/>
          <c:order val="0"/>
          <c:tx>
            <c:strRef>
              <c:f>Rent!$A$53</c:f>
              <c:strCache>
                <c:ptCount val="1"/>
                <c:pt idx="0">
                  <c:v>CBD</c:v>
                </c:pt>
              </c:strCache>
            </c:strRef>
          </c:tx>
          <c:spPr>
            <a:ln w="28575" cap="rnd">
              <a:solidFill>
                <a:srgbClr val="25408F"/>
              </a:solidFill>
              <a:round/>
            </a:ln>
            <a:effectLst/>
          </c:spPr>
          <c:marker>
            <c:symbol val="none"/>
          </c:marker>
          <c:cat>
            <c:strRef>
              <c:f>Rent!$B$52:$AC$52</c:f>
              <c:strCache>
                <c:ptCount val="28"/>
                <c:pt idx="0">
                  <c:v>Q1 2019</c:v>
                </c:pt>
                <c:pt idx="1">
                  <c:v>Q2 2019</c:v>
                </c:pt>
                <c:pt idx="2">
                  <c:v>Q3 2019</c:v>
                </c:pt>
                <c:pt idx="3">
                  <c:v>Q4 2019</c:v>
                </c:pt>
                <c:pt idx="4">
                  <c:v>Q1 2020</c:v>
                </c:pt>
                <c:pt idx="5">
                  <c:v>Q2 2020</c:v>
                </c:pt>
                <c:pt idx="6">
                  <c:v>Q3 2020</c:v>
                </c:pt>
                <c:pt idx="7">
                  <c:v>Q4 2020</c:v>
                </c:pt>
                <c:pt idx="8">
                  <c:v>Q1 2021</c:v>
                </c:pt>
                <c:pt idx="9">
                  <c:v>Q2 2021</c:v>
                </c:pt>
                <c:pt idx="10">
                  <c:v>Q3 2021</c:v>
                </c:pt>
                <c:pt idx="11">
                  <c:v>Q4 2021</c:v>
                </c:pt>
                <c:pt idx="12">
                  <c:v>Q1 2022</c:v>
                </c:pt>
                <c:pt idx="13">
                  <c:v>Q2 2022</c:v>
                </c:pt>
                <c:pt idx="14">
                  <c:v>Q3 2022</c:v>
                </c:pt>
                <c:pt idx="15">
                  <c:v>Q4 2022</c:v>
                </c:pt>
                <c:pt idx="16">
                  <c:v>Q1 2023</c:v>
                </c:pt>
                <c:pt idx="17">
                  <c:v>Q2 2023</c:v>
                </c:pt>
                <c:pt idx="18">
                  <c:v>Q3 2023</c:v>
                </c:pt>
                <c:pt idx="19">
                  <c:v>Q4 2023</c:v>
                </c:pt>
                <c:pt idx="20">
                  <c:v>Q1 2024</c:v>
                </c:pt>
                <c:pt idx="21">
                  <c:v>Q2 2024</c:v>
                </c:pt>
                <c:pt idx="22">
                  <c:v>Q3 2024</c:v>
                </c:pt>
                <c:pt idx="23">
                  <c:v>Q4 2024</c:v>
                </c:pt>
                <c:pt idx="24">
                  <c:v>Q1 2025</c:v>
                </c:pt>
                <c:pt idx="25">
                  <c:v>Q2 2025</c:v>
                </c:pt>
                <c:pt idx="26">
                  <c:v>Q3 2025</c:v>
                </c:pt>
                <c:pt idx="27">
                  <c:v>Q4 2025</c:v>
                </c:pt>
              </c:strCache>
            </c:strRef>
          </c:cat>
          <c:val>
            <c:numRef>
              <c:f>Rent!$B$53:$AC$53</c:f>
              <c:numCache>
                <c:formatCode>_-* #,##0_-;\-* #,##0_-;_-* "-"_-;_-@_-</c:formatCode>
                <c:ptCount val="28"/>
                <c:pt idx="0">
                  <c:v>106690.90909090909</c:v>
                </c:pt>
                <c:pt idx="1">
                  <c:v>106611.57024793389</c:v>
                </c:pt>
                <c:pt idx="2">
                  <c:v>106700.82644628099</c:v>
                </c:pt>
                <c:pt idx="3">
                  <c:v>107150.41322314049</c:v>
                </c:pt>
                <c:pt idx="4">
                  <c:v>107965.4756938209</c:v>
                </c:pt>
                <c:pt idx="5">
                  <c:v>108483.67849011347</c:v>
                </c:pt>
                <c:pt idx="6">
                  <c:v>108532.23140495869</c:v>
                </c:pt>
                <c:pt idx="7">
                  <c:v>109347.12611975062</c:v>
                </c:pt>
                <c:pt idx="8">
                  <c:v>110087.23188018381</c:v>
                </c:pt>
                <c:pt idx="9">
                  <c:v>110500.32093037399</c:v>
                </c:pt>
                <c:pt idx="10">
                  <c:v>110655.30562255325</c:v>
                </c:pt>
                <c:pt idx="11">
                  <c:v>110819.76916818161</c:v>
                </c:pt>
                <c:pt idx="12">
                  <c:v>111240.74941662762</c:v>
                </c:pt>
                <c:pt idx="13">
                  <c:v>111819.62181170186</c:v>
                </c:pt>
                <c:pt idx="14">
                  <c:v>112882.64462809918</c:v>
                </c:pt>
                <c:pt idx="15">
                  <c:v>115064.46280991736</c:v>
                </c:pt>
                <c:pt idx="16">
                  <c:v>117533.88429752066</c:v>
                </c:pt>
                <c:pt idx="17">
                  <c:v>117811.57024793389</c:v>
                </c:pt>
                <c:pt idx="18">
                  <c:v>118829.7520661157</c:v>
                </c:pt>
                <c:pt idx="19">
                  <c:v>121041.3223140496</c:v>
                </c:pt>
                <c:pt idx="20">
                  <c:v>122142.14876033059</c:v>
                </c:pt>
                <c:pt idx="21">
                  <c:v>123203.30578512397</c:v>
                </c:pt>
                <c:pt idx="22">
                  <c:v>123851.23966942148</c:v>
                </c:pt>
                <c:pt idx="23">
                  <c:v>125910.74380165289</c:v>
                </c:pt>
                <c:pt idx="24">
                  <c:v>128251.2396694215</c:v>
                </c:pt>
                <c:pt idx="25">
                  <c:v>130601.65289256199</c:v>
                </c:pt>
                <c:pt idx="26">
                  <c:v>131970.2479338843</c:v>
                </c:pt>
                <c:pt idx="27">
                  <c:v>133444.62809917357</c:v>
                </c:pt>
              </c:numCache>
            </c:numRef>
          </c:val>
          <c:smooth val="0"/>
          <c:extLst>
            <c:ext xmlns:c16="http://schemas.microsoft.com/office/drawing/2014/chart" uri="{C3380CC4-5D6E-409C-BE32-E72D297353CC}">
              <c16:uniqueId val="{00000000-E7CF-4664-9202-8582281F536A}"/>
            </c:ext>
          </c:extLst>
        </c:ser>
        <c:ser>
          <c:idx val="1"/>
          <c:order val="1"/>
          <c:tx>
            <c:strRef>
              <c:f>Rent!$A$54</c:f>
              <c:strCache>
                <c:ptCount val="1"/>
                <c:pt idx="0">
                  <c:v>GBD</c:v>
                </c:pt>
              </c:strCache>
            </c:strRef>
          </c:tx>
          <c:spPr>
            <a:ln w="28575" cap="rnd">
              <a:solidFill>
                <a:srgbClr val="0C9ED9"/>
              </a:solidFill>
              <a:round/>
            </a:ln>
            <a:effectLst/>
          </c:spPr>
          <c:marker>
            <c:symbol val="none"/>
          </c:marker>
          <c:cat>
            <c:strRef>
              <c:f>Rent!$B$52:$AC$52</c:f>
              <c:strCache>
                <c:ptCount val="28"/>
                <c:pt idx="0">
                  <c:v>Q1 2019</c:v>
                </c:pt>
                <c:pt idx="1">
                  <c:v>Q2 2019</c:v>
                </c:pt>
                <c:pt idx="2">
                  <c:v>Q3 2019</c:v>
                </c:pt>
                <c:pt idx="3">
                  <c:v>Q4 2019</c:v>
                </c:pt>
                <c:pt idx="4">
                  <c:v>Q1 2020</c:v>
                </c:pt>
                <c:pt idx="5">
                  <c:v>Q2 2020</c:v>
                </c:pt>
                <c:pt idx="6">
                  <c:v>Q3 2020</c:v>
                </c:pt>
                <c:pt idx="7">
                  <c:v>Q4 2020</c:v>
                </c:pt>
                <c:pt idx="8">
                  <c:v>Q1 2021</c:v>
                </c:pt>
                <c:pt idx="9">
                  <c:v>Q2 2021</c:v>
                </c:pt>
                <c:pt idx="10">
                  <c:v>Q3 2021</c:v>
                </c:pt>
                <c:pt idx="11">
                  <c:v>Q4 2021</c:v>
                </c:pt>
                <c:pt idx="12">
                  <c:v>Q1 2022</c:v>
                </c:pt>
                <c:pt idx="13">
                  <c:v>Q2 2022</c:v>
                </c:pt>
                <c:pt idx="14">
                  <c:v>Q3 2022</c:v>
                </c:pt>
                <c:pt idx="15">
                  <c:v>Q4 2022</c:v>
                </c:pt>
                <c:pt idx="16">
                  <c:v>Q1 2023</c:v>
                </c:pt>
                <c:pt idx="17">
                  <c:v>Q2 2023</c:v>
                </c:pt>
                <c:pt idx="18">
                  <c:v>Q3 2023</c:v>
                </c:pt>
                <c:pt idx="19">
                  <c:v>Q4 2023</c:v>
                </c:pt>
                <c:pt idx="20">
                  <c:v>Q1 2024</c:v>
                </c:pt>
                <c:pt idx="21">
                  <c:v>Q2 2024</c:v>
                </c:pt>
                <c:pt idx="22">
                  <c:v>Q3 2024</c:v>
                </c:pt>
                <c:pt idx="23">
                  <c:v>Q4 2024</c:v>
                </c:pt>
                <c:pt idx="24">
                  <c:v>Q1 2025</c:v>
                </c:pt>
                <c:pt idx="25">
                  <c:v>Q2 2025</c:v>
                </c:pt>
                <c:pt idx="26">
                  <c:v>Q3 2025</c:v>
                </c:pt>
                <c:pt idx="27">
                  <c:v>Q4 2025</c:v>
                </c:pt>
              </c:strCache>
            </c:strRef>
          </c:cat>
          <c:val>
            <c:numRef>
              <c:f>Rent!$B$54:$AC$54</c:f>
              <c:numCache>
                <c:formatCode>_-* #,##0_-;\-* #,##0_-;_-* "-"_-;_-@_-</c:formatCode>
                <c:ptCount val="28"/>
                <c:pt idx="0">
                  <c:v>91834.710743801654</c:v>
                </c:pt>
                <c:pt idx="1">
                  <c:v>92148.760330578531</c:v>
                </c:pt>
                <c:pt idx="2">
                  <c:v>92195.041322314035</c:v>
                </c:pt>
                <c:pt idx="3">
                  <c:v>92039.669421487604</c:v>
                </c:pt>
                <c:pt idx="4">
                  <c:v>93927.963687799769</c:v>
                </c:pt>
                <c:pt idx="5">
                  <c:v>94540.00638815308</c:v>
                </c:pt>
                <c:pt idx="6">
                  <c:v>95338.842975206629</c:v>
                </c:pt>
                <c:pt idx="7">
                  <c:v>96061.323279600809</c:v>
                </c:pt>
                <c:pt idx="8">
                  <c:v>98407.796295351465</c:v>
                </c:pt>
                <c:pt idx="9">
                  <c:v>98709.599285064076</c:v>
                </c:pt>
                <c:pt idx="10">
                  <c:v>98818.294448109766</c:v>
                </c:pt>
                <c:pt idx="11">
                  <c:v>98883.511545937188</c:v>
                </c:pt>
                <c:pt idx="12">
                  <c:v>99122.640904637679</c:v>
                </c:pt>
                <c:pt idx="13">
                  <c:v>100450.67840672977</c:v>
                </c:pt>
                <c:pt idx="14">
                  <c:v>102036.36363636363</c:v>
                </c:pt>
                <c:pt idx="15">
                  <c:v>104340.49586776859</c:v>
                </c:pt>
                <c:pt idx="16">
                  <c:v>108419.8347107438</c:v>
                </c:pt>
                <c:pt idx="17">
                  <c:v>111719.00826446281</c:v>
                </c:pt>
                <c:pt idx="18">
                  <c:v>114565.28925619835</c:v>
                </c:pt>
                <c:pt idx="19">
                  <c:v>120366.94214876034</c:v>
                </c:pt>
                <c:pt idx="20">
                  <c:v>120585.12396694215</c:v>
                </c:pt>
                <c:pt idx="21">
                  <c:v>122330.57851239669</c:v>
                </c:pt>
                <c:pt idx="22">
                  <c:v>127100.82644628099</c:v>
                </c:pt>
                <c:pt idx="23">
                  <c:v>128889.25619834711</c:v>
                </c:pt>
                <c:pt idx="24">
                  <c:v>129299.17355371901</c:v>
                </c:pt>
                <c:pt idx="25">
                  <c:v>133781.81818181818</c:v>
                </c:pt>
                <c:pt idx="26">
                  <c:v>135054.54545454547</c:v>
                </c:pt>
                <c:pt idx="27">
                  <c:v>136978.51239669422</c:v>
                </c:pt>
              </c:numCache>
            </c:numRef>
          </c:val>
          <c:smooth val="0"/>
          <c:extLst>
            <c:ext xmlns:c16="http://schemas.microsoft.com/office/drawing/2014/chart" uri="{C3380CC4-5D6E-409C-BE32-E72D297353CC}">
              <c16:uniqueId val="{00000001-E7CF-4664-9202-8582281F536A}"/>
            </c:ext>
          </c:extLst>
        </c:ser>
        <c:ser>
          <c:idx val="2"/>
          <c:order val="2"/>
          <c:tx>
            <c:strRef>
              <c:f>Rent!$A$55</c:f>
              <c:strCache>
                <c:ptCount val="1"/>
                <c:pt idx="0">
                  <c:v>YBD</c:v>
                </c:pt>
              </c:strCache>
            </c:strRef>
          </c:tx>
          <c:spPr>
            <a:ln w="28575" cap="rnd">
              <a:solidFill>
                <a:srgbClr val="B7E4F4"/>
              </a:solidFill>
              <a:round/>
            </a:ln>
            <a:effectLst/>
          </c:spPr>
          <c:marker>
            <c:symbol val="none"/>
          </c:marker>
          <c:cat>
            <c:strRef>
              <c:f>Rent!$B$52:$AC$52</c:f>
              <c:strCache>
                <c:ptCount val="28"/>
                <c:pt idx="0">
                  <c:v>Q1 2019</c:v>
                </c:pt>
                <c:pt idx="1">
                  <c:v>Q2 2019</c:v>
                </c:pt>
                <c:pt idx="2">
                  <c:v>Q3 2019</c:v>
                </c:pt>
                <c:pt idx="3">
                  <c:v>Q4 2019</c:v>
                </c:pt>
                <c:pt idx="4">
                  <c:v>Q1 2020</c:v>
                </c:pt>
                <c:pt idx="5">
                  <c:v>Q2 2020</c:v>
                </c:pt>
                <c:pt idx="6">
                  <c:v>Q3 2020</c:v>
                </c:pt>
                <c:pt idx="7">
                  <c:v>Q4 2020</c:v>
                </c:pt>
                <c:pt idx="8">
                  <c:v>Q1 2021</c:v>
                </c:pt>
                <c:pt idx="9">
                  <c:v>Q2 2021</c:v>
                </c:pt>
                <c:pt idx="10">
                  <c:v>Q3 2021</c:v>
                </c:pt>
                <c:pt idx="11">
                  <c:v>Q4 2021</c:v>
                </c:pt>
                <c:pt idx="12">
                  <c:v>Q1 2022</c:v>
                </c:pt>
                <c:pt idx="13">
                  <c:v>Q2 2022</c:v>
                </c:pt>
                <c:pt idx="14">
                  <c:v>Q3 2022</c:v>
                </c:pt>
                <c:pt idx="15">
                  <c:v>Q4 2022</c:v>
                </c:pt>
                <c:pt idx="16">
                  <c:v>Q1 2023</c:v>
                </c:pt>
                <c:pt idx="17">
                  <c:v>Q2 2023</c:v>
                </c:pt>
                <c:pt idx="18">
                  <c:v>Q3 2023</c:v>
                </c:pt>
                <c:pt idx="19">
                  <c:v>Q4 2023</c:v>
                </c:pt>
                <c:pt idx="20">
                  <c:v>Q1 2024</c:v>
                </c:pt>
                <c:pt idx="21">
                  <c:v>Q2 2024</c:v>
                </c:pt>
                <c:pt idx="22">
                  <c:v>Q3 2024</c:v>
                </c:pt>
                <c:pt idx="23">
                  <c:v>Q4 2024</c:v>
                </c:pt>
                <c:pt idx="24">
                  <c:v>Q1 2025</c:v>
                </c:pt>
                <c:pt idx="25">
                  <c:v>Q2 2025</c:v>
                </c:pt>
                <c:pt idx="26">
                  <c:v>Q3 2025</c:v>
                </c:pt>
                <c:pt idx="27">
                  <c:v>Q4 2025</c:v>
                </c:pt>
              </c:strCache>
            </c:strRef>
          </c:cat>
          <c:val>
            <c:numRef>
              <c:f>Rent!$B$55:$AC$55</c:f>
              <c:numCache>
                <c:formatCode>_-* #,##0_-;\-* #,##0_-;_-* "-"_-;_-@_-</c:formatCode>
                <c:ptCount val="28"/>
                <c:pt idx="0">
                  <c:v>77887.603305785145</c:v>
                </c:pt>
                <c:pt idx="1">
                  <c:v>77976.859504132241</c:v>
                </c:pt>
                <c:pt idx="2">
                  <c:v>78204.958677685965</c:v>
                </c:pt>
                <c:pt idx="3">
                  <c:v>78704.132231404961</c:v>
                </c:pt>
                <c:pt idx="4">
                  <c:v>79204.189035694799</c:v>
                </c:pt>
                <c:pt idx="5">
                  <c:v>79556.460177747387</c:v>
                </c:pt>
                <c:pt idx="6">
                  <c:v>82717.355371900834</c:v>
                </c:pt>
                <c:pt idx="7">
                  <c:v>82221.638002628984</c:v>
                </c:pt>
                <c:pt idx="8">
                  <c:v>82521.628652671061</c:v>
                </c:pt>
                <c:pt idx="9">
                  <c:v>83220.458841268555</c:v>
                </c:pt>
                <c:pt idx="10">
                  <c:v>84603.810949517399</c:v>
                </c:pt>
                <c:pt idx="11">
                  <c:v>85699.222686831257</c:v>
                </c:pt>
                <c:pt idx="12">
                  <c:v>86362.52803529051</c:v>
                </c:pt>
                <c:pt idx="13">
                  <c:v>87526.27279843908</c:v>
                </c:pt>
                <c:pt idx="14">
                  <c:v>88400</c:v>
                </c:pt>
                <c:pt idx="15">
                  <c:v>89854.545454545456</c:v>
                </c:pt>
                <c:pt idx="16">
                  <c:v>93530.578512396693</c:v>
                </c:pt>
                <c:pt idx="17">
                  <c:v>94204.958677685951</c:v>
                </c:pt>
                <c:pt idx="18">
                  <c:v>96862.809917355378</c:v>
                </c:pt>
                <c:pt idx="19">
                  <c:v>98647.933884297527</c:v>
                </c:pt>
                <c:pt idx="20">
                  <c:v>101461.15702479339</c:v>
                </c:pt>
                <c:pt idx="21">
                  <c:v>102294.21487603306</c:v>
                </c:pt>
                <c:pt idx="22">
                  <c:v>104459.50413223141</c:v>
                </c:pt>
                <c:pt idx="23">
                  <c:v>105537.19008264464</c:v>
                </c:pt>
                <c:pt idx="24">
                  <c:v>108535.53719008264</c:v>
                </c:pt>
                <c:pt idx="25">
                  <c:v>108836.36363636363</c:v>
                </c:pt>
                <c:pt idx="26">
                  <c:v>109259.50413223141</c:v>
                </c:pt>
                <c:pt idx="27">
                  <c:v>110548.76033057852</c:v>
                </c:pt>
              </c:numCache>
            </c:numRef>
          </c:val>
          <c:smooth val="0"/>
          <c:extLst>
            <c:ext xmlns:c16="http://schemas.microsoft.com/office/drawing/2014/chart" uri="{C3380CC4-5D6E-409C-BE32-E72D297353CC}">
              <c16:uniqueId val="{00000002-E7CF-4664-9202-8582281F536A}"/>
            </c:ext>
          </c:extLst>
        </c:ser>
        <c:ser>
          <c:idx val="3"/>
          <c:order val="3"/>
          <c:tx>
            <c:strRef>
              <c:f>Rent!$A$56</c:f>
              <c:strCache>
                <c:ptCount val="1"/>
                <c:pt idx="0">
                  <c:v>Seoul Overall Rent</c:v>
                </c:pt>
              </c:strCache>
            </c:strRef>
          </c:tx>
          <c:spPr>
            <a:ln w="28575" cap="rnd">
              <a:solidFill>
                <a:srgbClr val="9EA2A2"/>
              </a:solidFill>
              <a:prstDash val="sysDash"/>
              <a:round/>
            </a:ln>
            <a:effectLst/>
          </c:spPr>
          <c:marker>
            <c:symbol val="none"/>
          </c:marker>
          <c:cat>
            <c:strRef>
              <c:f>Rent!$B$52:$AC$52</c:f>
              <c:strCache>
                <c:ptCount val="28"/>
                <c:pt idx="0">
                  <c:v>Q1 2019</c:v>
                </c:pt>
                <c:pt idx="1">
                  <c:v>Q2 2019</c:v>
                </c:pt>
                <c:pt idx="2">
                  <c:v>Q3 2019</c:v>
                </c:pt>
                <c:pt idx="3">
                  <c:v>Q4 2019</c:v>
                </c:pt>
                <c:pt idx="4">
                  <c:v>Q1 2020</c:v>
                </c:pt>
                <c:pt idx="5">
                  <c:v>Q2 2020</c:v>
                </c:pt>
                <c:pt idx="6">
                  <c:v>Q3 2020</c:v>
                </c:pt>
                <c:pt idx="7">
                  <c:v>Q4 2020</c:v>
                </c:pt>
                <c:pt idx="8">
                  <c:v>Q1 2021</c:v>
                </c:pt>
                <c:pt idx="9">
                  <c:v>Q2 2021</c:v>
                </c:pt>
                <c:pt idx="10">
                  <c:v>Q3 2021</c:v>
                </c:pt>
                <c:pt idx="11">
                  <c:v>Q4 2021</c:v>
                </c:pt>
                <c:pt idx="12">
                  <c:v>Q1 2022</c:v>
                </c:pt>
                <c:pt idx="13">
                  <c:v>Q2 2022</c:v>
                </c:pt>
                <c:pt idx="14">
                  <c:v>Q3 2022</c:v>
                </c:pt>
                <c:pt idx="15">
                  <c:v>Q4 2022</c:v>
                </c:pt>
                <c:pt idx="16">
                  <c:v>Q1 2023</c:v>
                </c:pt>
                <c:pt idx="17">
                  <c:v>Q2 2023</c:v>
                </c:pt>
                <c:pt idx="18">
                  <c:v>Q3 2023</c:v>
                </c:pt>
                <c:pt idx="19">
                  <c:v>Q4 2023</c:v>
                </c:pt>
                <c:pt idx="20">
                  <c:v>Q1 2024</c:v>
                </c:pt>
                <c:pt idx="21">
                  <c:v>Q2 2024</c:v>
                </c:pt>
                <c:pt idx="22">
                  <c:v>Q3 2024</c:v>
                </c:pt>
                <c:pt idx="23">
                  <c:v>Q4 2024</c:v>
                </c:pt>
                <c:pt idx="24">
                  <c:v>Q1 2025</c:v>
                </c:pt>
                <c:pt idx="25">
                  <c:v>Q2 2025</c:v>
                </c:pt>
                <c:pt idx="26">
                  <c:v>Q3 2025</c:v>
                </c:pt>
                <c:pt idx="27">
                  <c:v>Q4 2025</c:v>
                </c:pt>
              </c:strCache>
            </c:strRef>
          </c:cat>
          <c:val>
            <c:numRef>
              <c:f>Rent!$B$56:$AC$56</c:f>
              <c:numCache>
                <c:formatCode>_-* #,##0_-;\-* #,##0_-;_-* "-"_-;_-@_-</c:formatCode>
                <c:ptCount val="28"/>
                <c:pt idx="0">
                  <c:v>95550.413223140495</c:v>
                </c:pt>
                <c:pt idx="1">
                  <c:v>96000</c:v>
                </c:pt>
                <c:pt idx="2">
                  <c:v>96102.479338842983</c:v>
                </c:pt>
                <c:pt idx="3">
                  <c:v>96317.355371900834</c:v>
                </c:pt>
                <c:pt idx="4">
                  <c:v>97438.56364013876</c:v>
                </c:pt>
                <c:pt idx="5">
                  <c:v>98233.845761974284</c:v>
                </c:pt>
                <c:pt idx="6">
                  <c:v>98449.586776859505</c:v>
                </c:pt>
                <c:pt idx="7">
                  <c:v>98789.349411067655</c:v>
                </c:pt>
                <c:pt idx="8">
                  <c:v>99896.33594823457</c:v>
                </c:pt>
                <c:pt idx="9">
                  <c:v>100425.41908632897</c:v>
                </c:pt>
                <c:pt idx="10">
                  <c:v>100885.09267324995</c:v>
                </c:pt>
                <c:pt idx="11">
                  <c:v>101222.85023754426</c:v>
                </c:pt>
                <c:pt idx="12">
                  <c:v>101636.40626743389</c:v>
                </c:pt>
                <c:pt idx="13">
                  <c:v>102597.39731642161</c:v>
                </c:pt>
                <c:pt idx="14">
                  <c:v>103828.56608421868</c:v>
                </c:pt>
                <c:pt idx="15">
                  <c:v>105857.85123966943</c:v>
                </c:pt>
                <c:pt idx="16">
                  <c:v>109130.57851239669</c:v>
                </c:pt>
                <c:pt idx="17">
                  <c:v>110525.61983471074</c:v>
                </c:pt>
                <c:pt idx="18">
                  <c:v>112426.44628099175</c:v>
                </c:pt>
                <c:pt idx="19">
                  <c:v>115755.37190082645</c:v>
                </c:pt>
                <c:pt idx="20">
                  <c:v>116704.13223140496</c:v>
                </c:pt>
                <c:pt idx="21">
                  <c:v>117960.3305785124</c:v>
                </c:pt>
                <c:pt idx="22">
                  <c:v>120333.88429752066</c:v>
                </c:pt>
                <c:pt idx="23">
                  <c:v>122092.56198347108</c:v>
                </c:pt>
                <c:pt idx="24">
                  <c:v>123963.63636363637</c:v>
                </c:pt>
                <c:pt idx="25">
                  <c:v>126578.51239669422</c:v>
                </c:pt>
                <c:pt idx="26">
                  <c:v>127692.56198347108</c:v>
                </c:pt>
                <c:pt idx="27">
                  <c:v>129272.72727272728</c:v>
                </c:pt>
              </c:numCache>
            </c:numRef>
          </c:val>
          <c:smooth val="0"/>
          <c:extLst>
            <c:ext xmlns:c16="http://schemas.microsoft.com/office/drawing/2014/chart" uri="{C3380CC4-5D6E-409C-BE32-E72D297353CC}">
              <c16:uniqueId val="{00000001-8A6C-4D7C-9F03-48A47AE98ED0}"/>
            </c:ext>
          </c:extLst>
        </c:ser>
        <c:dLbls>
          <c:showLegendKey val="0"/>
          <c:showVal val="0"/>
          <c:showCatName val="0"/>
          <c:showSerName val="0"/>
          <c:showPercent val="0"/>
          <c:showBubbleSize val="0"/>
        </c:dLbls>
        <c:smooth val="0"/>
        <c:axId val="675450608"/>
        <c:axId val="675457264"/>
        <c:extLst/>
      </c:lineChart>
      <c:catAx>
        <c:axId val="6754506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1600" b="0" i="0" u="none" strike="noStrike" kern="1200" baseline="0">
                <a:solidFill>
                  <a:sysClr val="windowText" lastClr="000000"/>
                </a:solidFill>
                <a:latin typeface="Arial" panose="020B0604020202020204" pitchFamily="34" charset="0"/>
                <a:ea typeface="Open Sans" panose="020B0606030504020204" pitchFamily="34" charset="0"/>
                <a:cs typeface="Arial" panose="020B0604020202020204" pitchFamily="34" charset="0"/>
              </a:defRPr>
            </a:pPr>
            <a:endParaRPr lang="en-US"/>
          </a:p>
        </c:txPr>
        <c:crossAx val="675457264"/>
        <c:crosses val="autoZero"/>
        <c:auto val="1"/>
        <c:lblAlgn val="ctr"/>
        <c:lblOffset val="100"/>
        <c:noMultiLvlLbl val="0"/>
      </c:catAx>
      <c:valAx>
        <c:axId val="675457264"/>
        <c:scaling>
          <c:orientation val="minMax"/>
          <c:min val="70000"/>
        </c:scaling>
        <c:delete val="0"/>
        <c:axPos val="l"/>
        <c:title>
          <c:tx>
            <c:rich>
              <a:bodyPr rot="-5400000" spcFirstLastPara="1" vertOverflow="ellipsis" vert="horz" wrap="square" anchor="ctr" anchorCtr="1"/>
              <a:lstStyle/>
              <a:p>
                <a:pPr>
                  <a:defRPr sz="1600" b="0" i="0" u="none" strike="noStrike" kern="1200" baseline="0">
                    <a:solidFill>
                      <a:sysClr val="windowText" lastClr="000000"/>
                    </a:solidFill>
                    <a:latin typeface="Arial" panose="020B0604020202020204" pitchFamily="34" charset="0"/>
                    <a:ea typeface="Open Sans" panose="020B0606030504020204" pitchFamily="34" charset="0"/>
                    <a:cs typeface="Arial" panose="020B0604020202020204" pitchFamily="34" charset="0"/>
                  </a:defRPr>
                </a:pPr>
                <a:r>
                  <a:rPr lang="en-HK"/>
                  <a:t>Rent (KRW/pyeong/month)</a:t>
                </a:r>
              </a:p>
            </c:rich>
          </c:tx>
          <c:layout>
            <c:manualLayout>
              <c:xMode val="edge"/>
              <c:yMode val="edge"/>
              <c:x val="8.9397152262247412E-3"/>
              <c:y val="0.14587911046452334"/>
            </c:manualLayout>
          </c:layout>
          <c:overlay val="0"/>
          <c:spPr>
            <a:noFill/>
            <a:ln>
              <a:noFill/>
            </a:ln>
            <a:effectLst/>
          </c:spPr>
          <c:txPr>
            <a:bodyPr rot="-5400000" spcFirstLastPara="1" vertOverflow="ellipsis" vert="horz" wrap="square" anchor="ctr" anchorCtr="1"/>
            <a:lstStyle/>
            <a:p>
              <a:pPr>
                <a:defRPr sz="1600" b="0" i="0" u="none" strike="noStrike" kern="1200" baseline="0">
                  <a:solidFill>
                    <a:sysClr val="windowText" lastClr="000000"/>
                  </a:solidFill>
                  <a:latin typeface="Arial" panose="020B0604020202020204" pitchFamily="34" charset="0"/>
                  <a:ea typeface="Open Sans" panose="020B0606030504020204" pitchFamily="34" charset="0"/>
                  <a:cs typeface="Arial" panose="020B0604020202020204" pitchFamily="34" charset="0"/>
                </a:defRPr>
              </a:pPr>
              <a:endParaRPr lang="en-US"/>
            </a:p>
          </c:txPr>
        </c:title>
        <c:numFmt formatCode="#,##0_);[Red]\(#,##0\)" sourceLinked="0"/>
        <c:majorTickMark val="none"/>
        <c:minorTickMark val="none"/>
        <c:tickLblPos val="nextTo"/>
        <c:spPr>
          <a:noFill/>
          <a:ln>
            <a:solidFill>
              <a:schemeClr val="bg1">
                <a:lumMod val="85000"/>
              </a:schemeClr>
            </a:solidFill>
          </a:ln>
          <a:effectLst/>
        </c:spPr>
        <c:txPr>
          <a:bodyPr rot="-60000000" spcFirstLastPara="1" vertOverflow="ellipsis" vert="horz" wrap="square" anchor="ctr" anchorCtr="1"/>
          <a:lstStyle/>
          <a:p>
            <a:pPr>
              <a:defRPr sz="1600" b="0" i="0" u="none" strike="noStrike" kern="1200" baseline="0">
                <a:solidFill>
                  <a:sysClr val="windowText" lastClr="000000"/>
                </a:solidFill>
                <a:latin typeface="Arial" panose="020B0604020202020204" pitchFamily="34" charset="0"/>
                <a:ea typeface="Open Sans" panose="020B0606030504020204" pitchFamily="34" charset="0"/>
                <a:cs typeface="Arial" panose="020B0604020202020204" pitchFamily="34" charset="0"/>
              </a:defRPr>
            </a:pPr>
            <a:endParaRPr lang="en-US"/>
          </a:p>
        </c:txPr>
        <c:crossAx val="675450608"/>
        <c:crosses val="autoZero"/>
        <c:crossBetween val="between"/>
      </c:valAx>
      <c:spPr>
        <a:noFill/>
        <a:ln>
          <a:noFill/>
        </a:ln>
        <a:effectLst/>
      </c:spPr>
    </c:plotArea>
    <c:legend>
      <c:legendPos val="b"/>
      <c:layout>
        <c:manualLayout>
          <c:xMode val="edge"/>
          <c:yMode val="edge"/>
          <c:x val="0.20681058228380844"/>
          <c:y val="0.9339892630261718"/>
          <c:w val="0.66130969290297303"/>
          <c:h val="4.7171272855919551E-2"/>
        </c:manualLayout>
      </c:layout>
      <c:overlay val="0"/>
      <c:spPr>
        <a:noFill/>
        <a:ln>
          <a:noFill/>
        </a:ln>
        <a:effectLst/>
      </c:spPr>
      <c:txPr>
        <a:bodyPr rot="0" spcFirstLastPara="1" vertOverflow="ellipsis" vert="horz" wrap="square" anchor="ctr" anchorCtr="1"/>
        <a:lstStyle/>
        <a:p>
          <a:pPr>
            <a:defRPr sz="1600" b="0" i="0" u="none" strike="noStrike" kern="1200" baseline="0">
              <a:solidFill>
                <a:sysClr val="windowText" lastClr="000000"/>
              </a:solidFill>
              <a:latin typeface="Arial" panose="020B0604020202020204" pitchFamily="34" charset="0"/>
              <a:ea typeface="Open Sans" panose="020B0606030504020204" pitchFamily="34" charset="0"/>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600" b="0">
          <a:solidFill>
            <a:sysClr val="windowText" lastClr="000000"/>
          </a:solidFill>
          <a:latin typeface="Arial" panose="020B0604020202020204" pitchFamily="34" charset="0"/>
          <a:ea typeface="Open Sans" panose="020B0606030504020204" pitchFamily="34" charset="0"/>
          <a:cs typeface="Arial" panose="020B0604020202020204" pitchFamily="34" charset="0"/>
        </a:defRPr>
      </a:pPr>
      <a:endParaRPr lang="en-US"/>
    </a:p>
  </c:txPr>
  <c:printSettings>
    <c:headerFooter/>
    <c:pageMargins b="0.75" l="0.7" r="0.7" t="0.75" header="0.3" footer="0.3"/>
    <c:pageSetup orientation="portrait"/>
  </c:printSettings>
  <c:userShapes r:id="rId3"/>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3344038263851807"/>
          <c:y val="2.7346547469899667E-2"/>
          <c:w val="0.84895959552761502"/>
          <c:h val="0.53133870103928849"/>
        </c:manualLayout>
      </c:layout>
      <c:lineChart>
        <c:grouping val="standard"/>
        <c:varyColors val="0"/>
        <c:ser>
          <c:idx val="0"/>
          <c:order val="0"/>
          <c:tx>
            <c:strRef>
              <c:f>'Vacancy Rate'!$A$42</c:f>
              <c:strCache>
                <c:ptCount val="1"/>
                <c:pt idx="0">
                  <c:v>CBD</c:v>
                </c:pt>
              </c:strCache>
            </c:strRef>
          </c:tx>
          <c:spPr>
            <a:ln w="12700" cap="rnd">
              <a:solidFill>
                <a:srgbClr val="25408F"/>
              </a:solidFill>
              <a:round/>
            </a:ln>
            <a:effectLst/>
          </c:spPr>
          <c:marker>
            <c:symbol val="none"/>
          </c:marker>
          <c:dLbls>
            <c:delete val="1"/>
          </c:dLbls>
          <c:cat>
            <c:strRef>
              <c:f>'Vacancy Rate'!$B$41:$AC$41</c:f>
              <c:strCache>
                <c:ptCount val="28"/>
                <c:pt idx="0">
                  <c:v>Q1 2019</c:v>
                </c:pt>
                <c:pt idx="1">
                  <c:v>Q2 2019</c:v>
                </c:pt>
                <c:pt idx="2">
                  <c:v>Q3 2019</c:v>
                </c:pt>
                <c:pt idx="3">
                  <c:v>Q4 2019</c:v>
                </c:pt>
                <c:pt idx="4">
                  <c:v>Q1 2020</c:v>
                </c:pt>
                <c:pt idx="5">
                  <c:v>Q2 2020</c:v>
                </c:pt>
                <c:pt idx="6">
                  <c:v>Q3 2020</c:v>
                </c:pt>
                <c:pt idx="7">
                  <c:v>Q4 2020</c:v>
                </c:pt>
                <c:pt idx="8">
                  <c:v>Q1 2021</c:v>
                </c:pt>
                <c:pt idx="9">
                  <c:v>Q2 2021</c:v>
                </c:pt>
                <c:pt idx="10">
                  <c:v>Q3 2021</c:v>
                </c:pt>
                <c:pt idx="11">
                  <c:v>Q4 2021</c:v>
                </c:pt>
                <c:pt idx="12">
                  <c:v>Q1 2022</c:v>
                </c:pt>
                <c:pt idx="13">
                  <c:v>Q2 2022</c:v>
                </c:pt>
                <c:pt idx="14">
                  <c:v>Q3 2022</c:v>
                </c:pt>
                <c:pt idx="15">
                  <c:v>Q4 2022</c:v>
                </c:pt>
                <c:pt idx="16">
                  <c:v>Q1 2023</c:v>
                </c:pt>
                <c:pt idx="17">
                  <c:v>Q2 2023</c:v>
                </c:pt>
                <c:pt idx="18">
                  <c:v>Q3 2023</c:v>
                </c:pt>
                <c:pt idx="19">
                  <c:v>Q4 2023</c:v>
                </c:pt>
                <c:pt idx="20">
                  <c:v>Q1 2024</c:v>
                </c:pt>
                <c:pt idx="21">
                  <c:v>Q2 2024</c:v>
                </c:pt>
                <c:pt idx="22">
                  <c:v>Q3 2024</c:v>
                </c:pt>
                <c:pt idx="23">
                  <c:v>Q4 2024</c:v>
                </c:pt>
                <c:pt idx="24">
                  <c:v>Q1 2025</c:v>
                </c:pt>
                <c:pt idx="25">
                  <c:v>Q2 2025</c:v>
                </c:pt>
                <c:pt idx="26">
                  <c:v>Q3 2025</c:v>
                </c:pt>
                <c:pt idx="27">
                  <c:v>Q4 2025</c:v>
                </c:pt>
              </c:strCache>
            </c:strRef>
          </c:cat>
          <c:val>
            <c:numRef>
              <c:f>'Vacancy Rate'!$B$42:$AC$42</c:f>
              <c:numCache>
                <c:formatCode>0.0%</c:formatCode>
                <c:ptCount val="28"/>
                <c:pt idx="0">
                  <c:v>0.13000897797930977</c:v>
                </c:pt>
                <c:pt idx="1">
                  <c:v>0.13333138703525635</c:v>
                </c:pt>
                <c:pt idx="2">
                  <c:v>0.10099495693635595</c:v>
                </c:pt>
                <c:pt idx="3">
                  <c:v>7.865045667831741E-2</c:v>
                </c:pt>
                <c:pt idx="4">
                  <c:v>7.0088157771135126E-2</c:v>
                </c:pt>
                <c:pt idx="5">
                  <c:v>0.11380211134784511</c:v>
                </c:pt>
                <c:pt idx="6">
                  <c:v>0.10100000000000001</c:v>
                </c:pt>
                <c:pt idx="7">
                  <c:v>0.11250483746812884</c:v>
                </c:pt>
                <c:pt idx="8">
                  <c:v>9.9699515011065692E-2</c:v>
                </c:pt>
                <c:pt idx="9">
                  <c:v>0.10222697398854762</c:v>
                </c:pt>
                <c:pt idx="10">
                  <c:v>8.9969874120457025E-2</c:v>
                </c:pt>
                <c:pt idx="11">
                  <c:v>9.4827900275667801E-2</c:v>
                </c:pt>
                <c:pt idx="12">
                  <c:v>7.0000000000000007E-2</c:v>
                </c:pt>
                <c:pt idx="13">
                  <c:v>5.3175237933290313E-2</c:v>
                </c:pt>
                <c:pt idx="14">
                  <c:v>3.5000000000000003E-2</c:v>
                </c:pt>
                <c:pt idx="15">
                  <c:v>2.4E-2</c:v>
                </c:pt>
                <c:pt idx="16">
                  <c:v>2.5999999999999999E-2</c:v>
                </c:pt>
                <c:pt idx="17">
                  <c:v>3.1E-2</c:v>
                </c:pt>
                <c:pt idx="18">
                  <c:v>0.02</c:v>
                </c:pt>
                <c:pt idx="19">
                  <c:v>2.1000000000000001E-2</c:v>
                </c:pt>
                <c:pt idx="20">
                  <c:v>2.1999999999999999E-2</c:v>
                </c:pt>
                <c:pt idx="21">
                  <c:v>2.5999999999999999E-2</c:v>
                </c:pt>
                <c:pt idx="22">
                  <c:v>2.9000000000000001E-2</c:v>
                </c:pt>
                <c:pt idx="23">
                  <c:v>2.8000000000000001E-2</c:v>
                </c:pt>
                <c:pt idx="24">
                  <c:v>4.4999999999999998E-2</c:v>
                </c:pt>
                <c:pt idx="25">
                  <c:v>4.3999999999999997E-2</c:v>
                </c:pt>
                <c:pt idx="26">
                  <c:v>4.5999999999999999E-2</c:v>
                </c:pt>
                <c:pt idx="27">
                  <c:v>4.8000000000000001E-2</c:v>
                </c:pt>
              </c:numCache>
            </c:numRef>
          </c:val>
          <c:smooth val="0"/>
          <c:extLst>
            <c:ext xmlns:c16="http://schemas.microsoft.com/office/drawing/2014/chart" uri="{C3380CC4-5D6E-409C-BE32-E72D297353CC}">
              <c16:uniqueId val="{00000000-9E4A-4D70-89A9-19BDAED1274D}"/>
            </c:ext>
          </c:extLst>
        </c:ser>
        <c:ser>
          <c:idx val="1"/>
          <c:order val="1"/>
          <c:tx>
            <c:strRef>
              <c:f>'Vacancy Rate'!$A$43</c:f>
              <c:strCache>
                <c:ptCount val="1"/>
                <c:pt idx="0">
                  <c:v>GBD</c:v>
                </c:pt>
              </c:strCache>
            </c:strRef>
          </c:tx>
          <c:spPr>
            <a:ln w="12700" cap="rnd">
              <a:solidFill>
                <a:srgbClr val="0C9ED9"/>
              </a:solidFill>
              <a:round/>
            </a:ln>
            <a:effectLst/>
          </c:spPr>
          <c:marker>
            <c:symbol val="none"/>
          </c:marker>
          <c:dLbls>
            <c:delete val="1"/>
          </c:dLbls>
          <c:cat>
            <c:strRef>
              <c:f>'Vacancy Rate'!$B$41:$AC$41</c:f>
              <c:strCache>
                <c:ptCount val="28"/>
                <c:pt idx="0">
                  <c:v>Q1 2019</c:v>
                </c:pt>
                <c:pt idx="1">
                  <c:v>Q2 2019</c:v>
                </c:pt>
                <c:pt idx="2">
                  <c:v>Q3 2019</c:v>
                </c:pt>
                <c:pt idx="3">
                  <c:v>Q4 2019</c:v>
                </c:pt>
                <c:pt idx="4">
                  <c:v>Q1 2020</c:v>
                </c:pt>
                <c:pt idx="5">
                  <c:v>Q2 2020</c:v>
                </c:pt>
                <c:pt idx="6">
                  <c:v>Q3 2020</c:v>
                </c:pt>
                <c:pt idx="7">
                  <c:v>Q4 2020</c:v>
                </c:pt>
                <c:pt idx="8">
                  <c:v>Q1 2021</c:v>
                </c:pt>
                <c:pt idx="9">
                  <c:v>Q2 2021</c:v>
                </c:pt>
                <c:pt idx="10">
                  <c:v>Q3 2021</c:v>
                </c:pt>
                <c:pt idx="11">
                  <c:v>Q4 2021</c:v>
                </c:pt>
                <c:pt idx="12">
                  <c:v>Q1 2022</c:v>
                </c:pt>
                <c:pt idx="13">
                  <c:v>Q2 2022</c:v>
                </c:pt>
                <c:pt idx="14">
                  <c:v>Q3 2022</c:v>
                </c:pt>
                <c:pt idx="15">
                  <c:v>Q4 2022</c:v>
                </c:pt>
                <c:pt idx="16">
                  <c:v>Q1 2023</c:v>
                </c:pt>
                <c:pt idx="17">
                  <c:v>Q2 2023</c:v>
                </c:pt>
                <c:pt idx="18">
                  <c:v>Q3 2023</c:v>
                </c:pt>
                <c:pt idx="19">
                  <c:v>Q4 2023</c:v>
                </c:pt>
                <c:pt idx="20">
                  <c:v>Q1 2024</c:v>
                </c:pt>
                <c:pt idx="21">
                  <c:v>Q2 2024</c:v>
                </c:pt>
                <c:pt idx="22">
                  <c:v>Q3 2024</c:v>
                </c:pt>
                <c:pt idx="23">
                  <c:v>Q4 2024</c:v>
                </c:pt>
                <c:pt idx="24">
                  <c:v>Q1 2025</c:v>
                </c:pt>
                <c:pt idx="25">
                  <c:v>Q2 2025</c:v>
                </c:pt>
                <c:pt idx="26">
                  <c:v>Q3 2025</c:v>
                </c:pt>
                <c:pt idx="27">
                  <c:v>Q4 2025</c:v>
                </c:pt>
              </c:strCache>
            </c:strRef>
          </c:cat>
          <c:val>
            <c:numRef>
              <c:f>'Vacancy Rate'!$B$43:$AC$43</c:f>
              <c:numCache>
                <c:formatCode>0.0%</c:formatCode>
                <c:ptCount val="28"/>
                <c:pt idx="0">
                  <c:v>3.9566450505035107E-2</c:v>
                </c:pt>
                <c:pt idx="1">
                  <c:v>2.8736048138347674E-2</c:v>
                </c:pt>
                <c:pt idx="2">
                  <c:v>2.1080038488155588E-2</c:v>
                </c:pt>
                <c:pt idx="3">
                  <c:v>3.8848163078909939E-2</c:v>
                </c:pt>
                <c:pt idx="4">
                  <c:v>4.1940748117810206E-2</c:v>
                </c:pt>
                <c:pt idx="5">
                  <c:v>4.2420610315700033E-2</c:v>
                </c:pt>
                <c:pt idx="6">
                  <c:v>3.9E-2</c:v>
                </c:pt>
                <c:pt idx="7">
                  <c:v>4.027498544852412E-2</c:v>
                </c:pt>
                <c:pt idx="8">
                  <c:v>8.4243728368115556E-2</c:v>
                </c:pt>
                <c:pt idx="9">
                  <c:v>3.3085516653527207E-2</c:v>
                </c:pt>
                <c:pt idx="10">
                  <c:v>1.3967713556367597E-2</c:v>
                </c:pt>
                <c:pt idx="11">
                  <c:v>1.1198919543877715E-2</c:v>
                </c:pt>
                <c:pt idx="12">
                  <c:v>6.0000000000000001E-3</c:v>
                </c:pt>
                <c:pt idx="13">
                  <c:v>1.0876781982034315E-2</c:v>
                </c:pt>
                <c:pt idx="14">
                  <c:v>8.9999999999999993E-3</c:v>
                </c:pt>
                <c:pt idx="15">
                  <c:v>8.0000000000000002E-3</c:v>
                </c:pt>
                <c:pt idx="16">
                  <c:v>2.1000000000000001E-2</c:v>
                </c:pt>
                <c:pt idx="17">
                  <c:v>8.9999999999999993E-3</c:v>
                </c:pt>
                <c:pt idx="18">
                  <c:v>8.0000000000000002E-3</c:v>
                </c:pt>
                <c:pt idx="19">
                  <c:v>1.0999999999999999E-2</c:v>
                </c:pt>
                <c:pt idx="20">
                  <c:v>1.4999999999999999E-2</c:v>
                </c:pt>
                <c:pt idx="21">
                  <c:v>1.7999999999999999E-2</c:v>
                </c:pt>
                <c:pt idx="22">
                  <c:v>2.3E-2</c:v>
                </c:pt>
                <c:pt idx="23">
                  <c:v>0.02</c:v>
                </c:pt>
                <c:pt idx="24">
                  <c:v>2.3E-2</c:v>
                </c:pt>
                <c:pt idx="25">
                  <c:v>2.1000000000000001E-2</c:v>
                </c:pt>
                <c:pt idx="26">
                  <c:v>1.4E-2</c:v>
                </c:pt>
                <c:pt idx="27">
                  <c:v>1.7999999999999999E-2</c:v>
                </c:pt>
              </c:numCache>
            </c:numRef>
          </c:val>
          <c:smooth val="0"/>
          <c:extLst>
            <c:ext xmlns:c16="http://schemas.microsoft.com/office/drawing/2014/chart" uri="{C3380CC4-5D6E-409C-BE32-E72D297353CC}">
              <c16:uniqueId val="{00000001-9E4A-4D70-89A9-19BDAED1274D}"/>
            </c:ext>
          </c:extLst>
        </c:ser>
        <c:ser>
          <c:idx val="2"/>
          <c:order val="2"/>
          <c:tx>
            <c:strRef>
              <c:f>'Vacancy Rate'!$A$44</c:f>
              <c:strCache>
                <c:ptCount val="1"/>
                <c:pt idx="0">
                  <c:v>YBD</c:v>
                </c:pt>
              </c:strCache>
            </c:strRef>
          </c:tx>
          <c:spPr>
            <a:ln w="12700" cap="rnd">
              <a:solidFill>
                <a:srgbClr val="B7E4F4"/>
              </a:solidFill>
              <a:round/>
            </a:ln>
            <a:effectLst/>
          </c:spPr>
          <c:marker>
            <c:symbol val="none"/>
          </c:marker>
          <c:dLbls>
            <c:delete val="1"/>
          </c:dLbls>
          <c:cat>
            <c:strRef>
              <c:f>'Vacancy Rate'!$B$41:$AC$41</c:f>
              <c:strCache>
                <c:ptCount val="28"/>
                <c:pt idx="0">
                  <c:v>Q1 2019</c:v>
                </c:pt>
                <c:pt idx="1">
                  <c:v>Q2 2019</c:v>
                </c:pt>
                <c:pt idx="2">
                  <c:v>Q3 2019</c:v>
                </c:pt>
                <c:pt idx="3">
                  <c:v>Q4 2019</c:v>
                </c:pt>
                <c:pt idx="4">
                  <c:v>Q1 2020</c:v>
                </c:pt>
                <c:pt idx="5">
                  <c:v>Q2 2020</c:v>
                </c:pt>
                <c:pt idx="6">
                  <c:v>Q3 2020</c:v>
                </c:pt>
                <c:pt idx="7">
                  <c:v>Q4 2020</c:v>
                </c:pt>
                <c:pt idx="8">
                  <c:v>Q1 2021</c:v>
                </c:pt>
                <c:pt idx="9">
                  <c:v>Q2 2021</c:v>
                </c:pt>
                <c:pt idx="10">
                  <c:v>Q3 2021</c:v>
                </c:pt>
                <c:pt idx="11">
                  <c:v>Q4 2021</c:v>
                </c:pt>
                <c:pt idx="12">
                  <c:v>Q1 2022</c:v>
                </c:pt>
                <c:pt idx="13">
                  <c:v>Q2 2022</c:v>
                </c:pt>
                <c:pt idx="14">
                  <c:v>Q3 2022</c:v>
                </c:pt>
                <c:pt idx="15">
                  <c:v>Q4 2022</c:v>
                </c:pt>
                <c:pt idx="16">
                  <c:v>Q1 2023</c:v>
                </c:pt>
                <c:pt idx="17">
                  <c:v>Q2 2023</c:v>
                </c:pt>
                <c:pt idx="18">
                  <c:v>Q3 2023</c:v>
                </c:pt>
                <c:pt idx="19">
                  <c:v>Q4 2023</c:v>
                </c:pt>
                <c:pt idx="20">
                  <c:v>Q1 2024</c:v>
                </c:pt>
                <c:pt idx="21">
                  <c:v>Q2 2024</c:v>
                </c:pt>
                <c:pt idx="22">
                  <c:v>Q3 2024</c:v>
                </c:pt>
                <c:pt idx="23">
                  <c:v>Q4 2024</c:v>
                </c:pt>
                <c:pt idx="24">
                  <c:v>Q1 2025</c:v>
                </c:pt>
                <c:pt idx="25">
                  <c:v>Q2 2025</c:v>
                </c:pt>
                <c:pt idx="26">
                  <c:v>Q3 2025</c:v>
                </c:pt>
                <c:pt idx="27">
                  <c:v>Q4 2025</c:v>
                </c:pt>
              </c:strCache>
            </c:strRef>
          </c:cat>
          <c:val>
            <c:numRef>
              <c:f>'Vacancy Rate'!$B$44:$AC$44</c:f>
              <c:numCache>
                <c:formatCode>0.0%</c:formatCode>
                <c:ptCount val="28"/>
                <c:pt idx="0">
                  <c:v>8.8249456526826572E-2</c:v>
                </c:pt>
                <c:pt idx="1">
                  <c:v>8.6179824880220551E-2</c:v>
                </c:pt>
                <c:pt idx="2">
                  <c:v>6.5911671581424316E-2</c:v>
                </c:pt>
                <c:pt idx="3">
                  <c:v>7.8710711623391022E-2</c:v>
                </c:pt>
                <c:pt idx="4">
                  <c:v>9.059239821931489E-2</c:v>
                </c:pt>
                <c:pt idx="5">
                  <c:v>5.9318733282770875E-2</c:v>
                </c:pt>
                <c:pt idx="6">
                  <c:v>0.20799999999999999</c:v>
                </c:pt>
                <c:pt idx="7">
                  <c:v>0.15309332099656367</c:v>
                </c:pt>
                <c:pt idx="8">
                  <c:v>0.12933476796105961</c:v>
                </c:pt>
                <c:pt idx="9">
                  <c:v>0.11632951286907764</c:v>
                </c:pt>
                <c:pt idx="10">
                  <c:v>0.10259083503038152</c:v>
                </c:pt>
                <c:pt idx="11">
                  <c:v>8.145122156270837E-2</c:v>
                </c:pt>
                <c:pt idx="12">
                  <c:v>3.2000000000000001E-2</c:v>
                </c:pt>
                <c:pt idx="13">
                  <c:v>1.9756245423093233E-2</c:v>
                </c:pt>
                <c:pt idx="14">
                  <c:v>1.6E-2</c:v>
                </c:pt>
                <c:pt idx="15">
                  <c:v>1.0999999999999999E-2</c:v>
                </c:pt>
                <c:pt idx="16">
                  <c:v>1.9E-2</c:v>
                </c:pt>
                <c:pt idx="17">
                  <c:v>1.7999999999999999E-2</c:v>
                </c:pt>
                <c:pt idx="18">
                  <c:v>2.4E-2</c:v>
                </c:pt>
                <c:pt idx="19">
                  <c:v>2.4E-2</c:v>
                </c:pt>
                <c:pt idx="20">
                  <c:v>2.3E-2</c:v>
                </c:pt>
                <c:pt idx="21">
                  <c:v>2.8000000000000001E-2</c:v>
                </c:pt>
                <c:pt idx="22">
                  <c:v>3.1E-2</c:v>
                </c:pt>
                <c:pt idx="23">
                  <c:v>2.7E-2</c:v>
                </c:pt>
                <c:pt idx="24">
                  <c:v>4.4999999999999998E-2</c:v>
                </c:pt>
                <c:pt idx="25">
                  <c:v>3.5999999999999997E-2</c:v>
                </c:pt>
                <c:pt idx="26">
                  <c:v>2.1999999999999999E-2</c:v>
                </c:pt>
                <c:pt idx="27">
                  <c:v>2.7E-2</c:v>
                </c:pt>
              </c:numCache>
            </c:numRef>
          </c:val>
          <c:smooth val="0"/>
          <c:extLst>
            <c:ext xmlns:c16="http://schemas.microsoft.com/office/drawing/2014/chart" uri="{C3380CC4-5D6E-409C-BE32-E72D297353CC}">
              <c16:uniqueId val="{00000002-9E4A-4D70-89A9-19BDAED1274D}"/>
            </c:ext>
          </c:extLst>
        </c:ser>
        <c:ser>
          <c:idx val="4"/>
          <c:order val="4"/>
          <c:tx>
            <c:strRef>
              <c:f>'Vacancy Rate'!#REF!</c:f>
              <c:strCache>
                <c:ptCount val="1"/>
                <c:pt idx="0">
                  <c:v>#REF!</c:v>
                </c:pt>
              </c:strCache>
              <c:extLst xmlns:c15="http://schemas.microsoft.com/office/drawing/2012/chart"/>
            </c:strRef>
          </c:tx>
          <c:spPr>
            <a:ln w="28575" cap="rnd">
              <a:solidFill>
                <a:schemeClr val="accent3">
                  <a:lumMod val="60000"/>
                </a:schemeClr>
              </a:solidFill>
              <a:round/>
            </a:ln>
            <a:effectLst/>
          </c:spPr>
          <c:marker>
            <c:symbol val="none"/>
          </c:marker>
          <c:dLbls>
            <c:spPr>
              <a:noFill/>
              <a:ln>
                <a:noFill/>
              </a:ln>
              <a:effectLst/>
            </c:spPr>
            <c:txPr>
              <a:bodyPr rot="0" spcFirstLastPara="1" vertOverflow="ellipsis" vert="horz" wrap="square" anchor="ctr" anchorCtr="1"/>
              <a:lstStyle/>
              <a:p>
                <a:pPr>
                  <a:defRPr sz="1600" b="1" i="0" u="none" strike="noStrike" kern="1200" baseline="0">
                    <a:solidFill>
                      <a:sysClr val="windowText" lastClr="000000"/>
                    </a:solidFill>
                    <a:latin typeface="Arial" panose="020B0604020202020204" pitchFamily="34" charset="0"/>
                    <a:ea typeface="Open Sans" panose="020B0606030504020204" pitchFamily="34" charset="0"/>
                    <a:cs typeface="Arial" panose="020B0604020202020204" pitchFamily="34" charset="0"/>
                  </a:defRPr>
                </a:pPr>
                <a:endParaRPr lang="en-US"/>
              </a:p>
            </c:txPr>
            <c:dLblPos val="t"/>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'Vacancy Rate'!$B$41:$AC$41</c:f>
              <c:strCache>
                <c:ptCount val="28"/>
                <c:pt idx="0">
                  <c:v>Q1 2019</c:v>
                </c:pt>
                <c:pt idx="1">
                  <c:v>Q2 2019</c:v>
                </c:pt>
                <c:pt idx="2">
                  <c:v>Q3 2019</c:v>
                </c:pt>
                <c:pt idx="3">
                  <c:v>Q4 2019</c:v>
                </c:pt>
                <c:pt idx="4">
                  <c:v>Q1 2020</c:v>
                </c:pt>
                <c:pt idx="5">
                  <c:v>Q2 2020</c:v>
                </c:pt>
                <c:pt idx="6">
                  <c:v>Q3 2020</c:v>
                </c:pt>
                <c:pt idx="7">
                  <c:v>Q4 2020</c:v>
                </c:pt>
                <c:pt idx="8">
                  <c:v>Q1 2021</c:v>
                </c:pt>
                <c:pt idx="9">
                  <c:v>Q2 2021</c:v>
                </c:pt>
                <c:pt idx="10">
                  <c:v>Q3 2021</c:v>
                </c:pt>
                <c:pt idx="11">
                  <c:v>Q4 2021</c:v>
                </c:pt>
                <c:pt idx="12">
                  <c:v>Q1 2022</c:v>
                </c:pt>
                <c:pt idx="13">
                  <c:v>Q2 2022</c:v>
                </c:pt>
                <c:pt idx="14">
                  <c:v>Q3 2022</c:v>
                </c:pt>
                <c:pt idx="15">
                  <c:v>Q4 2022</c:v>
                </c:pt>
                <c:pt idx="16">
                  <c:v>Q1 2023</c:v>
                </c:pt>
                <c:pt idx="17">
                  <c:v>Q2 2023</c:v>
                </c:pt>
                <c:pt idx="18">
                  <c:v>Q3 2023</c:v>
                </c:pt>
                <c:pt idx="19">
                  <c:v>Q4 2023</c:v>
                </c:pt>
                <c:pt idx="20">
                  <c:v>Q1 2024</c:v>
                </c:pt>
                <c:pt idx="21">
                  <c:v>Q2 2024</c:v>
                </c:pt>
                <c:pt idx="22">
                  <c:v>Q3 2024</c:v>
                </c:pt>
                <c:pt idx="23">
                  <c:v>Q4 2024</c:v>
                </c:pt>
                <c:pt idx="24">
                  <c:v>Q1 2025</c:v>
                </c:pt>
                <c:pt idx="25">
                  <c:v>Q2 2025</c:v>
                </c:pt>
                <c:pt idx="26">
                  <c:v>Q3 2025</c:v>
                </c:pt>
                <c:pt idx="27">
                  <c:v>Q4 2025</c:v>
                </c:pt>
              </c:strCache>
            </c:strRef>
          </c:cat>
          <c:val>
            <c:numRef>
              <c:f>'Vacancy Rate'!#REF!</c:f>
              <c:numCache>
                <c:formatCode>General</c:formatCode>
                <c:ptCount val="1"/>
                <c:pt idx="0">
                  <c:v>1</c:v>
                </c:pt>
              </c:numCache>
              <c:extLst xmlns:c15="http://schemas.microsoft.com/office/drawing/2012/chart"/>
            </c:numRef>
          </c:val>
          <c:smooth val="0"/>
          <c:extLst xmlns:c15="http://schemas.microsoft.com/office/drawing/2012/chart">
            <c:ext xmlns:c16="http://schemas.microsoft.com/office/drawing/2014/chart" uri="{C3380CC4-5D6E-409C-BE32-E72D297353CC}">
              <c16:uniqueId val="{00000004-9E4A-4D70-89A9-19BDAED1274D}"/>
            </c:ext>
          </c:extLst>
        </c:ser>
        <c:ser>
          <c:idx val="6"/>
          <c:order val="6"/>
          <c:tx>
            <c:strRef>
              <c:f>'Vacancy Rate'!$A$45</c:f>
              <c:strCache>
                <c:ptCount val="1"/>
                <c:pt idx="0">
                  <c:v>Seoul Overall Vacancy</c:v>
                </c:pt>
              </c:strCache>
            </c:strRef>
          </c:tx>
          <c:spPr>
            <a:ln w="12700" cap="rnd">
              <a:solidFill>
                <a:schemeClr val="accent1">
                  <a:lumMod val="80000"/>
                  <a:lumOff val="20000"/>
                </a:schemeClr>
              </a:solidFill>
              <a:prstDash val="sysDash"/>
              <a:round/>
            </a:ln>
            <a:effectLst/>
          </c:spPr>
          <c:marker>
            <c:symbol val="none"/>
          </c:marker>
          <c:dLbls>
            <c:delete val="1"/>
          </c:dLbls>
          <c:cat>
            <c:strRef>
              <c:f>'Vacancy Rate'!$B$41:$AC$41</c:f>
              <c:strCache>
                <c:ptCount val="28"/>
                <c:pt idx="0">
                  <c:v>Q1 2019</c:v>
                </c:pt>
                <c:pt idx="1">
                  <c:v>Q2 2019</c:v>
                </c:pt>
                <c:pt idx="2">
                  <c:v>Q3 2019</c:v>
                </c:pt>
                <c:pt idx="3">
                  <c:v>Q4 2019</c:v>
                </c:pt>
                <c:pt idx="4">
                  <c:v>Q1 2020</c:v>
                </c:pt>
                <c:pt idx="5">
                  <c:v>Q2 2020</c:v>
                </c:pt>
                <c:pt idx="6">
                  <c:v>Q3 2020</c:v>
                </c:pt>
                <c:pt idx="7">
                  <c:v>Q4 2020</c:v>
                </c:pt>
                <c:pt idx="8">
                  <c:v>Q1 2021</c:v>
                </c:pt>
                <c:pt idx="9">
                  <c:v>Q2 2021</c:v>
                </c:pt>
                <c:pt idx="10">
                  <c:v>Q3 2021</c:v>
                </c:pt>
                <c:pt idx="11">
                  <c:v>Q4 2021</c:v>
                </c:pt>
                <c:pt idx="12">
                  <c:v>Q1 2022</c:v>
                </c:pt>
                <c:pt idx="13">
                  <c:v>Q2 2022</c:v>
                </c:pt>
                <c:pt idx="14">
                  <c:v>Q3 2022</c:v>
                </c:pt>
                <c:pt idx="15">
                  <c:v>Q4 2022</c:v>
                </c:pt>
                <c:pt idx="16">
                  <c:v>Q1 2023</c:v>
                </c:pt>
                <c:pt idx="17">
                  <c:v>Q2 2023</c:v>
                </c:pt>
                <c:pt idx="18">
                  <c:v>Q3 2023</c:v>
                </c:pt>
                <c:pt idx="19">
                  <c:v>Q4 2023</c:v>
                </c:pt>
                <c:pt idx="20">
                  <c:v>Q1 2024</c:v>
                </c:pt>
                <c:pt idx="21">
                  <c:v>Q2 2024</c:v>
                </c:pt>
                <c:pt idx="22">
                  <c:v>Q3 2024</c:v>
                </c:pt>
                <c:pt idx="23">
                  <c:v>Q4 2024</c:v>
                </c:pt>
                <c:pt idx="24">
                  <c:v>Q1 2025</c:v>
                </c:pt>
                <c:pt idx="25">
                  <c:v>Q2 2025</c:v>
                </c:pt>
                <c:pt idx="26">
                  <c:v>Q3 2025</c:v>
                </c:pt>
                <c:pt idx="27">
                  <c:v>Q4 2025</c:v>
                </c:pt>
              </c:strCache>
            </c:strRef>
          </c:cat>
          <c:val>
            <c:numRef>
              <c:f>'Vacancy Rate'!$B$45:$AC$45</c:f>
              <c:numCache>
                <c:formatCode>0.0%</c:formatCode>
                <c:ptCount val="28"/>
                <c:pt idx="0">
                  <c:v>8.9881494127018402E-2</c:v>
                </c:pt>
                <c:pt idx="1">
                  <c:v>8.7999999999999995E-2</c:v>
                </c:pt>
                <c:pt idx="2">
                  <c:v>6.7064116860087161E-2</c:v>
                </c:pt>
                <c:pt idx="3">
                  <c:v>6.5021288054436771E-2</c:v>
                </c:pt>
                <c:pt idx="4">
                  <c:v>6.4516362950559056E-2</c:v>
                </c:pt>
                <c:pt idx="5">
                  <c:v>7.9441765577845727E-2</c:v>
                </c:pt>
                <c:pt idx="6">
                  <c:v>0.106</c:v>
                </c:pt>
                <c:pt idx="7">
                  <c:v>9.9001354090857294E-2</c:v>
                </c:pt>
                <c:pt idx="8">
                  <c:v>0.10122766791383617</c:v>
                </c:pt>
                <c:pt idx="9">
                  <c:v>8.1982242238625949E-2</c:v>
                </c:pt>
                <c:pt idx="10">
                  <c:v>6.7181595040195677E-2</c:v>
                </c:pt>
                <c:pt idx="11">
                  <c:v>6.3698979724226418E-2</c:v>
                </c:pt>
                <c:pt idx="12">
                  <c:v>0.04</c:v>
                </c:pt>
                <c:pt idx="13">
                  <c:v>3.1512445434853716E-2</c:v>
                </c:pt>
                <c:pt idx="14">
                  <c:v>2.1999999999999999E-2</c:v>
                </c:pt>
                <c:pt idx="15">
                  <c:v>1.6E-2</c:v>
                </c:pt>
                <c:pt idx="16">
                  <c:v>2.3E-2</c:v>
                </c:pt>
                <c:pt idx="17">
                  <c:v>2.1000000000000001E-2</c:v>
                </c:pt>
                <c:pt idx="18">
                  <c:v>1.7000000000000001E-2</c:v>
                </c:pt>
                <c:pt idx="19">
                  <c:v>1.7999999999999999E-2</c:v>
                </c:pt>
                <c:pt idx="20">
                  <c:v>0.02</c:v>
                </c:pt>
                <c:pt idx="21">
                  <c:v>2.4E-2</c:v>
                </c:pt>
                <c:pt idx="22">
                  <c:v>2.8000000000000001E-2</c:v>
                </c:pt>
                <c:pt idx="23">
                  <c:v>2.5000000000000001E-2</c:v>
                </c:pt>
                <c:pt idx="24">
                  <c:v>3.7999999999999999E-2</c:v>
                </c:pt>
                <c:pt idx="25">
                  <c:v>3.4000000000000002E-2</c:v>
                </c:pt>
                <c:pt idx="26">
                  <c:v>0.03</c:v>
                </c:pt>
                <c:pt idx="27">
                  <c:v>3.3000000000000002E-2</c:v>
                </c:pt>
              </c:numCache>
            </c:numRef>
          </c:val>
          <c:smooth val="0"/>
          <c:extLst>
            <c:ext xmlns:c16="http://schemas.microsoft.com/office/drawing/2014/chart" uri="{C3380CC4-5D6E-409C-BE32-E72D297353CC}">
              <c16:uniqueId val="{00000001-E9C1-40D0-B2A1-C1B0EE2645A6}"/>
            </c:ext>
          </c:extLst>
        </c:ser>
        <c:dLbls>
          <c:dLblPos val="t"/>
          <c:showLegendKey val="0"/>
          <c:showVal val="1"/>
          <c:showCatName val="0"/>
          <c:showSerName val="0"/>
          <c:showPercent val="0"/>
          <c:showBubbleSize val="0"/>
        </c:dLbls>
        <c:smooth val="0"/>
        <c:axId val="675450608"/>
        <c:axId val="675457264"/>
        <c:extLst>
          <c:ext xmlns:c15="http://schemas.microsoft.com/office/drawing/2012/chart" uri="{02D57815-91ED-43cb-92C2-25804820EDAC}">
            <c15:filteredLineSeries>
              <c15:ser>
                <c:idx val="3"/>
                <c:order val="3"/>
                <c:tx>
                  <c:strRef>
                    <c:extLst>
                      <c:ext uri="{02D57815-91ED-43cb-92C2-25804820EDAC}">
                        <c15:formulaRef>
                          <c15:sqref>'[2]Occupancy Rate'!#REF!</c15:sqref>
                        </c15:formulaRef>
                      </c:ext>
                    </c:extLst>
                    <c:strCache>
                      <c:ptCount val="1"/>
                      <c:pt idx="0">
                        <c:v>#REF!</c:v>
                      </c:pt>
                    </c:strCache>
                  </c:strRef>
                </c:tx>
                <c:spPr>
                  <a:ln w="28575" cap="rnd">
                    <a:solidFill>
                      <a:srgbClr val="339088"/>
                    </a:solidFill>
                    <a:round/>
                  </a:ln>
                  <a:effectLst/>
                </c:spPr>
                <c:marker>
                  <c:symbol val="none"/>
                </c:marker>
                <c:dLbls>
                  <c:dLbl>
                    <c:idx val="0"/>
                    <c:delete val="1"/>
                    <c:extLst>
                      <c:ext uri="{CE6537A1-D6FC-4f65-9D91-7224C49458BB}"/>
                      <c:ext xmlns:c16="http://schemas.microsoft.com/office/drawing/2014/chart" uri="{C3380CC4-5D6E-409C-BE32-E72D297353CC}">
                        <c16:uniqueId val="{000000B7-9E4A-4D70-89A9-19BDAED1274D}"/>
                      </c:ext>
                    </c:extLst>
                  </c:dLbl>
                  <c:dLbl>
                    <c:idx val="1"/>
                    <c:delete val="1"/>
                    <c:extLst>
                      <c:ext uri="{CE6537A1-D6FC-4f65-9D91-7224C49458BB}"/>
                      <c:ext xmlns:c16="http://schemas.microsoft.com/office/drawing/2014/chart" uri="{C3380CC4-5D6E-409C-BE32-E72D297353CC}">
                        <c16:uniqueId val="{000000B6-9E4A-4D70-89A9-19BDAED1274D}"/>
                      </c:ext>
                    </c:extLst>
                  </c:dLbl>
                  <c:dLbl>
                    <c:idx val="2"/>
                    <c:delete val="1"/>
                    <c:extLst>
                      <c:ext uri="{CE6537A1-D6FC-4f65-9D91-7224C49458BB}"/>
                      <c:ext xmlns:c16="http://schemas.microsoft.com/office/drawing/2014/chart" uri="{C3380CC4-5D6E-409C-BE32-E72D297353CC}">
                        <c16:uniqueId val="{000000B5-9E4A-4D70-89A9-19BDAED1274D}"/>
                      </c:ext>
                    </c:extLst>
                  </c:dLbl>
                  <c:dLbl>
                    <c:idx val="3"/>
                    <c:delete val="1"/>
                    <c:extLst>
                      <c:ext uri="{CE6537A1-D6FC-4f65-9D91-7224C49458BB}"/>
                      <c:ext xmlns:c16="http://schemas.microsoft.com/office/drawing/2014/chart" uri="{C3380CC4-5D6E-409C-BE32-E72D297353CC}">
                        <c16:uniqueId val="{000000B4-9E4A-4D70-89A9-19BDAED1274D}"/>
                      </c:ext>
                    </c:extLst>
                  </c:dLbl>
                  <c:dLbl>
                    <c:idx val="4"/>
                    <c:delete val="1"/>
                    <c:extLst>
                      <c:ext uri="{CE6537A1-D6FC-4f65-9D91-7224C49458BB}"/>
                      <c:ext xmlns:c16="http://schemas.microsoft.com/office/drawing/2014/chart" uri="{C3380CC4-5D6E-409C-BE32-E72D297353CC}">
                        <c16:uniqueId val="{000000B3-9E4A-4D70-89A9-19BDAED1274D}"/>
                      </c:ext>
                    </c:extLst>
                  </c:dLbl>
                  <c:dLbl>
                    <c:idx val="5"/>
                    <c:delete val="1"/>
                    <c:extLst>
                      <c:ext uri="{CE6537A1-D6FC-4f65-9D91-7224C49458BB}"/>
                      <c:ext xmlns:c16="http://schemas.microsoft.com/office/drawing/2014/chart" uri="{C3380CC4-5D6E-409C-BE32-E72D297353CC}">
                        <c16:uniqueId val="{000000B2-9E4A-4D70-89A9-19BDAED1274D}"/>
                      </c:ext>
                    </c:extLst>
                  </c:dLbl>
                  <c:dLbl>
                    <c:idx val="6"/>
                    <c:delete val="1"/>
                    <c:extLst>
                      <c:ext uri="{CE6537A1-D6FC-4f65-9D91-7224C49458BB}"/>
                      <c:ext xmlns:c16="http://schemas.microsoft.com/office/drawing/2014/chart" uri="{C3380CC4-5D6E-409C-BE32-E72D297353CC}">
                        <c16:uniqueId val="{000000B1-9E4A-4D70-89A9-19BDAED1274D}"/>
                      </c:ext>
                    </c:extLst>
                  </c:dLbl>
                  <c:dLbl>
                    <c:idx val="7"/>
                    <c:delete val="1"/>
                    <c:extLst>
                      <c:ext uri="{CE6537A1-D6FC-4f65-9D91-7224C49458BB}"/>
                      <c:ext xmlns:c16="http://schemas.microsoft.com/office/drawing/2014/chart" uri="{C3380CC4-5D6E-409C-BE32-E72D297353CC}">
                        <c16:uniqueId val="{000000B0-9E4A-4D70-89A9-19BDAED1274D}"/>
                      </c:ext>
                    </c:extLst>
                  </c:dLbl>
                  <c:dLbl>
                    <c:idx val="8"/>
                    <c:delete val="1"/>
                    <c:extLst>
                      <c:ext uri="{CE6537A1-D6FC-4f65-9D91-7224C49458BB}"/>
                      <c:ext xmlns:c16="http://schemas.microsoft.com/office/drawing/2014/chart" uri="{C3380CC4-5D6E-409C-BE32-E72D297353CC}">
                        <c16:uniqueId val="{000000AF-9E4A-4D70-89A9-19BDAED1274D}"/>
                      </c:ext>
                    </c:extLst>
                  </c:dLbl>
                  <c:dLbl>
                    <c:idx val="9"/>
                    <c:delete val="1"/>
                    <c:extLst>
                      <c:ext uri="{CE6537A1-D6FC-4f65-9D91-7224C49458BB}"/>
                      <c:ext xmlns:c16="http://schemas.microsoft.com/office/drawing/2014/chart" uri="{C3380CC4-5D6E-409C-BE32-E72D297353CC}">
                        <c16:uniqueId val="{000000AE-9E4A-4D70-89A9-19BDAED1274D}"/>
                      </c:ext>
                    </c:extLst>
                  </c:dLbl>
                  <c:dLbl>
                    <c:idx val="10"/>
                    <c:delete val="1"/>
                    <c:extLst>
                      <c:ext uri="{CE6537A1-D6FC-4f65-9D91-7224C49458BB}"/>
                      <c:ext xmlns:c16="http://schemas.microsoft.com/office/drawing/2014/chart" uri="{C3380CC4-5D6E-409C-BE32-E72D297353CC}">
                        <c16:uniqueId val="{000000AD-9E4A-4D70-89A9-19BDAED1274D}"/>
                      </c:ext>
                    </c:extLst>
                  </c:dLbl>
                  <c:dLbl>
                    <c:idx val="11"/>
                    <c:delete val="1"/>
                    <c:extLst>
                      <c:ext uri="{CE6537A1-D6FC-4f65-9D91-7224C49458BB}"/>
                      <c:ext xmlns:c16="http://schemas.microsoft.com/office/drawing/2014/chart" uri="{C3380CC4-5D6E-409C-BE32-E72D297353CC}">
                        <c16:uniqueId val="{000000AC-9E4A-4D70-89A9-19BDAED1274D}"/>
                      </c:ext>
                    </c:extLst>
                  </c:dLbl>
                  <c:dLbl>
                    <c:idx val="12"/>
                    <c:delete val="1"/>
                    <c:extLst>
                      <c:ext uri="{CE6537A1-D6FC-4f65-9D91-7224C49458BB}"/>
                      <c:ext xmlns:c16="http://schemas.microsoft.com/office/drawing/2014/chart" uri="{C3380CC4-5D6E-409C-BE32-E72D297353CC}">
                        <c16:uniqueId val="{000000AB-9E4A-4D70-89A9-19BDAED1274D}"/>
                      </c:ext>
                    </c:extLst>
                  </c:dLbl>
                  <c:dLbl>
                    <c:idx val="13"/>
                    <c:delete val="1"/>
                    <c:extLst>
                      <c:ext uri="{CE6537A1-D6FC-4f65-9D91-7224C49458BB}"/>
                      <c:ext xmlns:c16="http://schemas.microsoft.com/office/drawing/2014/chart" uri="{C3380CC4-5D6E-409C-BE32-E72D297353CC}">
                        <c16:uniqueId val="{000000AA-9E4A-4D70-89A9-19BDAED1274D}"/>
                      </c:ext>
                    </c:extLst>
                  </c:dLbl>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ysClr val="windowText" lastClr="000000"/>
                          </a:solidFill>
                          <a:latin typeface="Arial" panose="020B0604020202020204" pitchFamily="34" charset="0"/>
                          <a:ea typeface="Open Sans" panose="020B0606030504020204" pitchFamily="34" charset="0"/>
                          <a:cs typeface="Arial" panose="020B0604020202020204" pitchFamily="34" charset="0"/>
                        </a:defRPr>
                      </a:pPr>
                      <a:endParaRPr lang="en-US"/>
                    </a:p>
                  </c:txPr>
                  <c:dLblPos val="r"/>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uri="{02D57815-91ED-43cb-92C2-25804820EDAC}">
                        <c15:formulaRef>
                          <c15:sqref>'Vacancy Rate'!$B$41:$AC$41</c15:sqref>
                        </c15:formulaRef>
                      </c:ext>
                    </c:extLst>
                    <c:strCache>
                      <c:ptCount val="28"/>
                      <c:pt idx="0">
                        <c:v>Q1 2019</c:v>
                      </c:pt>
                      <c:pt idx="1">
                        <c:v>Q2 2019</c:v>
                      </c:pt>
                      <c:pt idx="2">
                        <c:v>Q3 2019</c:v>
                      </c:pt>
                      <c:pt idx="3">
                        <c:v>Q4 2019</c:v>
                      </c:pt>
                      <c:pt idx="4">
                        <c:v>Q1 2020</c:v>
                      </c:pt>
                      <c:pt idx="5">
                        <c:v>Q2 2020</c:v>
                      </c:pt>
                      <c:pt idx="6">
                        <c:v>Q3 2020</c:v>
                      </c:pt>
                      <c:pt idx="7">
                        <c:v>Q4 2020</c:v>
                      </c:pt>
                      <c:pt idx="8">
                        <c:v>Q1 2021</c:v>
                      </c:pt>
                      <c:pt idx="9">
                        <c:v>Q2 2021</c:v>
                      </c:pt>
                      <c:pt idx="10">
                        <c:v>Q3 2021</c:v>
                      </c:pt>
                      <c:pt idx="11">
                        <c:v>Q4 2021</c:v>
                      </c:pt>
                      <c:pt idx="12">
                        <c:v>Q1 2022</c:v>
                      </c:pt>
                      <c:pt idx="13">
                        <c:v>Q2 2022</c:v>
                      </c:pt>
                      <c:pt idx="14">
                        <c:v>Q3 2022</c:v>
                      </c:pt>
                      <c:pt idx="15">
                        <c:v>Q4 2022</c:v>
                      </c:pt>
                      <c:pt idx="16">
                        <c:v>Q1 2023</c:v>
                      </c:pt>
                      <c:pt idx="17">
                        <c:v>Q2 2023</c:v>
                      </c:pt>
                      <c:pt idx="18">
                        <c:v>Q3 2023</c:v>
                      </c:pt>
                      <c:pt idx="19">
                        <c:v>Q4 2023</c:v>
                      </c:pt>
                      <c:pt idx="20">
                        <c:v>Q1 2024</c:v>
                      </c:pt>
                      <c:pt idx="21">
                        <c:v>Q2 2024</c:v>
                      </c:pt>
                      <c:pt idx="22">
                        <c:v>Q3 2024</c:v>
                      </c:pt>
                      <c:pt idx="23">
                        <c:v>Q4 2024</c:v>
                      </c:pt>
                      <c:pt idx="24">
                        <c:v>Q1 2025</c:v>
                      </c:pt>
                      <c:pt idx="25">
                        <c:v>Q2 2025</c:v>
                      </c:pt>
                      <c:pt idx="26">
                        <c:v>Q3 2025</c:v>
                      </c:pt>
                      <c:pt idx="27">
                        <c:v>Q4 2025</c:v>
                      </c:pt>
                    </c:strCache>
                  </c:strRef>
                </c:cat>
                <c:val>
                  <c:numRef>
                    <c:extLst>
                      <c:ext uri="{02D57815-91ED-43cb-92C2-25804820EDAC}">
                        <c15:formulaRef>
                          <c15:sqref>'Vacancy Rate'!$B$46:$P$46</c15:sqref>
                        </c15:formulaRef>
                      </c:ext>
                    </c:extLst>
                    <c:numCache>
                      <c:formatCode>0.0%</c:formatCode>
                      <c:ptCount val="15"/>
                    </c:numCache>
                  </c:numRef>
                </c:val>
                <c:smooth val="0"/>
                <c:extLst>
                  <c:ext xmlns:c16="http://schemas.microsoft.com/office/drawing/2014/chart" uri="{C3380CC4-5D6E-409C-BE32-E72D297353CC}">
                    <c16:uniqueId val="{00000003-9E4A-4D70-89A9-19BDAED1274D}"/>
                  </c:ext>
                </c:extLst>
              </c15:ser>
            </c15:filteredLineSeries>
            <c15:filteredLineSeries>
              <c15:ser>
                <c:idx val="5"/>
                <c:order val="5"/>
                <c:tx>
                  <c:strRef>
                    <c:extLst xmlns:c15="http://schemas.microsoft.com/office/drawing/2012/chart">
                      <c:ext xmlns:c15="http://schemas.microsoft.com/office/drawing/2012/chart" uri="{02D57815-91ED-43cb-92C2-25804820EDAC}">
                        <c15:formulaRef>
                          <c15:sqref>'Vacancy Rate'!$A$47</c15:sqref>
                        </c15:formulaRef>
                      </c:ext>
                    </c:extLst>
                    <c:strCache>
                      <c:ptCount val="1"/>
                      <c:pt idx="0">
                        <c:v>QoQ Change</c:v>
                      </c:pt>
                    </c:strCache>
                  </c:strRef>
                </c:tx>
                <c:spPr>
                  <a:ln w="28575" cap="rnd">
                    <a:solidFill>
                      <a:schemeClr val="accent5">
                        <a:lumMod val="60000"/>
                      </a:schemeClr>
                    </a:solidFill>
                    <a:round/>
                  </a:ln>
                  <a:effectLst/>
                </c:spPr>
                <c:marker>
                  <c:symbol val="none"/>
                </c:marker>
                <c:dLbls>
                  <c:dLbl>
                    <c:idx val="0"/>
                    <c:delete val="1"/>
                    <c:extLst xmlns:c15="http://schemas.microsoft.com/office/drawing/2012/chart">
                      <c:ext xmlns:c15="http://schemas.microsoft.com/office/drawing/2012/chart" uri="{CE6537A1-D6FC-4f65-9D91-7224C49458BB}"/>
                      <c:ext xmlns:c16="http://schemas.microsoft.com/office/drawing/2014/chart" uri="{C3380CC4-5D6E-409C-BE32-E72D297353CC}">
                        <c16:uniqueId val="{00000113-9E4A-4D70-89A9-19BDAED1274D}"/>
                      </c:ext>
                    </c:extLst>
                  </c:dLbl>
                  <c:dLbl>
                    <c:idx val="1"/>
                    <c:delete val="1"/>
                    <c:extLst xmlns:c15="http://schemas.microsoft.com/office/drawing/2012/chart">
                      <c:ext xmlns:c15="http://schemas.microsoft.com/office/drawing/2012/chart" uri="{CE6537A1-D6FC-4f65-9D91-7224C49458BB}"/>
                      <c:ext xmlns:c16="http://schemas.microsoft.com/office/drawing/2014/chart" uri="{C3380CC4-5D6E-409C-BE32-E72D297353CC}">
                        <c16:uniqueId val="{00000112-9E4A-4D70-89A9-19BDAED1274D}"/>
                      </c:ext>
                    </c:extLst>
                  </c:dLbl>
                  <c:dLbl>
                    <c:idx val="2"/>
                    <c:delete val="1"/>
                    <c:extLst xmlns:c15="http://schemas.microsoft.com/office/drawing/2012/chart">
                      <c:ext xmlns:c15="http://schemas.microsoft.com/office/drawing/2012/chart" uri="{CE6537A1-D6FC-4f65-9D91-7224C49458BB}"/>
                      <c:ext xmlns:c16="http://schemas.microsoft.com/office/drawing/2014/chart" uri="{C3380CC4-5D6E-409C-BE32-E72D297353CC}">
                        <c16:uniqueId val="{00000111-9E4A-4D70-89A9-19BDAED1274D}"/>
                      </c:ext>
                    </c:extLst>
                  </c:dLbl>
                  <c:dLbl>
                    <c:idx val="3"/>
                    <c:delete val="1"/>
                    <c:extLst xmlns:c15="http://schemas.microsoft.com/office/drawing/2012/chart">
                      <c:ext xmlns:c15="http://schemas.microsoft.com/office/drawing/2012/chart" uri="{CE6537A1-D6FC-4f65-9D91-7224C49458BB}"/>
                      <c:ext xmlns:c16="http://schemas.microsoft.com/office/drawing/2014/chart" uri="{C3380CC4-5D6E-409C-BE32-E72D297353CC}">
                        <c16:uniqueId val="{00000110-9E4A-4D70-89A9-19BDAED1274D}"/>
                      </c:ext>
                    </c:extLst>
                  </c:dLbl>
                  <c:dLbl>
                    <c:idx val="4"/>
                    <c:delete val="1"/>
                    <c:extLst xmlns:c15="http://schemas.microsoft.com/office/drawing/2012/chart">
                      <c:ext xmlns:c15="http://schemas.microsoft.com/office/drawing/2012/chart" uri="{CE6537A1-D6FC-4f65-9D91-7224C49458BB}"/>
                      <c:ext xmlns:c16="http://schemas.microsoft.com/office/drawing/2014/chart" uri="{C3380CC4-5D6E-409C-BE32-E72D297353CC}">
                        <c16:uniqueId val="{0000010F-9E4A-4D70-89A9-19BDAED1274D}"/>
                      </c:ext>
                    </c:extLst>
                  </c:dLbl>
                  <c:dLbl>
                    <c:idx val="5"/>
                    <c:delete val="1"/>
                    <c:extLst xmlns:c15="http://schemas.microsoft.com/office/drawing/2012/chart">
                      <c:ext xmlns:c15="http://schemas.microsoft.com/office/drawing/2012/chart" uri="{CE6537A1-D6FC-4f65-9D91-7224C49458BB}"/>
                      <c:ext xmlns:c16="http://schemas.microsoft.com/office/drawing/2014/chart" uri="{C3380CC4-5D6E-409C-BE32-E72D297353CC}">
                        <c16:uniqueId val="{0000010E-9E4A-4D70-89A9-19BDAED1274D}"/>
                      </c:ext>
                    </c:extLst>
                  </c:dLbl>
                  <c:dLbl>
                    <c:idx val="6"/>
                    <c:delete val="1"/>
                    <c:extLst xmlns:c15="http://schemas.microsoft.com/office/drawing/2012/chart">
                      <c:ext xmlns:c15="http://schemas.microsoft.com/office/drawing/2012/chart" uri="{CE6537A1-D6FC-4f65-9D91-7224C49458BB}"/>
                      <c:ext xmlns:c16="http://schemas.microsoft.com/office/drawing/2014/chart" uri="{C3380CC4-5D6E-409C-BE32-E72D297353CC}">
                        <c16:uniqueId val="{0000010D-9E4A-4D70-89A9-19BDAED1274D}"/>
                      </c:ext>
                    </c:extLst>
                  </c:dLbl>
                  <c:dLbl>
                    <c:idx val="7"/>
                    <c:delete val="1"/>
                    <c:extLst xmlns:c15="http://schemas.microsoft.com/office/drawing/2012/chart">
                      <c:ext xmlns:c15="http://schemas.microsoft.com/office/drawing/2012/chart" uri="{CE6537A1-D6FC-4f65-9D91-7224C49458BB}"/>
                      <c:ext xmlns:c16="http://schemas.microsoft.com/office/drawing/2014/chart" uri="{C3380CC4-5D6E-409C-BE32-E72D297353CC}">
                        <c16:uniqueId val="{00000000-C53B-4EDD-B3A0-0E9E201C0FE4}"/>
                      </c:ext>
                    </c:extLst>
                  </c:dLbl>
                  <c:dLbl>
                    <c:idx val="8"/>
                    <c:delete val="1"/>
                    <c:extLst xmlns:c15="http://schemas.microsoft.com/office/drawing/2012/chart">
                      <c:ext xmlns:c15="http://schemas.microsoft.com/office/drawing/2012/chart" uri="{CE6537A1-D6FC-4f65-9D91-7224C49458BB}"/>
                      <c:ext xmlns:c16="http://schemas.microsoft.com/office/drawing/2014/chart" uri="{C3380CC4-5D6E-409C-BE32-E72D297353CC}">
                        <c16:uniqueId val="{00000001-C53B-4EDD-B3A0-0E9E201C0FE4}"/>
                      </c:ext>
                    </c:extLst>
                  </c:dLbl>
                  <c:dLbl>
                    <c:idx val="9"/>
                    <c:delete val="1"/>
                    <c:extLst xmlns:c15="http://schemas.microsoft.com/office/drawing/2012/chart">
                      <c:ext xmlns:c15="http://schemas.microsoft.com/office/drawing/2012/chart" uri="{CE6537A1-D6FC-4f65-9D91-7224C49458BB}"/>
                      <c:ext xmlns:c16="http://schemas.microsoft.com/office/drawing/2014/chart" uri="{C3380CC4-5D6E-409C-BE32-E72D297353CC}">
                        <c16:uniqueId val="{00000002-C53B-4EDD-B3A0-0E9E201C0FE4}"/>
                      </c:ext>
                    </c:extLst>
                  </c:dLbl>
                  <c:dLbl>
                    <c:idx val="10"/>
                    <c:delete val="1"/>
                    <c:extLst xmlns:c15="http://schemas.microsoft.com/office/drawing/2012/chart">
                      <c:ext xmlns:c15="http://schemas.microsoft.com/office/drawing/2012/chart" uri="{CE6537A1-D6FC-4f65-9D91-7224C49458BB}"/>
                      <c:ext xmlns:c16="http://schemas.microsoft.com/office/drawing/2014/chart" uri="{C3380CC4-5D6E-409C-BE32-E72D297353CC}">
                        <c16:uniqueId val="{00000003-C53B-4EDD-B3A0-0E9E201C0FE4}"/>
                      </c:ext>
                    </c:extLst>
                  </c:dLbl>
                  <c:dLbl>
                    <c:idx val="11"/>
                    <c:delete val="1"/>
                    <c:extLst xmlns:c15="http://schemas.microsoft.com/office/drawing/2012/chart">
                      <c:ext xmlns:c15="http://schemas.microsoft.com/office/drawing/2012/chart" uri="{CE6537A1-D6FC-4f65-9D91-7224C49458BB}"/>
                      <c:ext xmlns:c16="http://schemas.microsoft.com/office/drawing/2014/chart" uri="{C3380CC4-5D6E-409C-BE32-E72D297353CC}">
                        <c16:uniqueId val="{00000004-C53B-4EDD-B3A0-0E9E201C0FE4}"/>
                      </c:ext>
                    </c:extLst>
                  </c:dLbl>
                  <c:dLbl>
                    <c:idx val="12"/>
                    <c:delete val="1"/>
                    <c:extLst xmlns:c15="http://schemas.microsoft.com/office/drawing/2012/chart">
                      <c:ext xmlns:c15="http://schemas.microsoft.com/office/drawing/2012/chart" uri="{CE6537A1-D6FC-4f65-9D91-7224C49458BB}"/>
                      <c:ext xmlns:c16="http://schemas.microsoft.com/office/drawing/2014/chart" uri="{C3380CC4-5D6E-409C-BE32-E72D297353CC}">
                        <c16:uniqueId val="{00000005-C53B-4EDD-B3A0-0E9E201C0FE4}"/>
                      </c:ext>
                    </c:extLst>
                  </c:dLbl>
                  <c:dLbl>
                    <c:idx val="13"/>
                    <c:delete val="1"/>
                    <c:extLst xmlns:c15="http://schemas.microsoft.com/office/drawing/2012/chart">
                      <c:ext xmlns:c15="http://schemas.microsoft.com/office/drawing/2012/chart" uri="{CE6537A1-D6FC-4f65-9D91-7224C49458BB}"/>
                      <c:ext xmlns:c16="http://schemas.microsoft.com/office/drawing/2014/chart" uri="{C3380CC4-5D6E-409C-BE32-E72D297353CC}">
                        <c16:uniqueId val="{00000106-9E4A-4D70-89A9-19BDAED1274D}"/>
                      </c:ext>
                    </c:extLst>
                  </c:dLbl>
                  <c:spPr>
                    <a:noFill/>
                    <a:ln>
                      <a:noFill/>
                    </a:ln>
                    <a:effectLst/>
                  </c:spPr>
                  <c:txPr>
                    <a:bodyPr rot="0" spcFirstLastPara="1" vertOverflow="ellipsis" vert="horz" wrap="square" anchor="ctr" anchorCtr="1"/>
                    <a:lstStyle/>
                    <a:p>
                      <a:pPr>
                        <a:defRPr sz="1600" b="1" i="0" u="none" strike="noStrike" kern="1200" baseline="0">
                          <a:solidFill>
                            <a:sysClr val="windowText" lastClr="000000"/>
                          </a:solidFill>
                          <a:latin typeface="Arial" panose="020B0604020202020204" pitchFamily="34" charset="0"/>
                          <a:ea typeface="Open Sans" panose="020B0606030504020204" pitchFamily="34" charset="0"/>
                          <a:cs typeface="Arial" panose="020B0604020202020204" pitchFamily="34" charset="0"/>
                        </a:defRPr>
                      </a:pPr>
                      <a:endParaRPr lang="en-US"/>
                    </a:p>
                  </c:txPr>
                  <c:dLblPos val="t"/>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xmlns:c15="http://schemas.microsoft.com/office/drawing/2012/chart">
                      <c:ext xmlns:c15="http://schemas.microsoft.com/office/drawing/2012/chart" uri="{02D57815-91ED-43cb-92C2-25804820EDAC}">
                        <c15:formulaRef>
                          <c15:sqref>'Vacancy Rate'!$B$41:$AC$41</c15:sqref>
                        </c15:formulaRef>
                      </c:ext>
                    </c:extLst>
                    <c:strCache>
                      <c:ptCount val="28"/>
                      <c:pt idx="0">
                        <c:v>Q1 2019</c:v>
                      </c:pt>
                      <c:pt idx="1">
                        <c:v>Q2 2019</c:v>
                      </c:pt>
                      <c:pt idx="2">
                        <c:v>Q3 2019</c:v>
                      </c:pt>
                      <c:pt idx="3">
                        <c:v>Q4 2019</c:v>
                      </c:pt>
                      <c:pt idx="4">
                        <c:v>Q1 2020</c:v>
                      </c:pt>
                      <c:pt idx="5">
                        <c:v>Q2 2020</c:v>
                      </c:pt>
                      <c:pt idx="6">
                        <c:v>Q3 2020</c:v>
                      </c:pt>
                      <c:pt idx="7">
                        <c:v>Q4 2020</c:v>
                      </c:pt>
                      <c:pt idx="8">
                        <c:v>Q1 2021</c:v>
                      </c:pt>
                      <c:pt idx="9">
                        <c:v>Q2 2021</c:v>
                      </c:pt>
                      <c:pt idx="10">
                        <c:v>Q3 2021</c:v>
                      </c:pt>
                      <c:pt idx="11">
                        <c:v>Q4 2021</c:v>
                      </c:pt>
                      <c:pt idx="12">
                        <c:v>Q1 2022</c:v>
                      </c:pt>
                      <c:pt idx="13">
                        <c:v>Q2 2022</c:v>
                      </c:pt>
                      <c:pt idx="14">
                        <c:v>Q3 2022</c:v>
                      </c:pt>
                      <c:pt idx="15">
                        <c:v>Q4 2022</c:v>
                      </c:pt>
                      <c:pt idx="16">
                        <c:v>Q1 2023</c:v>
                      </c:pt>
                      <c:pt idx="17">
                        <c:v>Q2 2023</c:v>
                      </c:pt>
                      <c:pt idx="18">
                        <c:v>Q3 2023</c:v>
                      </c:pt>
                      <c:pt idx="19">
                        <c:v>Q4 2023</c:v>
                      </c:pt>
                      <c:pt idx="20">
                        <c:v>Q1 2024</c:v>
                      </c:pt>
                      <c:pt idx="21">
                        <c:v>Q2 2024</c:v>
                      </c:pt>
                      <c:pt idx="22">
                        <c:v>Q3 2024</c:v>
                      </c:pt>
                      <c:pt idx="23">
                        <c:v>Q4 2024</c:v>
                      </c:pt>
                      <c:pt idx="24">
                        <c:v>Q1 2025</c:v>
                      </c:pt>
                      <c:pt idx="25">
                        <c:v>Q2 2025</c:v>
                      </c:pt>
                      <c:pt idx="26">
                        <c:v>Q3 2025</c:v>
                      </c:pt>
                      <c:pt idx="27">
                        <c:v>Q4 2025</c:v>
                      </c:pt>
                    </c:strCache>
                  </c:strRef>
                </c:cat>
                <c:val>
                  <c:numRef>
                    <c:extLst xmlns:c15="http://schemas.microsoft.com/office/drawing/2012/chart">
                      <c:ext xmlns:c15="http://schemas.microsoft.com/office/drawing/2012/chart" uri="{02D57815-91ED-43cb-92C2-25804820EDAC}">
                        <c15:formulaRef>
                          <c15:sqref>'Vacancy Rate'!$B$47:$P$47</c15:sqref>
                        </c15:formulaRef>
                      </c:ext>
                    </c:extLst>
                    <c:numCache>
                      <c:formatCode>General</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smooth val="0"/>
                <c:extLst xmlns:c15="http://schemas.microsoft.com/office/drawing/2012/chart">
                  <c:ext xmlns:c16="http://schemas.microsoft.com/office/drawing/2014/chart" uri="{C3380CC4-5D6E-409C-BE32-E72D297353CC}">
                    <c16:uniqueId val="{00000005-9E4A-4D70-89A9-19BDAED1274D}"/>
                  </c:ext>
                </c:extLst>
              </c15:ser>
            </c15:filteredLineSeries>
          </c:ext>
        </c:extLst>
      </c:lineChart>
      <c:catAx>
        <c:axId val="6754506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1600" b="0" i="0" u="none" strike="noStrike" kern="1200" baseline="0">
                <a:solidFill>
                  <a:sysClr val="windowText" lastClr="000000"/>
                </a:solidFill>
                <a:latin typeface="Arial" panose="020B0604020202020204" pitchFamily="34" charset="0"/>
                <a:ea typeface="Open Sans" panose="020B0606030504020204" pitchFamily="34" charset="0"/>
                <a:cs typeface="Arial" panose="020B0604020202020204" pitchFamily="34" charset="0"/>
              </a:defRPr>
            </a:pPr>
            <a:endParaRPr lang="en-US"/>
          </a:p>
        </c:txPr>
        <c:crossAx val="675457264"/>
        <c:crosses val="autoZero"/>
        <c:auto val="1"/>
        <c:lblAlgn val="ctr"/>
        <c:lblOffset val="100"/>
        <c:noMultiLvlLbl val="0"/>
      </c:catAx>
      <c:valAx>
        <c:axId val="675457264"/>
        <c:scaling>
          <c:orientation val="minMax"/>
          <c:max val="0.25"/>
        </c:scaling>
        <c:delete val="0"/>
        <c:axPos val="l"/>
        <c:title>
          <c:tx>
            <c:rich>
              <a:bodyPr rot="-5400000" spcFirstLastPara="1" vertOverflow="ellipsis" vert="horz" wrap="square" anchor="ctr" anchorCtr="1"/>
              <a:lstStyle/>
              <a:p>
                <a:pPr>
                  <a:defRPr sz="1600" b="0" i="0" u="none" strike="noStrike" kern="1200" baseline="0">
                    <a:solidFill>
                      <a:sysClr val="windowText" lastClr="000000"/>
                    </a:solidFill>
                    <a:latin typeface="Arial" panose="020B0604020202020204" pitchFamily="34" charset="0"/>
                    <a:ea typeface="Open Sans" panose="020B0606030504020204" pitchFamily="34" charset="0"/>
                    <a:cs typeface="Arial" panose="020B0604020202020204" pitchFamily="34" charset="0"/>
                  </a:defRPr>
                </a:pPr>
                <a:r>
                  <a:rPr lang="en-HK" b="0"/>
                  <a:t>Vacancy  Rate (%)</a:t>
                </a:r>
              </a:p>
            </c:rich>
          </c:tx>
          <c:layout>
            <c:manualLayout>
              <c:xMode val="edge"/>
              <c:yMode val="edge"/>
              <c:x val="7.4502643258397908E-3"/>
              <c:y val="0.21382917553456321"/>
            </c:manualLayout>
          </c:layout>
          <c:overlay val="0"/>
          <c:spPr>
            <a:noFill/>
            <a:ln>
              <a:noFill/>
            </a:ln>
            <a:effectLst/>
          </c:spPr>
          <c:txPr>
            <a:bodyPr rot="-5400000" spcFirstLastPara="1" vertOverflow="ellipsis" vert="horz" wrap="square" anchor="ctr" anchorCtr="1"/>
            <a:lstStyle/>
            <a:p>
              <a:pPr>
                <a:defRPr sz="1600" b="0" i="0" u="none" strike="noStrike" kern="1200" baseline="0">
                  <a:solidFill>
                    <a:sysClr val="windowText" lastClr="000000"/>
                  </a:solidFill>
                  <a:latin typeface="Arial" panose="020B0604020202020204" pitchFamily="34" charset="0"/>
                  <a:ea typeface="Open Sans" panose="020B0606030504020204" pitchFamily="34" charset="0"/>
                  <a:cs typeface="Arial" panose="020B0604020202020204" pitchFamily="34" charset="0"/>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600" b="0" i="0" u="none" strike="noStrike" kern="1200" baseline="0">
                <a:solidFill>
                  <a:sysClr val="windowText" lastClr="000000"/>
                </a:solidFill>
                <a:latin typeface="Arial" panose="020B0604020202020204" pitchFamily="34" charset="0"/>
                <a:ea typeface="Open Sans" panose="020B0606030504020204" pitchFamily="34" charset="0"/>
                <a:cs typeface="Arial" panose="020B0604020202020204" pitchFamily="34" charset="0"/>
              </a:defRPr>
            </a:pPr>
            <a:endParaRPr lang="en-US"/>
          </a:p>
        </c:txPr>
        <c:crossAx val="675450608"/>
        <c:crosses val="autoZero"/>
        <c:crossBetween val="between"/>
      </c:valAx>
      <c:spPr>
        <a:noFill/>
        <a:ln>
          <a:noFill/>
        </a:ln>
        <a:effectLst/>
      </c:spPr>
    </c:plotArea>
    <c:legend>
      <c:legendPos val="b"/>
      <c:layout>
        <c:manualLayout>
          <c:xMode val="edge"/>
          <c:yMode val="edge"/>
          <c:x val="0.15092313519716255"/>
          <c:y val="0.87552768142062964"/>
          <c:w val="0.74093719156409421"/>
          <c:h val="3.8573793767006127E-2"/>
        </c:manualLayout>
      </c:layout>
      <c:overlay val="0"/>
      <c:spPr>
        <a:noFill/>
        <a:ln>
          <a:noFill/>
        </a:ln>
        <a:effectLst/>
      </c:spPr>
      <c:txPr>
        <a:bodyPr rot="0" spcFirstLastPara="1" vertOverflow="ellipsis" vert="horz" wrap="square" anchor="ctr" anchorCtr="1"/>
        <a:lstStyle/>
        <a:p>
          <a:pPr>
            <a:defRPr sz="1600" b="0" i="0" u="none" strike="noStrike" kern="1200" baseline="0">
              <a:solidFill>
                <a:sysClr val="windowText" lastClr="000000"/>
              </a:solidFill>
              <a:latin typeface="Arial" panose="020B0604020202020204" pitchFamily="34" charset="0"/>
              <a:ea typeface="Open Sans" panose="020B0606030504020204" pitchFamily="34" charset="0"/>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600" b="1">
          <a:solidFill>
            <a:sysClr val="windowText" lastClr="000000"/>
          </a:solidFill>
          <a:latin typeface="Arial" panose="020B0604020202020204" pitchFamily="34" charset="0"/>
          <a:ea typeface="Open Sans" panose="020B0606030504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400" b="0" i="0" u="none" strike="noStrike" kern="1200" spc="0" baseline="0">
                <a:solidFill>
                  <a:schemeClr val="tx1">
                    <a:lumMod val="65000"/>
                    <a:lumOff val="35000"/>
                  </a:schemeClr>
                </a:solidFill>
                <a:latin typeface="Open Sans" panose="020B0606030504020204" pitchFamily="34" charset="0"/>
                <a:ea typeface="Open Sans" panose="020B0606030504020204" pitchFamily="34" charset="0"/>
                <a:cs typeface="Open Sans" panose="020B0606030504020204" pitchFamily="34" charset="0"/>
              </a:defRPr>
            </a:pPr>
            <a:r>
              <a:rPr lang="en-HK"/>
              <a:t>Grade A Office Building Capital Values and Yields</a:t>
            </a:r>
          </a:p>
        </c:rich>
      </c:tx>
      <c:overlay val="0"/>
      <c:spPr>
        <a:noFill/>
        <a:ln>
          <a:noFill/>
        </a:ln>
        <a:effectLst/>
      </c:spPr>
      <c:txPr>
        <a:bodyPr rot="0" spcFirstLastPara="1" vertOverflow="ellipsis" vert="horz" wrap="square" anchor="ctr" anchorCtr="1"/>
        <a:lstStyle/>
        <a:p>
          <a:pPr>
            <a:defRPr sz="2400" b="0" i="0" u="none" strike="noStrike" kern="1200" spc="0" baseline="0">
              <a:solidFill>
                <a:schemeClr val="tx1">
                  <a:lumMod val="65000"/>
                  <a:lumOff val="35000"/>
                </a:schemeClr>
              </a:solidFill>
              <a:latin typeface="Open Sans" panose="020B0606030504020204" pitchFamily="34" charset="0"/>
              <a:ea typeface="Open Sans" panose="020B0606030504020204" pitchFamily="34" charset="0"/>
              <a:cs typeface="Open Sans" panose="020B0606030504020204" pitchFamily="34" charset="0"/>
            </a:defRPr>
          </a:pPr>
          <a:endParaRPr lang="en-US"/>
        </a:p>
      </c:txPr>
    </c:title>
    <c:autoTitleDeleted val="0"/>
    <c:plotArea>
      <c:layout/>
      <c:barChart>
        <c:barDir val="col"/>
        <c:grouping val="stacked"/>
        <c:varyColors val="0"/>
        <c:ser>
          <c:idx val="1"/>
          <c:order val="1"/>
          <c:tx>
            <c:strRef>
              <c:f>'CV &amp; Yields'!$A$98:$A$99</c:f>
              <c:strCache>
                <c:ptCount val="1"/>
                <c:pt idx="0">
                  <c:v>Capital Value (KRW/pyeong (GFA))</c:v>
                </c:pt>
              </c:strCache>
            </c:strRef>
          </c:tx>
          <c:spPr>
            <a:solidFill>
              <a:srgbClr val="25408F"/>
            </a:solidFill>
            <a:ln>
              <a:noFill/>
            </a:ln>
            <a:effectLst/>
          </c:spPr>
          <c:invertIfNegative val="0"/>
          <c:cat>
            <c:numRef>
              <c:extLst>
                <c:ext xmlns:c15="http://schemas.microsoft.com/office/drawing/2012/chart" uri="{02D57815-91ED-43cb-92C2-25804820EDAC}">
                  <c15:fullRef>
                    <c15:sqref>'CV &amp; Yields'!$C$96:$AL$96</c15:sqref>
                  </c15:fullRef>
                </c:ext>
              </c:extLst>
              <c:f>('CV &amp; Yields'!$K$96,'CV &amp; Yields'!$O$96,'CV &amp; Yields'!$S$96,'CV &amp; Yields'!$W$96,'CV &amp; Yields'!$AA$96,'CV &amp; Yields'!$AE$96,'CV &amp; Yields'!$AI$96)</c:f>
              <c:numCache>
                <c:formatCode>General</c:formatCode>
                <c:ptCount val="7"/>
                <c:pt idx="0">
                  <c:v>2019</c:v>
                </c:pt>
                <c:pt idx="1">
                  <c:v>2020</c:v>
                </c:pt>
                <c:pt idx="2">
                  <c:v>2021</c:v>
                </c:pt>
                <c:pt idx="3">
                  <c:v>2022</c:v>
                </c:pt>
                <c:pt idx="4">
                  <c:v>2023</c:v>
                </c:pt>
                <c:pt idx="5">
                  <c:v>2024</c:v>
                </c:pt>
                <c:pt idx="6">
                  <c:v>2025</c:v>
                </c:pt>
              </c:numCache>
            </c:numRef>
          </c:cat>
          <c:val>
            <c:numRef>
              <c:extLst>
                <c:ext xmlns:c15="http://schemas.microsoft.com/office/drawing/2012/chart" uri="{02D57815-91ED-43cb-92C2-25804820EDAC}">
                  <c15:fullRef>
                    <c15:sqref>'CV &amp; Yields'!$C$99:$AL$99</c15:sqref>
                  </c15:fullRef>
                </c:ext>
              </c:extLst>
              <c:f>('CV &amp; Yields'!$K$99,'CV &amp; Yields'!$O$99,'CV &amp; Yields'!$S$99,'CV &amp; Yields'!$W$99,'CV &amp; Yields'!$AA$99,'CV &amp; Yields'!$AE$99,'CV &amp; Yields'!$AI$99)</c:f>
              <c:numCache>
                <c:formatCode>#,##0</c:formatCode>
                <c:ptCount val="7"/>
                <c:pt idx="0">
                  <c:v>19263595.552383967</c:v>
                </c:pt>
                <c:pt idx="1">
                  <c:v>21767122.153352521</c:v>
                </c:pt>
                <c:pt idx="2">
                  <c:v>23274340.796879325</c:v>
                </c:pt>
                <c:pt idx="3">
                  <c:v>23881636.648293693</c:v>
                </c:pt>
                <c:pt idx="4">
                  <c:v>28059327.595737025</c:v>
                </c:pt>
                <c:pt idx="5">
                  <c:v>32991598.333618525</c:v>
                </c:pt>
                <c:pt idx="6">
                  <c:v>33101527.470351454</c:v>
                </c:pt>
              </c:numCache>
            </c:numRef>
          </c:val>
          <c:extLst>
            <c:ext xmlns:c16="http://schemas.microsoft.com/office/drawing/2014/chart" uri="{C3380CC4-5D6E-409C-BE32-E72D297353CC}">
              <c16:uniqueId val="{00000001-D305-4BF5-BF8D-72069B2714C1}"/>
            </c:ext>
          </c:extLst>
        </c:ser>
        <c:dLbls>
          <c:showLegendKey val="0"/>
          <c:showVal val="0"/>
          <c:showCatName val="0"/>
          <c:showSerName val="0"/>
          <c:showPercent val="0"/>
          <c:showBubbleSize val="0"/>
        </c:dLbls>
        <c:gapWidth val="150"/>
        <c:overlap val="100"/>
        <c:axId val="931314264"/>
        <c:axId val="931317544"/>
      </c:barChart>
      <c:lineChart>
        <c:grouping val="standard"/>
        <c:varyColors val="0"/>
        <c:ser>
          <c:idx val="0"/>
          <c:order val="0"/>
          <c:tx>
            <c:strRef>
              <c:f>'CV &amp; Yields'!$A$100:$A$101</c:f>
              <c:strCache>
                <c:ptCount val="1"/>
                <c:pt idx="0">
                  <c:v>Net Yield (%)</c:v>
                </c:pt>
              </c:strCache>
            </c:strRef>
          </c:tx>
          <c:spPr>
            <a:ln w="28575" cap="rnd">
              <a:solidFill>
                <a:srgbClr val="0C9ED9"/>
              </a:solidFill>
              <a:round/>
            </a:ln>
            <a:effectLst/>
          </c:spPr>
          <c:marker>
            <c:symbol val="none"/>
          </c:marker>
          <c:cat>
            <c:numRef>
              <c:extLst>
                <c:ext xmlns:c15="http://schemas.microsoft.com/office/drawing/2012/chart" uri="{02D57815-91ED-43cb-92C2-25804820EDAC}">
                  <c15:fullRef>
                    <c15:sqref>'CV &amp; Yields'!$C$96:$AL$96</c15:sqref>
                  </c15:fullRef>
                </c:ext>
              </c:extLst>
              <c:f>('CV &amp; Yields'!$K$96,'CV &amp; Yields'!$O$96,'CV &amp; Yields'!$S$96,'CV &amp; Yields'!$W$96,'CV &amp; Yields'!$AA$96,'CV &amp; Yields'!$AE$96,'CV &amp; Yields'!$AI$96)</c:f>
              <c:numCache>
                <c:formatCode>General</c:formatCode>
                <c:ptCount val="7"/>
                <c:pt idx="0">
                  <c:v>2019</c:v>
                </c:pt>
                <c:pt idx="1">
                  <c:v>2020</c:v>
                </c:pt>
                <c:pt idx="2">
                  <c:v>2021</c:v>
                </c:pt>
                <c:pt idx="3">
                  <c:v>2022</c:v>
                </c:pt>
                <c:pt idx="4">
                  <c:v>2023</c:v>
                </c:pt>
                <c:pt idx="5">
                  <c:v>2024</c:v>
                </c:pt>
                <c:pt idx="6">
                  <c:v>2025</c:v>
                </c:pt>
              </c:numCache>
            </c:numRef>
          </c:cat>
          <c:val>
            <c:numRef>
              <c:extLst>
                <c:ext xmlns:c15="http://schemas.microsoft.com/office/drawing/2012/chart" uri="{02D57815-91ED-43cb-92C2-25804820EDAC}">
                  <c15:fullRef>
                    <c15:sqref>'CV &amp; Yields'!$C$101:$AL$101</c15:sqref>
                  </c15:fullRef>
                </c:ext>
              </c:extLst>
              <c:f>('CV &amp; Yields'!$K$101,'CV &amp; Yields'!$O$101,'CV &amp; Yields'!$S$101,'CV &amp; Yields'!$W$101,'CV &amp; Yields'!$AA$101,'CV &amp; Yields'!$AE$101,'CV &amp; Yields'!$AI$101)</c:f>
              <c:numCache>
                <c:formatCode>0.0%</c:formatCode>
                <c:ptCount val="7"/>
                <c:pt idx="0">
                  <c:v>4.1250000000000002E-2</c:v>
                </c:pt>
                <c:pt idx="1">
                  <c:v>3.95E-2</c:v>
                </c:pt>
                <c:pt idx="2">
                  <c:v>3.4500000000000003E-2</c:v>
                </c:pt>
                <c:pt idx="3">
                  <c:v>3.5000000000000003E-2</c:v>
                </c:pt>
                <c:pt idx="4">
                  <c:v>4.1999999999999996E-2</c:v>
                </c:pt>
                <c:pt idx="5">
                  <c:v>4.4249999999999998E-2</c:v>
                </c:pt>
                <c:pt idx="6">
                  <c:v>4.1249999999999995E-2</c:v>
                </c:pt>
              </c:numCache>
            </c:numRef>
          </c:val>
          <c:smooth val="0"/>
          <c:extLst>
            <c:ext xmlns:c16="http://schemas.microsoft.com/office/drawing/2014/chart" uri="{C3380CC4-5D6E-409C-BE32-E72D297353CC}">
              <c16:uniqueId val="{00000000-D305-4BF5-BF8D-72069B2714C1}"/>
            </c:ext>
          </c:extLst>
        </c:ser>
        <c:dLbls>
          <c:showLegendKey val="0"/>
          <c:showVal val="0"/>
          <c:showCatName val="0"/>
          <c:showSerName val="0"/>
          <c:showPercent val="0"/>
          <c:showBubbleSize val="0"/>
        </c:dLbls>
        <c:marker val="1"/>
        <c:smooth val="0"/>
        <c:axId val="1658150752"/>
        <c:axId val="1658167392"/>
      </c:lineChart>
      <c:catAx>
        <c:axId val="9313142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000" b="0" i="0" u="none" strike="noStrike" kern="1200" baseline="0">
                <a:solidFill>
                  <a:schemeClr val="tx1">
                    <a:lumMod val="65000"/>
                    <a:lumOff val="35000"/>
                  </a:schemeClr>
                </a:solidFill>
                <a:latin typeface="Open Sans" panose="020B0606030504020204" pitchFamily="34" charset="0"/>
                <a:ea typeface="Open Sans" panose="020B0606030504020204" pitchFamily="34" charset="0"/>
                <a:cs typeface="Open Sans" panose="020B0606030504020204" pitchFamily="34" charset="0"/>
              </a:defRPr>
            </a:pPr>
            <a:endParaRPr lang="en-US"/>
          </a:p>
        </c:txPr>
        <c:crossAx val="931317544"/>
        <c:crosses val="autoZero"/>
        <c:auto val="1"/>
        <c:lblAlgn val="ctr"/>
        <c:lblOffset val="100"/>
        <c:noMultiLvlLbl val="0"/>
      </c:catAx>
      <c:valAx>
        <c:axId val="93131754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2000" b="0" i="0" u="none" strike="noStrike" kern="1200" baseline="0">
                    <a:solidFill>
                      <a:schemeClr val="tx1">
                        <a:lumMod val="65000"/>
                        <a:lumOff val="35000"/>
                      </a:schemeClr>
                    </a:solidFill>
                    <a:latin typeface="Open Sans" panose="020B0606030504020204" pitchFamily="34" charset="0"/>
                    <a:ea typeface="Open Sans" panose="020B0606030504020204" pitchFamily="34" charset="0"/>
                    <a:cs typeface="Open Sans" panose="020B0606030504020204" pitchFamily="34" charset="0"/>
                  </a:defRPr>
                </a:pPr>
                <a:r>
                  <a:rPr lang="en-GB"/>
                  <a:t>Capital Value (KRW/pyeong)</a:t>
                </a:r>
              </a:p>
            </c:rich>
          </c:tx>
          <c:layout>
            <c:manualLayout>
              <c:xMode val="edge"/>
              <c:yMode val="edge"/>
              <c:x val="8.612204891271253E-3"/>
              <c:y val="0.22817173230746773"/>
            </c:manualLayout>
          </c:layout>
          <c:overlay val="0"/>
          <c:spPr>
            <a:noFill/>
            <a:ln>
              <a:noFill/>
            </a:ln>
            <a:effectLst/>
          </c:spPr>
          <c:txPr>
            <a:bodyPr rot="-5400000" spcFirstLastPara="1" vertOverflow="ellipsis" vert="horz" wrap="square" anchor="ctr" anchorCtr="1"/>
            <a:lstStyle/>
            <a:p>
              <a:pPr>
                <a:defRPr sz="2000" b="0" i="0" u="none" strike="noStrike" kern="1200" baseline="0">
                  <a:solidFill>
                    <a:schemeClr val="tx1">
                      <a:lumMod val="65000"/>
                      <a:lumOff val="35000"/>
                    </a:schemeClr>
                  </a:solidFill>
                  <a:latin typeface="Open Sans" panose="020B0606030504020204" pitchFamily="34" charset="0"/>
                  <a:ea typeface="Open Sans" panose="020B0606030504020204" pitchFamily="34" charset="0"/>
                  <a:cs typeface="Open Sans" panose="020B0606030504020204" pitchFamily="34" charset="0"/>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2000" b="0" i="0" u="none" strike="noStrike" kern="1200" baseline="0">
                <a:solidFill>
                  <a:schemeClr val="tx1">
                    <a:lumMod val="65000"/>
                    <a:lumOff val="35000"/>
                  </a:schemeClr>
                </a:solidFill>
                <a:latin typeface="Open Sans" panose="020B0606030504020204" pitchFamily="34" charset="0"/>
                <a:ea typeface="Open Sans" panose="020B0606030504020204" pitchFamily="34" charset="0"/>
                <a:cs typeface="Open Sans" panose="020B0606030504020204" pitchFamily="34" charset="0"/>
              </a:defRPr>
            </a:pPr>
            <a:endParaRPr lang="en-US"/>
          </a:p>
        </c:txPr>
        <c:crossAx val="931314264"/>
        <c:crosses val="autoZero"/>
        <c:crossBetween val="between"/>
      </c:valAx>
      <c:valAx>
        <c:axId val="1658167392"/>
        <c:scaling>
          <c:orientation val="minMax"/>
        </c:scaling>
        <c:delete val="0"/>
        <c:axPos val="r"/>
        <c:title>
          <c:tx>
            <c:rich>
              <a:bodyPr rot="-5400000" spcFirstLastPara="1" vertOverflow="ellipsis" vert="horz" wrap="square" anchor="ctr" anchorCtr="1"/>
              <a:lstStyle/>
              <a:p>
                <a:pPr>
                  <a:defRPr sz="2000" b="0" i="0" u="none" strike="noStrike" kern="1200" baseline="0">
                    <a:solidFill>
                      <a:schemeClr val="tx1">
                        <a:lumMod val="65000"/>
                        <a:lumOff val="35000"/>
                      </a:schemeClr>
                    </a:solidFill>
                    <a:latin typeface="Open Sans" panose="020B0606030504020204" pitchFamily="34" charset="0"/>
                    <a:ea typeface="Open Sans" panose="020B0606030504020204" pitchFamily="34" charset="0"/>
                    <a:cs typeface="Open Sans" panose="020B0606030504020204" pitchFamily="34" charset="0"/>
                  </a:defRPr>
                </a:pPr>
                <a:r>
                  <a:rPr lang="en-HK"/>
                  <a:t>Net Yield (%)</a:t>
                </a:r>
              </a:p>
            </c:rich>
          </c:tx>
          <c:overlay val="0"/>
          <c:spPr>
            <a:noFill/>
            <a:ln>
              <a:noFill/>
            </a:ln>
            <a:effectLst/>
          </c:spPr>
          <c:txPr>
            <a:bodyPr rot="-5400000" spcFirstLastPara="1" vertOverflow="ellipsis" vert="horz" wrap="square" anchor="ctr" anchorCtr="1"/>
            <a:lstStyle/>
            <a:p>
              <a:pPr>
                <a:defRPr sz="2000" b="0" i="0" u="none" strike="noStrike" kern="1200" baseline="0">
                  <a:solidFill>
                    <a:schemeClr val="tx1">
                      <a:lumMod val="65000"/>
                      <a:lumOff val="35000"/>
                    </a:schemeClr>
                  </a:solidFill>
                  <a:latin typeface="Open Sans" panose="020B0606030504020204" pitchFamily="34" charset="0"/>
                  <a:ea typeface="Open Sans" panose="020B0606030504020204" pitchFamily="34" charset="0"/>
                  <a:cs typeface="Open Sans" panose="020B0606030504020204" pitchFamily="34" charset="0"/>
                </a:defRPr>
              </a:pPr>
              <a:endParaRPr lang="en-US"/>
            </a:p>
          </c:txPr>
        </c:title>
        <c:numFmt formatCode="0.0%" sourceLinked="1"/>
        <c:majorTickMark val="out"/>
        <c:minorTickMark val="none"/>
        <c:tickLblPos val="nextTo"/>
        <c:spPr>
          <a:noFill/>
          <a:ln>
            <a:noFill/>
          </a:ln>
          <a:effectLst/>
        </c:spPr>
        <c:txPr>
          <a:bodyPr rot="-60000000" spcFirstLastPara="1" vertOverflow="ellipsis" vert="horz" wrap="square" anchor="ctr" anchorCtr="1"/>
          <a:lstStyle/>
          <a:p>
            <a:pPr>
              <a:defRPr sz="2000" b="0" i="0" u="none" strike="noStrike" kern="1200" baseline="0">
                <a:solidFill>
                  <a:schemeClr val="tx1">
                    <a:lumMod val="65000"/>
                    <a:lumOff val="35000"/>
                  </a:schemeClr>
                </a:solidFill>
                <a:latin typeface="Open Sans" panose="020B0606030504020204" pitchFamily="34" charset="0"/>
                <a:ea typeface="Open Sans" panose="020B0606030504020204" pitchFamily="34" charset="0"/>
                <a:cs typeface="Open Sans" panose="020B0606030504020204" pitchFamily="34" charset="0"/>
              </a:defRPr>
            </a:pPr>
            <a:endParaRPr lang="en-US"/>
          </a:p>
        </c:txPr>
        <c:crossAx val="1658150752"/>
        <c:crosses val="max"/>
        <c:crossBetween val="between"/>
        <c:majorUnit val="1.0000000000000002E-2"/>
      </c:valAx>
      <c:catAx>
        <c:axId val="1658150752"/>
        <c:scaling>
          <c:orientation val="minMax"/>
        </c:scaling>
        <c:delete val="1"/>
        <c:axPos val="b"/>
        <c:numFmt formatCode="General" sourceLinked="1"/>
        <c:majorTickMark val="out"/>
        <c:minorTickMark val="none"/>
        <c:tickLblPos val="nextTo"/>
        <c:crossAx val="1658167392"/>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2000" b="0" i="0" u="none" strike="noStrike" kern="1200" baseline="0">
              <a:solidFill>
                <a:schemeClr val="tx1">
                  <a:lumMod val="65000"/>
                  <a:lumOff val="35000"/>
                </a:schemeClr>
              </a:solidFill>
              <a:latin typeface="Open Sans" panose="020B0606030504020204" pitchFamily="34" charset="0"/>
              <a:ea typeface="Open Sans" panose="020B0606030504020204" pitchFamily="34" charset="0"/>
              <a:cs typeface="Open Sans" panose="020B0606030504020204" pitchFamily="34" charset="0"/>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2000">
          <a:latin typeface="Open Sans" panose="020B0606030504020204" pitchFamily="34" charset="0"/>
          <a:ea typeface="Open Sans" panose="020B0606030504020204" pitchFamily="34" charset="0"/>
          <a:cs typeface="Open Sans" panose="020B0606030504020204" pitchFamily="34"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1" Type="http://schemas.openxmlformats.org/officeDocument/2006/relationships/chart" Target="../charts/chart1.xml"/></Relationships>
</file>

<file path=xl/drawings/_rels/drawing5.xml.rels><?xml version="1.0" encoding="UTF-8" standalone="yes"?>
<Relationships xmlns="http://schemas.openxmlformats.org/package/2006/relationships"><Relationship Id="rId1" Type="http://schemas.openxmlformats.org/officeDocument/2006/relationships/chart" Target="../charts/chart2.xml"/></Relationships>
</file>

<file path=xl/drawings/_rels/drawing6.xml.rels><?xml version="1.0" encoding="UTF-8" standalone="yes"?>
<Relationships xmlns="http://schemas.openxmlformats.org/package/2006/relationships"><Relationship Id="rId1" Type="http://schemas.openxmlformats.org/officeDocument/2006/relationships/chart" Target="../charts/chart3.xml"/></Relationships>
</file>

<file path=xl/drawings/_rels/drawing7.xml.rels><?xml version="1.0" encoding="UTF-8" standalone="yes"?>
<Relationships xmlns="http://schemas.openxmlformats.org/package/2006/relationships"><Relationship Id="rId1" Type="http://schemas.openxmlformats.org/officeDocument/2006/relationships/chart" Target="../charts/chart4.xml"/></Relationships>
</file>

<file path=xl/drawings/_rels/drawing8.xml.rels><?xml version="1.0" encoding="UTF-8" standalone="yes"?>
<Relationships xmlns="http://schemas.openxmlformats.org/package/2006/relationships"><Relationship Id="rId1" Type="http://schemas.openxmlformats.org/officeDocument/2006/relationships/chart" Target="../charts/chart5.xml"/></Relationships>
</file>

<file path=xl/drawings/_rels/drawing9.xml.rels><?xml version="1.0" encoding="UTF-8" standalone="yes"?>
<Relationships xmlns="http://schemas.openxmlformats.org/package/2006/relationships"><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7.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8.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9.xml"/></Relationships>
</file>

<file path=xl/drawings/_rels/drawing14.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15.xml.rels><?xml version="1.0" encoding="UTF-8" standalone="yes"?>
<Relationships xmlns="http://schemas.openxmlformats.org/package/2006/relationships"><Relationship Id="rId1"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editAs="oneCell">
    <xdr:from>
      <xdr:col>18</xdr:col>
      <xdr:colOff>229249</xdr:colOff>
      <xdr:row>0</xdr:row>
      <xdr:rowOff>173718</xdr:rowOff>
    </xdr:from>
    <xdr:to>
      <xdr:col>21</xdr:col>
      <xdr:colOff>547915</xdr:colOff>
      <xdr:row>8</xdr:row>
      <xdr:rowOff>108857</xdr:rowOff>
    </xdr:to>
    <xdr:pic>
      <xdr:nvPicPr>
        <xdr:cNvPr id="2" name="Picture 1">
          <a:extLst>
            <a:ext uri="{FF2B5EF4-FFF2-40B4-BE49-F238E27FC236}">
              <a16:creationId xmlns:a16="http://schemas.microsoft.com/office/drawing/2014/main" id="{2641F171-9A53-40EE-8AD7-B96E5261FDB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251035" y="173718"/>
          <a:ext cx="2155630" cy="1350282"/>
        </a:xfrm>
        <a:prstGeom prst="rect">
          <a:avLst/>
        </a:prstGeom>
      </xdr:spPr>
    </xdr:pic>
    <xdr:clientData/>
  </xdr:twoCellAnchor>
  <xdr:twoCellAnchor editAs="oneCell">
    <xdr:from>
      <xdr:col>3</xdr:col>
      <xdr:colOff>0</xdr:colOff>
      <xdr:row>10</xdr:row>
      <xdr:rowOff>0</xdr:rowOff>
    </xdr:from>
    <xdr:to>
      <xdr:col>22</xdr:col>
      <xdr:colOff>0</xdr:colOff>
      <xdr:row>45</xdr:row>
      <xdr:rowOff>0</xdr:rowOff>
    </xdr:to>
    <xdr:pic>
      <xdr:nvPicPr>
        <xdr:cNvPr id="3" name="Picture 3">
          <a:extLst>
            <a:ext uri="{FF2B5EF4-FFF2-40B4-BE49-F238E27FC236}">
              <a16:creationId xmlns:a16="http://schemas.microsoft.com/office/drawing/2014/main" id="{68FE4ED0-09D0-4416-9F1B-4C78847653C2}"/>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959429" y="2177143"/>
          <a:ext cx="12409714" cy="7620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13</xdr:col>
      <xdr:colOff>0</xdr:colOff>
      <xdr:row>28</xdr:row>
      <xdr:rowOff>0</xdr:rowOff>
    </xdr:to>
    <xdr:pic>
      <xdr:nvPicPr>
        <xdr:cNvPr id="2" name="그림 1">
          <a:extLst>
            <a:ext uri="{FF2B5EF4-FFF2-40B4-BE49-F238E27FC236}">
              <a16:creationId xmlns:a16="http://schemas.microsoft.com/office/drawing/2014/main" id="{29FC5E6E-18CB-427C-9C8B-3D5F64F766AE}"/>
            </a:ext>
          </a:extLst>
        </xdr:cNvPr>
        <xdr:cNvPicPr>
          <a:picLocks noChangeAspect="1"/>
        </xdr:cNvPicPr>
      </xdr:nvPicPr>
      <xdr:blipFill rotWithShape="1">
        <a:blip xmlns:r="http://schemas.openxmlformats.org/officeDocument/2006/relationships" r:embed="rId1"/>
        <a:srcRect b="9182"/>
        <a:stretch/>
      </xdr:blipFill>
      <xdr:spPr>
        <a:xfrm>
          <a:off x="0" y="340179"/>
          <a:ext cx="7606393" cy="5510892"/>
        </a:xfrm>
        <a:prstGeom prst="rect">
          <a:avLst/>
        </a:prstGeom>
      </xdr:spPr>
    </xdr:pic>
    <xdr:clientData/>
  </xdr:twoCellAnchor>
  <xdr:oneCellAnchor>
    <xdr:from>
      <xdr:col>4</xdr:col>
      <xdr:colOff>490150</xdr:colOff>
      <xdr:row>12</xdr:row>
      <xdr:rowOff>200332</xdr:rowOff>
    </xdr:from>
    <xdr:ext cx="2007961" cy="476541"/>
    <xdr:sp macro="" textlink="">
      <xdr:nvSpPr>
        <xdr:cNvPr id="13" name="TextBox 12">
          <a:extLst>
            <a:ext uri="{FF2B5EF4-FFF2-40B4-BE49-F238E27FC236}">
              <a16:creationId xmlns:a16="http://schemas.microsoft.com/office/drawing/2014/main" id="{0FCE3191-F347-4D45-82F5-1C722FEB7808}"/>
            </a:ext>
          </a:extLst>
        </xdr:cNvPr>
        <xdr:cNvSpPr txBox="1"/>
      </xdr:nvSpPr>
      <xdr:spPr>
        <a:xfrm>
          <a:off x="3179562" y="2878538"/>
          <a:ext cx="2007961" cy="476541"/>
        </a:xfrm>
        <a:prstGeom prst="rect">
          <a:avLst/>
        </a:prstGeom>
        <a:solidFill>
          <a:schemeClr val="bg1"/>
        </a:solidFill>
        <a:ln w="28575">
          <a:solidFill>
            <a:srgbClr val="25408F"/>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HK" sz="1100" b="1">
              <a:solidFill>
                <a:srgbClr val="25408F"/>
              </a:solidFill>
              <a:latin typeface="Open Sans" panose="020B0606030504020204" pitchFamily="34" charset="0"/>
              <a:ea typeface="Open Sans" panose="020B0606030504020204" pitchFamily="34" charset="0"/>
              <a:cs typeface="Open Sans" panose="020B0606030504020204" pitchFamily="34" charset="0"/>
            </a:rPr>
            <a:t>CBD</a:t>
          </a:r>
        </a:p>
        <a:p>
          <a:pPr algn="ctr"/>
          <a:r>
            <a:rPr lang="en-HK" sz="1100" b="1">
              <a:solidFill>
                <a:srgbClr val="25408F"/>
              </a:solidFill>
              <a:latin typeface="Open Sans" panose="020B0606030504020204" pitchFamily="34" charset="0"/>
              <a:ea typeface="Open Sans" panose="020B0606030504020204" pitchFamily="34" charset="0"/>
              <a:cs typeface="Open Sans" panose="020B0606030504020204" pitchFamily="34" charset="0"/>
            </a:rPr>
            <a:t>(Central</a:t>
          </a:r>
          <a:r>
            <a:rPr lang="en-HK" sz="1100" b="1" baseline="0">
              <a:solidFill>
                <a:srgbClr val="25408F"/>
              </a:solidFill>
              <a:latin typeface="Open Sans" panose="020B0606030504020204" pitchFamily="34" charset="0"/>
              <a:ea typeface="Open Sans" panose="020B0606030504020204" pitchFamily="34" charset="0"/>
              <a:cs typeface="Open Sans" panose="020B0606030504020204" pitchFamily="34" charset="0"/>
            </a:rPr>
            <a:t> Business District)</a:t>
          </a:r>
          <a:endParaRPr lang="en-HK" sz="1100" b="1">
            <a:solidFill>
              <a:srgbClr val="25408F"/>
            </a:solidFill>
            <a:latin typeface="Open Sans" panose="020B0606030504020204" pitchFamily="34" charset="0"/>
            <a:ea typeface="Open Sans" panose="020B0606030504020204" pitchFamily="34" charset="0"/>
            <a:cs typeface="Open Sans" panose="020B0606030504020204" pitchFamily="34" charset="0"/>
          </a:endParaRPr>
        </a:p>
      </xdr:txBody>
    </xdr:sp>
    <xdr:clientData/>
  </xdr:oneCellAnchor>
  <xdr:oneCellAnchor>
    <xdr:from>
      <xdr:col>6</xdr:col>
      <xdr:colOff>54213</xdr:colOff>
      <xdr:row>22</xdr:row>
      <xdr:rowOff>40542</xdr:rowOff>
    </xdr:from>
    <xdr:ext cx="2315029" cy="476541"/>
    <xdr:sp macro="" textlink="">
      <xdr:nvSpPr>
        <xdr:cNvPr id="15" name="TextBox 14">
          <a:extLst>
            <a:ext uri="{FF2B5EF4-FFF2-40B4-BE49-F238E27FC236}">
              <a16:creationId xmlns:a16="http://schemas.microsoft.com/office/drawing/2014/main" id="{B1103C16-C04A-49DB-A180-E91118E1CF64}"/>
            </a:ext>
          </a:extLst>
        </xdr:cNvPr>
        <xdr:cNvSpPr txBox="1"/>
      </xdr:nvSpPr>
      <xdr:spPr>
        <a:xfrm>
          <a:off x="4088331" y="4847866"/>
          <a:ext cx="2315029" cy="476541"/>
        </a:xfrm>
        <a:prstGeom prst="rect">
          <a:avLst/>
        </a:prstGeom>
        <a:solidFill>
          <a:schemeClr val="bg1"/>
        </a:solidFill>
        <a:ln w="28575">
          <a:solidFill>
            <a:srgbClr val="25408F"/>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HK" sz="1100" b="1">
              <a:solidFill>
                <a:srgbClr val="25408F"/>
              </a:solidFill>
              <a:latin typeface="Open Sans" panose="020B0606030504020204" pitchFamily="34" charset="0"/>
              <a:ea typeface="Open Sans" panose="020B0606030504020204" pitchFamily="34" charset="0"/>
              <a:cs typeface="Open Sans" panose="020B0606030504020204" pitchFamily="34" charset="0"/>
            </a:rPr>
            <a:t>GBD</a:t>
          </a:r>
        </a:p>
        <a:p>
          <a:pPr algn="ctr"/>
          <a:r>
            <a:rPr lang="en-HK" sz="1100" b="1">
              <a:solidFill>
                <a:srgbClr val="25408F"/>
              </a:solidFill>
              <a:latin typeface="Open Sans" panose="020B0606030504020204" pitchFamily="34" charset="0"/>
              <a:ea typeface="Open Sans" panose="020B0606030504020204" pitchFamily="34" charset="0"/>
              <a:cs typeface="Open Sans" panose="020B0606030504020204" pitchFamily="34" charset="0"/>
            </a:rPr>
            <a:t>(</a:t>
          </a:r>
          <a:r>
            <a:rPr lang="en-US" sz="1100" b="1">
              <a:solidFill>
                <a:srgbClr val="25408F"/>
              </a:solidFill>
              <a:latin typeface="Open Sans" panose="020B0606030504020204" pitchFamily="34" charset="0"/>
              <a:ea typeface="Open Sans" panose="020B0606030504020204" pitchFamily="34" charset="0"/>
              <a:cs typeface="Open Sans" panose="020B0606030504020204" pitchFamily="34" charset="0"/>
            </a:rPr>
            <a:t>Gangnam</a:t>
          </a:r>
          <a:r>
            <a:rPr lang="en-US" sz="1100" b="1" baseline="0">
              <a:solidFill>
                <a:srgbClr val="25408F"/>
              </a:solidFill>
              <a:latin typeface="Open Sans" panose="020B0606030504020204" pitchFamily="34" charset="0"/>
              <a:ea typeface="Open Sans" panose="020B0606030504020204" pitchFamily="34" charset="0"/>
              <a:cs typeface="Open Sans" panose="020B0606030504020204" pitchFamily="34" charset="0"/>
            </a:rPr>
            <a:t> Business District)</a:t>
          </a:r>
          <a:endParaRPr lang="en-HK" sz="1100" b="1">
            <a:solidFill>
              <a:srgbClr val="25408F"/>
            </a:solidFill>
            <a:latin typeface="Open Sans" panose="020B0606030504020204" pitchFamily="34" charset="0"/>
            <a:ea typeface="Open Sans" panose="020B0606030504020204" pitchFamily="34" charset="0"/>
            <a:cs typeface="Open Sans" panose="020B0606030504020204" pitchFamily="34" charset="0"/>
          </a:endParaRPr>
        </a:p>
      </xdr:txBody>
    </xdr:sp>
    <xdr:clientData/>
  </xdr:oneCellAnchor>
  <xdr:oneCellAnchor>
    <xdr:from>
      <xdr:col>2</xdr:col>
      <xdr:colOff>380867</xdr:colOff>
      <xdr:row>20</xdr:row>
      <xdr:rowOff>43770</xdr:rowOff>
    </xdr:from>
    <xdr:ext cx="2007961" cy="476541"/>
    <xdr:sp macro="" textlink="">
      <xdr:nvSpPr>
        <xdr:cNvPr id="16" name="TextBox 15">
          <a:extLst>
            <a:ext uri="{FF2B5EF4-FFF2-40B4-BE49-F238E27FC236}">
              <a16:creationId xmlns:a16="http://schemas.microsoft.com/office/drawing/2014/main" id="{F08AB4D4-37C0-42C9-9BAF-626D209D4C15}"/>
            </a:ext>
          </a:extLst>
        </xdr:cNvPr>
        <xdr:cNvSpPr txBox="1"/>
      </xdr:nvSpPr>
      <xdr:spPr>
        <a:xfrm>
          <a:off x="1725573" y="4425270"/>
          <a:ext cx="2007961" cy="476541"/>
        </a:xfrm>
        <a:prstGeom prst="rect">
          <a:avLst/>
        </a:prstGeom>
        <a:solidFill>
          <a:schemeClr val="bg1"/>
        </a:solidFill>
        <a:ln w="28575">
          <a:solidFill>
            <a:srgbClr val="25408F"/>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HK" sz="1100" b="1">
              <a:solidFill>
                <a:srgbClr val="25408F"/>
              </a:solidFill>
              <a:latin typeface="Open Sans" panose="020B0606030504020204" pitchFamily="34" charset="0"/>
              <a:ea typeface="Open Sans" panose="020B0606030504020204" pitchFamily="34" charset="0"/>
              <a:cs typeface="Open Sans" panose="020B0606030504020204" pitchFamily="34" charset="0"/>
            </a:rPr>
            <a:t>YBD</a:t>
          </a:r>
        </a:p>
        <a:p>
          <a:pPr algn="ctr"/>
          <a:r>
            <a:rPr lang="en-HK" sz="1100" b="1">
              <a:solidFill>
                <a:srgbClr val="25408F"/>
              </a:solidFill>
              <a:latin typeface="Open Sans" panose="020B0606030504020204" pitchFamily="34" charset="0"/>
              <a:ea typeface="Open Sans" panose="020B0606030504020204" pitchFamily="34" charset="0"/>
              <a:cs typeface="Open Sans" panose="020B0606030504020204" pitchFamily="34" charset="0"/>
            </a:rPr>
            <a:t>(Yeiodo</a:t>
          </a:r>
          <a:r>
            <a:rPr lang="en-HK" sz="1100" b="1" baseline="0">
              <a:solidFill>
                <a:srgbClr val="25408F"/>
              </a:solidFill>
              <a:latin typeface="Open Sans" panose="020B0606030504020204" pitchFamily="34" charset="0"/>
              <a:ea typeface="Open Sans" panose="020B0606030504020204" pitchFamily="34" charset="0"/>
              <a:cs typeface="Open Sans" panose="020B0606030504020204" pitchFamily="34" charset="0"/>
            </a:rPr>
            <a:t> Business District)</a:t>
          </a:r>
          <a:endParaRPr lang="en-HK" sz="1100" b="1">
            <a:solidFill>
              <a:srgbClr val="25408F"/>
            </a:solidFill>
            <a:latin typeface="Open Sans" panose="020B0606030504020204" pitchFamily="34" charset="0"/>
            <a:ea typeface="Open Sans" panose="020B0606030504020204" pitchFamily="34" charset="0"/>
            <a:cs typeface="Open Sans" panose="020B0606030504020204" pitchFamily="34" charset="0"/>
          </a:endParaRPr>
        </a:p>
      </xdr:txBody>
    </xdr:sp>
    <xdr:clientData/>
  </xdr:oneCellAnchor>
</xdr:wsDr>
</file>

<file path=xl/drawings/drawing3.xml><?xml version="1.0" encoding="utf-8"?>
<xdr:wsDr xmlns:xdr="http://schemas.openxmlformats.org/drawingml/2006/spreadsheetDrawing" xmlns:a="http://schemas.openxmlformats.org/drawingml/2006/main">
  <xdr:twoCellAnchor>
    <xdr:from>
      <xdr:col>0</xdr:col>
      <xdr:colOff>0</xdr:colOff>
      <xdr:row>1</xdr:row>
      <xdr:rowOff>0</xdr:rowOff>
    </xdr:from>
    <xdr:to>
      <xdr:col>13</xdr:col>
      <xdr:colOff>1</xdr:colOff>
      <xdr:row>28</xdr:row>
      <xdr:rowOff>0</xdr:rowOff>
    </xdr:to>
    <xdr:grpSp>
      <xdr:nvGrpSpPr>
        <xdr:cNvPr id="8" name="그룹 7">
          <a:extLst>
            <a:ext uri="{FF2B5EF4-FFF2-40B4-BE49-F238E27FC236}">
              <a16:creationId xmlns:a16="http://schemas.microsoft.com/office/drawing/2014/main" id="{23A46BBC-52F3-4498-8A5E-3D60FC8F9E5F}"/>
            </a:ext>
          </a:extLst>
        </xdr:cNvPr>
        <xdr:cNvGrpSpPr/>
      </xdr:nvGrpSpPr>
      <xdr:grpSpPr>
        <a:xfrm>
          <a:off x="0" y="328706"/>
          <a:ext cx="7963648" cy="5647765"/>
          <a:chOff x="1104574" y="200560"/>
          <a:chExt cx="6948855" cy="6326566"/>
        </a:xfrm>
      </xdr:grpSpPr>
      <xdr:pic>
        <xdr:nvPicPr>
          <xdr:cNvPr id="9" name="그림 8">
            <a:extLst>
              <a:ext uri="{FF2B5EF4-FFF2-40B4-BE49-F238E27FC236}">
                <a16:creationId xmlns:a16="http://schemas.microsoft.com/office/drawing/2014/main" id="{1996D39C-3868-43F1-9CEC-5ED71A36FE3B}"/>
              </a:ext>
            </a:extLst>
          </xdr:cNvPr>
          <xdr:cNvPicPr>
            <a:picLocks noChangeAspect="1"/>
          </xdr:cNvPicPr>
        </xdr:nvPicPr>
        <xdr:blipFill rotWithShape="1">
          <a:blip xmlns:r="http://schemas.openxmlformats.org/officeDocument/2006/relationships" r:embed="rId1"/>
          <a:srcRect t="3019" b="4859"/>
          <a:stretch/>
        </xdr:blipFill>
        <xdr:spPr>
          <a:xfrm>
            <a:off x="1104574" y="200560"/>
            <a:ext cx="6948855" cy="6326566"/>
          </a:xfrm>
          <a:prstGeom prst="rect">
            <a:avLst/>
          </a:prstGeom>
        </xdr:spPr>
      </xdr:pic>
      <xdr:sp macro="" textlink="">
        <xdr:nvSpPr>
          <xdr:cNvPr id="10" name="자유형: 도형 9">
            <a:extLst>
              <a:ext uri="{FF2B5EF4-FFF2-40B4-BE49-F238E27FC236}">
                <a16:creationId xmlns:a16="http://schemas.microsoft.com/office/drawing/2014/main" id="{457A41F4-B01B-47BC-A26E-0875554A8FDF}"/>
              </a:ext>
            </a:extLst>
          </xdr:cNvPr>
          <xdr:cNvSpPr/>
        </xdr:nvSpPr>
        <xdr:spPr>
          <a:xfrm>
            <a:off x="1714662" y="287038"/>
            <a:ext cx="5504082" cy="4517809"/>
          </a:xfrm>
          <a:custGeom>
            <a:avLst/>
            <a:gdLst>
              <a:gd name="connsiteX0" fmla="*/ 3522356 w 5504082"/>
              <a:gd name="connsiteY0" fmla="*/ 4274571 h 4517809"/>
              <a:gd name="connsiteX1" fmla="*/ 3657438 w 5504082"/>
              <a:gd name="connsiteY1" fmla="*/ 4388871 h 4517809"/>
              <a:gd name="connsiteX2" fmla="*/ 3657438 w 5504082"/>
              <a:gd name="connsiteY2" fmla="*/ 4388871 h 4517809"/>
              <a:gd name="connsiteX3" fmla="*/ 3750956 w 5504082"/>
              <a:gd name="connsiteY3" fmla="*/ 4513562 h 4517809"/>
              <a:gd name="connsiteX4" fmla="*/ 3906820 w 5504082"/>
              <a:gd name="connsiteY4" fmla="*/ 4482389 h 4517809"/>
              <a:gd name="connsiteX5" fmla="*/ 4062683 w 5504082"/>
              <a:gd name="connsiteY5" fmla="*/ 4420044 h 4517809"/>
              <a:gd name="connsiteX6" fmla="*/ 4083465 w 5504082"/>
              <a:gd name="connsiteY6" fmla="*/ 4284962 h 4517809"/>
              <a:gd name="connsiteX7" fmla="*/ 4187374 w 5504082"/>
              <a:gd name="connsiteY7" fmla="*/ 4264180 h 4517809"/>
              <a:gd name="connsiteX8" fmla="*/ 4301674 w 5504082"/>
              <a:gd name="connsiteY8" fmla="*/ 4087535 h 4517809"/>
              <a:gd name="connsiteX9" fmla="*/ 4405583 w 5504082"/>
              <a:gd name="connsiteY9" fmla="*/ 4004407 h 4517809"/>
              <a:gd name="connsiteX10" fmla="*/ 4499102 w 5504082"/>
              <a:gd name="connsiteY10" fmla="*/ 3952453 h 4517809"/>
              <a:gd name="connsiteX11" fmla="*/ 4592620 w 5504082"/>
              <a:gd name="connsiteY11" fmla="*/ 3973235 h 4517809"/>
              <a:gd name="connsiteX12" fmla="*/ 4634183 w 5504082"/>
              <a:gd name="connsiteY12" fmla="*/ 4014798 h 4517809"/>
              <a:gd name="connsiteX13" fmla="*/ 4727702 w 5504082"/>
              <a:gd name="connsiteY13" fmla="*/ 3869326 h 4517809"/>
              <a:gd name="connsiteX14" fmla="*/ 4842002 w 5504082"/>
              <a:gd name="connsiteY14" fmla="*/ 3848544 h 4517809"/>
              <a:gd name="connsiteX15" fmla="*/ 4821220 w 5504082"/>
              <a:gd name="connsiteY15" fmla="*/ 3723853 h 4517809"/>
              <a:gd name="connsiteX16" fmla="*/ 4945911 w 5504082"/>
              <a:gd name="connsiteY16" fmla="*/ 3713462 h 4517809"/>
              <a:gd name="connsiteX17" fmla="*/ 5008256 w 5504082"/>
              <a:gd name="connsiteY17" fmla="*/ 3703071 h 4517809"/>
              <a:gd name="connsiteX18" fmla="*/ 5205683 w 5504082"/>
              <a:gd name="connsiteY18" fmla="*/ 3380953 h 4517809"/>
              <a:gd name="connsiteX19" fmla="*/ 5153729 w 5504082"/>
              <a:gd name="connsiteY19" fmla="*/ 3277044 h 4517809"/>
              <a:gd name="connsiteX20" fmla="*/ 5029038 w 5504082"/>
              <a:gd name="connsiteY20" fmla="*/ 3266653 h 4517809"/>
              <a:gd name="connsiteX21" fmla="*/ 4883565 w 5504082"/>
              <a:gd name="connsiteY21" fmla="*/ 3193917 h 4517809"/>
              <a:gd name="connsiteX22" fmla="*/ 4945911 w 5504082"/>
              <a:gd name="connsiteY22" fmla="*/ 2986098 h 4517809"/>
              <a:gd name="connsiteX23" fmla="*/ 5153729 w 5504082"/>
              <a:gd name="connsiteY23" fmla="*/ 2674371 h 4517809"/>
              <a:gd name="connsiteX24" fmla="*/ 5486238 w 5504082"/>
              <a:gd name="connsiteY24" fmla="*/ 2570462 h 4517809"/>
              <a:gd name="connsiteX25" fmla="*/ 5413502 w 5504082"/>
              <a:gd name="connsiteY25" fmla="*/ 1978180 h 4517809"/>
              <a:gd name="connsiteX26" fmla="*/ 5029038 w 5504082"/>
              <a:gd name="connsiteY26" fmla="*/ 2185998 h 4517809"/>
              <a:gd name="connsiteX27" fmla="*/ 4561447 w 5504082"/>
              <a:gd name="connsiteY27" fmla="*/ 2352253 h 4517809"/>
              <a:gd name="connsiteX28" fmla="*/ 4447147 w 5504082"/>
              <a:gd name="connsiteY28" fmla="*/ 2331471 h 4517809"/>
              <a:gd name="connsiteX29" fmla="*/ 4426365 w 5504082"/>
              <a:gd name="connsiteY29" fmla="*/ 2383426 h 4517809"/>
              <a:gd name="connsiteX30" fmla="*/ 4364020 w 5504082"/>
              <a:gd name="connsiteY30" fmla="*/ 2279517 h 4517809"/>
              <a:gd name="connsiteX31" fmla="*/ 4447147 w 5504082"/>
              <a:gd name="connsiteY31" fmla="*/ 2113262 h 4517809"/>
              <a:gd name="connsiteX32" fmla="*/ 4436756 w 5504082"/>
              <a:gd name="connsiteY32" fmla="*/ 1967789 h 4517809"/>
              <a:gd name="connsiteX33" fmla="*/ 4530274 w 5504082"/>
              <a:gd name="connsiteY33" fmla="*/ 1697626 h 4517809"/>
              <a:gd name="connsiteX34" fmla="*/ 4623793 w 5504082"/>
              <a:gd name="connsiteY34" fmla="*/ 1437853 h 4517809"/>
              <a:gd name="connsiteX35" fmla="*/ 4571838 w 5504082"/>
              <a:gd name="connsiteY35" fmla="*/ 1271598 h 4517809"/>
              <a:gd name="connsiteX36" fmla="*/ 4551056 w 5504082"/>
              <a:gd name="connsiteY36" fmla="*/ 1032607 h 4517809"/>
              <a:gd name="connsiteX37" fmla="*/ 4467929 w 5504082"/>
              <a:gd name="connsiteY37" fmla="*/ 887135 h 4517809"/>
              <a:gd name="connsiteX38" fmla="*/ 4312065 w 5504082"/>
              <a:gd name="connsiteY38" fmla="*/ 928698 h 4517809"/>
              <a:gd name="connsiteX39" fmla="*/ 4291283 w 5504082"/>
              <a:gd name="connsiteY39" fmla="*/ 658535 h 4517809"/>
              <a:gd name="connsiteX40" fmla="*/ 4343238 w 5504082"/>
              <a:gd name="connsiteY40" fmla="*/ 429935 h 4517809"/>
              <a:gd name="connsiteX41" fmla="*/ 4353629 w 5504082"/>
              <a:gd name="connsiteY41" fmla="*/ 242898 h 4517809"/>
              <a:gd name="connsiteX42" fmla="*/ 4291283 w 5504082"/>
              <a:gd name="connsiteY42" fmla="*/ 180553 h 4517809"/>
              <a:gd name="connsiteX43" fmla="*/ 4176983 w 5504082"/>
              <a:gd name="connsiteY43" fmla="*/ 170162 h 4517809"/>
              <a:gd name="connsiteX44" fmla="*/ 4166593 w 5504082"/>
              <a:gd name="connsiteY44" fmla="*/ 87035 h 4517809"/>
              <a:gd name="connsiteX45" fmla="*/ 4052293 w 5504082"/>
              <a:gd name="connsiteY45" fmla="*/ 76644 h 4517809"/>
              <a:gd name="connsiteX46" fmla="*/ 4021120 w 5504082"/>
              <a:gd name="connsiteY46" fmla="*/ 118207 h 4517809"/>
              <a:gd name="connsiteX47" fmla="*/ 3906820 w 5504082"/>
              <a:gd name="connsiteY47" fmla="*/ 87035 h 4517809"/>
              <a:gd name="connsiteX48" fmla="*/ 3761347 w 5504082"/>
              <a:gd name="connsiteY48" fmla="*/ 263680 h 4517809"/>
              <a:gd name="connsiteX49" fmla="*/ 3719783 w 5504082"/>
              <a:gd name="connsiteY49" fmla="*/ 76644 h 4517809"/>
              <a:gd name="connsiteX50" fmla="*/ 3532747 w 5504082"/>
              <a:gd name="connsiteY50" fmla="*/ 118207 h 4517809"/>
              <a:gd name="connsiteX51" fmla="*/ 3449620 w 5504082"/>
              <a:gd name="connsiteY51" fmla="*/ 35080 h 4517809"/>
              <a:gd name="connsiteX52" fmla="*/ 3304147 w 5504082"/>
              <a:gd name="connsiteY52" fmla="*/ 3907 h 4517809"/>
              <a:gd name="connsiteX53" fmla="*/ 3158674 w 5504082"/>
              <a:gd name="connsiteY53" fmla="*/ 118207 h 4517809"/>
              <a:gd name="connsiteX54" fmla="*/ 3189847 w 5504082"/>
              <a:gd name="connsiteY54" fmla="*/ 253289 h 4517809"/>
              <a:gd name="connsiteX55" fmla="*/ 3085938 w 5504082"/>
              <a:gd name="connsiteY55" fmla="*/ 294853 h 4517809"/>
              <a:gd name="connsiteX56" fmla="*/ 2992420 w 5504082"/>
              <a:gd name="connsiteY56" fmla="*/ 346807 h 4517809"/>
              <a:gd name="connsiteX57" fmla="*/ 2992420 w 5504082"/>
              <a:gd name="connsiteY57" fmla="*/ 554626 h 4517809"/>
              <a:gd name="connsiteX58" fmla="*/ 2722256 w 5504082"/>
              <a:gd name="connsiteY58" fmla="*/ 814398 h 4517809"/>
              <a:gd name="connsiteX59" fmla="*/ 2607956 w 5504082"/>
              <a:gd name="connsiteY59" fmla="*/ 970262 h 4517809"/>
              <a:gd name="connsiteX60" fmla="*/ 2379356 w 5504082"/>
              <a:gd name="connsiteY60" fmla="*/ 741662 h 4517809"/>
              <a:gd name="connsiteX61" fmla="*/ 2150756 w 5504082"/>
              <a:gd name="connsiteY61" fmla="*/ 824789 h 4517809"/>
              <a:gd name="connsiteX62" fmla="*/ 1890983 w 5504082"/>
              <a:gd name="connsiteY62" fmla="*/ 918307 h 4517809"/>
              <a:gd name="connsiteX63" fmla="*/ 1880593 w 5504082"/>
              <a:gd name="connsiteY63" fmla="*/ 1094953 h 4517809"/>
              <a:gd name="connsiteX64" fmla="*/ 1776683 w 5504082"/>
              <a:gd name="connsiteY64" fmla="*/ 1417071 h 4517809"/>
              <a:gd name="connsiteX65" fmla="*/ 1766293 w 5504082"/>
              <a:gd name="connsiteY65" fmla="*/ 1676844 h 4517809"/>
              <a:gd name="connsiteX66" fmla="*/ 1683165 w 5504082"/>
              <a:gd name="connsiteY66" fmla="*/ 1874271 h 4517809"/>
              <a:gd name="connsiteX67" fmla="*/ 1496129 w 5504082"/>
              <a:gd name="connsiteY67" fmla="*/ 1957398 h 4517809"/>
              <a:gd name="connsiteX68" fmla="*/ 1319483 w 5504082"/>
              <a:gd name="connsiteY68" fmla="*/ 2082089 h 4517809"/>
              <a:gd name="connsiteX69" fmla="*/ 1184402 w 5504082"/>
              <a:gd name="connsiteY69" fmla="*/ 2134044 h 4517809"/>
              <a:gd name="connsiteX70" fmla="*/ 862283 w 5504082"/>
              <a:gd name="connsiteY70" fmla="*/ 1926226 h 4517809"/>
              <a:gd name="connsiteX71" fmla="*/ 540165 w 5504082"/>
              <a:gd name="connsiteY71" fmla="*/ 1645671 h 4517809"/>
              <a:gd name="connsiteX72" fmla="*/ 394693 w 5504082"/>
              <a:gd name="connsiteY72" fmla="*/ 1697626 h 4517809"/>
              <a:gd name="connsiteX73" fmla="*/ 415474 w 5504082"/>
              <a:gd name="connsiteY73" fmla="*/ 1957398 h 4517809"/>
              <a:gd name="connsiteX74" fmla="*/ 238829 w 5504082"/>
              <a:gd name="connsiteY74" fmla="*/ 2092480 h 4517809"/>
              <a:gd name="connsiteX75" fmla="*/ 10229 w 5504082"/>
              <a:gd name="connsiteY75" fmla="*/ 2352253 h 4517809"/>
              <a:gd name="connsiteX76" fmla="*/ 72574 w 5504082"/>
              <a:gd name="connsiteY76" fmla="*/ 2528898 h 4517809"/>
              <a:gd name="connsiteX77" fmla="*/ 363520 w 5504082"/>
              <a:gd name="connsiteY77" fmla="*/ 2622417 h 4517809"/>
              <a:gd name="connsiteX78" fmla="*/ 415474 w 5504082"/>
              <a:gd name="connsiteY78" fmla="*/ 2726326 h 4517809"/>
              <a:gd name="connsiteX79" fmla="*/ 508993 w 5504082"/>
              <a:gd name="connsiteY79" fmla="*/ 2612026 h 4517809"/>
              <a:gd name="connsiteX80" fmla="*/ 737593 w 5504082"/>
              <a:gd name="connsiteY80" fmla="*/ 2715935 h 4517809"/>
              <a:gd name="connsiteX81" fmla="*/ 851893 w 5504082"/>
              <a:gd name="connsiteY81" fmla="*/ 2851017 h 4517809"/>
              <a:gd name="connsiteX82" fmla="*/ 789547 w 5504082"/>
              <a:gd name="connsiteY82" fmla="*/ 3079617 h 4517809"/>
              <a:gd name="connsiteX83" fmla="*/ 831111 w 5504082"/>
              <a:gd name="connsiteY83" fmla="*/ 3214698 h 4517809"/>
              <a:gd name="connsiteX84" fmla="*/ 716811 w 5504082"/>
              <a:gd name="connsiteY84" fmla="*/ 3349780 h 4517809"/>
              <a:gd name="connsiteX85" fmla="*/ 644074 w 5504082"/>
              <a:gd name="connsiteY85" fmla="*/ 3412126 h 4517809"/>
              <a:gd name="connsiteX86" fmla="*/ 747983 w 5504082"/>
              <a:gd name="connsiteY86" fmla="*/ 3495253 h 4517809"/>
              <a:gd name="connsiteX87" fmla="*/ 675247 w 5504082"/>
              <a:gd name="connsiteY87" fmla="*/ 3744635 h 4517809"/>
              <a:gd name="connsiteX88" fmla="*/ 893456 w 5504082"/>
              <a:gd name="connsiteY88" fmla="*/ 3744635 h 4517809"/>
              <a:gd name="connsiteX89" fmla="*/ 1122056 w 5504082"/>
              <a:gd name="connsiteY89" fmla="*/ 3755026 h 4517809"/>
              <a:gd name="connsiteX90" fmla="*/ 1184402 w 5504082"/>
              <a:gd name="connsiteY90" fmla="*/ 3567989 h 4517809"/>
              <a:gd name="connsiteX91" fmla="*/ 1361047 w 5504082"/>
              <a:gd name="connsiteY91" fmla="*/ 3412126 h 4517809"/>
              <a:gd name="connsiteX92" fmla="*/ 1423393 w 5504082"/>
              <a:gd name="connsiteY92" fmla="*/ 3755026 h 4517809"/>
              <a:gd name="connsiteX93" fmla="*/ 1589647 w 5504082"/>
              <a:gd name="connsiteY93" fmla="*/ 3983626 h 4517809"/>
              <a:gd name="connsiteX94" fmla="*/ 1714338 w 5504082"/>
              <a:gd name="connsiteY94" fmla="*/ 4253789 h 4517809"/>
              <a:gd name="connsiteX95" fmla="*/ 1776683 w 5504082"/>
              <a:gd name="connsiteY95" fmla="*/ 4451217 h 4517809"/>
              <a:gd name="connsiteX96" fmla="*/ 1932547 w 5504082"/>
              <a:gd name="connsiteY96" fmla="*/ 4461607 h 4517809"/>
              <a:gd name="connsiteX97" fmla="*/ 2098802 w 5504082"/>
              <a:gd name="connsiteY97" fmla="*/ 4181053 h 4517809"/>
              <a:gd name="connsiteX98" fmla="*/ 2254665 w 5504082"/>
              <a:gd name="connsiteY98" fmla="*/ 4420044 h 4517809"/>
              <a:gd name="connsiteX99" fmla="*/ 2639129 w 5504082"/>
              <a:gd name="connsiteY99" fmla="*/ 4316135 h 4517809"/>
              <a:gd name="connsiteX100" fmla="*/ 2722256 w 5504082"/>
              <a:gd name="connsiteY100" fmla="*/ 4108317 h 4517809"/>
              <a:gd name="connsiteX101" fmla="*/ 3044374 w 5504082"/>
              <a:gd name="connsiteY101" fmla="*/ 3973235 h 4517809"/>
              <a:gd name="connsiteX102" fmla="*/ 3096329 w 5504082"/>
              <a:gd name="connsiteY102" fmla="*/ 3869326 h 4517809"/>
              <a:gd name="connsiteX103" fmla="*/ 3231411 w 5504082"/>
              <a:gd name="connsiteY103" fmla="*/ 4066753 h 4517809"/>
              <a:gd name="connsiteX104" fmla="*/ 3460011 w 5504082"/>
              <a:gd name="connsiteY104" fmla="*/ 3962844 h 4517809"/>
              <a:gd name="connsiteX105" fmla="*/ 3574311 w 5504082"/>
              <a:gd name="connsiteY105" fmla="*/ 3994017 h 4517809"/>
              <a:gd name="connsiteX106" fmla="*/ 3595093 w 5504082"/>
              <a:gd name="connsiteY106" fmla="*/ 4388871 h 4517809"/>
              <a:gd name="connsiteX107" fmla="*/ 3605483 w 5504082"/>
              <a:gd name="connsiteY107" fmla="*/ 4368089 h 4517809"/>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Lst>
            <a:rect l="l" t="t" r="r" b="b"/>
            <a:pathLst>
              <a:path w="5504082" h="4517809">
                <a:moveTo>
                  <a:pt x="3522356" y="4274571"/>
                </a:moveTo>
                <a:lnTo>
                  <a:pt x="3657438" y="4388871"/>
                </a:lnTo>
                <a:lnTo>
                  <a:pt x="3657438" y="4388871"/>
                </a:lnTo>
                <a:cubicBezTo>
                  <a:pt x="3673024" y="4409653"/>
                  <a:pt x="3709392" y="4497976"/>
                  <a:pt x="3750956" y="4513562"/>
                </a:cubicBezTo>
                <a:cubicBezTo>
                  <a:pt x="3792520" y="4529148"/>
                  <a:pt x="3854866" y="4497975"/>
                  <a:pt x="3906820" y="4482389"/>
                </a:cubicBezTo>
                <a:cubicBezTo>
                  <a:pt x="3958774" y="4466803"/>
                  <a:pt x="4033242" y="4452949"/>
                  <a:pt x="4062683" y="4420044"/>
                </a:cubicBezTo>
                <a:cubicBezTo>
                  <a:pt x="4092124" y="4387140"/>
                  <a:pt x="4062683" y="4310939"/>
                  <a:pt x="4083465" y="4284962"/>
                </a:cubicBezTo>
                <a:cubicBezTo>
                  <a:pt x="4104247" y="4258985"/>
                  <a:pt x="4151006" y="4297085"/>
                  <a:pt x="4187374" y="4264180"/>
                </a:cubicBezTo>
                <a:cubicBezTo>
                  <a:pt x="4223742" y="4231275"/>
                  <a:pt x="4265306" y="4130830"/>
                  <a:pt x="4301674" y="4087535"/>
                </a:cubicBezTo>
                <a:cubicBezTo>
                  <a:pt x="4338042" y="4044240"/>
                  <a:pt x="4372678" y="4026921"/>
                  <a:pt x="4405583" y="4004407"/>
                </a:cubicBezTo>
                <a:cubicBezTo>
                  <a:pt x="4438488" y="3981893"/>
                  <a:pt x="4467929" y="3957648"/>
                  <a:pt x="4499102" y="3952453"/>
                </a:cubicBezTo>
                <a:cubicBezTo>
                  <a:pt x="4530275" y="3947258"/>
                  <a:pt x="4570107" y="3962844"/>
                  <a:pt x="4592620" y="3973235"/>
                </a:cubicBezTo>
                <a:cubicBezTo>
                  <a:pt x="4615133" y="3983626"/>
                  <a:pt x="4611670" y="4032116"/>
                  <a:pt x="4634183" y="4014798"/>
                </a:cubicBezTo>
                <a:cubicBezTo>
                  <a:pt x="4656696" y="3997480"/>
                  <a:pt x="4693066" y="3897035"/>
                  <a:pt x="4727702" y="3869326"/>
                </a:cubicBezTo>
                <a:cubicBezTo>
                  <a:pt x="4762339" y="3841617"/>
                  <a:pt x="4826416" y="3872789"/>
                  <a:pt x="4842002" y="3848544"/>
                </a:cubicBezTo>
                <a:cubicBezTo>
                  <a:pt x="4857588" y="3824298"/>
                  <a:pt x="4803902" y="3746366"/>
                  <a:pt x="4821220" y="3723853"/>
                </a:cubicBezTo>
                <a:cubicBezTo>
                  <a:pt x="4838538" y="3701340"/>
                  <a:pt x="4945911" y="3713462"/>
                  <a:pt x="4945911" y="3713462"/>
                </a:cubicBezTo>
                <a:cubicBezTo>
                  <a:pt x="4977084" y="3709998"/>
                  <a:pt x="4964961" y="3758489"/>
                  <a:pt x="5008256" y="3703071"/>
                </a:cubicBezTo>
                <a:cubicBezTo>
                  <a:pt x="5051551" y="3647653"/>
                  <a:pt x="5181438" y="3451957"/>
                  <a:pt x="5205683" y="3380953"/>
                </a:cubicBezTo>
                <a:cubicBezTo>
                  <a:pt x="5229928" y="3309949"/>
                  <a:pt x="5183170" y="3296094"/>
                  <a:pt x="5153729" y="3277044"/>
                </a:cubicBezTo>
                <a:cubicBezTo>
                  <a:pt x="5124288" y="3257994"/>
                  <a:pt x="5074065" y="3280507"/>
                  <a:pt x="5029038" y="3266653"/>
                </a:cubicBezTo>
                <a:cubicBezTo>
                  <a:pt x="4984011" y="3252798"/>
                  <a:pt x="4897419" y="3240676"/>
                  <a:pt x="4883565" y="3193917"/>
                </a:cubicBezTo>
                <a:cubicBezTo>
                  <a:pt x="4869711" y="3147158"/>
                  <a:pt x="4900884" y="3072689"/>
                  <a:pt x="4945911" y="2986098"/>
                </a:cubicBezTo>
                <a:cubicBezTo>
                  <a:pt x="4990938" y="2899507"/>
                  <a:pt x="5063675" y="2743644"/>
                  <a:pt x="5153729" y="2674371"/>
                </a:cubicBezTo>
                <a:cubicBezTo>
                  <a:pt x="5243783" y="2605098"/>
                  <a:pt x="5442943" y="2686494"/>
                  <a:pt x="5486238" y="2570462"/>
                </a:cubicBezTo>
                <a:cubicBezTo>
                  <a:pt x="5529533" y="2454430"/>
                  <a:pt x="5489702" y="2042257"/>
                  <a:pt x="5413502" y="1978180"/>
                </a:cubicBezTo>
                <a:cubicBezTo>
                  <a:pt x="5337302" y="1914103"/>
                  <a:pt x="5171047" y="2123652"/>
                  <a:pt x="5029038" y="2185998"/>
                </a:cubicBezTo>
                <a:cubicBezTo>
                  <a:pt x="4887029" y="2248343"/>
                  <a:pt x="4658429" y="2328008"/>
                  <a:pt x="4561447" y="2352253"/>
                </a:cubicBezTo>
                <a:cubicBezTo>
                  <a:pt x="4464465" y="2376498"/>
                  <a:pt x="4469661" y="2326276"/>
                  <a:pt x="4447147" y="2331471"/>
                </a:cubicBezTo>
                <a:cubicBezTo>
                  <a:pt x="4424633" y="2336666"/>
                  <a:pt x="4440219" y="2392085"/>
                  <a:pt x="4426365" y="2383426"/>
                </a:cubicBezTo>
                <a:cubicBezTo>
                  <a:pt x="4412511" y="2374767"/>
                  <a:pt x="4360556" y="2324544"/>
                  <a:pt x="4364020" y="2279517"/>
                </a:cubicBezTo>
                <a:cubicBezTo>
                  <a:pt x="4367484" y="2234490"/>
                  <a:pt x="4435024" y="2165217"/>
                  <a:pt x="4447147" y="2113262"/>
                </a:cubicBezTo>
                <a:cubicBezTo>
                  <a:pt x="4459270" y="2061307"/>
                  <a:pt x="4422902" y="2037062"/>
                  <a:pt x="4436756" y="1967789"/>
                </a:cubicBezTo>
                <a:cubicBezTo>
                  <a:pt x="4450610" y="1898516"/>
                  <a:pt x="4499101" y="1785949"/>
                  <a:pt x="4530274" y="1697626"/>
                </a:cubicBezTo>
                <a:cubicBezTo>
                  <a:pt x="4561447" y="1609303"/>
                  <a:pt x="4616866" y="1508858"/>
                  <a:pt x="4623793" y="1437853"/>
                </a:cubicBezTo>
                <a:cubicBezTo>
                  <a:pt x="4630720" y="1366848"/>
                  <a:pt x="4583961" y="1339139"/>
                  <a:pt x="4571838" y="1271598"/>
                </a:cubicBezTo>
                <a:cubicBezTo>
                  <a:pt x="4559715" y="1204057"/>
                  <a:pt x="4568374" y="1096684"/>
                  <a:pt x="4551056" y="1032607"/>
                </a:cubicBezTo>
                <a:cubicBezTo>
                  <a:pt x="4533738" y="968530"/>
                  <a:pt x="4507761" y="904453"/>
                  <a:pt x="4467929" y="887135"/>
                </a:cubicBezTo>
                <a:cubicBezTo>
                  <a:pt x="4428097" y="869817"/>
                  <a:pt x="4341506" y="966798"/>
                  <a:pt x="4312065" y="928698"/>
                </a:cubicBezTo>
                <a:cubicBezTo>
                  <a:pt x="4282624" y="890598"/>
                  <a:pt x="4286088" y="741662"/>
                  <a:pt x="4291283" y="658535"/>
                </a:cubicBezTo>
                <a:cubicBezTo>
                  <a:pt x="4296479" y="575408"/>
                  <a:pt x="4332847" y="499208"/>
                  <a:pt x="4343238" y="429935"/>
                </a:cubicBezTo>
                <a:cubicBezTo>
                  <a:pt x="4353629" y="360662"/>
                  <a:pt x="4362288" y="284462"/>
                  <a:pt x="4353629" y="242898"/>
                </a:cubicBezTo>
                <a:cubicBezTo>
                  <a:pt x="4344970" y="201334"/>
                  <a:pt x="4320724" y="192676"/>
                  <a:pt x="4291283" y="180553"/>
                </a:cubicBezTo>
                <a:cubicBezTo>
                  <a:pt x="4261842" y="168430"/>
                  <a:pt x="4197765" y="185748"/>
                  <a:pt x="4176983" y="170162"/>
                </a:cubicBezTo>
                <a:cubicBezTo>
                  <a:pt x="4156201" y="154576"/>
                  <a:pt x="4187375" y="102621"/>
                  <a:pt x="4166593" y="87035"/>
                </a:cubicBezTo>
                <a:cubicBezTo>
                  <a:pt x="4145811" y="71449"/>
                  <a:pt x="4052293" y="76644"/>
                  <a:pt x="4052293" y="76644"/>
                </a:cubicBezTo>
                <a:cubicBezTo>
                  <a:pt x="4028047" y="81839"/>
                  <a:pt x="4045365" y="116475"/>
                  <a:pt x="4021120" y="118207"/>
                </a:cubicBezTo>
                <a:cubicBezTo>
                  <a:pt x="3996875" y="119939"/>
                  <a:pt x="3950116" y="62789"/>
                  <a:pt x="3906820" y="87035"/>
                </a:cubicBezTo>
                <a:cubicBezTo>
                  <a:pt x="3863525" y="111280"/>
                  <a:pt x="3792520" y="265412"/>
                  <a:pt x="3761347" y="263680"/>
                </a:cubicBezTo>
                <a:cubicBezTo>
                  <a:pt x="3730174" y="261948"/>
                  <a:pt x="3757883" y="100889"/>
                  <a:pt x="3719783" y="76644"/>
                </a:cubicBezTo>
                <a:cubicBezTo>
                  <a:pt x="3681683" y="52399"/>
                  <a:pt x="3577774" y="125134"/>
                  <a:pt x="3532747" y="118207"/>
                </a:cubicBezTo>
                <a:cubicBezTo>
                  <a:pt x="3487720" y="111280"/>
                  <a:pt x="3487720" y="54130"/>
                  <a:pt x="3449620" y="35080"/>
                </a:cubicBezTo>
                <a:cubicBezTo>
                  <a:pt x="3411520" y="16030"/>
                  <a:pt x="3352638" y="-9947"/>
                  <a:pt x="3304147" y="3907"/>
                </a:cubicBezTo>
                <a:cubicBezTo>
                  <a:pt x="3255656" y="17761"/>
                  <a:pt x="3177724" y="76643"/>
                  <a:pt x="3158674" y="118207"/>
                </a:cubicBezTo>
                <a:cubicBezTo>
                  <a:pt x="3139624" y="159771"/>
                  <a:pt x="3201970" y="223848"/>
                  <a:pt x="3189847" y="253289"/>
                </a:cubicBezTo>
                <a:cubicBezTo>
                  <a:pt x="3177724" y="282730"/>
                  <a:pt x="3118842" y="279267"/>
                  <a:pt x="3085938" y="294853"/>
                </a:cubicBezTo>
                <a:cubicBezTo>
                  <a:pt x="3053034" y="310439"/>
                  <a:pt x="3008006" y="303512"/>
                  <a:pt x="2992420" y="346807"/>
                </a:cubicBezTo>
                <a:cubicBezTo>
                  <a:pt x="2976834" y="390102"/>
                  <a:pt x="3037447" y="476694"/>
                  <a:pt x="2992420" y="554626"/>
                </a:cubicBezTo>
                <a:cubicBezTo>
                  <a:pt x="2947393" y="632558"/>
                  <a:pt x="2786333" y="745126"/>
                  <a:pt x="2722256" y="814398"/>
                </a:cubicBezTo>
                <a:cubicBezTo>
                  <a:pt x="2658179" y="883670"/>
                  <a:pt x="2665106" y="982385"/>
                  <a:pt x="2607956" y="970262"/>
                </a:cubicBezTo>
                <a:cubicBezTo>
                  <a:pt x="2550806" y="958139"/>
                  <a:pt x="2455556" y="765907"/>
                  <a:pt x="2379356" y="741662"/>
                </a:cubicBezTo>
                <a:cubicBezTo>
                  <a:pt x="2303156" y="717417"/>
                  <a:pt x="2150756" y="824789"/>
                  <a:pt x="2150756" y="824789"/>
                </a:cubicBezTo>
                <a:cubicBezTo>
                  <a:pt x="2069361" y="854230"/>
                  <a:pt x="1936010" y="873280"/>
                  <a:pt x="1890983" y="918307"/>
                </a:cubicBezTo>
                <a:cubicBezTo>
                  <a:pt x="1845956" y="963334"/>
                  <a:pt x="1899643" y="1011826"/>
                  <a:pt x="1880593" y="1094953"/>
                </a:cubicBezTo>
                <a:cubicBezTo>
                  <a:pt x="1861543" y="1178080"/>
                  <a:pt x="1795733" y="1320089"/>
                  <a:pt x="1776683" y="1417071"/>
                </a:cubicBezTo>
                <a:cubicBezTo>
                  <a:pt x="1757633" y="1514053"/>
                  <a:pt x="1781879" y="1600644"/>
                  <a:pt x="1766293" y="1676844"/>
                </a:cubicBezTo>
                <a:cubicBezTo>
                  <a:pt x="1750707" y="1753044"/>
                  <a:pt x="1728192" y="1827512"/>
                  <a:pt x="1683165" y="1874271"/>
                </a:cubicBezTo>
                <a:cubicBezTo>
                  <a:pt x="1638138" y="1921030"/>
                  <a:pt x="1556743" y="1922762"/>
                  <a:pt x="1496129" y="1957398"/>
                </a:cubicBezTo>
                <a:cubicBezTo>
                  <a:pt x="1435515" y="1992034"/>
                  <a:pt x="1371438" y="2052648"/>
                  <a:pt x="1319483" y="2082089"/>
                </a:cubicBezTo>
                <a:cubicBezTo>
                  <a:pt x="1267528" y="2111530"/>
                  <a:pt x="1260602" y="2160021"/>
                  <a:pt x="1184402" y="2134044"/>
                </a:cubicBezTo>
                <a:cubicBezTo>
                  <a:pt x="1108202" y="2108067"/>
                  <a:pt x="969656" y="2007621"/>
                  <a:pt x="862283" y="1926226"/>
                </a:cubicBezTo>
                <a:cubicBezTo>
                  <a:pt x="754910" y="1844831"/>
                  <a:pt x="618097" y="1683771"/>
                  <a:pt x="540165" y="1645671"/>
                </a:cubicBezTo>
                <a:cubicBezTo>
                  <a:pt x="462233" y="1607571"/>
                  <a:pt x="415475" y="1645672"/>
                  <a:pt x="394693" y="1697626"/>
                </a:cubicBezTo>
                <a:cubicBezTo>
                  <a:pt x="373911" y="1749580"/>
                  <a:pt x="441451" y="1891589"/>
                  <a:pt x="415474" y="1957398"/>
                </a:cubicBezTo>
                <a:cubicBezTo>
                  <a:pt x="389497" y="2023207"/>
                  <a:pt x="306370" y="2026671"/>
                  <a:pt x="238829" y="2092480"/>
                </a:cubicBezTo>
                <a:cubicBezTo>
                  <a:pt x="171288" y="2158289"/>
                  <a:pt x="37938" y="2279517"/>
                  <a:pt x="10229" y="2352253"/>
                </a:cubicBezTo>
                <a:cubicBezTo>
                  <a:pt x="-17480" y="2424989"/>
                  <a:pt x="13692" y="2483871"/>
                  <a:pt x="72574" y="2528898"/>
                </a:cubicBezTo>
                <a:cubicBezTo>
                  <a:pt x="131456" y="2573925"/>
                  <a:pt x="306370" y="2589512"/>
                  <a:pt x="363520" y="2622417"/>
                </a:cubicBezTo>
                <a:cubicBezTo>
                  <a:pt x="420670" y="2655322"/>
                  <a:pt x="391229" y="2728058"/>
                  <a:pt x="415474" y="2726326"/>
                </a:cubicBezTo>
                <a:cubicBezTo>
                  <a:pt x="439719" y="2724594"/>
                  <a:pt x="455307" y="2613758"/>
                  <a:pt x="508993" y="2612026"/>
                </a:cubicBezTo>
                <a:cubicBezTo>
                  <a:pt x="562679" y="2610294"/>
                  <a:pt x="680443" y="2676103"/>
                  <a:pt x="737593" y="2715935"/>
                </a:cubicBezTo>
                <a:cubicBezTo>
                  <a:pt x="794743" y="2755767"/>
                  <a:pt x="843234" y="2790403"/>
                  <a:pt x="851893" y="2851017"/>
                </a:cubicBezTo>
                <a:cubicBezTo>
                  <a:pt x="860552" y="2911631"/>
                  <a:pt x="793011" y="3019003"/>
                  <a:pt x="789547" y="3079617"/>
                </a:cubicBezTo>
                <a:cubicBezTo>
                  <a:pt x="786083" y="3140231"/>
                  <a:pt x="843234" y="3169671"/>
                  <a:pt x="831111" y="3214698"/>
                </a:cubicBezTo>
                <a:cubicBezTo>
                  <a:pt x="818988" y="3259725"/>
                  <a:pt x="747984" y="3316875"/>
                  <a:pt x="716811" y="3349780"/>
                </a:cubicBezTo>
                <a:cubicBezTo>
                  <a:pt x="685638" y="3382685"/>
                  <a:pt x="638879" y="3387880"/>
                  <a:pt x="644074" y="3412126"/>
                </a:cubicBezTo>
                <a:cubicBezTo>
                  <a:pt x="649269" y="3436372"/>
                  <a:pt x="742788" y="3439835"/>
                  <a:pt x="747983" y="3495253"/>
                </a:cubicBezTo>
                <a:cubicBezTo>
                  <a:pt x="753178" y="3550671"/>
                  <a:pt x="651002" y="3703071"/>
                  <a:pt x="675247" y="3744635"/>
                </a:cubicBezTo>
                <a:cubicBezTo>
                  <a:pt x="699492" y="3786199"/>
                  <a:pt x="818988" y="3742903"/>
                  <a:pt x="893456" y="3744635"/>
                </a:cubicBezTo>
                <a:cubicBezTo>
                  <a:pt x="967924" y="3746367"/>
                  <a:pt x="1073565" y="3784467"/>
                  <a:pt x="1122056" y="3755026"/>
                </a:cubicBezTo>
                <a:cubicBezTo>
                  <a:pt x="1170547" y="3725585"/>
                  <a:pt x="1144570" y="3625139"/>
                  <a:pt x="1184402" y="3567989"/>
                </a:cubicBezTo>
                <a:cubicBezTo>
                  <a:pt x="1224234" y="3510839"/>
                  <a:pt x="1321215" y="3380953"/>
                  <a:pt x="1361047" y="3412126"/>
                </a:cubicBezTo>
                <a:cubicBezTo>
                  <a:pt x="1400879" y="3443299"/>
                  <a:pt x="1385293" y="3659776"/>
                  <a:pt x="1423393" y="3755026"/>
                </a:cubicBezTo>
                <a:cubicBezTo>
                  <a:pt x="1461493" y="3850276"/>
                  <a:pt x="1541156" y="3900499"/>
                  <a:pt x="1589647" y="3983626"/>
                </a:cubicBezTo>
                <a:cubicBezTo>
                  <a:pt x="1638138" y="4066753"/>
                  <a:pt x="1683165" y="4175857"/>
                  <a:pt x="1714338" y="4253789"/>
                </a:cubicBezTo>
                <a:cubicBezTo>
                  <a:pt x="1745511" y="4331721"/>
                  <a:pt x="1740315" y="4416581"/>
                  <a:pt x="1776683" y="4451217"/>
                </a:cubicBezTo>
                <a:cubicBezTo>
                  <a:pt x="1813051" y="4485853"/>
                  <a:pt x="1878860" y="4506634"/>
                  <a:pt x="1932547" y="4461607"/>
                </a:cubicBezTo>
                <a:cubicBezTo>
                  <a:pt x="1986233" y="4416580"/>
                  <a:pt x="2045116" y="4187980"/>
                  <a:pt x="2098802" y="4181053"/>
                </a:cubicBezTo>
                <a:cubicBezTo>
                  <a:pt x="2152488" y="4174126"/>
                  <a:pt x="2164611" y="4397530"/>
                  <a:pt x="2254665" y="4420044"/>
                </a:cubicBezTo>
                <a:cubicBezTo>
                  <a:pt x="2344719" y="4442558"/>
                  <a:pt x="2561197" y="4368089"/>
                  <a:pt x="2639129" y="4316135"/>
                </a:cubicBezTo>
                <a:cubicBezTo>
                  <a:pt x="2717061" y="4264181"/>
                  <a:pt x="2654715" y="4165467"/>
                  <a:pt x="2722256" y="4108317"/>
                </a:cubicBezTo>
                <a:cubicBezTo>
                  <a:pt x="2789797" y="4051167"/>
                  <a:pt x="2982028" y="4013067"/>
                  <a:pt x="3044374" y="3973235"/>
                </a:cubicBezTo>
                <a:cubicBezTo>
                  <a:pt x="3106719" y="3933403"/>
                  <a:pt x="3065156" y="3853740"/>
                  <a:pt x="3096329" y="3869326"/>
                </a:cubicBezTo>
                <a:cubicBezTo>
                  <a:pt x="3127502" y="3884912"/>
                  <a:pt x="3170797" y="4051167"/>
                  <a:pt x="3231411" y="4066753"/>
                </a:cubicBezTo>
                <a:cubicBezTo>
                  <a:pt x="3292025" y="4082339"/>
                  <a:pt x="3402861" y="3974967"/>
                  <a:pt x="3460011" y="3962844"/>
                </a:cubicBezTo>
                <a:cubicBezTo>
                  <a:pt x="3517161" y="3950721"/>
                  <a:pt x="3551797" y="3923013"/>
                  <a:pt x="3574311" y="3994017"/>
                </a:cubicBezTo>
                <a:cubicBezTo>
                  <a:pt x="3596825" y="4065021"/>
                  <a:pt x="3589898" y="4326526"/>
                  <a:pt x="3595093" y="4388871"/>
                </a:cubicBezTo>
                <a:cubicBezTo>
                  <a:pt x="3600288" y="4451216"/>
                  <a:pt x="3608947" y="4368089"/>
                  <a:pt x="3605483" y="4368089"/>
                </a:cubicBezTo>
              </a:path>
            </a:pathLst>
          </a:custGeom>
          <a:noFill/>
          <a:ln w="28575">
            <a:solidFill>
              <a:srgbClr val="FF0000"/>
            </a:solidFill>
            <a:prstDash val="sysDot"/>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ko-KR" altLang="en-US"/>
          </a:p>
        </xdr:txBody>
      </xdr:sp>
    </xdr:grpSp>
    <xdr:clientData/>
  </xdr:twoCellAnchor>
  <xdr:oneCellAnchor>
    <xdr:from>
      <xdr:col>5</xdr:col>
      <xdr:colOff>58498</xdr:colOff>
      <xdr:row>7</xdr:row>
      <xdr:rowOff>114899</xdr:rowOff>
    </xdr:from>
    <xdr:ext cx="2030639" cy="476541"/>
    <xdr:sp macro="" textlink="">
      <xdr:nvSpPr>
        <xdr:cNvPr id="3" name="TextBox 2">
          <a:extLst>
            <a:ext uri="{FF2B5EF4-FFF2-40B4-BE49-F238E27FC236}">
              <a16:creationId xmlns:a16="http://schemas.microsoft.com/office/drawing/2014/main" id="{4CA7C47A-6CDA-468D-8AF1-E11845B44EF8}"/>
            </a:ext>
          </a:extLst>
        </xdr:cNvPr>
        <xdr:cNvSpPr txBox="1"/>
      </xdr:nvSpPr>
      <xdr:spPr>
        <a:xfrm>
          <a:off x="3337596" y="1660760"/>
          <a:ext cx="2030639" cy="476541"/>
        </a:xfrm>
        <a:prstGeom prst="rect">
          <a:avLst/>
        </a:prstGeom>
        <a:solidFill>
          <a:schemeClr val="bg1"/>
        </a:solidFill>
        <a:ln w="28575">
          <a:solidFill>
            <a:srgbClr val="25408F"/>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HK" sz="1100" b="1">
              <a:solidFill>
                <a:srgbClr val="25408F"/>
              </a:solidFill>
              <a:latin typeface="Open Sans" panose="020B0606030504020204" pitchFamily="34" charset="0"/>
              <a:ea typeface="Open Sans" panose="020B0606030504020204" pitchFamily="34" charset="0"/>
              <a:cs typeface="Open Sans" panose="020B0606030504020204" pitchFamily="34" charset="0"/>
            </a:rPr>
            <a:t>CBD</a:t>
          </a:r>
        </a:p>
        <a:p>
          <a:pPr algn="ctr"/>
          <a:r>
            <a:rPr lang="en-HK" sz="1100" b="1">
              <a:solidFill>
                <a:srgbClr val="25408F"/>
              </a:solidFill>
              <a:latin typeface="Open Sans" panose="020B0606030504020204" pitchFamily="34" charset="0"/>
              <a:ea typeface="Open Sans" panose="020B0606030504020204" pitchFamily="34" charset="0"/>
              <a:cs typeface="Open Sans" panose="020B0606030504020204" pitchFamily="34" charset="0"/>
            </a:rPr>
            <a:t>(Central</a:t>
          </a:r>
          <a:r>
            <a:rPr lang="en-HK" sz="1100" b="1" baseline="0">
              <a:solidFill>
                <a:srgbClr val="25408F"/>
              </a:solidFill>
              <a:latin typeface="Open Sans" panose="020B0606030504020204" pitchFamily="34" charset="0"/>
              <a:ea typeface="Open Sans" panose="020B0606030504020204" pitchFamily="34" charset="0"/>
              <a:cs typeface="Open Sans" panose="020B0606030504020204" pitchFamily="34" charset="0"/>
            </a:rPr>
            <a:t> Business District)</a:t>
          </a:r>
          <a:endParaRPr lang="en-HK" sz="1100" b="1">
            <a:solidFill>
              <a:srgbClr val="25408F"/>
            </a:solidFill>
            <a:latin typeface="Open Sans" panose="020B0606030504020204" pitchFamily="34" charset="0"/>
            <a:ea typeface="Open Sans" panose="020B0606030504020204" pitchFamily="34" charset="0"/>
            <a:cs typeface="Open Sans" panose="020B0606030504020204" pitchFamily="34" charset="0"/>
          </a:endParaRPr>
        </a:p>
      </xdr:txBody>
    </xdr:sp>
    <xdr:clientData/>
  </xdr:oneCellAnchor>
  <xdr:oneCellAnchor>
    <xdr:from>
      <xdr:col>5</xdr:col>
      <xdr:colOff>91008</xdr:colOff>
      <xdr:row>15</xdr:row>
      <xdr:rowOff>82002</xdr:rowOff>
    </xdr:from>
    <xdr:ext cx="2161376" cy="476541"/>
    <xdr:sp macro="" textlink="">
      <xdr:nvSpPr>
        <xdr:cNvPr id="4" name="TextBox 3">
          <a:extLst>
            <a:ext uri="{FF2B5EF4-FFF2-40B4-BE49-F238E27FC236}">
              <a16:creationId xmlns:a16="http://schemas.microsoft.com/office/drawing/2014/main" id="{DFB19D7D-0A32-4410-AC8C-83F52D6ECC8D}"/>
            </a:ext>
          </a:extLst>
        </xdr:cNvPr>
        <xdr:cNvSpPr txBox="1"/>
      </xdr:nvSpPr>
      <xdr:spPr>
        <a:xfrm>
          <a:off x="3116596" y="3398943"/>
          <a:ext cx="2161376" cy="476541"/>
        </a:xfrm>
        <a:prstGeom prst="rect">
          <a:avLst/>
        </a:prstGeom>
        <a:solidFill>
          <a:schemeClr val="bg1"/>
        </a:solidFill>
        <a:ln w="28575">
          <a:solidFill>
            <a:srgbClr val="25408F"/>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HK" sz="1100" b="1">
              <a:solidFill>
                <a:srgbClr val="25408F"/>
              </a:solidFill>
              <a:latin typeface="Open Sans" panose="020B0606030504020204" pitchFamily="34" charset="0"/>
              <a:ea typeface="Open Sans" panose="020B0606030504020204" pitchFamily="34" charset="0"/>
              <a:cs typeface="Open Sans" panose="020B0606030504020204" pitchFamily="34" charset="0"/>
            </a:rPr>
            <a:t>GBD</a:t>
          </a:r>
        </a:p>
        <a:p>
          <a:pPr algn="ctr"/>
          <a:r>
            <a:rPr lang="en-HK" sz="1100" b="1">
              <a:solidFill>
                <a:srgbClr val="25408F"/>
              </a:solidFill>
              <a:latin typeface="Open Sans" panose="020B0606030504020204" pitchFamily="34" charset="0"/>
              <a:ea typeface="Open Sans" panose="020B0606030504020204" pitchFamily="34" charset="0"/>
              <a:cs typeface="Open Sans" panose="020B0606030504020204" pitchFamily="34" charset="0"/>
            </a:rPr>
            <a:t>(</a:t>
          </a:r>
          <a:r>
            <a:rPr lang="en-US" sz="1100" b="1">
              <a:solidFill>
                <a:srgbClr val="25408F"/>
              </a:solidFill>
              <a:latin typeface="Open Sans" panose="020B0606030504020204" pitchFamily="34" charset="0"/>
              <a:ea typeface="Open Sans" panose="020B0606030504020204" pitchFamily="34" charset="0"/>
              <a:cs typeface="Open Sans" panose="020B0606030504020204" pitchFamily="34" charset="0"/>
            </a:rPr>
            <a:t>Gangnam</a:t>
          </a:r>
          <a:r>
            <a:rPr lang="en-US" sz="1100" b="1" baseline="0">
              <a:solidFill>
                <a:srgbClr val="25408F"/>
              </a:solidFill>
              <a:latin typeface="Open Sans" panose="020B0606030504020204" pitchFamily="34" charset="0"/>
              <a:ea typeface="Open Sans" panose="020B0606030504020204" pitchFamily="34" charset="0"/>
              <a:cs typeface="Open Sans" panose="020B0606030504020204" pitchFamily="34" charset="0"/>
            </a:rPr>
            <a:t> Business District)</a:t>
          </a:r>
          <a:endParaRPr lang="en-HK" sz="1100" b="1">
            <a:solidFill>
              <a:srgbClr val="25408F"/>
            </a:solidFill>
            <a:latin typeface="Open Sans" panose="020B0606030504020204" pitchFamily="34" charset="0"/>
            <a:ea typeface="Open Sans" panose="020B0606030504020204" pitchFamily="34" charset="0"/>
            <a:cs typeface="Open Sans" panose="020B0606030504020204" pitchFamily="34" charset="0"/>
          </a:endParaRPr>
        </a:p>
      </xdr:txBody>
    </xdr:sp>
    <xdr:clientData/>
  </xdr:oneCellAnchor>
  <xdr:oneCellAnchor>
    <xdr:from>
      <xdr:col>1</xdr:col>
      <xdr:colOff>379186</xdr:colOff>
      <xdr:row>14</xdr:row>
      <xdr:rowOff>184402</xdr:rowOff>
    </xdr:from>
    <xdr:ext cx="2007961" cy="476541"/>
    <xdr:sp macro="" textlink="">
      <xdr:nvSpPr>
        <xdr:cNvPr id="5" name="TextBox 4">
          <a:extLst>
            <a:ext uri="{FF2B5EF4-FFF2-40B4-BE49-F238E27FC236}">
              <a16:creationId xmlns:a16="http://schemas.microsoft.com/office/drawing/2014/main" id="{C0C25E27-9897-47B7-8D3F-AD61ED5F4F9C}"/>
            </a:ext>
          </a:extLst>
        </xdr:cNvPr>
        <xdr:cNvSpPr txBox="1"/>
      </xdr:nvSpPr>
      <xdr:spPr>
        <a:xfrm>
          <a:off x="984304" y="3288431"/>
          <a:ext cx="2007961" cy="476541"/>
        </a:xfrm>
        <a:prstGeom prst="rect">
          <a:avLst/>
        </a:prstGeom>
        <a:solidFill>
          <a:schemeClr val="bg1"/>
        </a:solidFill>
        <a:ln w="28575">
          <a:solidFill>
            <a:srgbClr val="25408F"/>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HK" sz="1100" b="1">
              <a:solidFill>
                <a:srgbClr val="25408F"/>
              </a:solidFill>
              <a:latin typeface="Open Sans" panose="020B0606030504020204" pitchFamily="34" charset="0"/>
              <a:ea typeface="Open Sans" panose="020B0606030504020204" pitchFamily="34" charset="0"/>
              <a:cs typeface="Open Sans" panose="020B0606030504020204" pitchFamily="34" charset="0"/>
            </a:rPr>
            <a:t>YBD</a:t>
          </a:r>
        </a:p>
        <a:p>
          <a:pPr algn="ctr"/>
          <a:r>
            <a:rPr lang="en-HK" sz="1100" b="1">
              <a:solidFill>
                <a:srgbClr val="25408F"/>
              </a:solidFill>
              <a:latin typeface="Open Sans" panose="020B0606030504020204" pitchFamily="34" charset="0"/>
              <a:ea typeface="Open Sans" panose="020B0606030504020204" pitchFamily="34" charset="0"/>
              <a:cs typeface="Open Sans" panose="020B0606030504020204" pitchFamily="34" charset="0"/>
            </a:rPr>
            <a:t>(Yeiodo</a:t>
          </a:r>
          <a:r>
            <a:rPr lang="en-HK" sz="1100" b="1" baseline="0">
              <a:solidFill>
                <a:srgbClr val="25408F"/>
              </a:solidFill>
              <a:latin typeface="Open Sans" panose="020B0606030504020204" pitchFamily="34" charset="0"/>
              <a:ea typeface="Open Sans" panose="020B0606030504020204" pitchFamily="34" charset="0"/>
              <a:cs typeface="Open Sans" panose="020B0606030504020204" pitchFamily="34" charset="0"/>
            </a:rPr>
            <a:t> Business District)</a:t>
          </a:r>
          <a:endParaRPr lang="en-HK" sz="1100" b="1">
            <a:solidFill>
              <a:srgbClr val="25408F"/>
            </a:solidFill>
            <a:latin typeface="Open Sans" panose="020B0606030504020204" pitchFamily="34" charset="0"/>
            <a:ea typeface="Open Sans" panose="020B0606030504020204" pitchFamily="34" charset="0"/>
            <a:cs typeface="Open Sans" panose="020B0606030504020204" pitchFamily="34" charset="0"/>
          </a:endParaRPr>
        </a:p>
      </xdr:txBody>
    </xdr:sp>
    <xdr:clientData/>
  </xdr:oneCellAnchor>
  <xdr:oneCellAnchor>
    <xdr:from>
      <xdr:col>7</xdr:col>
      <xdr:colOff>640992</xdr:colOff>
      <xdr:row>23</xdr:row>
      <xdr:rowOff>68623</xdr:rowOff>
    </xdr:from>
    <xdr:ext cx="2315029" cy="476541"/>
    <xdr:sp macro="" textlink="">
      <xdr:nvSpPr>
        <xdr:cNvPr id="11" name="TextBox 10">
          <a:extLst>
            <a:ext uri="{FF2B5EF4-FFF2-40B4-BE49-F238E27FC236}">
              <a16:creationId xmlns:a16="http://schemas.microsoft.com/office/drawing/2014/main" id="{4A9597DF-45E9-4816-85CF-B3231C84ED62}"/>
            </a:ext>
          </a:extLst>
        </xdr:cNvPr>
        <xdr:cNvSpPr txBox="1"/>
      </xdr:nvSpPr>
      <xdr:spPr>
        <a:xfrm>
          <a:off x="5231730" y="4862353"/>
          <a:ext cx="2315029" cy="476541"/>
        </a:xfrm>
        <a:prstGeom prst="rect">
          <a:avLst/>
        </a:prstGeom>
        <a:solidFill>
          <a:schemeClr val="bg1"/>
        </a:solidFill>
        <a:ln w="28575">
          <a:solidFill>
            <a:srgbClr val="25408F"/>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HK" sz="1100" b="1">
              <a:solidFill>
                <a:srgbClr val="25408F"/>
              </a:solidFill>
              <a:latin typeface="Open Sans" panose="020B0606030504020204" pitchFamily="34" charset="0"/>
              <a:ea typeface="Open Sans" panose="020B0606030504020204" pitchFamily="34" charset="0"/>
              <a:cs typeface="Open Sans" panose="020B0606030504020204" pitchFamily="34" charset="0"/>
            </a:rPr>
            <a:t>BBD</a:t>
          </a:r>
        </a:p>
        <a:p>
          <a:pPr algn="ctr"/>
          <a:r>
            <a:rPr lang="en-HK" sz="1100" b="1" baseline="0">
              <a:solidFill>
                <a:srgbClr val="25408F"/>
              </a:solidFill>
              <a:latin typeface="Open Sans" panose="020B0606030504020204" pitchFamily="34" charset="0"/>
              <a:ea typeface="Open Sans" panose="020B0606030504020204" pitchFamily="34" charset="0"/>
              <a:cs typeface="Open Sans" panose="020B0606030504020204" pitchFamily="34" charset="0"/>
            </a:rPr>
            <a:t>(Bundang</a:t>
          </a:r>
          <a:r>
            <a:rPr lang="en-US" sz="1100" b="1" baseline="0">
              <a:solidFill>
                <a:srgbClr val="25408F"/>
              </a:solidFill>
              <a:latin typeface="Open Sans" panose="020B0606030504020204" pitchFamily="34" charset="0"/>
              <a:ea typeface="Open Sans" panose="020B0606030504020204" pitchFamily="34" charset="0"/>
              <a:cs typeface="Open Sans" panose="020B0606030504020204" pitchFamily="34" charset="0"/>
            </a:rPr>
            <a:t> Business District)</a:t>
          </a:r>
          <a:endParaRPr lang="en-HK" sz="1100" b="1">
            <a:solidFill>
              <a:srgbClr val="25408F"/>
            </a:solidFill>
            <a:latin typeface="Open Sans" panose="020B0606030504020204" pitchFamily="34" charset="0"/>
            <a:ea typeface="Open Sans" panose="020B0606030504020204" pitchFamily="34" charset="0"/>
            <a:cs typeface="Open Sans" panose="020B0606030504020204" pitchFamily="34" charset="0"/>
          </a:endParaRPr>
        </a:p>
      </xdr:txBody>
    </xdr:sp>
    <xdr:clientData/>
  </xdr:oneCellAnchor>
  <xdr:oneCellAnchor>
    <xdr:from>
      <xdr:col>0</xdr:col>
      <xdr:colOff>314191</xdr:colOff>
      <xdr:row>11</xdr:row>
      <xdr:rowOff>175439</xdr:rowOff>
    </xdr:from>
    <xdr:ext cx="2106279" cy="284437"/>
    <xdr:sp macro="" textlink="">
      <xdr:nvSpPr>
        <xdr:cNvPr id="12" name="TextBox 11">
          <a:extLst>
            <a:ext uri="{FF2B5EF4-FFF2-40B4-BE49-F238E27FC236}">
              <a16:creationId xmlns:a16="http://schemas.microsoft.com/office/drawing/2014/main" id="{87C8F8A7-EC05-4B9C-A8A7-2C7416F32F5D}"/>
            </a:ext>
          </a:extLst>
        </xdr:cNvPr>
        <xdr:cNvSpPr txBox="1"/>
      </xdr:nvSpPr>
      <xdr:spPr>
        <a:xfrm>
          <a:off x="314191" y="2640733"/>
          <a:ext cx="2106279" cy="284437"/>
        </a:xfrm>
        <a:prstGeom prst="rect">
          <a:avLst/>
        </a:prstGeom>
        <a:solidFill>
          <a:schemeClr val="bg1"/>
        </a:solidFill>
        <a:ln w="28575">
          <a:solidFill>
            <a:srgbClr val="25408F"/>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HK" sz="1100" b="1">
              <a:solidFill>
                <a:srgbClr val="25408F"/>
              </a:solidFill>
              <a:latin typeface="Open Sans" panose="020B0606030504020204" pitchFamily="34" charset="0"/>
              <a:ea typeface="Open Sans" panose="020B0606030504020204" pitchFamily="34" charset="0"/>
              <a:cs typeface="Open Sans" panose="020B0606030504020204" pitchFamily="34" charset="0"/>
            </a:rPr>
            <a:t>Magok &amp; Others</a:t>
          </a:r>
        </a:p>
      </xdr:txBody>
    </xdr:sp>
    <xdr:clientData/>
  </xdr:oneCellAnchor>
  <xdr:twoCellAnchor editAs="oneCell">
    <xdr:from>
      <xdr:col>13</xdr:col>
      <xdr:colOff>221810</xdr:colOff>
      <xdr:row>0</xdr:row>
      <xdr:rowOff>58497</xdr:rowOff>
    </xdr:from>
    <xdr:to>
      <xdr:col>22</xdr:col>
      <xdr:colOff>304180</xdr:colOff>
      <xdr:row>28</xdr:row>
      <xdr:rowOff>0</xdr:rowOff>
    </xdr:to>
    <xdr:pic>
      <xdr:nvPicPr>
        <xdr:cNvPr id="14" name="Picture 13">
          <a:extLst>
            <a:ext uri="{FF2B5EF4-FFF2-40B4-BE49-F238E27FC236}">
              <a16:creationId xmlns:a16="http://schemas.microsoft.com/office/drawing/2014/main" id="{DBA9481B-8E53-E357-835B-E1532499B2C4}"/>
            </a:ext>
          </a:extLst>
        </xdr:cNvPr>
        <xdr:cNvPicPr>
          <a:picLocks noChangeAspect="1"/>
        </xdr:cNvPicPr>
      </xdr:nvPicPr>
      <xdr:blipFill>
        <a:blip xmlns:r="http://schemas.openxmlformats.org/officeDocument/2006/relationships" r:embed="rId2"/>
        <a:stretch>
          <a:fillRect/>
        </a:stretch>
      </xdr:blipFill>
      <xdr:spPr>
        <a:xfrm>
          <a:off x="8747466" y="58497"/>
          <a:ext cx="5984747" cy="5750192"/>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674370</xdr:colOff>
      <xdr:row>21</xdr:row>
      <xdr:rowOff>134541</xdr:rowOff>
    </xdr:from>
    <xdr:to>
      <xdr:col>15</xdr:col>
      <xdr:colOff>781050</xdr:colOff>
      <xdr:row>41</xdr:row>
      <xdr:rowOff>123990</xdr:rowOff>
    </xdr:to>
    <xdr:graphicFrame macro="">
      <xdr:nvGraphicFramePr>
        <xdr:cNvPr id="2" name="Chart 1">
          <a:extLst>
            <a:ext uri="{FF2B5EF4-FFF2-40B4-BE49-F238E27FC236}">
              <a16:creationId xmlns:a16="http://schemas.microsoft.com/office/drawing/2014/main" id="{673C7165-96DF-4AF6-A37C-B32DC51C33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398692</xdr:colOff>
      <xdr:row>0</xdr:row>
      <xdr:rowOff>206284</xdr:rowOff>
    </xdr:from>
    <xdr:to>
      <xdr:col>19</xdr:col>
      <xdr:colOff>286025</xdr:colOff>
      <xdr:row>23</xdr:row>
      <xdr:rowOff>122464</xdr:rowOff>
    </xdr:to>
    <xdr:graphicFrame macro="">
      <xdr:nvGraphicFramePr>
        <xdr:cNvPr id="2" name="Chart 6">
          <a:extLst>
            <a:ext uri="{FF2B5EF4-FFF2-40B4-BE49-F238E27FC236}">
              <a16:creationId xmlns:a16="http://schemas.microsoft.com/office/drawing/2014/main" id="{4C142C77-90EA-4E84-B130-3FA1C9099E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24</xdr:col>
      <xdr:colOff>238125</xdr:colOff>
      <xdr:row>4</xdr:row>
      <xdr:rowOff>531821</xdr:rowOff>
    </xdr:from>
    <xdr:to>
      <xdr:col>51</xdr:col>
      <xdr:colOff>476596</xdr:colOff>
      <xdr:row>52</xdr:row>
      <xdr:rowOff>31431</xdr:rowOff>
    </xdr:to>
    <xdr:graphicFrame macro="">
      <xdr:nvGraphicFramePr>
        <xdr:cNvPr id="2" name="Chart 1">
          <a:extLst>
            <a:ext uri="{FF2B5EF4-FFF2-40B4-BE49-F238E27FC236}">
              <a16:creationId xmlns:a16="http://schemas.microsoft.com/office/drawing/2014/main" id="{63EDE789-3CE8-42CC-A7FB-7F41040113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14</xdr:col>
      <xdr:colOff>149679</xdr:colOff>
      <xdr:row>1</xdr:row>
      <xdr:rowOff>173083</xdr:rowOff>
    </xdr:from>
    <xdr:to>
      <xdr:col>32</xdr:col>
      <xdr:colOff>560070</xdr:colOff>
      <xdr:row>35</xdr:row>
      <xdr:rowOff>68037</xdr:rowOff>
    </xdr:to>
    <xdr:graphicFrame macro="">
      <xdr:nvGraphicFramePr>
        <xdr:cNvPr id="2" name="Chart 6">
          <a:extLst>
            <a:ext uri="{FF2B5EF4-FFF2-40B4-BE49-F238E27FC236}">
              <a16:creationId xmlns:a16="http://schemas.microsoft.com/office/drawing/2014/main" id="{FB032B5B-986A-4E48-B2A5-53E7184FCAA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12</xdr:col>
      <xdr:colOff>122556</xdr:colOff>
      <xdr:row>1</xdr:row>
      <xdr:rowOff>31600</xdr:rowOff>
    </xdr:from>
    <xdr:to>
      <xdr:col>25</xdr:col>
      <xdr:colOff>611506</xdr:colOff>
      <xdr:row>29</xdr:row>
      <xdr:rowOff>221616</xdr:rowOff>
    </xdr:to>
    <xdr:graphicFrame macro="">
      <xdr:nvGraphicFramePr>
        <xdr:cNvPr id="3" name="Chart 3">
          <a:extLst>
            <a:ext uri="{FF2B5EF4-FFF2-40B4-BE49-F238E27FC236}">
              <a16:creationId xmlns:a16="http://schemas.microsoft.com/office/drawing/2014/main" id="{4DCAB041-ED46-4A7C-9F6A-8ECD692E5A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6</xdr:col>
      <xdr:colOff>600084</xdr:colOff>
      <xdr:row>0</xdr:row>
      <xdr:rowOff>126374</xdr:rowOff>
    </xdr:from>
    <xdr:to>
      <xdr:col>15</xdr:col>
      <xdr:colOff>578643</xdr:colOff>
      <xdr:row>24</xdr:row>
      <xdr:rowOff>200023</xdr:rowOff>
    </xdr:to>
    <xdr:graphicFrame macro="">
      <xdr:nvGraphicFramePr>
        <xdr:cNvPr id="2" name="Chart 1">
          <a:extLst>
            <a:ext uri="{FF2B5EF4-FFF2-40B4-BE49-F238E27FC236}">
              <a16:creationId xmlns:a16="http://schemas.microsoft.com/office/drawing/2014/main" id="{FE07A074-178B-42A2-8AED-07CB543322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14</xdr:col>
      <xdr:colOff>349307</xdr:colOff>
      <xdr:row>17</xdr:row>
      <xdr:rowOff>106953</xdr:rowOff>
    </xdr:from>
    <xdr:to>
      <xdr:col>19</xdr:col>
      <xdr:colOff>845546</xdr:colOff>
      <xdr:row>34</xdr:row>
      <xdr:rowOff>489858</xdr:rowOff>
    </xdr:to>
    <xdr:graphicFrame macro="">
      <xdr:nvGraphicFramePr>
        <xdr:cNvPr id="2" name="Chart 1">
          <a:extLst>
            <a:ext uri="{FF2B5EF4-FFF2-40B4-BE49-F238E27FC236}">
              <a16:creationId xmlns:a16="http://schemas.microsoft.com/office/drawing/2014/main" id="{4F85F6C8-E537-465B-B78B-7F78A30F98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5</xdr:col>
      <xdr:colOff>418012</xdr:colOff>
      <xdr:row>28</xdr:row>
      <xdr:rowOff>150673</xdr:rowOff>
    </xdr:from>
    <xdr:to>
      <xdr:col>21</xdr:col>
      <xdr:colOff>35106</xdr:colOff>
      <xdr:row>51</xdr:row>
      <xdr:rowOff>184786</xdr:rowOff>
    </xdr:to>
    <xdr:graphicFrame macro="">
      <xdr:nvGraphicFramePr>
        <xdr:cNvPr id="2" name="Chart 1">
          <a:extLst>
            <a:ext uri="{FF2B5EF4-FFF2-40B4-BE49-F238E27FC236}">
              <a16:creationId xmlns:a16="http://schemas.microsoft.com/office/drawing/2014/main" id="{232E1629-8BEA-4AEF-BA5C-19ABBEC6AA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20</xdr:col>
      <xdr:colOff>676171</xdr:colOff>
      <xdr:row>4</xdr:row>
      <xdr:rowOff>208303</xdr:rowOff>
    </xdr:from>
    <xdr:to>
      <xdr:col>34</xdr:col>
      <xdr:colOff>198344</xdr:colOff>
      <xdr:row>22</xdr:row>
      <xdr:rowOff>43142</xdr:rowOff>
    </xdr:to>
    <xdr:graphicFrame macro="">
      <xdr:nvGraphicFramePr>
        <xdr:cNvPr id="2" name="Chart 1">
          <a:extLst>
            <a:ext uri="{FF2B5EF4-FFF2-40B4-BE49-F238E27FC236}">
              <a16:creationId xmlns:a16="http://schemas.microsoft.com/office/drawing/2014/main" id="{4E106ED6-6771-4E3C-9F08-FE372E3202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3.xml><?xml version="1.0" encoding="utf-8"?>
<c:userShapes xmlns:c="http://schemas.openxmlformats.org/drawingml/2006/chart">
  <cdr:relSizeAnchor xmlns:cdr="http://schemas.openxmlformats.org/drawingml/2006/chartDrawing">
    <cdr:from>
      <cdr:x>0.16973</cdr:x>
      <cdr:y>0.04876</cdr:y>
    </cdr:from>
    <cdr:to>
      <cdr:x>0.47178</cdr:x>
      <cdr:y>0.28901</cdr:y>
    </cdr:to>
    <cdr:grpSp>
      <cdr:nvGrpSpPr>
        <cdr:cNvPr id="8" name="그룹 7">
          <a:extLst xmlns:a="http://schemas.openxmlformats.org/drawingml/2006/main">
            <a:ext uri="{FF2B5EF4-FFF2-40B4-BE49-F238E27FC236}">
              <a16:creationId xmlns:a16="http://schemas.microsoft.com/office/drawing/2014/main" id="{D80DAD12-6EE9-FEAB-C42C-F9969D8828ED}"/>
            </a:ext>
          </a:extLst>
        </cdr:cNvPr>
        <cdr:cNvGrpSpPr/>
      </cdr:nvGrpSpPr>
      <cdr:grpSpPr>
        <a:xfrm xmlns:a="http://schemas.openxmlformats.org/drawingml/2006/main">
          <a:off x="1482688" y="207070"/>
          <a:ext cx="2638579" cy="1020277"/>
          <a:chOff x="2222891" y="189492"/>
          <a:chExt cx="3076872" cy="898035"/>
        </a:xfrm>
        <a:noFill xmlns:a="http://schemas.openxmlformats.org/drawingml/2006/main"/>
      </cdr:grpSpPr>
      <cdr:sp macro="" textlink="">
        <cdr:nvSpPr>
          <cdr:cNvPr id="2" name="TextBox 1">
            <a:extLst xmlns:a="http://schemas.openxmlformats.org/drawingml/2006/main">
              <a:ext uri="{FF2B5EF4-FFF2-40B4-BE49-F238E27FC236}">
                <a16:creationId xmlns:a16="http://schemas.microsoft.com/office/drawing/2014/main" id="{DC75932E-931F-02B7-FCC7-035D4FC4F186}"/>
              </a:ext>
            </a:extLst>
          </cdr:cNvPr>
          <cdr:cNvSpPr txBox="1"/>
        </cdr:nvSpPr>
        <cdr:spPr>
          <a:xfrm xmlns:a="http://schemas.openxmlformats.org/drawingml/2006/main">
            <a:off x="2587243" y="189492"/>
            <a:ext cx="2712520" cy="898035"/>
          </a:xfrm>
          <a:prstGeom xmlns:a="http://schemas.openxmlformats.org/drawingml/2006/main" prst="rect">
            <a:avLst/>
          </a:prstGeom>
          <a:grp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en-US" sz="1100"/>
              <a:t>CBD: KRW133,445/py</a:t>
            </a:r>
          </a:p>
          <a:p xmlns:a="http://schemas.openxmlformats.org/drawingml/2006/main">
            <a:r>
              <a:rPr lang="en-US" sz="1100"/>
              <a:t>GBD: </a:t>
            </a:r>
            <a:r>
              <a:rPr lang="en-US" sz="1100">
                <a:solidFill>
                  <a:schemeClr val="dk1"/>
                </a:solidFill>
                <a:effectLst/>
                <a:latin typeface="+mn-lt"/>
                <a:ea typeface="+mn-ea"/>
                <a:cs typeface="+mn-cs"/>
              </a:rPr>
              <a:t>KRW136,979/py</a:t>
            </a:r>
            <a:endParaRPr lang="en-US" sz="1100"/>
          </a:p>
          <a:p xmlns:a="http://schemas.openxmlformats.org/drawingml/2006/main">
            <a:r>
              <a:rPr lang="en-US" sz="1100"/>
              <a:t>YBD: </a:t>
            </a:r>
            <a:r>
              <a:rPr lang="en-US" sz="1100">
                <a:solidFill>
                  <a:schemeClr val="dk1"/>
                </a:solidFill>
                <a:effectLst/>
                <a:latin typeface="+mn-lt"/>
                <a:ea typeface="+mn-ea"/>
                <a:cs typeface="+mn-cs"/>
              </a:rPr>
              <a:t>KRW110,549/py</a:t>
            </a:r>
            <a:endParaRPr lang="en-US" sz="1100"/>
          </a:p>
          <a:p xmlns:a="http://schemas.openxmlformats.org/drawingml/2006/main">
            <a:r>
              <a:rPr lang="en-US" sz="1100"/>
              <a:t>Seoul Overall Vacancy: KRW129,273/py</a:t>
            </a:r>
          </a:p>
        </cdr:txBody>
      </cdr:sp>
      <cdr:grpSp>
        <cdr:nvGrpSpPr>
          <cdr:cNvPr id="7" name="그룹 6">
            <a:extLst xmlns:a="http://schemas.openxmlformats.org/drawingml/2006/main">
              <a:ext uri="{FF2B5EF4-FFF2-40B4-BE49-F238E27FC236}">
                <a16:creationId xmlns:a16="http://schemas.microsoft.com/office/drawing/2014/main" id="{E7389FFB-D1FB-22D2-ACC7-1E2BE0FC85F7}"/>
              </a:ext>
            </a:extLst>
          </cdr:cNvPr>
          <cdr:cNvGrpSpPr/>
        </cdr:nvGrpSpPr>
        <cdr:grpSpPr>
          <a:xfrm xmlns:a="http://schemas.openxmlformats.org/drawingml/2006/main">
            <a:off x="2222891" y="285298"/>
            <a:ext cx="370883" cy="469115"/>
            <a:chOff x="2222891" y="285299"/>
            <a:chExt cx="370882" cy="469115"/>
          </a:xfrm>
          <a:grpFill xmlns:a="http://schemas.openxmlformats.org/drawingml/2006/main"/>
        </cdr:grpSpPr>
        <cdr:cxnSp macro="">
          <cdr:nvCxnSpPr>
            <cdr:cNvPr id="3" name="직선 연결선 2">
              <a:extLst xmlns:a="http://schemas.openxmlformats.org/drawingml/2006/main">
                <a:ext uri="{FF2B5EF4-FFF2-40B4-BE49-F238E27FC236}">
                  <a16:creationId xmlns:a16="http://schemas.microsoft.com/office/drawing/2014/main" id="{0D494867-0D89-73DE-E70A-F42F2F5233AB}"/>
                </a:ext>
              </a:extLst>
            </cdr:cNvPr>
            <cdr:cNvCxnSpPr/>
          </cdr:nvCxnSpPr>
          <cdr:spPr>
            <a:xfrm xmlns:a="http://schemas.openxmlformats.org/drawingml/2006/main">
              <a:off x="2222891" y="602139"/>
              <a:ext cx="350473" cy="1541"/>
            </a:xfrm>
            <a:prstGeom xmlns:a="http://schemas.openxmlformats.org/drawingml/2006/main" prst="line">
              <a:avLst/>
            </a:prstGeom>
            <a:grpFill xmlns:a="http://schemas.openxmlformats.org/drawingml/2006/main"/>
            <a:ln xmlns:a="http://schemas.openxmlformats.org/drawingml/2006/main" w="19050">
              <a:solidFill>
                <a:srgbClr val="B7E4F4"/>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cxnSp macro="">
          <cdr:nvCxnSpPr>
            <cdr:cNvPr id="4" name="직선 연결선 3">
              <a:extLst xmlns:a="http://schemas.openxmlformats.org/drawingml/2006/main">
                <a:ext uri="{FF2B5EF4-FFF2-40B4-BE49-F238E27FC236}">
                  <a16:creationId xmlns:a16="http://schemas.microsoft.com/office/drawing/2014/main" id="{5840730F-8E35-93F5-338B-11D08CCB0FA6}"/>
                </a:ext>
              </a:extLst>
            </cdr:cNvPr>
            <cdr:cNvCxnSpPr/>
          </cdr:nvCxnSpPr>
          <cdr:spPr>
            <a:xfrm xmlns:a="http://schemas.openxmlformats.org/drawingml/2006/main">
              <a:off x="2233854" y="285299"/>
              <a:ext cx="349124" cy="916"/>
            </a:xfrm>
            <a:prstGeom xmlns:a="http://schemas.openxmlformats.org/drawingml/2006/main" prst="line">
              <a:avLst/>
            </a:prstGeom>
            <a:grpFill xmlns:a="http://schemas.openxmlformats.org/drawingml/2006/main"/>
            <a:ln xmlns:a="http://schemas.openxmlformats.org/drawingml/2006/main" w="19050">
              <a:solidFill>
                <a:srgbClr val="25408F"/>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cxnSp macro="">
          <cdr:nvCxnSpPr>
            <cdr:cNvPr id="5" name="직선 연결선 4">
              <a:extLst xmlns:a="http://schemas.openxmlformats.org/drawingml/2006/main">
                <a:ext uri="{FF2B5EF4-FFF2-40B4-BE49-F238E27FC236}">
                  <a16:creationId xmlns:a16="http://schemas.microsoft.com/office/drawing/2014/main" id="{6E459F59-6EC1-3DB8-8598-9F6D1743A0E3}"/>
                </a:ext>
              </a:extLst>
            </cdr:cNvPr>
            <cdr:cNvCxnSpPr/>
          </cdr:nvCxnSpPr>
          <cdr:spPr>
            <a:xfrm xmlns:a="http://schemas.openxmlformats.org/drawingml/2006/main">
              <a:off x="2230665" y="754414"/>
              <a:ext cx="363108" cy="0"/>
            </a:xfrm>
            <a:prstGeom xmlns:a="http://schemas.openxmlformats.org/drawingml/2006/main" prst="line">
              <a:avLst/>
            </a:prstGeom>
            <a:grpFill xmlns:a="http://schemas.openxmlformats.org/drawingml/2006/main"/>
            <a:ln xmlns:a="http://schemas.openxmlformats.org/drawingml/2006/main" w="19050">
              <a:solidFill>
                <a:schemeClr val="bg1">
                  <a:lumMod val="50000"/>
                </a:schemeClr>
              </a:solidFill>
              <a:prstDash val="sysDash"/>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cxnSp macro="">
          <cdr:nvCxnSpPr>
            <cdr:cNvPr id="6" name="직선 연결선 5">
              <a:extLst xmlns:a="http://schemas.openxmlformats.org/drawingml/2006/main">
                <a:ext uri="{FF2B5EF4-FFF2-40B4-BE49-F238E27FC236}">
                  <a16:creationId xmlns:a16="http://schemas.microsoft.com/office/drawing/2014/main" id="{91C36006-B12F-72AD-2730-316945764F1F}"/>
                </a:ext>
              </a:extLst>
            </cdr:cNvPr>
            <cdr:cNvCxnSpPr/>
          </cdr:nvCxnSpPr>
          <cdr:spPr>
            <a:xfrm xmlns:a="http://schemas.openxmlformats.org/drawingml/2006/main">
              <a:off x="2232995" y="463466"/>
              <a:ext cx="349002" cy="0"/>
            </a:xfrm>
            <a:prstGeom xmlns:a="http://schemas.openxmlformats.org/drawingml/2006/main" prst="line">
              <a:avLst/>
            </a:prstGeom>
            <a:grpFill xmlns:a="http://schemas.openxmlformats.org/drawingml/2006/main"/>
            <a:ln xmlns:a="http://schemas.openxmlformats.org/drawingml/2006/main" w="19050">
              <a:solidFill>
                <a:srgbClr val="0C9ED9"/>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grpSp>
    </cdr:grpSp>
  </cdr:relSizeAnchor>
</c:userShapes>
</file>

<file path=xl/drawings/drawing14.xml><?xml version="1.0" encoding="utf-8"?>
<xdr:wsDr xmlns:xdr="http://schemas.openxmlformats.org/drawingml/2006/spreadsheetDrawing" xmlns:a="http://schemas.openxmlformats.org/drawingml/2006/main">
  <xdr:twoCellAnchor>
    <xdr:from>
      <xdr:col>29</xdr:col>
      <xdr:colOff>725987</xdr:colOff>
      <xdr:row>0</xdr:row>
      <xdr:rowOff>211622</xdr:rowOff>
    </xdr:from>
    <xdr:to>
      <xdr:col>39</xdr:col>
      <xdr:colOff>326572</xdr:colOff>
      <xdr:row>35</xdr:row>
      <xdr:rowOff>35379</xdr:rowOff>
    </xdr:to>
    <xdr:grpSp>
      <xdr:nvGrpSpPr>
        <xdr:cNvPr id="4" name="그룹 3">
          <a:extLst>
            <a:ext uri="{FF2B5EF4-FFF2-40B4-BE49-F238E27FC236}">
              <a16:creationId xmlns:a16="http://schemas.microsoft.com/office/drawing/2014/main" id="{187CD568-36C6-B1AA-7BBB-2D81C852E859}"/>
            </a:ext>
          </a:extLst>
        </xdr:cNvPr>
        <xdr:cNvGrpSpPr/>
      </xdr:nvGrpSpPr>
      <xdr:grpSpPr>
        <a:xfrm>
          <a:off x="25917344" y="211622"/>
          <a:ext cx="7519942" cy="4032900"/>
          <a:chOff x="20159980" y="162364"/>
          <a:chExt cx="8513934" cy="3605938"/>
        </a:xfrm>
      </xdr:grpSpPr>
      <xdr:graphicFrame macro="">
        <xdr:nvGraphicFramePr>
          <xdr:cNvPr id="3" name="Chart 2">
            <a:extLst>
              <a:ext uri="{FF2B5EF4-FFF2-40B4-BE49-F238E27FC236}">
                <a16:creationId xmlns:a16="http://schemas.microsoft.com/office/drawing/2014/main" id="{105D625B-D183-42B6-845F-E597DF920C06}"/>
              </a:ext>
            </a:extLst>
          </xdr:cNvPr>
          <xdr:cNvGraphicFramePr/>
        </xdr:nvGraphicFramePr>
        <xdr:xfrm>
          <a:off x="20159980" y="212159"/>
          <a:ext cx="8420735" cy="3556143"/>
        </xdr:xfrm>
        <a:graphic>
          <a:graphicData uri="http://schemas.openxmlformats.org/drawingml/2006/chart">
            <c:chart xmlns:c="http://schemas.openxmlformats.org/drawingml/2006/chart" xmlns:r="http://schemas.openxmlformats.org/officeDocument/2006/relationships" r:id="rId1"/>
          </a:graphicData>
        </a:graphic>
      </xdr:graphicFrame>
      <xdr:grpSp>
        <xdr:nvGrpSpPr>
          <xdr:cNvPr id="18" name="그룹 17">
            <a:extLst>
              <a:ext uri="{FF2B5EF4-FFF2-40B4-BE49-F238E27FC236}">
                <a16:creationId xmlns:a16="http://schemas.microsoft.com/office/drawing/2014/main" id="{A18DA395-C421-A958-8245-ECD7B3C279F9}"/>
              </a:ext>
            </a:extLst>
          </xdr:cNvPr>
          <xdr:cNvGrpSpPr/>
        </xdr:nvGrpSpPr>
        <xdr:grpSpPr>
          <a:xfrm>
            <a:off x="26226285" y="162364"/>
            <a:ext cx="2447629" cy="878644"/>
            <a:chOff x="26148180" y="162364"/>
            <a:chExt cx="2436199" cy="878644"/>
          </a:xfrm>
        </xdr:grpSpPr>
        <xdr:sp macro="" textlink="">
          <xdr:nvSpPr>
            <xdr:cNvPr id="2" name="TextBox 1">
              <a:extLst>
                <a:ext uri="{FF2B5EF4-FFF2-40B4-BE49-F238E27FC236}">
                  <a16:creationId xmlns:a16="http://schemas.microsoft.com/office/drawing/2014/main" id="{DC75932E-931F-02B7-FCC7-035D4FC4F186}"/>
                </a:ext>
              </a:extLst>
            </xdr:cNvPr>
            <xdr:cNvSpPr txBox="1"/>
          </xdr:nvSpPr>
          <xdr:spPr>
            <a:xfrm>
              <a:off x="26410773" y="162364"/>
              <a:ext cx="2173606" cy="8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CBD: 4.8%</a:t>
              </a:r>
            </a:p>
            <a:p>
              <a:r>
                <a:rPr lang="en-US" sz="1100"/>
                <a:t>GBD: 1.8%</a:t>
              </a:r>
            </a:p>
            <a:p>
              <a:r>
                <a:rPr lang="en-US" sz="1100"/>
                <a:t>YBD: 2.7%</a:t>
              </a:r>
            </a:p>
            <a:p>
              <a:r>
                <a:rPr lang="en-US" sz="1100"/>
                <a:t>Seoul Overall Vacancy: 3.3%</a:t>
              </a:r>
            </a:p>
          </xdr:txBody>
        </xdr:sp>
        <xdr:grpSp>
          <xdr:nvGrpSpPr>
            <xdr:cNvPr id="11" name="그룹 10">
              <a:extLst>
                <a:ext uri="{FF2B5EF4-FFF2-40B4-BE49-F238E27FC236}">
                  <a16:creationId xmlns:a16="http://schemas.microsoft.com/office/drawing/2014/main" id="{DB53E295-52E0-562F-65E4-4902D9FA5C10}"/>
                </a:ext>
              </a:extLst>
            </xdr:cNvPr>
            <xdr:cNvGrpSpPr/>
          </xdr:nvGrpSpPr>
          <xdr:grpSpPr>
            <a:xfrm>
              <a:off x="26144370" y="284919"/>
              <a:ext cx="291016" cy="518596"/>
              <a:chOff x="26144370" y="292539"/>
              <a:chExt cx="296731" cy="510976"/>
            </a:xfrm>
          </xdr:grpSpPr>
          <xdr:cxnSp macro="">
            <xdr:nvCxnSpPr>
              <xdr:cNvPr id="5" name="직선 연결선 4">
                <a:extLst>
                  <a:ext uri="{FF2B5EF4-FFF2-40B4-BE49-F238E27FC236}">
                    <a16:creationId xmlns:a16="http://schemas.microsoft.com/office/drawing/2014/main" id="{0D494867-0D89-73DE-E70A-F42F2F5233AB}"/>
                  </a:ext>
                </a:extLst>
              </xdr:cNvPr>
              <xdr:cNvCxnSpPr/>
            </xdr:nvCxnSpPr>
            <xdr:spPr>
              <a:xfrm>
                <a:off x="26147554" y="629603"/>
                <a:ext cx="286399" cy="1514"/>
              </a:xfrm>
              <a:prstGeom prst="line">
                <a:avLst/>
              </a:prstGeom>
              <a:ln w="19050">
                <a:solidFill>
                  <a:srgbClr val="B7E4F4"/>
                </a:solidFill>
              </a:ln>
            </xdr:spPr>
            <xdr:style>
              <a:lnRef idx="1">
                <a:schemeClr val="accent1"/>
              </a:lnRef>
              <a:fillRef idx="0">
                <a:schemeClr val="accent1"/>
              </a:fillRef>
              <a:effectRef idx="0">
                <a:schemeClr val="accent1"/>
              </a:effectRef>
              <a:fontRef idx="minor">
                <a:schemeClr val="tx1"/>
              </a:fontRef>
            </xdr:style>
          </xdr:cxnSp>
          <xdr:cxnSp macro="">
            <xdr:nvCxnSpPr>
              <xdr:cNvPr id="7" name="직선 연결선 6">
                <a:extLst>
                  <a:ext uri="{FF2B5EF4-FFF2-40B4-BE49-F238E27FC236}">
                    <a16:creationId xmlns:a16="http://schemas.microsoft.com/office/drawing/2014/main" id="{5840730F-8E35-93F5-338B-11D08CCB0FA6}"/>
                  </a:ext>
                </a:extLst>
              </xdr:cNvPr>
              <xdr:cNvCxnSpPr/>
            </xdr:nvCxnSpPr>
            <xdr:spPr>
              <a:xfrm>
                <a:off x="26146957" y="292539"/>
                <a:ext cx="285301" cy="894"/>
              </a:xfrm>
              <a:prstGeom prst="line">
                <a:avLst/>
              </a:prstGeom>
              <a:ln w="19050">
                <a:solidFill>
                  <a:srgbClr val="25408F"/>
                </a:solidFill>
              </a:ln>
            </xdr:spPr>
            <xdr:style>
              <a:lnRef idx="1">
                <a:schemeClr val="accent1"/>
              </a:lnRef>
              <a:fillRef idx="0">
                <a:schemeClr val="accent1"/>
              </a:fillRef>
              <a:effectRef idx="0">
                <a:schemeClr val="accent1"/>
              </a:effectRef>
              <a:fontRef idx="minor">
                <a:schemeClr val="tx1"/>
              </a:fontRef>
            </xdr:style>
          </xdr:cxnSp>
          <xdr:cxnSp macro="">
            <xdr:nvCxnSpPr>
              <xdr:cNvPr id="8" name="직선 연결선 7">
                <a:extLst>
                  <a:ext uri="{FF2B5EF4-FFF2-40B4-BE49-F238E27FC236}">
                    <a16:creationId xmlns:a16="http://schemas.microsoft.com/office/drawing/2014/main" id="{6E459F59-6EC1-3DB8-8598-9F6D1743A0E3}"/>
                  </a:ext>
                </a:extLst>
              </xdr:cNvPr>
              <xdr:cNvCxnSpPr/>
            </xdr:nvCxnSpPr>
            <xdr:spPr>
              <a:xfrm>
                <a:off x="26144370" y="803515"/>
                <a:ext cx="296731" cy="0"/>
              </a:xfrm>
              <a:prstGeom prst="line">
                <a:avLst/>
              </a:prstGeom>
              <a:ln w="19050">
                <a:solidFill>
                  <a:schemeClr val="accent1">
                    <a:lumMod val="60000"/>
                    <a:lumOff val="40000"/>
                  </a:schemeClr>
                </a:solidFill>
                <a:prstDash val="sysDash"/>
              </a:ln>
            </xdr:spPr>
            <xdr:style>
              <a:lnRef idx="1">
                <a:schemeClr val="accent1"/>
              </a:lnRef>
              <a:fillRef idx="0">
                <a:schemeClr val="accent1"/>
              </a:fillRef>
              <a:effectRef idx="0">
                <a:schemeClr val="accent1"/>
              </a:effectRef>
              <a:fontRef idx="minor">
                <a:schemeClr val="tx1"/>
              </a:fontRef>
            </xdr:style>
          </xdr:cxnSp>
          <xdr:cxnSp macro="">
            <xdr:nvCxnSpPr>
              <xdr:cNvPr id="9" name="직선 연결선 8">
                <a:extLst>
                  <a:ext uri="{FF2B5EF4-FFF2-40B4-BE49-F238E27FC236}">
                    <a16:creationId xmlns:a16="http://schemas.microsoft.com/office/drawing/2014/main" id="{91C36006-B12F-72AD-2730-316945764F1F}"/>
                  </a:ext>
                </a:extLst>
              </xdr:cNvPr>
              <xdr:cNvCxnSpPr/>
            </xdr:nvCxnSpPr>
            <xdr:spPr>
              <a:xfrm>
                <a:off x="26146304" y="464267"/>
                <a:ext cx="285094" cy="0"/>
              </a:xfrm>
              <a:prstGeom prst="line">
                <a:avLst/>
              </a:prstGeom>
              <a:ln w="19050">
                <a:solidFill>
                  <a:srgbClr val="0C9ED9"/>
                </a:solidFill>
              </a:ln>
            </xdr:spPr>
            <xdr:style>
              <a:lnRef idx="1">
                <a:schemeClr val="accent1"/>
              </a:lnRef>
              <a:fillRef idx="0">
                <a:schemeClr val="accent1"/>
              </a:fillRef>
              <a:effectRef idx="0">
                <a:schemeClr val="accent1"/>
              </a:effectRef>
              <a:fontRef idx="minor">
                <a:schemeClr val="tx1"/>
              </a:fontRef>
            </xdr:style>
          </xdr:cxnSp>
        </xdr:grpSp>
      </xdr:grpSp>
    </xdr:grpSp>
    <xdr:clientData/>
  </xdr:twoCellAnchor>
</xdr:wsDr>
</file>

<file path=xl/drawings/drawing15.xml><?xml version="1.0" encoding="utf-8"?>
<xdr:wsDr xmlns:xdr="http://schemas.openxmlformats.org/drawingml/2006/spreadsheetDrawing" xmlns:a="http://schemas.openxmlformats.org/drawingml/2006/main">
  <xdr:twoCellAnchor>
    <xdr:from>
      <xdr:col>19</xdr:col>
      <xdr:colOff>2198</xdr:colOff>
      <xdr:row>41</xdr:row>
      <xdr:rowOff>4609</xdr:rowOff>
    </xdr:from>
    <xdr:to>
      <xdr:col>29</xdr:col>
      <xdr:colOff>21003</xdr:colOff>
      <xdr:row>73</xdr:row>
      <xdr:rowOff>56333</xdr:rowOff>
    </xdr:to>
    <xdr:graphicFrame macro="">
      <xdr:nvGraphicFramePr>
        <xdr:cNvPr id="2" name="Chart 1">
          <a:extLst>
            <a:ext uri="{FF2B5EF4-FFF2-40B4-BE49-F238E27FC236}">
              <a16:creationId xmlns:a16="http://schemas.microsoft.com/office/drawing/2014/main" id="{E49E86D3-FBA4-4A8B-BAE0-387E8A6A04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KGResearch/share/UBS%20property/Presentation/Total%20charts.xls" TargetMode="External"/><Relationship Id="rId1" Type="http://schemas.openxmlformats.org/officeDocument/2006/relationships/externalLinkPath" Target="/HKGResearch/share/UBS%20property/Presentation/Total%20chart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nps0009-hkx\shared\Corporate\Users\nepay\npayne\cathay\np1cathay.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E:\EVA310\Andrew_property\cheungkong\CKnewmodel0927.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hkpac001\groups$\VAS\Projects\Project%20Fat%20Man\Valuation%20Model\Sample%20model%20(1Sep10).xls" TargetMode="External"/></Relationships>
</file>

<file path=xl/externalLinks/_rels/externalLink5.xml.rels><?xml version="1.0" encoding="UTF-8" standalone="yes"?>
<Relationships xmlns="http://schemas.openxmlformats.org/package/2006/relationships"><Relationship Id="rId2" Type="http://schemas.openxmlformats.org/officeDocument/2006/relationships/externalLinkPath" Target="../../../../../report/report-0802-cht.xls" TargetMode="External"/><Relationship Id="rId1" Type="http://schemas.openxmlformats.org/officeDocument/2006/relationships/externalLinkPath" Target="/report/report-0802-cht.xls" TargetMode="External"/></Relationships>
</file>

<file path=xl/externalLinks/_rels/externalLink6.xml.rels><?xml version="1.0" encoding="UTF-8" standalone="yes"?>
<Relationships xmlns="http://schemas.openxmlformats.org/package/2006/relationships"><Relationship Id="rId2" Type="http://schemas.openxmlformats.org/officeDocument/2006/relationships/externalLinkPath" Target="../../../../../IBG/Research/Shared/RESEARCH/Julian/properties/CheungKong/Pair%20Trade%2020%20Jul%2005.xls" TargetMode="External"/><Relationship Id="rId1" Type="http://schemas.openxmlformats.org/officeDocument/2006/relationships/externalLinkPath" Target="/IBG/Research/Shared/RESEARCH/Julian/properties/CheungKong/Pair%20Trade%2020%20Jul%2005.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hkpac001\groups$\VAS\Projects\Project%20Fat%20Man\Work%20Files\March%202011\Valuation\46\Valuation%20&amp;%20Tenancy%20Analysis\Tenancy%20Analysis%20Cheung%20Fat.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F:\Divestment\Investment%20Management\Business%20plan%20June%2006\Oct%204\180%20Summary%20(4%20Oct)%20060928_1227.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E:\NAM\SMARTONE\CELLV02.XLS" TargetMode="External"/></Relationships>
</file>

<file path=xl/externalLinks/_rels/externalLink10.xml.rels><?xml version="1.0" encoding="UTF-8" standalone="yes"?>
<Relationships xmlns="http://schemas.openxmlformats.org/package/2006/relationships"><Relationship Id="rId2" Type="http://schemas.openxmlformats.org/officeDocument/2006/relationships/externalLinkPath" Target="../../../../../shkp/0016hk_10.xls" TargetMode="External"/><Relationship Id="rId1" Type="http://schemas.openxmlformats.org/officeDocument/2006/relationships/externalLinkPath" Target="/shkp/0016hk_10.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hkpac001\groups$\VAS\Projects\Project%20Fat%20Man\Portfolio%20Analysis\Documents%20and%20Settings\gpslam\Local%20Settings\Temporary%20Internet%20Files\Content.Outlook\GDS7H1GA\YLT%20-%20Mgt%20Report%20(200812)%20Expenses%20summary.xls" TargetMode="External"/></Relationships>
</file>

<file path=xl/externalLinks/_rels/externalLink12.xml.rels><?xml version="1.0" encoding="UTF-8" standalone="yes"?>
<Relationships xmlns="http://schemas.openxmlformats.org/package/2006/relationships"><Relationship Id="rId2" Type="http://schemas.openxmlformats.org/officeDocument/2006/relationships/externalLinkPath" Target="../../../../../report/dev_sect2002.xls" TargetMode="External"/><Relationship Id="rId1" Type="http://schemas.openxmlformats.org/officeDocument/2006/relationships/externalLinkPath" Target="/report/dev_sect2002.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A:\Media\05111.xls" TargetMode="External"/></Relationships>
</file>

<file path=xl/externalLinks/_rels/externalLink14.xml.rels><?xml version="1.0" encoding="UTF-8" standalone="yes"?>
<Relationships xmlns="http://schemas.openxmlformats.org/package/2006/relationships"><Relationship Id="rId2" Type="http://schemas.openxmlformats.org/officeDocument/2006/relationships/externalLinkPath" Target="../../../../../Sino/sino_spar_wksheet.xls" TargetMode="External"/><Relationship Id="rId1" Type="http://schemas.openxmlformats.org/officeDocument/2006/relationships/externalLinkPath" Target="/Sino/sino_spar_wksheet.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E:\RESEARCH\CUSSON\Briefcase\Back-up%20data.xls"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Jihe%20WestInt_Paid" TargetMode="External"/></Relationships>
</file>

<file path=xl/externalLinks/_rels/externalLink17.xml.rels><?xml version="1.0" encoding="UTF-8" standalone="yes"?>
<Relationships xmlns="http://schemas.openxmlformats.org/package/2006/relationships"><Relationship Id="rId2" Type="http://schemas.openxmlformats.org/officeDocument/2006/relationships/externalLinkPath" Target="../../../../../Kerry/kerry_0801_wkt.xls" TargetMode="External"/><Relationship Id="rId1" Type="http://schemas.openxmlformats.org/officeDocument/2006/relationships/externalLinkPath" Target="/Kerry/kerry_0801_wkt.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hkpac001\groups$\VAS\Projects\Project%20Fat%20Man\Sample%20model%20(Template)%207.0%20(mthly%20in%20advance).xls" TargetMode="External"/></Relationships>
</file>

<file path=xl/externalLinks/_rels/externalLink19.xml.rels><?xml version="1.0" encoding="UTF-8" standalone="yes"?>
<Relationships xmlns="http://schemas.openxmlformats.org/package/2006/relationships"><Relationship Id="rId2" Type="http://schemas.openxmlformats.org/officeDocument/2006/relationships/externalLinkPath" Target="../../../../../report/shkp-tp-up-0603.xls" TargetMode="External"/><Relationship Id="rId1" Type="http://schemas.openxmlformats.org/officeDocument/2006/relationships/externalLinkPath" Target="/report/shkp-tp-up-0603.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E:\Conglomerate\Hutchison\Sensitivity%20for%20Cheung%20Kong.xls" TargetMode="External"/></Relationships>
</file>

<file path=xl/externalLinks/_rels/externalLink21.xml.rels><?xml version="1.0" encoding="UTF-8" standalone="yes"?>
<Relationships xmlns="http://schemas.openxmlformats.org/package/2006/relationships"><Relationship Id="rId2" Type="http://schemas.openxmlformats.org/officeDocument/2006/relationships/externalLinkPath" Target="../../../../../RES_DB/WH/INDUS/DURA/SECTOR.XLS" TargetMode="External"/><Relationship Id="rId1" Type="http://schemas.openxmlformats.org/officeDocument/2006/relationships/externalLinkPath" Target="/RES_DB/WH/INDUS/DURA/SECTOR.XLS" TargetMode="External"/></Relationships>
</file>

<file path=xl/externalLinks/_rels/externalLink22.xml.rels><?xml version="1.0" encoding="UTF-8" standalone="yes"?>
<Relationships xmlns="http://schemas.openxmlformats.org/package/2006/relationships"><Relationship Id="rId3" Type="http://schemas.openxmlformats.org/officeDocument/2006/relationships/externalLinkPath" Target="../../../../jin_lee_colliers_com/Documents/Desktop/GJ/&#9829;&#9827;South%20Korea%20Macro_GJ&#9827;&#9829;_VBA_v13.xlsx" TargetMode="External"/><Relationship Id="rId2" Type="http://schemas.openxmlformats.org/officeDocument/2006/relationships/externalLinkPath" Target="https://colliers-my.sharepoint.com/personal/jin_lee_colliers_com/Documents/Desktop/GJ/&#9829;&#9827;South%20Korea%20Macro_GJ&#9827;&#9829;_VBA_v13.xlsx" TargetMode="External"/><Relationship Id="rId1" Type="http://schemas.openxmlformats.org/officeDocument/2006/relationships/externalLinkPath" Target="/personal/jin_lee_colliers_com/Documents/Desktop/GJ/&#9829;&#9827;South%20Korea%20Macro_GJ&#9827;&#9829;_VBA_v13.xlsx" TargetMode="External"/></Relationships>
</file>

<file path=xl/externalLinks/_rels/externalLink23.xml.rels><?xml version="1.0" encoding="UTF-8" standalone="yes"?>
<Relationships xmlns="http://schemas.openxmlformats.org/package/2006/relationships"><Relationship Id="rId3" Type="http://schemas.openxmlformats.org/officeDocument/2006/relationships/externalLinkPath" Target="https://colliers-my.sharepoint.com/personal/jin_lee_colliers_com/Documents/Desktop/GJ/02.Report%20Review/2025/01.%20Mapletree%20(MPACT)%20Quartery%20Market%20Research_Seoul%20Office%20Market/2024/Q4/Office%20Transaction%20(PPT).xlsx" TargetMode="External"/><Relationship Id="rId2" Type="http://schemas.microsoft.com/office/2019/04/relationships/externalLinkLongPath" Target="/personal/jin_lee_colliers_com/Documents/Desktop/GJ/02.%20Report%20Review/2026/00.%20Mapletree%20(MPACT)%20Quartery%20Market%20Research_Seoul%20Office%20Market/2025/Q4/Transaction/Office%20Transaction%20(PPT).xlsx?B62705E8" TargetMode="External"/><Relationship Id="rId1" Type="http://schemas.openxmlformats.org/officeDocument/2006/relationships/externalLinkPath" Target="file:///\\B62705E8\Office%20Transaction%20(PPT).xlsx" TargetMode="External"/><Relationship Id="rId4" Type="http://schemas.openxmlformats.org/officeDocument/2006/relationships/externalLinkPath" Target="../../../../jin_lee_colliers_com/Documents/Desktop/GJ/02.%20Report%20Review/2026/00.%20Mapletree%20(MPACT)%20Quartery%20Market%20Research_Seoul%20Office%20Market/2025/Q4/Transaction/Office%20Transaction%20(PP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Developer land exposure"/>
      <sheetName val="Land cost vs.NAV exposure"/>
      <sheetName val="Trust lending to real estate"/>
      <sheetName val="Market share expansion"/>
      <sheetName val="Sheet1"/>
      <sheetName val="Commercial properties"/>
      <sheetName val="Future Supply"/>
      <sheetName val="ML vs Other Visitor Arrivals"/>
    </sheetNames>
    <sheetDataSet>
      <sheetData sheetId="0" refreshError="1"/>
      <sheetData sheetId="1"/>
      <sheetData sheetId="2">
        <row r="1">
          <cell r="A1" t="str">
            <v>Trust lending to real estate</v>
          </cell>
        </row>
      </sheetData>
      <sheetData sheetId="3"/>
      <sheetData sheetId="4" refreshError="1"/>
      <sheetData sheetId="5" refreshError="1"/>
      <sheetData sheetId="6" refreshError="1"/>
      <sheetData sheetId="7"/>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thayforecasts"/>
      <sheetName val="Interface"/>
      <sheetName val="PERG"/>
      <sheetName val="Sample Layout"/>
      <sheetName val="Depreciation"/>
      <sheetName val="load factors"/>
      <sheetName val="altman"/>
      <sheetName val="air fares"/>
      <sheetName val="sensitivity"/>
      <sheetName val="NPEVA"/>
      <sheetName val="Implied ROIC Calculation"/>
      <sheetName val="EVA"/>
      <sheetName val="dragonair"/>
      <sheetName val="Sheet1"/>
      <sheetName val="Sheet2"/>
      <sheetName val="Landbank"/>
      <sheetName val="Occupancy Rat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F"/>
      <sheetName val="cf old"/>
      <sheetName val="P&amp;L"/>
      <sheetName val="BS"/>
      <sheetName val="Profit"/>
      <sheetName val="WICarrData"/>
      <sheetName val="Inv Prop"/>
      <sheetName val="Devel Summary"/>
      <sheetName val="deve"/>
      <sheetName val="NAV"/>
      <sheetName val="Loan"/>
      <sheetName val="BS_table"/>
      <sheetName val="cashflow_table"/>
      <sheetName val="P&amp;L Table"/>
      <sheetName val="Interim"/>
      <sheetName val="earnings"/>
      <sheetName val="Final results"/>
      <sheetName val="Sheet3"/>
      <sheetName val="landbk"/>
      <sheetName val="sale proceed"/>
      <sheetName val="presale"/>
      <sheetName val="Sen"/>
      <sheetName val="SenMacro"/>
      <sheetName val="invest"/>
      <sheetName val="hokun"/>
      <sheetName val="hut"/>
      <sheetName val="in"/>
      <sheetName val="Sheet2"/>
      <sheetName val="Nit1"/>
      <sheetName val="PC GM Chart"/>
      <sheetName val="GrossMargin"/>
      <sheetName val="Units FY"/>
      <sheetName val="Pricing"/>
      <sheetName val="Target"/>
      <sheetName val="PC"/>
      <sheetName val="PC Fin"/>
      <sheetName val="Fin BD"/>
      <sheetName val="Market share"/>
      <sheetName val="Contend Segments"/>
      <sheetName val="Contenders"/>
      <sheetName val="Segments"/>
      <sheetName val="Costs"/>
      <sheetName val="ConMan Net"/>
      <sheetName val="Needs"/>
      <sheetName val="P&amp;L actual"/>
      <sheetName val="Quarterly"/>
      <sheetName val="P&amp;L proforma"/>
      <sheetName val="Key"/>
      <sheetName val="Bridge"/>
      <sheetName val="JP PL"/>
      <sheetName val="0992.HK-Forecast"/>
      <sheetName val="Print PL"/>
      <sheetName val="Print BS"/>
      <sheetName val="Print CF"/>
      <sheetName val="pagemaker detai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ice"/>
      <sheetName val="Model"/>
      <sheetName val="Schedule"/>
      <sheetName val="Reversions"/>
      <sheetName val="Outgoings"/>
      <sheetName val="Tenancy Schedule"/>
      <sheetName val="CAP_Approach"/>
      <sheetName val="Ann_Esc_Rates"/>
      <sheetName val="DCF_Assump"/>
      <sheetName val="DCF_Approach"/>
      <sheetName val="Exec"/>
      <sheetName val="Report"/>
      <sheetName val="Insurance"/>
      <sheetName val="Sales"/>
      <sheetName val="TenantCashFlow"/>
      <sheetName val="AnnCashFlow"/>
      <sheetName val="OtherCalcs"/>
      <sheetName val="Allowances_CAP"/>
      <sheetName val="Allowances_DCF"/>
      <sheetName val="Capex"/>
      <sheetName val="Data"/>
      <sheetName val="Lookup"/>
      <sheetName val="DataControl"/>
      <sheetName val="CY0 Actual"/>
      <sheetName val="CY0 Forcst"/>
      <sheetName val="Full Year"/>
      <sheetName val="CY0 LatEst"/>
      <sheetName val="CY0 Budget"/>
      <sheetName val="Rev_Run_Rate"/>
      <sheetName val="master data"/>
      <sheetName val="FIC Output"/>
      <sheetName val="2001 and 2002 - TF"/>
    </sheetNames>
    <sheetDataSet>
      <sheetData sheetId="0"/>
      <sheetData sheetId="1" refreshError="1"/>
      <sheetData sheetId="2" refreshError="1"/>
      <sheetData sheetId="3"/>
      <sheetData sheetId="4" refreshError="1"/>
      <sheetData sheetId="5"/>
      <sheetData sheetId="6"/>
      <sheetData sheetId="7" refreshError="1"/>
      <sheetData sheetId="8"/>
      <sheetData sheetId="9" refreshError="1"/>
      <sheetData sheetId="10"/>
      <sheetData sheetId="11"/>
      <sheetData sheetId="12"/>
      <sheetData sheetId="13"/>
      <sheetData sheetId="14"/>
      <sheetData sheetId="15"/>
      <sheetData sheetId="16"/>
      <sheetData sheetId="17"/>
      <sheetData sheetId="18"/>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f1"/>
      <sheetName val="f2"/>
      <sheetName val="prim-sec"/>
      <sheetName val="f3"/>
      <sheetName val="f3-data"/>
      <sheetName val="f4"/>
      <sheetName val="f5"/>
      <sheetName val="F6"/>
      <sheetName val="f7"/>
      <sheetName val="DS"/>
      <sheetName val="f8"/>
      <sheetName val="HSIproperty"/>
      <sheetName val="f9"/>
      <sheetName val="kerry-res"/>
      <sheetName val="f10"/>
      <sheetName val="kerry-rev_comp"/>
      <sheetName val="f11"/>
      <sheetName val="f12"/>
      <sheetName val="f13"/>
      <sheetName val="f14"/>
      <sheetName val="f15"/>
      <sheetName val="HKL-f1"/>
      <sheetName val="Rent_ind_JLW"/>
      <sheetName val="HKL-f2"/>
      <sheetName val="yield"/>
      <sheetName val="HKL-f3"/>
      <sheetName val="hkl-f4"/>
      <sheetName val="hkl-f5"/>
      <sheetName val="hkl-f6"/>
      <sheetName val="Data"/>
      <sheetName val="hld-f1"/>
      <sheetName val="hld-f2"/>
      <sheetName val="hld-f3"/>
      <sheetName val="hld-f4"/>
      <sheetName val="hld-f5"/>
      <sheetName val="hld-f6"/>
      <sheetName val="sino-p35"/>
      <sheetName val="Sheet1 (3)"/>
      <sheetName val="f5a"/>
      <sheetName val="Total"/>
      <sheetName val="HSPI-cht"/>
      <sheetName val="pp1"/>
      <sheetName val="val-1"/>
      <sheetName val="p1-margin"/>
      <sheetName val="presen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Tandem"/>
      <sheetName val="screened_pairs"/>
      <sheetName val="Tandem List"/>
      <sheetName val="Calcs"/>
    </sheetNames>
    <sheetDataSet>
      <sheetData sheetId="0"/>
      <sheetData sheetId="1"/>
      <sheetData sheetId="2"/>
      <sheetData sheetId="3"/>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xec"/>
      <sheetName val="Tenancy Analysis"/>
      <sheetName val="Exec_Val"/>
    </sheetNames>
    <sheetDataSet>
      <sheetData sheetId="0"/>
      <sheetData sheetId="1"/>
      <sheetData sheetId="2"/>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perty Details 060925"/>
      <sheetName val="Summaries"/>
      <sheetName val="Summary_vertical"/>
      <sheetName val="Retail NPI Chart"/>
      <sheetName val="NPI Chart"/>
      <sheetName val="Revenue Chart"/>
      <sheetName val="NAV Chart"/>
      <sheetName val="ROI Calculations"/>
      <sheetName val="NPI Growth for Others"/>
      <sheetName val="Assumptions - Income"/>
      <sheetName val="Assumptions - Expenses"/>
      <sheetName val="3-Year Forecast"/>
      <sheetName val="42 Forecasts"/>
      <sheetName val="All - NPIs 0506"/>
      <sheetName val="Retail Mar 06"/>
      <sheetName val="Retail Sep 05"/>
      <sheetName val="CP 3-Yr Projection"/>
      <sheetName val="CP Mar 06"/>
      <sheetName val="CP Mar 05"/>
      <sheetName val="CP 3_Yr Projection"/>
      <sheetName val="INPUT"/>
      <sheetName val="Fatura"/>
      <sheetName val="Core Act&amp;For03 vs Plan04"/>
      <sheetName val="Sheet2"/>
      <sheetName val="Townsend Summary"/>
      <sheetName val="Source data - US$50m cashflow"/>
      <sheetName val="PREF II cashflow projection"/>
      <sheetName val="PREF II cashflow projection Sou"/>
      <sheetName val="PREF II cashflow projection Old"/>
    </sheetNames>
    <sheetDataSet>
      <sheetData sheetId="0"/>
      <sheetData sheetId="1"/>
      <sheetData sheetId="2"/>
      <sheetData sheetId="3" refreshError="1"/>
      <sheetData sheetId="4" refreshError="1"/>
      <sheetData sheetId="5" refreshError="1"/>
      <sheetData sheetId="6" refreshError="1"/>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 sheetId="21" refreshError="1"/>
      <sheetData sheetId="22" refreshError="1"/>
      <sheetData sheetId="23" refreshError="1"/>
      <sheetData sheetId="24"/>
      <sheetData sheetId="25"/>
      <sheetData sheetId="26"/>
      <sheetData sheetId="27"/>
      <sheetData sheetId="28"/>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ELLV02"/>
      <sheetName val="Retail"/>
      <sheetName val="DDETABLE"/>
      <sheetName val="Price"/>
    </sheetNames>
    <definedNames>
      <definedName name="churn1"/>
    </definedNames>
    <sheetDataSet>
      <sheetData sheetId="0" refreshError="1"/>
      <sheetData sheetId="1" refreshError="1"/>
      <sheetData sheetId="2" refreshError="1"/>
      <sheetData sheetId="3"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NAV"/>
      <sheetName val="1H"/>
      <sheetName val="PL"/>
      <sheetName val="CF"/>
      <sheetName val="BS"/>
      <sheetName val="HKInv"/>
      <sheetName val="HKInv Sum"/>
      <sheetName val="Debt"/>
      <sheetName val="HKDev Sum"/>
      <sheetName val="HKDev"/>
      <sheetName val="PRCDev"/>
      <sheetName val="PRCDev Sum"/>
      <sheetName val="PRCInv Sum"/>
      <sheetName val="PRCInv"/>
      <sheetName val="AsiaDB"/>
      <sheetName val="RP Val Lks"/>
      <sheetName val="new_SPARC"/>
      <sheetName val="Key data"/>
      <sheetName val="Valuation"/>
      <sheetName val="Prt-PL"/>
      <sheetName val="2H Interims"/>
      <sheetName val="NAV-LT-model"/>
      <sheetName val="S-NAV"/>
      <sheetName val="EBIT BD"/>
      <sheetName val="NAV BD"/>
      <sheetName val="Px Sensitivity"/>
      <sheetName val="Prt-HK Dev2"/>
      <sheetName val="Prt-HK Dev1"/>
      <sheetName val="Prt-HK Inv2"/>
      <sheetName val="Prt-HK Inv1"/>
      <sheetName val="Prt-New HK Inv"/>
      <sheetName val="HKInv BD"/>
      <sheetName val="RoE Cht"/>
      <sheetName val="RoE"/>
      <sheetName val="Notes"/>
      <sheetName val="S-CF"/>
      <sheetName val="S-BS"/>
      <sheetName val="S-PL"/>
      <sheetName val="EBIT BD Cht"/>
      <sheetName val="NAV BD Cht"/>
      <sheetName val="HKInv EBIT BD Cht"/>
      <sheetName val="HKInv NAV BD Cht"/>
      <sheetName val="Hotels"/>
      <sheetName val="KMB"/>
      <sheetName val="non-core"/>
      <sheetName val="SmarTone"/>
      <sheetName val="HKDev-old"/>
      <sheetName val="HKInv-old"/>
      <sheetName val="Landbank"/>
      <sheetName val="MTR"/>
      <sheetName val="PL-m"/>
      <sheetName val="BS-m"/>
      <sheetName val="CF-m"/>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nL-YTD"/>
      <sheetName val="Monthly NPI"/>
      <sheetName val="Monthly"/>
      <sheetName val="Unit Rates"/>
      <sheetName val="Unit Rates DataBase"/>
      <sheetName val="On Ting"/>
    </sheetNames>
    <sheetDataSet>
      <sheetData sheetId="0" refreshError="1"/>
      <sheetData sheetId="1" refreshError="1"/>
      <sheetData sheetId="2" refreshError="1"/>
      <sheetData sheetId="3"/>
      <sheetData sheetId="4" refreshError="1"/>
      <sheetData sheetId="5"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HSIproperty"/>
      <sheetName val="f1"/>
      <sheetName val="f2"/>
      <sheetName val="f3"/>
      <sheetName val="f4"/>
      <sheetName val="f5"/>
      <sheetName val="f6&amp;7"/>
      <sheetName val="F8"/>
      <sheetName val="F9"/>
      <sheetName val="Pos-wkt2"/>
      <sheetName val="F10"/>
      <sheetName val="2001-02"/>
      <sheetName val="2002-03 (2)"/>
      <sheetName val="f11"/>
      <sheetName val="F12"/>
      <sheetName val="prim-sec"/>
      <sheetName val="f13"/>
      <sheetName val="f14"/>
      <sheetName val="f15"/>
      <sheetName val="F16"/>
      <sheetName val="F17"/>
      <sheetName val="DS"/>
      <sheetName val="F18"/>
      <sheetName val="F19"/>
      <sheetName val="F20"/>
      <sheetName val="F21"/>
      <sheetName val="F22"/>
      <sheetName val="Sheet1"/>
      <sheetName val="A2"/>
      <sheetName val="A3cht"/>
      <sheetName val="a3"/>
      <sheetName val="a4-HENDERSON"/>
      <sheetName val="a4-CK"/>
      <sheetName val="a4-shkp"/>
      <sheetName val="a6-afford"/>
      <sheetName val="a6-hld"/>
      <sheetName val="a7"/>
      <sheetName val="Sheet1 (4)"/>
      <sheetName val="Sheet1 (3)"/>
      <sheetName val="Sheet1 (2)"/>
      <sheetName val="monthly_sup"/>
      <sheetName val="position_0102"/>
      <sheetName val="pos_wkt"/>
      <sheetName val="W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VB"/>
      <sheetName val="TVBS - Taiwan"/>
      <sheetName val="Indosiar"/>
      <sheetName val="TVB audience"/>
      <sheetName val="Sheet1"/>
      <sheetName val="Databox"/>
      <sheetName val="Summary Sheet"/>
      <sheetName val="calculatio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PARC"/>
      <sheetName val="4-Pager Tables"/>
      <sheetName val="Report Layout"/>
      <sheetName val="DataSheet"/>
      <sheetName val="Data"/>
      <sheetName val="SMR Layout"/>
      <sheetName val="CF"/>
    </sheetNames>
    <sheetDataSet>
      <sheetData sheetId="0" refreshError="1"/>
      <sheetData sheetId="1" refreshError="1"/>
      <sheetData sheetId="2"/>
      <sheetData sheetId="3"/>
      <sheetData sheetId="4" refreshError="1"/>
      <sheetData sheetId="5" refreshError="1"/>
      <sheetData sheetId="6"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 property"/>
      <sheetName val="Back-up data"/>
      <sheetName val="_Control"/>
      <sheetName val="Forward Volatility"/>
      <sheetName val="fiscals"/>
    </sheetNames>
    <definedNames>
      <definedName name="Goto_main_page"/>
      <definedName name="Goto_profit_loss"/>
      <definedName name="Macro8"/>
    </definedNames>
    <sheetDataSet>
      <sheetData sheetId="0" refreshError="1"/>
      <sheetData sheetId="1" refreshError="1"/>
      <sheetData sheetId="2" refreshError="1"/>
      <sheetData sheetId="3" refreshError="1"/>
      <sheetData sheetId="4"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ihe WestInt_Paid"/>
      <sheetName val="Jihe WestCashEarnings"/>
    </sheetNames>
    <sheetDataSet>
      <sheetData sheetId="0" refreshError="1"/>
      <sheetData sheetId="1"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FDI_cht"/>
      <sheetName val="FDI"/>
      <sheetName val="Profit cont'b"/>
      <sheetName val="PER_EVEBITDA"/>
      <sheetName val="comp"/>
      <sheetName val="Sheet1"/>
      <sheetName val="Chart1"/>
      <sheetName val="rev_comp"/>
      <sheetName val="luxury"/>
      <sheetName val="mayroad"/>
      <sheetName val="PRC"/>
      <sheetName val="nav"/>
      <sheetName val="PRC_comp"/>
      <sheetName val="gearing"/>
      <sheetName val="hkteu"/>
      <sheetName val="X and Rex growth"/>
      <sheetName val="Logistics"/>
      <sheetName val="Earn_cont"/>
      <sheetName val="Hua shan"/>
      <sheetName val="Chinaprop"/>
      <sheetName val="HKProp"/>
      <sheetName val="assetmix"/>
      <sheetName val="PL"/>
      <sheetName val="BS"/>
      <sheetName val="CF"/>
      <sheetName val="price"/>
      <sheetName val="Charts"/>
      <sheetName val="TEU"/>
      <sheetName val="Lux_res"/>
      <sheetName val="Sens"/>
      <sheetName val="PRC (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ice"/>
      <sheetName val="Model"/>
      <sheetName val="Schedule"/>
      <sheetName val="Reversions"/>
      <sheetName val="Outgoings"/>
      <sheetName val="Tenancy Schedule"/>
      <sheetName val="CAP_Approach"/>
      <sheetName val="Ann_Esc_Rates"/>
      <sheetName val="DCF_Assump"/>
      <sheetName val="DCF_Approach"/>
      <sheetName val="Exec"/>
      <sheetName val="TenantCashFlow"/>
      <sheetName val="AnnCashFlow"/>
      <sheetName val="OtherCalcs"/>
      <sheetName val="Allowances_CAP"/>
      <sheetName val="Allowances_DCF"/>
      <sheetName val="Capex"/>
      <sheetName val="Repor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f1"/>
      <sheetName val="f2"/>
      <sheetName val="f2a"/>
      <sheetName val="f3"/>
      <sheetName val="f4"/>
      <sheetName val="f7"/>
      <sheetName val="f8"/>
      <sheetName val="f8a"/>
      <sheetName val="f8b"/>
      <sheetName val="f9"/>
      <sheetName val="f9a"/>
      <sheetName val="f10"/>
      <sheetName val="f11"/>
      <sheetName val="f11a"/>
      <sheetName val="f12"/>
      <sheetName val="f13"/>
      <sheetName val="f14"/>
      <sheetName val="f15"/>
      <sheetName val="f16"/>
      <sheetName val="f17"/>
      <sheetName val="f17a"/>
      <sheetName val="f17b"/>
      <sheetName val="f17c"/>
      <sheetName val="f17d"/>
      <sheetName val="f18"/>
      <sheetName val="f19"/>
      <sheetName val="f20"/>
      <sheetName val="Data"/>
      <sheetName val="app-own"/>
      <sheetName val="MassCCI"/>
      <sheetName val="yield"/>
      <sheetName val="Sheet1 (3)"/>
    </sheetNames>
    <sheetDataSet>
      <sheetData sheetId="0"/>
      <sheetData sheetId="1"/>
      <sheetData sheetId="2"/>
      <sheetData sheetId="3"/>
      <sheetData sheetId="4" refreshError="1"/>
      <sheetData sheetId="5" refreshError="1"/>
      <sheetData sheetId="6" refreshError="1"/>
      <sheetData sheetId="7"/>
      <sheetData sheetId="8"/>
      <sheetData sheetId="9"/>
      <sheetData sheetId="10"/>
      <sheetData sheetId="11" refreshError="1"/>
      <sheetData sheetId="12"/>
      <sheetData sheetId="13"/>
      <sheetData sheetId="14"/>
      <sheetData sheetId="15"/>
      <sheetData sheetId="16" refreshError="1"/>
      <sheetData sheetId="17" refreshError="1"/>
      <sheetData sheetId="18"/>
      <sheetData sheetId="19"/>
      <sheetData sheetId="20"/>
      <sheetData sheetId="21" refreshError="1"/>
      <sheetData sheetId="22"/>
      <sheetData sheetId="23"/>
      <sheetData sheetId="24"/>
      <sheetData sheetId="25"/>
      <sheetData sheetId="26"/>
      <sheetData sheetId="27"/>
      <sheetData sheetId="28"/>
      <sheetData sheetId="29"/>
      <sheetData sheetId="30"/>
      <sheetData sheetId="3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
      <sheetName val="Shanghai Container Terminal"/>
      <sheetName val="Yantian"/>
      <sheetName val="CT4,6,7 and 9"/>
      <sheetName val="Sensitivity for Cheung Kong"/>
      <sheetName val="NAV"/>
      <sheetName val="Macro2"/>
      <sheetName val="HKMod2"/>
      <sheetName val="Cashflow"/>
      <sheetName val="P&amp;L"/>
      <sheetName val="Chdata"/>
      <sheetName val="Twdata"/>
    </sheetNames>
    <definedNames>
      <definedName name="Select_model"/>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ample Layout"/>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Macro_Key Financials"/>
      <sheetName val="Construction Cost"/>
      <sheetName val="Macro_국내시공사"/>
      <sheetName val="Financial_국내 REITs 시장"/>
      <sheetName val="Cap Rate_Office&amp;Logistics"/>
      <sheetName val="Macro_Land Price"/>
      <sheetName val="ML vs Other Visitor Arrivals"/>
    </sheetNames>
    <sheetDataSet>
      <sheetData sheetId="0">
        <row r="794">
          <cell r="DU794">
            <v>1.9425675675675658E-2</v>
          </cell>
          <cell r="DV794">
            <v>1.0407632263660149E-2</v>
          </cell>
          <cell r="DW794">
            <v>6.6722268557131148E-3</v>
          </cell>
          <cell r="DX794">
            <v>1.5652173913043521E-2</v>
          </cell>
          <cell r="DY794">
            <v>4.006968641114983E-2</v>
          </cell>
          <cell r="DZ794">
            <v>1.4860139860139787E-2</v>
          </cell>
          <cell r="EA794">
            <v>4.107292539815588E-2</v>
          </cell>
          <cell r="EB794">
            <v>2.5273799494524019E-2</v>
          </cell>
        </row>
      </sheetData>
      <sheetData sheetId="1"/>
      <sheetData sheetId="2"/>
      <sheetData sheetId="3"/>
      <sheetData sheetId="4"/>
      <sheetData sheetId="5"/>
      <sheetData sheetId="6"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3"/>
      <xxl21:relativeUrl r:id="rId4"/>
    </xxl21:alternateUrls>
    <sheetNames>
      <sheetName val="Major Deals Work Sheet (PPT)"/>
      <sheetName val="Occupancy Rate"/>
    </sheetNames>
    <sheetDataSet>
      <sheetData sheetId="0">
        <row r="12">
          <cell r="B12" t="str">
            <v>Building Age/Completion</v>
          </cell>
        </row>
        <row r="20">
          <cell r="B20" t="str">
            <v xml:space="preserve">Entry NPI Yield </v>
          </cell>
        </row>
        <row r="21">
          <cell r="B21" t="str">
            <v>Transaction Type</v>
          </cell>
        </row>
      </sheetData>
      <sheetData sheetId="1" refreshError="1"/>
    </sheetDataSet>
  </externalBook>
</externalLink>
</file>

<file path=xl/persons/person.xml><?xml version="1.0" encoding="utf-8"?>
<personList xmlns="http://schemas.microsoft.com/office/spreadsheetml/2018/threadedcomments" xmlns:x="http://schemas.openxmlformats.org/spreadsheetml/2006/main">
  <person displayName="Lee, Jin" id="{1C8CEF30-8C5B-4BA9-B246-486BE0804C3F}" userId="S::jin.lee@colliers.com::aaeac121-b7ab-410e-9404-d7c54ca2bc77"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699D8C7-12F6-40B7-828A-BA8D88B3654A}" name="Table303" displayName="Table303" ref="B3:P10" totalsRowShown="0" headerRowDxfId="27" dataDxfId="26" headerRowCellStyle="Normal 2 2">
  <tableColumns count="15">
    <tableColumn id="1" xr3:uid="{E7370A46-2030-47E3-9100-6AE3BF9A4542}" name="Indicator" dataDxfId="25" dataCellStyle="Normal 2 2"/>
    <tableColumn id="2" xr3:uid="{8F757622-0994-4CDE-B3FC-B220084508B2}" name="2017" dataDxfId="24"/>
    <tableColumn id="3" xr3:uid="{FB122FA2-D0A4-4DE9-809A-2D3CFB1ACEDF}" name="2018" dataDxfId="23"/>
    <tableColumn id="4" xr3:uid="{96932069-BE68-4E9E-9254-076EC9E88A5F}" name="2019" dataDxfId="22"/>
    <tableColumn id="5" xr3:uid="{310F7667-CA11-48DA-B35D-993BC76036EA}" name="2020" dataDxfId="21"/>
    <tableColumn id="6" xr3:uid="{8026E790-3F02-40C2-9BB6-0103FD4208AB}" name="2021" dataDxfId="20"/>
    <tableColumn id="11" xr3:uid="{DF26D3A6-FF55-4190-ACDC-E48AEB5AAE0F}" name="2022" dataDxfId="19"/>
    <tableColumn id="10" xr3:uid="{FFD9F6F1-08F8-42DF-ADDF-BE190B186E21}" name="2023" dataDxfId="18"/>
    <tableColumn id="14" xr3:uid="{207B95A6-A26F-496A-B9D9-B4194CB32B95}" name="2024"/>
    <tableColumn id="7" xr3:uid="{9C80BB0B-5366-4444-8D79-647D2FE5EB7D}" name="1Q 2025" dataDxfId="17"/>
    <tableColumn id="8" xr3:uid="{D4546070-BA8A-418A-BD54-CA13A1A610A3}" name="2Q 2025" dataDxfId="16">
      <calculatedColumnFormula>L3-K3</calculatedColumnFormula>
    </tableColumn>
    <tableColumn id="9" xr3:uid="{A39988FC-F5E9-46F4-9341-221B4CE7477C}" name="3Q 2025" dataDxfId="15">
      <calculatedColumnFormula>M3-L3</calculatedColumnFormula>
    </tableColumn>
    <tableColumn id="13" xr3:uid="{D97F6F23-6AA2-45E6-B6D3-4D430AE8A16E}" name="4Q 2025" dataDxfId="14">
      <calculatedColumnFormula>N3-M3</calculatedColumnFormula>
    </tableColumn>
    <tableColumn id="12" xr3:uid="{AEB7D450-5D74-4BFD-B24B-0C1AA7E85D04}" name="2025 (F)" dataDxfId="13"/>
    <tableColumn id="15" xr3:uid="{3F9B96CF-0F99-4176-B788-44470B87E0EB}" name="2026 (F)" dataDxfId="12"/>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DE6F157-9598-447D-9B84-9B47E6CC0426}" name="Table24" displayName="Table24" ref="A4:E19" totalsRowShown="0" headerRowDxfId="11" dataDxfId="10">
  <tableColumns count="5">
    <tableColumn id="1" xr3:uid="{CD041310-F4F2-4F8E-A3F8-0047E7127B32}" name="Grade A Office Building Stock" dataDxfId="9"/>
    <tableColumn id="2" xr3:uid="{083F3C42-4F68-4D15-BE62-EE93CA8486ED}" name="Net (pyeong)" dataDxfId="8"/>
    <tableColumn id="3" xr3:uid="{AF970FFE-57FD-42C9-B0B3-161F610CE9CC}" name="Gross (x1.25)" dataDxfId="7"/>
    <tableColumn id="4" xr3:uid="{688D474E-B963-45CE-A80F-C31BB678E864}" name="Completions (New Supply)" dataDxfId="6">
      <calculatedColumnFormula>Table24[[#This Row],[Net (pyeong)]]-B4</calculatedColumnFormula>
    </tableColumn>
    <tableColumn id="5" xr3:uid="{DDCBD0CB-255B-4CE2-9E6C-EE53AB0F26F4}" name="Check" dataDxfId="5"/>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BB2669C9-AE4D-49B2-83E1-569D7276B13D}" name="Table41214" displayName="Table41214" ref="C4:E28" totalsRowShown="0" headerRowDxfId="4" dataDxfId="3">
  <tableColumns count="3">
    <tableColumn id="1" xr3:uid="{986A1CE9-9D61-412A-88E8-88313EC9F363}" name="Quarter" dataDxfId="2"/>
    <tableColumn id="2" xr3:uid="{0B8F1FE5-E36F-434D-8A08-BFD2CAB1A3FB}" name="Quarterly Net Absorption_x000a_(pyeong)" dataDxfId="1"/>
    <tableColumn id="3" xr3:uid="{F42CEEE8-7F20-4368-9FDA-7AF08D946375}" name="Quarterly Net Absorption_x000a_(sq. m.)" dataDxfId="0">
      <calculatedColumnFormula>Table41214[[#This Row],[Quarterly Net Absorption
(pyeong)]]/0.3025</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K4" dT="2025-07-01T00:46:19.98" personId="{1C8CEF30-8C5B-4BA9-B246-486BE0804C3F}" id="{827A2B1E-4142-4DDC-83FE-32103B942BC0}">
    <text>KOSIS</text>
  </threadedComment>
  <threadedComment ref="L4" dT="2025-07-01T00:19:42.00" personId="{1C8CEF30-8C5B-4BA9-B246-486BE0804C3F}" id="{73472B3D-E2CA-441A-813C-3D7804CFF3BF}">
    <text>*KDI Economic Outlook 2025 1H</text>
  </threadedComment>
  <threadedComment ref="M4" dT="2025-09-29T01:03:05.35" personId="{1C8CEF30-8C5B-4BA9-B246-486BE0804C3F}" id="{99A7CFA5-6661-417D-BB0D-E63CFFFCE737}">
    <text>*KDI Monthly Economic Trend: September Forecast (Actuals are yet to be updated)</text>
  </threadedComment>
  <threadedComment ref="N4" dT="2025-12-19T07:53:14.49" personId="{1C8CEF30-8C5B-4BA9-B246-486BE0804C3F}" id="{2B02A473-38B5-4896-8DA1-561FBE163613}">
    <text>*KDI Economic Outlook: 2025 2H</text>
  </threadedComment>
  <threadedComment ref="O4" dT="2025-09-29T00:43:29.83" personId="{1C8CEF30-8C5B-4BA9-B246-486BE0804C3F}" id="{AE2BFD05-4E19-4FD6-8D4B-6FDB538A5027}">
    <text>*KDI Economic Outlook: 2025 2H</text>
  </threadedComment>
  <threadedComment ref="P4" dT="2025-09-29T00:47:11.00" personId="{1C8CEF30-8C5B-4BA9-B246-486BE0804C3F}" id="{6020133E-453E-41EF-815F-4DA452577AAA}">
    <text xml:space="preserve">*KDI Economic Outlook 2025 Aug
- The economy is supported by a recovery in domestic consumption alongside the continuation of lagged exports. </text>
  </threadedComment>
  <threadedComment ref="P4" dT="2025-12-19T07:46:35.07" personId="{1C8CEF30-8C5B-4BA9-B246-486BE0804C3F}" id="{6F75D1FF-AE98-46A1-972F-9FF460F93B27}" parentId="{6020133E-453E-41EF-815F-4DA452577AAA}">
    <text xml:space="preserve">*KDI Economic Outlook 2025 Dec
- The economy is supported by a recovery in domestic consumption alongside the continuation of lagged exports. </text>
  </threadedComment>
  <threadedComment ref="K6" dT="2025-07-01T01:16:09.89" personId="{1C8CEF30-8C5B-4BA9-B246-486BE0804C3F}" id="{0D1AB5A3-5CBC-4612-82C5-C4C050C57D76}">
    <text>KOSIS</text>
  </threadedComment>
  <threadedComment ref="L6" dT="2025-07-01T00:19:46.65" personId="{1C8CEF30-8C5B-4BA9-B246-486BE0804C3F}" id="{BE4B2E94-6FDB-4952-AACA-A172A92D5770}">
    <text>*KDI Economic Outlook 2025 1H</text>
  </threadedComment>
  <threadedComment ref="M6" dT="2025-09-29T01:03:02.72" personId="{1C8CEF30-8C5B-4BA9-B246-486BE0804C3F}" id="{C2D2F435-DB27-48D9-96EB-8F5474654243}">
    <text>*KDI Monthly Economic Trend: September (August YoY)</text>
  </threadedComment>
  <threadedComment ref="N6" dT="2025-12-19T07:53:12.28" personId="{1C8CEF30-8C5B-4BA9-B246-486BE0804C3F}" id="{6D82BCF6-B493-4724-AD42-34965D835831}">
    <text>*KDI Economic Outlook: 2025 2H</text>
  </threadedComment>
  <threadedComment ref="O6" dT="2025-09-29T00:56:25.72" personId="{1C8CEF30-8C5B-4BA9-B246-486BE0804C3F}" id="{6A79C260-2A0D-447D-9A69-C418FF24D740}">
    <text>*KDI Economic Outlook: 2025 2H</text>
  </threadedComment>
  <threadedComment ref="P6" dT="2025-09-29T00:56:34.07" personId="{1C8CEF30-8C5B-4BA9-B246-486BE0804C3F}" id="{D770D7FD-FBA6-418D-B611-4400A3E92EE8}">
    <text xml:space="preserve">*KDI Economic Outlook 2025 Dec
: Consumer prices are expected to increase by approximately 2.0%, broadly in line with the 2.1% level in 2025, as domestic demand recovers while international oil prices decline. </text>
  </threadedComment>
  <threadedComment ref="B8" dT="2024-07-05T00:12:48.04" personId="{1C8CEF30-8C5B-4BA9-B246-486BE0804C3F}" id="{4C51FD63-F875-4F71-B598-FFD3D5D9D580}">
    <text>*Seasonally Adjusted Figures.</text>
  </threadedComment>
  <threadedComment ref="K8" dT="2025-04-02T00:41:37.41" personId="{1C8CEF30-8C5B-4BA9-B246-486BE0804C3F}" id="{351593FA-F306-45EA-835F-EBABE394D362}">
    <text>KOSIS</text>
  </threadedComment>
  <threadedComment ref="L8" dT="2025-07-01T00:19:49.82" personId="{1C8CEF30-8C5B-4BA9-B246-486BE0804C3F}" id="{6A4B2D3B-DC28-418A-B4F2-5520A67F465F}">
    <text>*KDI Economic Outlook 2025 1H</text>
  </threadedComment>
  <threadedComment ref="M8" dT="2025-09-29T01:02:58.68" personId="{1C8CEF30-8C5B-4BA9-B246-486BE0804C3F}" id="{750148F8-F2B6-46E5-9844-A8E5921DEF8A}">
    <text>*KDI Monthly Economic Trend: September</text>
  </threadedComment>
  <threadedComment ref="N8" dT="2025-12-19T07:53:09.62" personId="{1C8CEF30-8C5B-4BA9-B246-486BE0804C3F}" id="{1A819C1D-4660-4CC5-BBE0-D4050F287639}">
    <text>*KDI Economic Outlook: 2025 2H</text>
  </threadedComment>
  <threadedComment ref="O8" dT="2025-09-29T00:56:25.72" personId="{1C8CEF30-8C5B-4BA9-B246-486BE0804C3F}" id="{204FD886-370A-4853-A578-01F602B58AB8}">
    <text>*KDI Economic Outlook: 2025 2H</text>
  </threadedComment>
  <threadedComment ref="P8" dT="2025-09-29T00:56:34.07" personId="{1C8CEF30-8C5B-4BA9-B246-486BE0804C3F}" id="{11587775-61F9-40C4-946F-9F0342609939}">
    <text>*KDI Economic Outlook 2025 Aug</text>
  </threadedComment>
</ThreadedComments>
</file>

<file path=xl/threadedComments/threadedComment2.xml><?xml version="1.0" encoding="utf-8"?>
<ThreadedComments xmlns="http://schemas.microsoft.com/office/spreadsheetml/2018/threadedcomments" xmlns:x="http://schemas.openxmlformats.org/spreadsheetml/2006/main">
  <threadedComment ref="A47" dT="2023-06-19T05:08:21.97" personId="{1C8CEF30-8C5B-4BA9-B246-486BE0804C3F}" id="{DB3A299F-A27B-4B11-8474-80220C3E990F}">
    <text>Projections changed with actuals</text>
  </threadedComment>
</ThreadedComments>
</file>

<file path=xl/threadedComments/threadedComment3.xml><?xml version="1.0" encoding="utf-8"?>
<ThreadedComments xmlns="http://schemas.microsoft.com/office/spreadsheetml/2018/threadedcomments" xmlns:x="http://schemas.openxmlformats.org/spreadsheetml/2006/main">
  <threadedComment ref="A23" dT="2023-06-19T05:20:48.84" personId="{1C8CEF30-8C5B-4BA9-B246-486BE0804C3F}" id="{D71609AB-C199-4CEA-9FF1-929A71EA4595}">
    <text>Projections changed to actuals</text>
  </threadedComment>
</ThreadedComments>
</file>

<file path=xl/threadedComments/threadedComment4.xml><?xml version="1.0" encoding="utf-8"?>
<ThreadedComments xmlns="http://schemas.microsoft.com/office/spreadsheetml/2018/threadedcomments" xmlns:x="http://schemas.openxmlformats.org/spreadsheetml/2006/main">
  <threadedComment ref="B29" dT="2025-09-29T01:39:46.42" personId="{1C8CEF30-8C5B-4BA9-B246-486BE0804C3F}" id="{6327A577-90C4-45A8-87C8-8C948C28113B}">
    <text>*KDI Monthly Economic Trend: September</text>
  </threadedComment>
  <threadedComment ref="B30" dT="2025-12-19T08:47:59.44" personId="{1C8CEF30-8C5B-4BA9-B246-486BE0804C3F}" id="{D197CC84-80A2-4EC7-A1FF-6076CE04387E}">
    <text>*KDI Monthly Economic Trend: December</text>
  </threadedComment>
</ThreadedComments>
</file>

<file path=xl/threadedComments/threadedComment5.xml><?xml version="1.0" encoding="utf-8"?>
<ThreadedComments xmlns="http://schemas.microsoft.com/office/spreadsheetml/2018/threadedcomments" xmlns:x="http://schemas.openxmlformats.org/spreadsheetml/2006/main">
  <threadedComment ref="R8" dT="2023-06-21T03:13:31.19" personId="{1C8CEF30-8C5B-4BA9-B246-486BE0804C3F}" id="{B0FB5918-EC0F-4C4F-819F-868AB5C76441}">
    <text>*Typo, revised</text>
  </threadedComment>
  <threadedComment ref="R55" dT="2023-06-21T03:13:31.19" personId="{1C8CEF30-8C5B-4BA9-B246-486BE0804C3F}" id="{B0327178-A985-4995-807A-80FDE75282A2}">
    <text>*Typo, revised</text>
  </threadedComment>
</ThreadedComments>
</file>

<file path=xl/threadedComments/threadedComment6.xml><?xml version="1.0" encoding="utf-8"?>
<ThreadedComments xmlns="http://schemas.microsoft.com/office/spreadsheetml/2018/threadedcomments" xmlns:x="http://schemas.openxmlformats.org/spreadsheetml/2006/main">
  <threadedComment ref="AC86" dT="2025-12-15T06:45:01.16" personId="{1C8CEF30-8C5B-4BA9-B246-486BE0804C3F}" id="{0C72D7C6-CDBF-4082-8D8D-0608B66FD418}">
    <text>현대얼터너티브는 현대카드와 현대커머셜이 각각 51%, 49%의 지분을 보유한 현대자동차그룹의 신생 금융사다.</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4.xml"/><Relationship Id="rId1" Type="http://schemas.openxmlformats.org/officeDocument/2006/relationships/printerSettings" Target="../printerSettings/printerSettings5.bin"/><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table" Target="../tables/table1.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6.xml"/><Relationship Id="rId1" Type="http://schemas.openxmlformats.org/officeDocument/2006/relationships/printerSettings" Target="../printerSettings/printerSettings7.bin"/><Relationship Id="rId5" Type="http://schemas.microsoft.com/office/2017/10/relationships/threadedComment" Target="../threadedComments/threadedComment2.xml"/><Relationship Id="rId4" Type="http://schemas.openxmlformats.org/officeDocument/2006/relationships/comments" Target="../comments2.xml"/></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7.xml"/><Relationship Id="rId1" Type="http://schemas.openxmlformats.org/officeDocument/2006/relationships/printerSettings" Target="../printerSettings/printerSettings8.bin"/><Relationship Id="rId5" Type="http://schemas.microsoft.com/office/2017/10/relationships/threadedComment" Target="../threadedComments/threadedComment3.xml"/><Relationship Id="rId4" Type="http://schemas.openxmlformats.org/officeDocument/2006/relationships/comments" Target="../comments3.xml"/></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8.xml"/><Relationship Id="rId1" Type="http://schemas.openxmlformats.org/officeDocument/2006/relationships/printerSettings" Target="../printerSettings/printerSettings9.bin"/><Relationship Id="rId5" Type="http://schemas.microsoft.com/office/2017/10/relationships/threadedComment" Target="../threadedComments/threadedComment4.xml"/><Relationship Id="rId4" Type="http://schemas.openxmlformats.org/officeDocument/2006/relationships/comments" Target="../comments4.xm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9.xml"/><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2.bin"/></Relationships>
</file>

<file path=xl/worksheets/_rels/sheet15.xml.rels><?xml version="1.0" encoding="UTF-8" standalone="yes"?>
<Relationships xmlns="http://schemas.openxmlformats.org/package/2006/relationships"><Relationship Id="rId3" Type="http://schemas.openxmlformats.org/officeDocument/2006/relationships/drawing" Target="../drawings/drawing11.xml"/><Relationship Id="rId2" Type="http://schemas.openxmlformats.org/officeDocument/2006/relationships/printerSettings" Target="../printerSettings/printerSettings13.bin"/><Relationship Id="rId1" Type="http://schemas.openxmlformats.org/officeDocument/2006/relationships/hyperlink" Target="https://dealbook.co.kr/opiseusijangeseo-geumri-inhawa-hamgge-salpyeobwayahal-geosdeul/" TargetMode="External"/><Relationship Id="rId4" Type="http://schemas.openxmlformats.org/officeDocument/2006/relationships/table" Target="../tables/table3.xml"/></Relationships>
</file>

<file path=xl/worksheets/_rels/sheet16.xml.rels><?xml version="1.0" encoding="UTF-8" standalone="yes"?>
<Relationships xmlns="http://schemas.openxmlformats.org/package/2006/relationships"><Relationship Id="rId3" Type="http://schemas.openxmlformats.org/officeDocument/2006/relationships/customProperty" Target="../customProperty1.bin"/><Relationship Id="rId7" Type="http://schemas.microsoft.com/office/2017/10/relationships/threadedComment" Target="../threadedComments/threadedComment5.xml"/><Relationship Id="rId2" Type="http://schemas.openxmlformats.org/officeDocument/2006/relationships/printerSettings" Target="../printerSettings/printerSettings14.bin"/><Relationship Id="rId1" Type="http://schemas.openxmlformats.org/officeDocument/2006/relationships/hyperlink" Target="https://www.newstof.com/news/articleList.html?page=1&amp;total=35&amp;box_idxno=&amp;sc_section_code=S1N43&amp;view_type=sm" TargetMode="External"/><Relationship Id="rId6" Type="http://schemas.openxmlformats.org/officeDocument/2006/relationships/comments" Target="../comments5.xml"/><Relationship Id="rId5" Type="http://schemas.openxmlformats.org/officeDocument/2006/relationships/vmlDrawing" Target="../drawings/vmlDrawing5.vml"/><Relationship Id="rId4" Type="http://schemas.openxmlformats.org/officeDocument/2006/relationships/drawing" Target="../drawings/drawing12.xml"/></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5.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6.bin"/></Relationships>
</file>

<file path=xl/worksheets/_rels/sheet19.xml.rels><?xml version="1.0" encoding="UTF-8" standalone="yes"?>
<Relationships xmlns="http://schemas.openxmlformats.org/package/2006/relationships"><Relationship Id="rId8" Type="http://schemas.openxmlformats.org/officeDocument/2006/relationships/hyperlink" Target="https://www.mk.co.kr/news/stock/11281840" TargetMode="External"/><Relationship Id="rId13" Type="http://schemas.openxmlformats.org/officeDocument/2006/relationships/hyperlink" Target="https://www.chosun.com/economy/industry-company/2025/07/25/UIXMB6RG4ZEHXGQPGCYBANGBPE/" TargetMode="External"/><Relationship Id="rId18" Type="http://schemas.openxmlformats.org/officeDocument/2006/relationships/hyperlink" Target="https://dealsite.co.kr/articles/152050" TargetMode="External"/><Relationship Id="rId3" Type="http://schemas.openxmlformats.org/officeDocument/2006/relationships/hyperlink" Target="https://dealbook.co.kr/hanaopiseuyeogsamriceu-taegwangtaweo-maeibjageum-1940eog-jodal-bagca/" TargetMode="External"/><Relationship Id="rId21" Type="http://schemas.openxmlformats.org/officeDocument/2006/relationships/printerSettings" Target="../printerSettings/printerSettings17.bin"/><Relationship Id="rId7" Type="http://schemas.openxmlformats.org/officeDocument/2006/relationships/hyperlink" Target="https://www.mk.co.kr/economy/view.php?sc=50000001&amp;year=2025&amp;no=202364" TargetMode="External"/><Relationship Id="rId12" Type="http://schemas.openxmlformats.org/officeDocument/2006/relationships/hyperlink" Target="https://www.investchosun.com/site/data/html_dir/2025/02/05/2025020580208.html" TargetMode="External"/><Relationship Id="rId17" Type="http://schemas.openxmlformats.org/officeDocument/2006/relationships/hyperlink" Target="https://www.investchosun.com/site/data/html_dir/2025/09/26/2025092680169.html" TargetMode="External"/><Relationship Id="rId2" Type="http://schemas.openxmlformats.org/officeDocument/2006/relationships/hyperlink" Target="https://dealbook.co.kr/yeoyido-hyeondaecajeunggweonbilding-koramkounyong-pumeuro-doedolaon-sayeon/" TargetMode="External"/><Relationship Id="rId16" Type="http://schemas.openxmlformats.org/officeDocument/2006/relationships/hyperlink" Target="https://www.chosun.com/economy/industry-company/2025/10/24/FK42GVDBQVEOBAGRBGFALBDAWA/" TargetMode="External"/><Relationship Id="rId20" Type="http://schemas.openxmlformats.org/officeDocument/2006/relationships/hyperlink" Target="https://www.corebeat.co.kr/article/1576" TargetMode="External"/><Relationship Id="rId1" Type="http://schemas.openxmlformats.org/officeDocument/2006/relationships/hyperlink" Target="https://news.nate.com/view/20250326n46250" TargetMode="External"/><Relationship Id="rId6" Type="http://schemas.openxmlformats.org/officeDocument/2006/relationships/hyperlink" Target="https://www.chosun.com/economy/money/2025/06/26/DES4ZPYHXI477M43BCKNL2XKPY/" TargetMode="External"/><Relationship Id="rId11" Type="http://schemas.openxmlformats.org/officeDocument/2006/relationships/hyperlink" Target="https://biz.chosun.com/stock/stock_general/2025/07/28/PVUFE5EMCJAOJA3SFCPR24ZZQE/" TargetMode="External"/><Relationship Id="rId24" Type="http://schemas.microsoft.com/office/2017/10/relationships/threadedComment" Target="../threadedComments/threadedComment6.xml"/><Relationship Id="rId5" Type="http://schemas.openxmlformats.org/officeDocument/2006/relationships/hyperlink" Target="https://www.hankyung.com/article/2025051685761" TargetMode="External"/><Relationship Id="rId15" Type="http://schemas.openxmlformats.org/officeDocument/2006/relationships/hyperlink" Target="https://dealsite.co.kr/articles/151289" TargetMode="External"/><Relationship Id="rId23" Type="http://schemas.openxmlformats.org/officeDocument/2006/relationships/comments" Target="../comments6.xml"/><Relationship Id="rId10" Type="http://schemas.openxmlformats.org/officeDocument/2006/relationships/hyperlink" Target="https://biz.chosun.com/real_estate/real_estate_general/2025/05/23/CJDAE3WR7BHVVNAXK2FRP3THKI/" TargetMode="External"/><Relationship Id="rId19" Type="http://schemas.openxmlformats.org/officeDocument/2006/relationships/hyperlink" Target="https://news.einfomax.co.kr/news/articleView.html?idxno=4377351" TargetMode="External"/><Relationship Id="rId4" Type="http://schemas.openxmlformats.org/officeDocument/2006/relationships/hyperlink" Target="https://www.mk.co.kr/news/stock/11295367" TargetMode="External"/><Relationship Id="rId9" Type="http://schemas.openxmlformats.org/officeDocument/2006/relationships/hyperlink" Target="https://www.digitaltoday.co.kr/news/articleView.html?idxno=593874" TargetMode="External"/><Relationship Id="rId14" Type="http://schemas.openxmlformats.org/officeDocument/2006/relationships/hyperlink" Target="https://www.corebeat.co.kr/article/816" TargetMode="External"/><Relationship Id="rId22" Type="http://schemas.openxmlformats.org/officeDocument/2006/relationships/vmlDrawing" Target="../drawings/vmlDrawing6.vml"/></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E06405-6AB0-4C06-A106-ED62C6B69676}">
  <sheetPr>
    <tabColor rgb="FF339088"/>
    <pageSetUpPr fitToPage="1"/>
  </sheetPr>
  <dimension ref="A1:Z48"/>
  <sheetViews>
    <sheetView view="pageBreakPreview" zoomScale="40" zoomScaleNormal="100" zoomScaleSheetLayoutView="40" workbookViewId="0">
      <selection activeCell="R96" sqref="R96:S96"/>
    </sheetView>
  </sheetViews>
  <sheetFormatPr defaultRowHeight="14.5"/>
  <cols>
    <col min="2" max="2" width="7.26953125" customWidth="1"/>
    <col min="22" max="22" width="9.26953125" bestFit="1" customWidth="1"/>
    <col min="23" max="23" width="9.26953125" customWidth="1"/>
  </cols>
  <sheetData>
    <row r="1" spans="1:26">
      <c r="A1" s="1049" t="s">
        <v>0</v>
      </c>
      <c r="B1" s="1050"/>
      <c r="C1" s="1050"/>
      <c r="D1" s="1050"/>
      <c r="E1" s="1050"/>
      <c r="F1" s="1050"/>
      <c r="G1" s="1050"/>
      <c r="H1" s="1050"/>
      <c r="I1" s="1050"/>
      <c r="J1" s="1050"/>
      <c r="K1" s="1050"/>
      <c r="L1" s="6"/>
      <c r="M1" s="6"/>
      <c r="N1" s="6"/>
      <c r="O1" s="6"/>
      <c r="P1" s="6"/>
      <c r="Q1" s="6"/>
      <c r="R1" s="6"/>
      <c r="S1" s="6"/>
      <c r="T1" s="6"/>
      <c r="U1" s="6"/>
      <c r="V1" s="6"/>
      <c r="W1" s="6"/>
      <c r="X1" s="6"/>
      <c r="Y1" s="6"/>
      <c r="Z1" s="6"/>
    </row>
    <row r="2" spans="1:26">
      <c r="A2" s="1050"/>
      <c r="B2" s="1050"/>
      <c r="C2" s="1050"/>
      <c r="D2" s="1050"/>
      <c r="E2" s="1050"/>
      <c r="F2" s="1050"/>
      <c r="G2" s="1050"/>
      <c r="H2" s="1050"/>
      <c r="I2" s="1050"/>
      <c r="J2" s="1050"/>
      <c r="K2" s="1050"/>
      <c r="L2" s="6"/>
      <c r="M2" s="6"/>
      <c r="N2" s="6"/>
      <c r="O2" s="6"/>
      <c r="P2" s="6"/>
      <c r="Q2" s="6"/>
      <c r="R2" s="6"/>
      <c r="S2" s="6"/>
      <c r="T2" s="6"/>
      <c r="U2" s="6"/>
      <c r="V2" s="6"/>
      <c r="W2" s="6"/>
      <c r="X2" s="6"/>
      <c r="Y2" s="6"/>
      <c r="Z2" s="6"/>
    </row>
    <row r="3" spans="1:26">
      <c r="A3" s="1050"/>
      <c r="B3" s="1050"/>
      <c r="C3" s="1050"/>
      <c r="D3" s="1050"/>
      <c r="E3" s="1050"/>
      <c r="F3" s="1050"/>
      <c r="G3" s="1050"/>
      <c r="H3" s="1050"/>
      <c r="I3" s="1050"/>
      <c r="J3" s="1050"/>
      <c r="K3" s="1050"/>
      <c r="L3" s="6"/>
      <c r="M3" s="6"/>
      <c r="N3" s="6"/>
      <c r="O3" s="6"/>
      <c r="P3" s="6"/>
      <c r="Q3" s="6"/>
      <c r="R3" s="6"/>
      <c r="S3" s="6"/>
      <c r="T3" s="6"/>
      <c r="U3" s="6"/>
      <c r="V3" s="6"/>
      <c r="W3" s="6"/>
      <c r="X3" s="6"/>
      <c r="Y3" s="6"/>
      <c r="Z3" s="6"/>
    </row>
    <row r="4" spans="1:26">
      <c r="A4" s="1050"/>
      <c r="B4" s="1050"/>
      <c r="C4" s="1050"/>
      <c r="D4" s="1050"/>
      <c r="E4" s="1050"/>
      <c r="F4" s="1050"/>
      <c r="G4" s="1050"/>
      <c r="H4" s="1050"/>
      <c r="I4" s="1050"/>
      <c r="J4" s="1050"/>
      <c r="K4" s="1050"/>
      <c r="L4" s="6"/>
      <c r="M4" s="6"/>
      <c r="N4" s="6"/>
      <c r="O4" s="6"/>
      <c r="P4" s="6"/>
      <c r="Q4" s="6"/>
      <c r="R4" s="6"/>
      <c r="S4" s="6"/>
      <c r="T4" s="6"/>
      <c r="U4" s="6"/>
      <c r="V4" s="6"/>
      <c r="W4" s="6"/>
      <c r="X4" s="6"/>
      <c r="Y4" s="6"/>
      <c r="Z4" s="6"/>
    </row>
    <row r="5" spans="1:26">
      <c r="A5" s="6"/>
      <c r="B5" s="6"/>
      <c r="C5" s="6"/>
      <c r="D5" s="6"/>
      <c r="E5" s="6"/>
      <c r="F5" s="6"/>
      <c r="G5" s="6"/>
      <c r="H5" s="6"/>
      <c r="I5" s="6"/>
      <c r="J5" s="6"/>
      <c r="K5" s="6"/>
      <c r="L5" s="6"/>
      <c r="M5" s="6"/>
      <c r="N5" s="6"/>
      <c r="O5" s="6"/>
      <c r="P5" s="59"/>
      <c r="Q5" s="6"/>
      <c r="R5" s="6"/>
      <c r="S5" s="6"/>
      <c r="T5" s="6"/>
      <c r="U5" s="6"/>
      <c r="V5" s="6"/>
      <c r="W5" s="6"/>
      <c r="X5" s="6"/>
      <c r="Y5" s="6"/>
      <c r="Z5" s="6"/>
    </row>
    <row r="6" spans="1:26">
      <c r="A6" s="1051" t="s">
        <v>1</v>
      </c>
      <c r="B6" s="1052"/>
      <c r="C6" s="1052"/>
      <c r="D6" s="1052"/>
      <c r="E6" s="1052"/>
      <c r="F6" s="1052"/>
      <c r="G6" s="1052"/>
      <c r="H6" s="1052"/>
      <c r="I6" s="1052"/>
      <c r="J6" s="1052"/>
      <c r="K6" s="1052"/>
      <c r="L6" s="6"/>
      <c r="M6" s="6"/>
      <c r="N6" s="6"/>
      <c r="O6" s="6"/>
      <c r="P6" s="6"/>
      <c r="Q6" s="6"/>
      <c r="R6" s="6"/>
      <c r="S6" s="6"/>
      <c r="T6" s="6"/>
      <c r="U6" s="6"/>
      <c r="V6" s="6"/>
      <c r="W6" s="6"/>
      <c r="X6" s="6"/>
      <c r="Y6" s="6"/>
      <c r="Z6" s="6"/>
    </row>
    <row r="7" spans="1:26">
      <c r="A7" s="1052"/>
      <c r="B7" s="1052"/>
      <c r="C7" s="1052"/>
      <c r="D7" s="1052"/>
      <c r="E7" s="1052"/>
      <c r="F7" s="1052"/>
      <c r="G7" s="1052"/>
      <c r="H7" s="1052"/>
      <c r="I7" s="1052"/>
      <c r="J7" s="1052"/>
      <c r="K7" s="1052"/>
      <c r="L7" s="6"/>
      <c r="M7" s="6"/>
      <c r="N7" s="6"/>
      <c r="O7" s="6"/>
      <c r="P7" s="6"/>
      <c r="Q7" s="6"/>
      <c r="R7" s="6"/>
      <c r="S7" s="6"/>
      <c r="T7" s="6"/>
      <c r="U7" s="6"/>
      <c r="V7" s="6"/>
      <c r="W7" s="6"/>
      <c r="X7" s="6"/>
      <c r="Y7" s="6"/>
      <c r="Z7" s="6"/>
    </row>
    <row r="8" spans="1:26">
      <c r="A8" s="6"/>
      <c r="B8" s="6"/>
      <c r="C8" s="6"/>
      <c r="D8" s="6"/>
      <c r="E8" s="6"/>
      <c r="F8" s="6"/>
      <c r="G8" s="6"/>
      <c r="H8" s="6"/>
      <c r="I8" s="6"/>
      <c r="J8" s="6"/>
      <c r="K8" s="6"/>
      <c r="L8" s="6"/>
      <c r="M8" s="6"/>
      <c r="N8" s="6"/>
      <c r="O8" s="6"/>
      <c r="P8" s="6"/>
      <c r="Q8" s="6"/>
      <c r="R8" s="6"/>
      <c r="S8" s="6"/>
      <c r="T8" s="6"/>
      <c r="U8" s="6"/>
      <c r="V8" s="6"/>
      <c r="W8" s="6"/>
      <c r="X8" s="6"/>
      <c r="Y8" s="6"/>
      <c r="Z8" s="6"/>
    </row>
    <row r="9" spans="1:26" ht="16.5">
      <c r="A9" s="1053" t="s">
        <v>2</v>
      </c>
      <c r="B9" s="1053"/>
      <c r="C9" s="1053"/>
      <c r="D9" s="1053"/>
      <c r="E9" s="1053"/>
      <c r="F9" s="1053"/>
      <c r="G9" s="1053"/>
      <c r="H9" s="1053"/>
      <c r="I9" s="1053"/>
      <c r="J9" s="1053"/>
      <c r="K9" s="1053"/>
      <c r="L9" s="6"/>
      <c r="M9" s="6"/>
      <c r="N9" s="6"/>
      <c r="O9" s="6"/>
      <c r="P9" s="6"/>
      <c r="Q9" s="6"/>
      <c r="R9" s="6"/>
      <c r="S9" s="6"/>
      <c r="T9" s="6"/>
      <c r="U9" s="6"/>
      <c r="V9" s="6"/>
      <c r="W9" s="6"/>
      <c r="X9" s="6"/>
      <c r="Y9" s="6"/>
      <c r="Z9" s="6"/>
    </row>
    <row r="10" spans="1:26">
      <c r="A10" s="6"/>
      <c r="B10" s="6"/>
      <c r="C10" s="6"/>
      <c r="D10" s="6"/>
      <c r="E10" s="6"/>
      <c r="F10" s="6"/>
      <c r="G10" s="6"/>
      <c r="H10" s="6"/>
      <c r="I10" s="6"/>
      <c r="J10" s="6"/>
      <c r="K10" s="6"/>
      <c r="L10" s="6"/>
      <c r="M10" s="6"/>
      <c r="N10" s="6"/>
      <c r="O10" s="6"/>
      <c r="P10" s="6"/>
      <c r="Q10" s="6"/>
      <c r="R10" s="6"/>
      <c r="S10" s="6"/>
      <c r="T10" s="6"/>
      <c r="U10" s="6"/>
      <c r="V10" s="6"/>
      <c r="W10" s="6"/>
      <c r="X10" s="6"/>
      <c r="Y10" s="6"/>
      <c r="Z10" s="6"/>
    </row>
    <row r="11" spans="1:26">
      <c r="A11" s="6"/>
      <c r="B11" s="6"/>
      <c r="C11" s="6"/>
      <c r="D11" s="1054" t="s">
        <v>3</v>
      </c>
      <c r="E11" s="1054"/>
      <c r="F11" s="1054"/>
      <c r="G11" s="1054"/>
      <c r="H11" s="1054"/>
      <c r="I11" s="1054"/>
      <c r="J11" s="1054"/>
      <c r="K11" s="1054"/>
      <c r="L11" s="1054"/>
      <c r="M11" s="1054"/>
      <c r="N11" s="1054"/>
      <c r="O11" s="1054"/>
      <c r="P11" s="1054"/>
      <c r="Q11" s="1054"/>
      <c r="R11" s="1054"/>
      <c r="S11" s="1054"/>
      <c r="T11" s="1054"/>
      <c r="U11" s="1054"/>
      <c r="V11" s="1054"/>
      <c r="W11" s="6"/>
      <c r="X11" s="6"/>
      <c r="Y11" s="6"/>
      <c r="Z11" s="6"/>
    </row>
    <row r="12" spans="1:26">
      <c r="A12" s="6"/>
      <c r="B12" s="6"/>
      <c r="C12" s="6"/>
      <c r="D12" s="1054"/>
      <c r="E12" s="1054"/>
      <c r="F12" s="1054"/>
      <c r="G12" s="1054"/>
      <c r="H12" s="1054"/>
      <c r="I12" s="1054"/>
      <c r="J12" s="1054"/>
      <c r="K12" s="1054"/>
      <c r="L12" s="1054"/>
      <c r="M12" s="1054"/>
      <c r="N12" s="1054"/>
      <c r="O12" s="1054"/>
      <c r="P12" s="1054"/>
      <c r="Q12" s="1054"/>
      <c r="R12" s="1054"/>
      <c r="S12" s="1054"/>
      <c r="T12" s="1054"/>
      <c r="U12" s="1054"/>
      <c r="V12" s="1054"/>
      <c r="W12" s="6"/>
      <c r="X12" s="6"/>
      <c r="Y12" s="6"/>
      <c r="Z12" s="6"/>
    </row>
    <row r="13" spans="1:26">
      <c r="A13" s="6"/>
      <c r="B13" s="6"/>
      <c r="C13" s="6"/>
      <c r="D13" s="1054"/>
      <c r="E13" s="1054"/>
      <c r="F13" s="1054"/>
      <c r="G13" s="1054"/>
      <c r="H13" s="1054"/>
      <c r="I13" s="1054"/>
      <c r="J13" s="1054"/>
      <c r="K13" s="1054"/>
      <c r="L13" s="1054"/>
      <c r="M13" s="1054"/>
      <c r="N13" s="1054"/>
      <c r="O13" s="1054"/>
      <c r="P13" s="1054"/>
      <c r="Q13" s="1054"/>
      <c r="R13" s="1054"/>
      <c r="S13" s="1054"/>
      <c r="T13" s="1054"/>
      <c r="U13" s="1054"/>
      <c r="V13" s="1054"/>
      <c r="W13" s="6"/>
      <c r="X13" s="6"/>
      <c r="Y13" s="6"/>
      <c r="Z13" s="6"/>
    </row>
    <row r="14" spans="1:26">
      <c r="A14" s="6"/>
      <c r="B14" s="6"/>
      <c r="C14" s="6"/>
      <c r="D14" s="1054"/>
      <c r="E14" s="1054"/>
      <c r="F14" s="1054"/>
      <c r="G14" s="1054"/>
      <c r="H14" s="1054"/>
      <c r="I14" s="1054"/>
      <c r="J14" s="1054"/>
      <c r="K14" s="1054"/>
      <c r="L14" s="1054"/>
      <c r="M14" s="1054"/>
      <c r="N14" s="1054"/>
      <c r="O14" s="1054"/>
      <c r="P14" s="1054"/>
      <c r="Q14" s="1054"/>
      <c r="R14" s="1054"/>
      <c r="S14" s="1054"/>
      <c r="T14" s="1054"/>
      <c r="U14" s="1054"/>
      <c r="V14" s="1054"/>
      <c r="W14" s="6"/>
      <c r="X14" s="6"/>
      <c r="Y14" s="6"/>
      <c r="Z14" s="6"/>
    </row>
    <row r="15" spans="1:26">
      <c r="A15" s="6"/>
      <c r="B15" s="6"/>
      <c r="C15" s="6"/>
      <c r="D15" s="1054"/>
      <c r="E15" s="1054"/>
      <c r="F15" s="1054"/>
      <c r="G15" s="1054"/>
      <c r="H15" s="1054"/>
      <c r="I15" s="1054"/>
      <c r="J15" s="1054"/>
      <c r="K15" s="1054"/>
      <c r="L15" s="1054"/>
      <c r="M15" s="1054"/>
      <c r="N15" s="1054"/>
      <c r="O15" s="1054"/>
      <c r="P15" s="1054"/>
      <c r="Q15" s="1054"/>
      <c r="R15" s="1054"/>
      <c r="S15" s="1054"/>
      <c r="T15" s="1054"/>
      <c r="U15" s="1054"/>
      <c r="V15" s="1054"/>
      <c r="W15" s="6"/>
      <c r="X15" s="6"/>
      <c r="Y15" s="6"/>
      <c r="Z15" s="6"/>
    </row>
    <row r="16" spans="1:26">
      <c r="A16" s="6"/>
      <c r="B16" s="6"/>
      <c r="C16" s="6"/>
      <c r="D16" s="1054"/>
      <c r="E16" s="1054"/>
      <c r="F16" s="1054"/>
      <c r="G16" s="1054"/>
      <c r="H16" s="1054"/>
      <c r="I16" s="1054"/>
      <c r="J16" s="1054"/>
      <c r="K16" s="1054"/>
      <c r="L16" s="1054"/>
      <c r="M16" s="1054"/>
      <c r="N16" s="1054"/>
      <c r="O16" s="1054"/>
      <c r="P16" s="1054"/>
      <c r="Q16" s="1054"/>
      <c r="R16" s="1054"/>
      <c r="S16" s="1054"/>
      <c r="T16" s="1054"/>
      <c r="U16" s="1054"/>
      <c r="V16" s="1054"/>
      <c r="W16" s="6"/>
      <c r="X16" s="6"/>
      <c r="Y16" s="6"/>
      <c r="Z16" s="6"/>
    </row>
    <row r="17" spans="1:26">
      <c r="A17" s="6"/>
      <c r="B17" s="6"/>
      <c r="C17" s="6"/>
      <c r="D17" s="1054"/>
      <c r="E17" s="1054"/>
      <c r="F17" s="1054"/>
      <c r="G17" s="1054"/>
      <c r="H17" s="1054"/>
      <c r="I17" s="1054"/>
      <c r="J17" s="1054"/>
      <c r="K17" s="1054"/>
      <c r="L17" s="1054"/>
      <c r="M17" s="1054"/>
      <c r="N17" s="1054"/>
      <c r="O17" s="1054"/>
      <c r="P17" s="1054"/>
      <c r="Q17" s="1054"/>
      <c r="R17" s="1054"/>
      <c r="S17" s="1054"/>
      <c r="T17" s="1054"/>
      <c r="U17" s="1054"/>
      <c r="V17" s="1054"/>
      <c r="W17" s="6"/>
      <c r="X17" s="6"/>
      <c r="Y17" s="6"/>
      <c r="Z17" s="6"/>
    </row>
    <row r="18" spans="1:26">
      <c r="A18" s="6"/>
      <c r="B18" s="6"/>
      <c r="C18" s="6"/>
      <c r="D18" s="1054"/>
      <c r="E18" s="1054"/>
      <c r="F18" s="1054"/>
      <c r="G18" s="1054"/>
      <c r="H18" s="1054"/>
      <c r="I18" s="1054"/>
      <c r="J18" s="1054"/>
      <c r="K18" s="1054"/>
      <c r="L18" s="1054"/>
      <c r="M18" s="1054"/>
      <c r="N18" s="1054"/>
      <c r="O18" s="1054"/>
      <c r="P18" s="1054"/>
      <c r="Q18" s="1054"/>
      <c r="R18" s="1054"/>
      <c r="S18" s="1054"/>
      <c r="T18" s="1054"/>
      <c r="U18" s="1054"/>
      <c r="V18" s="1054"/>
      <c r="W18" s="6"/>
      <c r="X18" s="6"/>
      <c r="Y18" s="6"/>
      <c r="Z18" s="6"/>
    </row>
    <row r="19" spans="1:26">
      <c r="A19" s="6"/>
      <c r="B19" s="6"/>
      <c r="C19" s="6"/>
      <c r="D19" s="1054"/>
      <c r="E19" s="1054"/>
      <c r="F19" s="1054"/>
      <c r="G19" s="1054"/>
      <c r="H19" s="1054"/>
      <c r="I19" s="1054"/>
      <c r="J19" s="1054"/>
      <c r="K19" s="1054"/>
      <c r="L19" s="1054"/>
      <c r="M19" s="1054"/>
      <c r="N19" s="1054"/>
      <c r="O19" s="1054"/>
      <c r="P19" s="1054"/>
      <c r="Q19" s="1054"/>
      <c r="R19" s="1054"/>
      <c r="S19" s="1054"/>
      <c r="T19" s="1054"/>
      <c r="U19" s="1054"/>
      <c r="V19" s="1054"/>
      <c r="W19" s="6"/>
      <c r="X19" s="6"/>
      <c r="Y19" s="6"/>
      <c r="Z19" s="6"/>
    </row>
    <row r="20" spans="1:26">
      <c r="A20" s="6"/>
      <c r="B20" s="6"/>
      <c r="C20" s="6"/>
      <c r="D20" s="1054"/>
      <c r="E20" s="1054"/>
      <c r="F20" s="1054"/>
      <c r="G20" s="1054"/>
      <c r="H20" s="1054"/>
      <c r="I20" s="1054"/>
      <c r="J20" s="1054"/>
      <c r="K20" s="1054"/>
      <c r="L20" s="1054"/>
      <c r="M20" s="1054"/>
      <c r="N20" s="1054"/>
      <c r="O20" s="1054"/>
      <c r="P20" s="1054"/>
      <c r="Q20" s="1054"/>
      <c r="R20" s="1054"/>
      <c r="S20" s="1054"/>
      <c r="T20" s="1054"/>
      <c r="U20" s="1054"/>
      <c r="V20" s="1054"/>
      <c r="W20" s="6"/>
      <c r="X20" s="6"/>
      <c r="Y20" s="6"/>
      <c r="Z20" s="6"/>
    </row>
    <row r="21" spans="1:26">
      <c r="A21" s="6"/>
      <c r="B21" s="6"/>
      <c r="C21" s="6"/>
      <c r="D21" s="1054"/>
      <c r="E21" s="1054"/>
      <c r="F21" s="1054"/>
      <c r="G21" s="1054"/>
      <c r="H21" s="1054"/>
      <c r="I21" s="1054"/>
      <c r="J21" s="1054"/>
      <c r="K21" s="1054"/>
      <c r="L21" s="1054"/>
      <c r="M21" s="1054"/>
      <c r="N21" s="1054"/>
      <c r="O21" s="1054"/>
      <c r="P21" s="1054"/>
      <c r="Q21" s="1054"/>
      <c r="R21" s="1054"/>
      <c r="S21" s="1054"/>
      <c r="T21" s="1054"/>
      <c r="U21" s="1054"/>
      <c r="V21" s="1054"/>
      <c r="W21" s="6"/>
      <c r="X21" s="6"/>
      <c r="Y21" s="6"/>
      <c r="Z21" s="6"/>
    </row>
    <row r="22" spans="1:26">
      <c r="A22" s="6"/>
      <c r="B22" s="6"/>
      <c r="C22" s="6"/>
      <c r="D22" s="1054"/>
      <c r="E22" s="1054"/>
      <c r="F22" s="1054"/>
      <c r="G22" s="1054"/>
      <c r="H22" s="1054"/>
      <c r="I22" s="1054"/>
      <c r="J22" s="1054"/>
      <c r="K22" s="1054"/>
      <c r="L22" s="1054"/>
      <c r="M22" s="1054"/>
      <c r="N22" s="1054"/>
      <c r="O22" s="1054"/>
      <c r="P22" s="1054"/>
      <c r="Q22" s="1054"/>
      <c r="R22" s="1054"/>
      <c r="S22" s="1054"/>
      <c r="T22" s="1054"/>
      <c r="U22" s="1054"/>
      <c r="V22" s="1054"/>
      <c r="W22" s="6"/>
      <c r="X22" s="6"/>
      <c r="Y22" s="6"/>
      <c r="Z22" s="6"/>
    </row>
    <row r="23" spans="1:26">
      <c r="A23" s="6"/>
      <c r="B23" s="6"/>
      <c r="C23" s="6"/>
      <c r="D23" s="1054"/>
      <c r="E23" s="1054"/>
      <c r="F23" s="1054"/>
      <c r="G23" s="1054"/>
      <c r="H23" s="1054"/>
      <c r="I23" s="1054"/>
      <c r="J23" s="1054"/>
      <c r="K23" s="1054"/>
      <c r="L23" s="1054"/>
      <c r="M23" s="1054"/>
      <c r="N23" s="1054"/>
      <c r="O23" s="1054"/>
      <c r="P23" s="1054"/>
      <c r="Q23" s="1054"/>
      <c r="R23" s="1054"/>
      <c r="S23" s="1054"/>
      <c r="T23" s="1054"/>
      <c r="U23" s="1054"/>
      <c r="V23" s="1054"/>
      <c r="W23" s="6"/>
      <c r="X23" s="6"/>
      <c r="Y23" s="6"/>
      <c r="Z23" s="6"/>
    </row>
    <row r="24" spans="1:26">
      <c r="A24" s="6"/>
      <c r="B24" s="6"/>
      <c r="C24" s="6"/>
      <c r="D24" s="1054"/>
      <c r="E24" s="1054"/>
      <c r="F24" s="1054"/>
      <c r="G24" s="1054"/>
      <c r="H24" s="1054"/>
      <c r="I24" s="1054"/>
      <c r="J24" s="1054"/>
      <c r="K24" s="1054"/>
      <c r="L24" s="1054"/>
      <c r="M24" s="1054"/>
      <c r="N24" s="1054"/>
      <c r="O24" s="1054"/>
      <c r="P24" s="1054"/>
      <c r="Q24" s="1054"/>
      <c r="R24" s="1054"/>
      <c r="S24" s="1054"/>
      <c r="T24" s="1054"/>
      <c r="U24" s="1054"/>
      <c r="V24" s="1054"/>
      <c r="W24" s="6"/>
      <c r="X24" s="6"/>
      <c r="Y24" s="6"/>
      <c r="Z24" s="6"/>
    </row>
    <row r="25" spans="1:26">
      <c r="A25" s="6"/>
      <c r="B25" s="6"/>
      <c r="C25" s="6"/>
      <c r="D25" s="1054"/>
      <c r="E25" s="1054"/>
      <c r="F25" s="1054"/>
      <c r="G25" s="1054"/>
      <c r="H25" s="1054"/>
      <c r="I25" s="1054"/>
      <c r="J25" s="1054"/>
      <c r="K25" s="1054"/>
      <c r="L25" s="1054"/>
      <c r="M25" s="1054"/>
      <c r="N25" s="1054"/>
      <c r="O25" s="1054"/>
      <c r="P25" s="1054"/>
      <c r="Q25" s="1054"/>
      <c r="R25" s="1054"/>
      <c r="S25" s="1054"/>
      <c r="T25" s="1054"/>
      <c r="U25" s="1054"/>
      <c r="V25" s="1054"/>
      <c r="W25" s="6"/>
      <c r="X25" s="6"/>
      <c r="Y25" s="6"/>
      <c r="Z25" s="6"/>
    </row>
    <row r="26" spans="1:26">
      <c r="A26" s="6"/>
      <c r="B26" s="6"/>
      <c r="C26" s="6"/>
      <c r="D26" s="1054"/>
      <c r="E26" s="1054"/>
      <c r="F26" s="1054"/>
      <c r="G26" s="1054"/>
      <c r="H26" s="1054"/>
      <c r="I26" s="1054"/>
      <c r="J26" s="1054"/>
      <c r="K26" s="1054"/>
      <c r="L26" s="1054"/>
      <c r="M26" s="1054"/>
      <c r="N26" s="1054"/>
      <c r="O26" s="1054"/>
      <c r="P26" s="1054"/>
      <c r="Q26" s="1054"/>
      <c r="R26" s="1054"/>
      <c r="S26" s="1054"/>
      <c r="T26" s="1054"/>
      <c r="U26" s="1054"/>
      <c r="V26" s="1054"/>
      <c r="W26" s="6"/>
      <c r="X26" s="6"/>
      <c r="Y26" s="6"/>
      <c r="Z26" s="6"/>
    </row>
    <row r="27" spans="1:26">
      <c r="A27" s="6"/>
      <c r="B27" s="6"/>
      <c r="C27" s="6"/>
      <c r="D27" s="1054"/>
      <c r="E27" s="1054"/>
      <c r="F27" s="1054"/>
      <c r="G27" s="1054"/>
      <c r="H27" s="1054"/>
      <c r="I27" s="1054"/>
      <c r="J27" s="1054"/>
      <c r="K27" s="1054"/>
      <c r="L27" s="1054"/>
      <c r="M27" s="1054"/>
      <c r="N27" s="1054"/>
      <c r="O27" s="1054"/>
      <c r="P27" s="1054"/>
      <c r="Q27" s="1054"/>
      <c r="R27" s="1054"/>
      <c r="S27" s="1054"/>
      <c r="T27" s="1054"/>
      <c r="U27" s="1054"/>
      <c r="V27" s="1054"/>
      <c r="W27" s="6"/>
      <c r="X27" s="6"/>
      <c r="Y27" s="6"/>
      <c r="Z27" s="6"/>
    </row>
    <row r="28" spans="1:26">
      <c r="A28" s="6"/>
      <c r="B28" s="6"/>
      <c r="C28" s="6"/>
      <c r="D28" s="1054"/>
      <c r="E28" s="1054"/>
      <c r="F28" s="1054"/>
      <c r="G28" s="1054"/>
      <c r="H28" s="1054"/>
      <c r="I28" s="1054"/>
      <c r="J28" s="1054"/>
      <c r="K28" s="1054"/>
      <c r="L28" s="1054"/>
      <c r="M28" s="1054"/>
      <c r="N28" s="1054"/>
      <c r="O28" s="1054"/>
      <c r="P28" s="1054"/>
      <c r="Q28" s="1054"/>
      <c r="R28" s="1054"/>
      <c r="S28" s="1054"/>
      <c r="T28" s="1054"/>
      <c r="U28" s="1054"/>
      <c r="V28" s="1054"/>
      <c r="W28" s="6"/>
      <c r="X28" s="6"/>
      <c r="Y28" s="6"/>
      <c r="Z28" s="6"/>
    </row>
    <row r="29" spans="1:26">
      <c r="A29" s="6"/>
      <c r="B29" s="6"/>
      <c r="C29" s="6"/>
      <c r="D29" s="1054"/>
      <c r="E29" s="1054"/>
      <c r="F29" s="1054"/>
      <c r="G29" s="1054"/>
      <c r="H29" s="1054"/>
      <c r="I29" s="1054"/>
      <c r="J29" s="1054"/>
      <c r="K29" s="1054"/>
      <c r="L29" s="1054"/>
      <c r="M29" s="1054"/>
      <c r="N29" s="1054"/>
      <c r="O29" s="1054"/>
      <c r="P29" s="1054"/>
      <c r="Q29" s="1054"/>
      <c r="R29" s="1054"/>
      <c r="S29" s="1054"/>
      <c r="T29" s="1054"/>
      <c r="U29" s="1054"/>
      <c r="V29" s="1054"/>
      <c r="W29" s="6"/>
      <c r="X29" s="6"/>
      <c r="Y29" s="6"/>
      <c r="Z29" s="6"/>
    </row>
    <row r="30" spans="1:26">
      <c r="A30" s="6"/>
      <c r="B30" s="6"/>
      <c r="C30" s="6"/>
      <c r="D30" s="1054"/>
      <c r="E30" s="1054"/>
      <c r="F30" s="1054"/>
      <c r="G30" s="1054"/>
      <c r="H30" s="1054"/>
      <c r="I30" s="1054"/>
      <c r="J30" s="1054"/>
      <c r="K30" s="1054"/>
      <c r="L30" s="1054"/>
      <c r="M30" s="1054"/>
      <c r="N30" s="1054"/>
      <c r="O30" s="1054"/>
      <c r="P30" s="1054"/>
      <c r="Q30" s="1054"/>
      <c r="R30" s="1054"/>
      <c r="S30" s="1054"/>
      <c r="T30" s="1054"/>
      <c r="U30" s="1054"/>
      <c r="V30" s="1054"/>
      <c r="W30" s="6"/>
      <c r="X30" s="6"/>
      <c r="Y30" s="6"/>
      <c r="Z30" s="6"/>
    </row>
    <row r="31" spans="1:26">
      <c r="A31" s="6"/>
      <c r="B31" s="6"/>
      <c r="C31" s="6"/>
      <c r="D31" s="1054"/>
      <c r="E31" s="1054"/>
      <c r="F31" s="1054"/>
      <c r="G31" s="1054"/>
      <c r="H31" s="1054"/>
      <c r="I31" s="1054"/>
      <c r="J31" s="1054"/>
      <c r="K31" s="1054"/>
      <c r="L31" s="1054"/>
      <c r="M31" s="1054"/>
      <c r="N31" s="1054"/>
      <c r="O31" s="1054"/>
      <c r="P31" s="1054"/>
      <c r="Q31" s="1054"/>
      <c r="R31" s="1054"/>
      <c r="S31" s="1054"/>
      <c r="T31" s="1054"/>
      <c r="U31" s="1054"/>
      <c r="V31" s="1054"/>
      <c r="W31" s="6"/>
      <c r="X31" s="6"/>
      <c r="Y31" s="6"/>
      <c r="Z31" s="6"/>
    </row>
    <row r="32" spans="1:26">
      <c r="A32" s="6"/>
      <c r="B32" s="6"/>
      <c r="C32" s="6"/>
      <c r="D32" s="1054"/>
      <c r="E32" s="1054"/>
      <c r="F32" s="1054"/>
      <c r="G32" s="1054"/>
      <c r="H32" s="1054"/>
      <c r="I32" s="1054"/>
      <c r="J32" s="1054"/>
      <c r="K32" s="1054"/>
      <c r="L32" s="1054"/>
      <c r="M32" s="1054"/>
      <c r="N32" s="1054"/>
      <c r="O32" s="1054"/>
      <c r="P32" s="1054"/>
      <c r="Q32" s="1054"/>
      <c r="R32" s="1054"/>
      <c r="S32" s="1054"/>
      <c r="T32" s="1054"/>
      <c r="U32" s="1054"/>
      <c r="V32" s="1054"/>
      <c r="W32" s="6"/>
      <c r="X32" s="6"/>
      <c r="Y32" s="6"/>
      <c r="Z32" s="6"/>
    </row>
    <row r="33" spans="1:26">
      <c r="A33" s="6"/>
      <c r="B33" s="6"/>
      <c r="C33" s="6"/>
      <c r="D33" s="1054"/>
      <c r="E33" s="1054"/>
      <c r="F33" s="1054"/>
      <c r="G33" s="1054"/>
      <c r="H33" s="1054"/>
      <c r="I33" s="1054"/>
      <c r="J33" s="1054"/>
      <c r="K33" s="1054"/>
      <c r="L33" s="1054"/>
      <c r="M33" s="1054"/>
      <c r="N33" s="1054"/>
      <c r="O33" s="1054"/>
      <c r="P33" s="1054"/>
      <c r="Q33" s="1054"/>
      <c r="R33" s="1054"/>
      <c r="S33" s="1054"/>
      <c r="T33" s="1054"/>
      <c r="U33" s="1054"/>
      <c r="V33" s="1054"/>
      <c r="W33" s="6"/>
      <c r="X33" s="6"/>
      <c r="Y33" s="6"/>
      <c r="Z33" s="6"/>
    </row>
    <row r="34" spans="1:26">
      <c r="A34" s="6"/>
      <c r="B34" s="6"/>
      <c r="C34" s="6"/>
      <c r="D34" s="1054"/>
      <c r="E34" s="1054"/>
      <c r="F34" s="1054"/>
      <c r="G34" s="1054"/>
      <c r="H34" s="1054"/>
      <c r="I34" s="1054"/>
      <c r="J34" s="1054"/>
      <c r="K34" s="1054"/>
      <c r="L34" s="1054"/>
      <c r="M34" s="1054"/>
      <c r="N34" s="1054"/>
      <c r="O34" s="1054"/>
      <c r="P34" s="1054"/>
      <c r="Q34" s="1054"/>
      <c r="R34" s="1054"/>
      <c r="S34" s="1054"/>
      <c r="T34" s="1054"/>
      <c r="U34" s="1054"/>
      <c r="V34" s="1054"/>
      <c r="W34" s="6"/>
      <c r="X34" s="6"/>
      <c r="Y34" s="6"/>
      <c r="Z34" s="6"/>
    </row>
    <row r="35" spans="1:26">
      <c r="A35" s="6"/>
      <c r="B35" s="6"/>
      <c r="C35" s="6"/>
      <c r="D35" s="1054"/>
      <c r="E35" s="1054"/>
      <c r="F35" s="1054"/>
      <c r="G35" s="1054"/>
      <c r="H35" s="1054"/>
      <c r="I35" s="1054"/>
      <c r="J35" s="1054"/>
      <c r="K35" s="1054"/>
      <c r="L35" s="1054"/>
      <c r="M35" s="1054"/>
      <c r="N35" s="1054"/>
      <c r="O35" s="1054"/>
      <c r="P35" s="1054"/>
      <c r="Q35" s="1054"/>
      <c r="R35" s="1054"/>
      <c r="S35" s="1054"/>
      <c r="T35" s="1054"/>
      <c r="U35" s="1054"/>
      <c r="V35" s="1054"/>
      <c r="W35" s="6"/>
      <c r="X35" s="6"/>
      <c r="Y35" s="6"/>
      <c r="Z35" s="6"/>
    </row>
    <row r="36" spans="1:26">
      <c r="A36" s="6"/>
      <c r="B36" s="6"/>
      <c r="C36" s="6"/>
      <c r="D36" s="1054"/>
      <c r="E36" s="1054"/>
      <c r="F36" s="1054"/>
      <c r="G36" s="1054"/>
      <c r="H36" s="1054"/>
      <c r="I36" s="1054"/>
      <c r="J36" s="1054"/>
      <c r="K36" s="1054"/>
      <c r="L36" s="1054"/>
      <c r="M36" s="1054"/>
      <c r="N36" s="1054"/>
      <c r="O36" s="1054"/>
      <c r="P36" s="1054"/>
      <c r="Q36" s="1054"/>
      <c r="R36" s="1054"/>
      <c r="S36" s="1054"/>
      <c r="T36" s="1054"/>
      <c r="U36" s="1054"/>
      <c r="V36" s="1054"/>
      <c r="W36" s="6"/>
      <c r="X36" s="6"/>
      <c r="Y36" s="6"/>
      <c r="Z36" s="6"/>
    </row>
    <row r="37" spans="1:26">
      <c r="A37" s="6"/>
      <c r="B37" s="6"/>
      <c r="C37" s="6"/>
      <c r="D37" s="1054"/>
      <c r="E37" s="1054"/>
      <c r="F37" s="1054"/>
      <c r="G37" s="1054"/>
      <c r="H37" s="1054"/>
      <c r="I37" s="1054"/>
      <c r="J37" s="1054"/>
      <c r="K37" s="1054"/>
      <c r="L37" s="1054"/>
      <c r="M37" s="1054"/>
      <c r="N37" s="1054"/>
      <c r="O37" s="1054"/>
      <c r="P37" s="1054"/>
      <c r="Q37" s="1054"/>
      <c r="R37" s="1054"/>
      <c r="S37" s="1054"/>
      <c r="T37" s="1054"/>
      <c r="U37" s="1054"/>
      <c r="V37" s="1054"/>
      <c r="W37" s="6"/>
      <c r="X37" s="6"/>
      <c r="Y37" s="6"/>
      <c r="Z37" s="6"/>
    </row>
    <row r="38" spans="1:26">
      <c r="A38" s="6"/>
      <c r="B38" s="6"/>
      <c r="C38" s="6"/>
      <c r="D38" s="1054"/>
      <c r="E38" s="1054"/>
      <c r="F38" s="1054"/>
      <c r="G38" s="1054"/>
      <c r="H38" s="1054"/>
      <c r="I38" s="1054"/>
      <c r="J38" s="1054"/>
      <c r="K38" s="1054"/>
      <c r="L38" s="1054"/>
      <c r="M38" s="1054"/>
      <c r="N38" s="1054"/>
      <c r="O38" s="1054"/>
      <c r="P38" s="1054"/>
      <c r="Q38" s="1054"/>
      <c r="R38" s="1054"/>
      <c r="S38" s="1054"/>
      <c r="T38" s="1054"/>
      <c r="U38" s="1054"/>
      <c r="V38" s="1054"/>
      <c r="W38" s="6"/>
      <c r="X38" s="6"/>
      <c r="Y38" s="6"/>
      <c r="Z38" s="6"/>
    </row>
    <row r="39" spans="1:26">
      <c r="A39" s="6"/>
      <c r="B39" s="6"/>
      <c r="C39" s="6"/>
      <c r="D39" s="1054"/>
      <c r="E39" s="1054"/>
      <c r="F39" s="1054"/>
      <c r="G39" s="1054"/>
      <c r="H39" s="1054"/>
      <c r="I39" s="1054"/>
      <c r="J39" s="1054"/>
      <c r="K39" s="1054"/>
      <c r="L39" s="1054"/>
      <c r="M39" s="1054"/>
      <c r="N39" s="1054"/>
      <c r="O39" s="1054"/>
      <c r="P39" s="1054"/>
      <c r="Q39" s="1054"/>
      <c r="R39" s="1054"/>
      <c r="S39" s="1054"/>
      <c r="T39" s="1054"/>
      <c r="U39" s="1054"/>
      <c r="V39" s="1054"/>
      <c r="W39" s="6"/>
      <c r="X39" s="6"/>
      <c r="Y39" s="6"/>
      <c r="Z39" s="6"/>
    </row>
    <row r="40" spans="1:26">
      <c r="A40" s="6"/>
      <c r="B40" s="6"/>
      <c r="C40" s="6"/>
      <c r="D40" s="1054"/>
      <c r="E40" s="1054"/>
      <c r="F40" s="1054"/>
      <c r="G40" s="1054"/>
      <c r="H40" s="1054"/>
      <c r="I40" s="1054"/>
      <c r="J40" s="1054"/>
      <c r="K40" s="1054"/>
      <c r="L40" s="1054"/>
      <c r="M40" s="1054"/>
      <c r="N40" s="1054"/>
      <c r="O40" s="1054"/>
      <c r="P40" s="1054"/>
      <c r="Q40" s="1054"/>
      <c r="R40" s="1054"/>
      <c r="S40" s="1054"/>
      <c r="T40" s="1054"/>
      <c r="U40" s="1054"/>
      <c r="V40" s="1054"/>
      <c r="W40" s="6"/>
      <c r="X40" s="6"/>
      <c r="Y40" s="6"/>
      <c r="Z40" s="6"/>
    </row>
    <row r="41" spans="1:26">
      <c r="A41" s="6"/>
      <c r="B41" s="6"/>
      <c r="C41" s="6"/>
      <c r="D41" s="1054"/>
      <c r="E41" s="1054"/>
      <c r="F41" s="1054"/>
      <c r="G41" s="1054"/>
      <c r="H41" s="1054"/>
      <c r="I41" s="1054"/>
      <c r="J41" s="1054"/>
      <c r="K41" s="1054"/>
      <c r="L41" s="1054"/>
      <c r="M41" s="1054"/>
      <c r="N41" s="1054"/>
      <c r="O41" s="1054"/>
      <c r="P41" s="1054"/>
      <c r="Q41" s="1054"/>
      <c r="R41" s="1054"/>
      <c r="S41" s="1054"/>
      <c r="T41" s="1054"/>
      <c r="U41" s="1054"/>
      <c r="V41" s="1054"/>
      <c r="W41" s="6"/>
      <c r="X41" s="6"/>
      <c r="Y41" s="6"/>
      <c r="Z41" s="6"/>
    </row>
    <row r="42" spans="1:26">
      <c r="A42" s="6"/>
      <c r="B42" s="6"/>
      <c r="C42" s="6"/>
      <c r="D42" s="1054"/>
      <c r="E42" s="1054"/>
      <c r="F42" s="1054"/>
      <c r="G42" s="1054"/>
      <c r="H42" s="1054"/>
      <c r="I42" s="1054"/>
      <c r="J42" s="1054"/>
      <c r="K42" s="1054"/>
      <c r="L42" s="1054"/>
      <c r="M42" s="1054"/>
      <c r="N42" s="1054"/>
      <c r="O42" s="1054"/>
      <c r="P42" s="1054"/>
      <c r="Q42" s="1054"/>
      <c r="R42" s="1054"/>
      <c r="S42" s="1054"/>
      <c r="T42" s="1054"/>
      <c r="U42" s="1054"/>
      <c r="V42" s="1054"/>
      <c r="W42" s="6"/>
      <c r="X42" s="6"/>
      <c r="Y42" s="6"/>
      <c r="Z42" s="6"/>
    </row>
    <row r="43" spans="1:26">
      <c r="A43" s="6"/>
      <c r="B43" s="6"/>
      <c r="C43" s="6"/>
      <c r="D43" s="1054"/>
      <c r="E43" s="1054"/>
      <c r="F43" s="1054"/>
      <c r="G43" s="1054"/>
      <c r="H43" s="1054"/>
      <c r="I43" s="1054"/>
      <c r="J43" s="1054"/>
      <c r="K43" s="1054"/>
      <c r="L43" s="1054"/>
      <c r="M43" s="1054"/>
      <c r="N43" s="1054"/>
      <c r="O43" s="1054"/>
      <c r="P43" s="1054"/>
      <c r="Q43" s="1054"/>
      <c r="R43" s="1054"/>
      <c r="S43" s="1054"/>
      <c r="T43" s="1054"/>
      <c r="U43" s="1054"/>
      <c r="V43" s="1054"/>
      <c r="W43" s="6"/>
      <c r="X43" s="6"/>
      <c r="Y43" s="6"/>
      <c r="Z43" s="6"/>
    </row>
    <row r="44" spans="1:26">
      <c r="A44" s="6"/>
      <c r="B44" s="6"/>
      <c r="C44" s="6"/>
      <c r="D44" s="1054"/>
      <c r="E44" s="1054"/>
      <c r="F44" s="1054"/>
      <c r="G44" s="1054"/>
      <c r="H44" s="1054"/>
      <c r="I44" s="1054"/>
      <c r="J44" s="1054"/>
      <c r="K44" s="1054"/>
      <c r="L44" s="1054"/>
      <c r="M44" s="1054"/>
      <c r="N44" s="1054"/>
      <c r="O44" s="1054"/>
      <c r="P44" s="1054"/>
      <c r="Q44" s="1054"/>
      <c r="R44" s="1054"/>
      <c r="S44" s="1054"/>
      <c r="T44" s="1054"/>
      <c r="U44" s="1054"/>
      <c r="V44" s="1054"/>
      <c r="W44" s="6"/>
      <c r="X44" s="6"/>
      <c r="Y44" s="6"/>
      <c r="Z44" s="6"/>
    </row>
    <row r="45" spans="1:26">
      <c r="A45" s="6"/>
      <c r="B45" s="6"/>
      <c r="C45" s="6"/>
      <c r="D45" s="1054"/>
      <c r="E45" s="1054"/>
      <c r="F45" s="1054"/>
      <c r="G45" s="1054"/>
      <c r="H45" s="1054"/>
      <c r="I45" s="1054"/>
      <c r="J45" s="1054"/>
      <c r="K45" s="1054"/>
      <c r="L45" s="1054"/>
      <c r="M45" s="1054"/>
      <c r="N45" s="1054"/>
      <c r="O45" s="1054"/>
      <c r="P45" s="1054"/>
      <c r="Q45" s="1054"/>
      <c r="R45" s="1054"/>
      <c r="S45" s="1054"/>
      <c r="T45" s="1054"/>
      <c r="U45" s="1054"/>
      <c r="V45" s="1054"/>
      <c r="W45" s="6"/>
      <c r="X45" s="6"/>
      <c r="Y45" s="6"/>
      <c r="Z45" s="6"/>
    </row>
    <row r="46" spans="1:26">
      <c r="A46" s="6"/>
      <c r="B46" s="6"/>
      <c r="C46" s="6"/>
      <c r="D46" s="6"/>
      <c r="E46" s="6"/>
      <c r="F46" s="6"/>
      <c r="G46" s="6"/>
      <c r="H46" s="6"/>
      <c r="I46" s="6"/>
      <c r="J46" s="6"/>
      <c r="K46" s="6"/>
      <c r="L46" s="6"/>
      <c r="M46" s="6"/>
      <c r="N46" s="6"/>
      <c r="O46" s="6"/>
      <c r="P46" s="6"/>
      <c r="Q46" s="6"/>
      <c r="R46" s="6"/>
      <c r="S46" s="6"/>
      <c r="T46" s="6"/>
      <c r="U46" s="6"/>
      <c r="V46" s="6"/>
      <c r="W46" s="6"/>
      <c r="X46" s="6"/>
      <c r="Y46" s="6"/>
      <c r="Z46" s="6"/>
    </row>
    <row r="47" spans="1:26">
      <c r="A47" s="6"/>
      <c r="B47" s="6"/>
      <c r="C47" s="6"/>
      <c r="D47" s="6"/>
      <c r="E47" s="6"/>
      <c r="F47" s="6"/>
      <c r="G47" s="6"/>
      <c r="H47" s="6"/>
      <c r="I47" s="6"/>
      <c r="J47" s="6"/>
      <c r="K47" s="6"/>
      <c r="L47" s="6"/>
      <c r="M47" s="6"/>
      <c r="N47" s="6"/>
      <c r="O47" s="6"/>
      <c r="P47" s="6"/>
      <c r="Q47" s="6"/>
      <c r="R47" s="6"/>
      <c r="S47" s="6"/>
      <c r="T47" s="6"/>
      <c r="U47" s="6"/>
      <c r="V47" s="6"/>
      <c r="W47" s="6"/>
      <c r="X47" s="6"/>
      <c r="Y47" s="6"/>
      <c r="Z47" s="6"/>
    </row>
    <row r="48" spans="1:26">
      <c r="A48" s="6"/>
      <c r="B48" s="6"/>
      <c r="C48" s="6"/>
      <c r="D48" s="6"/>
      <c r="E48" s="6"/>
      <c r="F48" s="6"/>
      <c r="G48" s="6"/>
      <c r="H48" s="6"/>
      <c r="I48" s="6"/>
      <c r="J48" s="6"/>
      <c r="K48" s="6"/>
      <c r="L48" s="6"/>
      <c r="M48" s="6"/>
      <c r="N48" s="6"/>
      <c r="O48" s="6"/>
      <c r="P48" s="6"/>
      <c r="Q48" s="6"/>
      <c r="R48" s="6"/>
      <c r="S48" s="6"/>
      <c r="T48" s="6"/>
      <c r="U48" s="6"/>
      <c r="V48" s="6"/>
      <c r="W48" s="6"/>
      <c r="X48" s="6"/>
      <c r="Y48" s="6"/>
      <c r="Z48" s="6"/>
    </row>
  </sheetData>
  <mergeCells count="4">
    <mergeCell ref="A1:K4"/>
    <mergeCell ref="A6:K7"/>
    <mergeCell ref="A9:K9"/>
    <mergeCell ref="D11:V45"/>
  </mergeCells>
  <phoneticPr fontId="28" type="noConversion"/>
  <pageMargins left="0.25" right="0.25" top="0.75" bottom="0.75" header="0.3" footer="0.3"/>
  <pageSetup paperSize="9" scale="69" fitToWidth="0" orientation="landscape" horizontalDpi="300" verticalDpi="3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594CDC-C9AF-4F9B-8077-CD2CD34BFB4C}">
  <sheetPr>
    <tabColor rgb="FF339088"/>
    <pageSetUpPr fitToPage="1"/>
  </sheetPr>
  <dimension ref="A1:P5"/>
  <sheetViews>
    <sheetView showGridLines="0" view="pageBreakPreview" zoomScale="70" zoomScaleNormal="70" zoomScaleSheetLayoutView="70" workbookViewId="0">
      <selection activeCell="Q16" sqref="Q16"/>
    </sheetView>
  </sheetViews>
  <sheetFormatPr defaultColWidth="8.7265625" defaultRowHeight="16.5"/>
  <cols>
    <col min="1" max="16384" width="8.7265625" style="1"/>
  </cols>
  <sheetData>
    <row r="1" spans="1:16" ht="26">
      <c r="A1" s="4" t="s">
        <v>4</v>
      </c>
    </row>
    <row r="5" spans="1:16">
      <c r="P5" s="12"/>
    </row>
  </sheetData>
  <phoneticPr fontId="28" type="noConversion"/>
  <pageMargins left="0.25" right="0.25" top="0.75" bottom="0.75" header="0.3" footer="0.3"/>
  <pageSetup paperSize="9" fitToWidth="0"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66F4DF-5A17-4279-A5E5-B41E3F4EE8D5}">
  <sheetPr>
    <tabColor rgb="FF339088"/>
    <pageSetUpPr fitToPage="1"/>
  </sheetPr>
  <dimension ref="A1:P5"/>
  <sheetViews>
    <sheetView showGridLines="0" view="pageBreakPreview" zoomScale="85" zoomScaleNormal="70" zoomScaleSheetLayoutView="85" workbookViewId="0">
      <selection activeCell="R96" sqref="R96:S96"/>
    </sheetView>
  </sheetViews>
  <sheetFormatPr defaultColWidth="8.7265625" defaultRowHeight="16.5"/>
  <cols>
    <col min="1" max="16384" width="8.7265625" style="1"/>
  </cols>
  <sheetData>
    <row r="1" spans="1:16" ht="26">
      <c r="A1" s="4" t="s">
        <v>5</v>
      </c>
    </row>
    <row r="5" spans="1:16">
      <c r="P5" s="12"/>
    </row>
  </sheetData>
  <phoneticPr fontId="28" type="noConversion"/>
  <pageMargins left="0.25" right="0.25" top="0.75" bottom="0.75" header="0.3" footer="0.3"/>
  <pageSetup paperSize="9" fitToWidth="0" orientation="landscape"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7FF5FC-1C38-4D2F-8142-9A96BB2B2FA2}">
  <sheetPr>
    <tabColor rgb="FFFFC000"/>
  </sheetPr>
  <dimension ref="A1"/>
  <sheetViews>
    <sheetView showGridLines="0" workbookViewId="0">
      <selection activeCell="P1" sqref="P1"/>
    </sheetView>
  </sheetViews>
  <sheetFormatPr defaultRowHeight="14.5"/>
  <sheetData/>
  <phoneticPr fontId="28"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DD8FC3-2CA3-414B-A106-CFFF330AEC13}">
  <sheetPr>
    <tabColor rgb="FF339088"/>
    <pageSetUpPr fitToPage="1"/>
  </sheetPr>
  <dimension ref="A1:X83"/>
  <sheetViews>
    <sheetView view="pageBreakPreview" topLeftCell="A66" zoomScale="130" zoomScaleNormal="70" zoomScaleSheetLayoutView="130" workbookViewId="0">
      <selection activeCell="A77" sqref="A1:XFD1048576"/>
    </sheetView>
  </sheetViews>
  <sheetFormatPr defaultRowHeight="14.5"/>
  <cols>
    <col min="24" max="24" width="20.26953125" customWidth="1"/>
  </cols>
  <sheetData>
    <row r="1" spans="1:23" ht="15.65" customHeight="1">
      <c r="A1" s="555" t="s">
        <v>6</v>
      </c>
      <c r="B1" s="556"/>
      <c r="C1" s="557"/>
      <c r="D1" s="557"/>
      <c r="E1" s="557"/>
      <c r="F1" s="557"/>
      <c r="G1" s="557"/>
      <c r="H1" s="557"/>
      <c r="I1" s="557"/>
      <c r="J1" s="558"/>
      <c r="K1" s="558"/>
      <c r="M1" s="559"/>
      <c r="N1" s="560" t="s">
        <v>7</v>
      </c>
      <c r="O1" s="560"/>
      <c r="P1" s="560"/>
      <c r="Q1" s="560"/>
      <c r="R1" s="560"/>
      <c r="S1" s="560"/>
      <c r="T1" s="560"/>
      <c r="U1" s="560"/>
      <c r="V1" s="560"/>
      <c r="W1" s="561"/>
    </row>
    <row r="2" spans="1:23">
      <c r="A2" s="562"/>
    </row>
    <row r="3" spans="1:23">
      <c r="A3" s="562" t="s">
        <v>8</v>
      </c>
    </row>
    <row r="4" spans="1:23">
      <c r="A4" s="562"/>
    </row>
    <row r="5" spans="1:23">
      <c r="A5" s="563" t="s">
        <v>9</v>
      </c>
    </row>
    <row r="6" spans="1:23">
      <c r="A6" s="562"/>
    </row>
    <row r="7" spans="1:23" s="561" customFormat="1">
      <c r="A7" s="564" t="s">
        <v>10</v>
      </c>
    </row>
    <row r="8" spans="1:23" s="561" customFormat="1">
      <c r="A8" s="565" t="s">
        <v>11</v>
      </c>
    </row>
    <row r="9" spans="1:23" s="561" customFormat="1">
      <c r="A9" s="565" t="s">
        <v>12</v>
      </c>
    </row>
    <row r="10" spans="1:23" s="561" customFormat="1">
      <c r="A10" s="564" t="s">
        <v>13</v>
      </c>
    </row>
    <row r="11" spans="1:23" s="561" customFormat="1">
      <c r="A11" s="565" t="s">
        <v>14</v>
      </c>
    </row>
    <row r="12" spans="1:23" s="561" customFormat="1">
      <c r="A12" s="565" t="s">
        <v>15</v>
      </c>
    </row>
    <row r="13" spans="1:23" s="561" customFormat="1">
      <c r="A13" s="564" t="s">
        <v>16</v>
      </c>
    </row>
    <row r="14" spans="1:23" s="561" customFormat="1">
      <c r="A14" s="565" t="s">
        <v>17</v>
      </c>
    </row>
    <row r="15" spans="1:23" s="566" customFormat="1">
      <c r="A15" s="565" t="s">
        <v>18</v>
      </c>
      <c r="B15" s="561"/>
      <c r="C15" s="561"/>
      <c r="D15" s="561"/>
      <c r="E15" s="561"/>
      <c r="F15" s="561"/>
      <c r="G15" s="561"/>
      <c r="H15" s="561"/>
      <c r="I15" s="561"/>
      <c r="J15" s="561"/>
      <c r="K15" s="561"/>
      <c r="L15" s="561"/>
      <c r="M15" s="561"/>
      <c r="N15" s="561"/>
      <c r="O15" s="561"/>
      <c r="P15" s="561"/>
      <c r="Q15" s="561"/>
      <c r="R15" s="561"/>
      <c r="S15" s="561"/>
      <c r="T15" s="561"/>
      <c r="U15" s="561"/>
      <c r="V15" s="561"/>
      <c r="W15" s="561"/>
    </row>
    <row r="16" spans="1:23" s="561" customFormat="1">
      <c r="A16" s="565" t="s">
        <v>19</v>
      </c>
    </row>
    <row r="17" spans="1:24" s="561" customFormat="1">
      <c r="A17" s="567" t="s">
        <v>20</v>
      </c>
    </row>
    <row r="18" spans="1:24" s="560" customFormat="1">
      <c r="A18" s="567" t="s">
        <v>21</v>
      </c>
      <c r="B18" s="561"/>
      <c r="C18" s="561"/>
      <c r="D18" s="561"/>
      <c r="E18" s="561"/>
      <c r="F18" s="561"/>
      <c r="G18" s="561"/>
      <c r="H18" s="561"/>
      <c r="I18" s="561"/>
      <c r="J18" s="561"/>
      <c r="K18" s="561"/>
      <c r="L18" s="561"/>
      <c r="M18" s="561"/>
      <c r="N18" s="561"/>
      <c r="O18" s="561"/>
      <c r="P18" s="561"/>
      <c r="Q18" s="561"/>
      <c r="R18" s="561"/>
      <c r="S18" s="561"/>
      <c r="T18" s="561"/>
      <c r="U18" s="561"/>
      <c r="V18" s="561"/>
      <c r="W18" s="561"/>
      <c r="X18" s="561"/>
    </row>
    <row r="19" spans="1:24" s="560" customFormat="1">
      <c r="A19" s="567" t="s">
        <v>22</v>
      </c>
      <c r="B19" s="561"/>
      <c r="C19" s="561"/>
      <c r="D19" s="561"/>
      <c r="E19" s="561"/>
      <c r="F19" s="561"/>
      <c r="G19" s="561"/>
      <c r="H19" s="561"/>
      <c r="I19" s="561"/>
      <c r="J19" s="561"/>
      <c r="K19" s="561"/>
      <c r="L19" s="561"/>
      <c r="M19" s="561"/>
      <c r="N19" s="561"/>
      <c r="O19" s="561"/>
      <c r="P19" s="561"/>
      <c r="Q19" s="561"/>
      <c r="R19" s="561"/>
      <c r="S19" s="561"/>
      <c r="T19" s="561"/>
      <c r="U19" s="561"/>
      <c r="V19" s="561"/>
      <c r="W19" s="561"/>
      <c r="X19" s="561"/>
    </row>
    <row r="20" spans="1:24" s="561" customFormat="1">
      <c r="A20" s="568"/>
    </row>
    <row r="21" spans="1:24" s="561" customFormat="1">
      <c r="A21" s="563" t="s">
        <v>23</v>
      </c>
    </row>
    <row r="22" spans="1:24" s="561" customFormat="1">
      <c r="A22" s="569"/>
    </row>
    <row r="23" spans="1:24" s="561" customFormat="1">
      <c r="A23" s="564" t="s">
        <v>10</v>
      </c>
    </row>
    <row r="24" spans="1:24" s="561" customFormat="1">
      <c r="A24" s="565" t="s">
        <v>24</v>
      </c>
    </row>
    <row r="25" spans="1:24" s="561" customFormat="1">
      <c r="A25" s="564" t="s">
        <v>25</v>
      </c>
    </row>
    <row r="26" spans="1:24" s="560" customFormat="1">
      <c r="A26" s="565" t="s">
        <v>26</v>
      </c>
      <c r="B26" s="561"/>
      <c r="C26" s="561"/>
      <c r="D26" s="561"/>
      <c r="E26" s="561"/>
      <c r="F26" s="561"/>
      <c r="G26" s="561"/>
      <c r="H26" s="561"/>
      <c r="I26" s="561"/>
      <c r="J26" s="561"/>
      <c r="K26" s="561"/>
      <c r="L26" s="561"/>
      <c r="M26" s="561"/>
      <c r="N26" s="561"/>
      <c r="O26" s="561"/>
      <c r="P26" s="561"/>
      <c r="Q26" s="561"/>
      <c r="R26" s="561"/>
      <c r="S26" s="561"/>
      <c r="T26" s="561"/>
      <c r="U26" s="561"/>
      <c r="V26" s="561"/>
      <c r="W26" s="561"/>
      <c r="X26" s="561"/>
    </row>
    <row r="27" spans="1:24" s="560" customFormat="1">
      <c r="A27" s="565" t="s">
        <v>27</v>
      </c>
      <c r="B27" s="561"/>
      <c r="C27" s="561"/>
      <c r="D27" s="561"/>
      <c r="E27" s="561"/>
      <c r="F27" s="561"/>
      <c r="G27" s="561"/>
      <c r="H27" s="561"/>
      <c r="I27" s="561"/>
      <c r="J27" s="561"/>
      <c r="K27" s="561"/>
      <c r="L27" s="561"/>
      <c r="M27" s="561"/>
      <c r="N27" s="561"/>
      <c r="O27" s="561"/>
      <c r="P27" s="561"/>
      <c r="Q27" s="561"/>
      <c r="R27" s="561"/>
      <c r="S27" s="561"/>
      <c r="T27" s="561"/>
      <c r="U27" s="561"/>
      <c r="V27" s="561"/>
      <c r="W27" s="561"/>
      <c r="X27" s="561"/>
    </row>
    <row r="28" spans="1:24" s="560" customFormat="1">
      <c r="A28" s="565" t="s">
        <v>28</v>
      </c>
      <c r="B28" s="561"/>
      <c r="C28" s="561"/>
      <c r="D28" s="561"/>
      <c r="E28" s="561"/>
      <c r="F28" s="561"/>
      <c r="G28" s="561"/>
      <c r="H28" s="561"/>
      <c r="I28" s="561"/>
      <c r="J28" s="561"/>
      <c r="K28" s="561"/>
      <c r="L28" s="561"/>
      <c r="M28" s="561"/>
      <c r="N28" s="561"/>
      <c r="O28" s="561"/>
      <c r="P28" s="561"/>
      <c r="Q28" s="561"/>
      <c r="R28" s="561"/>
      <c r="S28" s="561"/>
      <c r="T28" s="561"/>
      <c r="U28" s="561"/>
      <c r="V28" s="561"/>
      <c r="W28" s="561"/>
      <c r="X28" s="561"/>
    </row>
    <row r="29" spans="1:24" s="560" customFormat="1">
      <c r="A29" s="565" t="s">
        <v>29</v>
      </c>
      <c r="B29" s="561"/>
      <c r="C29" s="561"/>
      <c r="D29" s="561"/>
      <c r="E29" s="561"/>
      <c r="F29" s="561"/>
      <c r="G29" s="561"/>
      <c r="H29" s="561"/>
      <c r="I29" s="561"/>
      <c r="J29" s="561"/>
      <c r="K29" s="561"/>
      <c r="L29" s="561"/>
      <c r="M29" s="561"/>
      <c r="N29" s="561"/>
      <c r="O29" s="561"/>
      <c r="P29" s="561"/>
      <c r="Q29" s="561"/>
      <c r="R29" s="561"/>
      <c r="S29" s="561"/>
      <c r="T29" s="561"/>
      <c r="U29" s="561"/>
      <c r="V29" s="561"/>
      <c r="W29" s="561"/>
      <c r="X29" s="561"/>
    </row>
    <row r="30" spans="1:24" s="570" customFormat="1">
      <c r="A30" s="567" t="s">
        <v>30</v>
      </c>
      <c r="B30" s="566"/>
      <c r="C30" s="566"/>
      <c r="D30" s="566"/>
      <c r="E30" s="566"/>
      <c r="F30" s="566"/>
      <c r="G30" s="566"/>
      <c r="H30" s="566"/>
      <c r="I30" s="566"/>
      <c r="J30" s="566"/>
      <c r="K30" s="566"/>
      <c r="L30" s="566"/>
      <c r="M30" s="566"/>
      <c r="N30" s="566"/>
      <c r="O30" s="566"/>
      <c r="P30" s="566"/>
      <c r="Q30" s="566"/>
      <c r="R30" s="566"/>
      <c r="S30" s="566"/>
      <c r="T30" s="566"/>
      <c r="U30" s="566"/>
      <c r="V30" s="566"/>
      <c r="W30" s="566"/>
      <c r="X30" s="566"/>
    </row>
    <row r="31" spans="1:24" s="570" customFormat="1">
      <c r="A31" s="567" t="s">
        <v>31</v>
      </c>
      <c r="B31" s="566"/>
      <c r="C31" s="566"/>
      <c r="D31" s="566"/>
      <c r="E31" s="566"/>
      <c r="F31" s="566"/>
      <c r="G31" s="566"/>
      <c r="H31" s="566"/>
      <c r="I31" s="566"/>
      <c r="J31" s="566"/>
      <c r="K31" s="566"/>
      <c r="L31" s="566"/>
      <c r="M31" s="566"/>
      <c r="N31" s="566"/>
      <c r="O31" s="566"/>
      <c r="P31" s="566"/>
      <c r="Q31" s="566"/>
      <c r="R31" s="566"/>
      <c r="S31" s="566"/>
      <c r="T31" s="566"/>
      <c r="U31" s="566"/>
      <c r="V31" s="566"/>
      <c r="W31" s="566"/>
      <c r="X31" s="566"/>
    </row>
    <row r="32" spans="1:24" s="566" customFormat="1">
      <c r="A32" s="567" t="s">
        <v>32</v>
      </c>
      <c r="B32" s="561"/>
      <c r="C32" s="561"/>
      <c r="D32" s="561"/>
      <c r="E32" s="561"/>
      <c r="F32" s="561"/>
      <c r="G32" s="561"/>
      <c r="H32" s="561"/>
      <c r="I32" s="561"/>
      <c r="J32" s="561"/>
      <c r="K32" s="561"/>
      <c r="L32" s="561"/>
      <c r="M32" s="561"/>
      <c r="N32" s="561"/>
      <c r="O32" s="561"/>
      <c r="P32" s="561"/>
      <c r="Q32" s="561"/>
      <c r="R32" s="561"/>
      <c r="S32" s="561"/>
      <c r="T32" s="561"/>
      <c r="U32" s="561"/>
      <c r="V32" s="561"/>
      <c r="W32" s="561"/>
      <c r="X32" s="561"/>
    </row>
    <row r="33" spans="1:24" s="566" customFormat="1">
      <c r="A33" s="567" t="s">
        <v>33</v>
      </c>
      <c r="B33" s="561"/>
      <c r="C33" s="561"/>
      <c r="D33" s="561"/>
      <c r="E33" s="561"/>
      <c r="F33" s="561"/>
      <c r="G33" s="561"/>
      <c r="H33" s="561"/>
      <c r="I33" s="561"/>
      <c r="J33" s="561"/>
      <c r="K33" s="561"/>
      <c r="L33" s="561"/>
      <c r="M33" s="561"/>
      <c r="N33" s="561"/>
      <c r="O33" s="561"/>
      <c r="P33" s="561"/>
      <c r="Q33" s="561"/>
      <c r="R33" s="561"/>
      <c r="S33" s="561"/>
      <c r="T33" s="561"/>
      <c r="U33" s="561"/>
      <c r="V33" s="561"/>
      <c r="W33" s="561"/>
      <c r="X33" s="561"/>
    </row>
    <row r="34" spans="1:24" s="566" customFormat="1">
      <c r="A34" s="567" t="s">
        <v>34</v>
      </c>
      <c r="B34" s="561"/>
      <c r="C34" s="561"/>
      <c r="D34" s="561"/>
      <c r="E34" s="561"/>
      <c r="F34" s="561"/>
      <c r="G34" s="561"/>
      <c r="H34" s="561"/>
      <c r="I34" s="561"/>
      <c r="J34" s="561"/>
      <c r="K34" s="561"/>
      <c r="L34" s="561"/>
      <c r="M34" s="561"/>
      <c r="N34" s="561"/>
      <c r="O34" s="561"/>
      <c r="P34" s="561"/>
      <c r="Q34" s="561"/>
      <c r="R34" s="561"/>
      <c r="S34" s="561"/>
      <c r="T34" s="561"/>
      <c r="U34" s="561"/>
      <c r="V34" s="561"/>
      <c r="W34" s="561"/>
      <c r="X34" s="561"/>
    </row>
    <row r="35" spans="1:24" s="561" customFormat="1">
      <c r="A35" s="569"/>
    </row>
    <row r="36" spans="1:24" s="561" customFormat="1">
      <c r="A36" s="563" t="s">
        <v>35</v>
      </c>
    </row>
    <row r="37" spans="1:24" s="561" customFormat="1">
      <c r="A37" s="569"/>
      <c r="R37" s="566"/>
    </row>
    <row r="38" spans="1:24" s="561" customFormat="1">
      <c r="A38" s="571" t="s">
        <v>10</v>
      </c>
      <c r="B38" s="571"/>
      <c r="C38" s="572"/>
      <c r="D38" s="572"/>
      <c r="E38" s="572"/>
      <c r="F38" s="572"/>
      <c r="G38" s="572"/>
      <c r="H38" s="572"/>
      <c r="I38" s="572"/>
      <c r="J38" s="572"/>
      <c r="K38" s="572"/>
      <c r="L38" s="572"/>
      <c r="M38" s="572"/>
      <c r="N38" s="572"/>
      <c r="O38" s="572"/>
      <c r="P38" s="572"/>
      <c r="Q38" s="572"/>
      <c r="R38" s="573"/>
      <c r="S38" s="572"/>
      <c r="T38" s="572"/>
      <c r="U38" s="572"/>
      <c r="V38" s="572"/>
      <c r="W38" s="572"/>
      <c r="X38" s="572"/>
    </row>
    <row r="39" spans="1:24" s="561" customFormat="1">
      <c r="A39" s="567" t="s">
        <v>36</v>
      </c>
      <c r="B39" s="574"/>
      <c r="C39" s="574"/>
      <c r="D39" s="574"/>
      <c r="E39" s="574"/>
      <c r="F39" s="574"/>
      <c r="G39" s="574"/>
      <c r="H39" s="574"/>
      <c r="I39" s="573"/>
      <c r="J39" s="573"/>
      <c r="K39" s="573"/>
      <c r="L39" s="573"/>
      <c r="M39" s="573"/>
      <c r="N39" s="573"/>
      <c r="O39" s="573"/>
      <c r="P39" s="573"/>
      <c r="Q39" s="573"/>
      <c r="R39" s="573"/>
      <c r="S39" s="573"/>
      <c r="T39" s="573"/>
      <c r="U39" s="573"/>
      <c r="V39" s="573"/>
      <c r="W39" s="573"/>
      <c r="X39" s="573"/>
    </row>
    <row r="40" spans="1:24" s="561" customFormat="1">
      <c r="A40" s="567" t="s">
        <v>37</v>
      </c>
      <c r="B40" s="574"/>
      <c r="C40" s="574"/>
      <c r="D40" s="574"/>
      <c r="E40" s="574"/>
      <c r="F40" s="574"/>
      <c r="G40" s="573"/>
      <c r="H40" s="573"/>
      <c r="I40" s="573"/>
      <c r="J40" s="573"/>
      <c r="K40" s="573"/>
      <c r="L40" s="573"/>
      <c r="M40" s="573"/>
      <c r="N40" s="573"/>
      <c r="O40" s="573"/>
      <c r="P40" s="573"/>
      <c r="Q40" s="573"/>
      <c r="R40" s="573"/>
      <c r="S40" s="573"/>
      <c r="T40" s="573"/>
      <c r="U40" s="573"/>
      <c r="V40" s="573"/>
      <c r="W40" s="573"/>
      <c r="X40" s="573"/>
    </row>
    <row r="41" spans="1:24" s="561" customFormat="1">
      <c r="A41" s="571" t="s">
        <v>13</v>
      </c>
      <c r="B41" s="571"/>
      <c r="C41" s="572"/>
      <c r="D41" s="572"/>
      <c r="E41" s="572"/>
      <c r="F41" s="572"/>
      <c r="G41" s="572"/>
      <c r="H41" s="572"/>
      <c r="I41" s="572"/>
      <c r="J41" s="572"/>
      <c r="K41" s="572"/>
      <c r="L41" s="572"/>
      <c r="M41" s="572"/>
      <c r="N41" s="572"/>
      <c r="O41" s="572"/>
      <c r="P41" s="572"/>
      <c r="Q41" s="572"/>
      <c r="R41" s="572"/>
      <c r="S41" s="572"/>
      <c r="T41" s="572"/>
      <c r="U41" s="572"/>
      <c r="V41" s="572"/>
      <c r="W41" s="572"/>
      <c r="X41" s="572"/>
    </row>
    <row r="42" spans="1:24" s="561" customFormat="1">
      <c r="A42" s="567" t="s">
        <v>38</v>
      </c>
      <c r="B42" s="574"/>
      <c r="C42" s="574"/>
      <c r="D42" s="574"/>
      <c r="E42" s="574"/>
      <c r="F42" s="574"/>
      <c r="G42" s="574"/>
      <c r="H42" s="574"/>
      <c r="I42" s="574"/>
      <c r="J42" s="574"/>
      <c r="K42" s="574"/>
      <c r="L42" s="574"/>
      <c r="M42" s="573"/>
      <c r="N42" s="573"/>
      <c r="O42" s="573"/>
      <c r="P42" s="573"/>
      <c r="Q42" s="573"/>
      <c r="R42" s="573"/>
      <c r="S42" s="573"/>
      <c r="T42" s="573"/>
      <c r="U42" s="573"/>
      <c r="V42" s="573"/>
      <c r="W42" s="573"/>
      <c r="X42" s="573"/>
    </row>
    <row r="43" spans="1:24" s="561" customFormat="1">
      <c r="A43" s="571" t="s">
        <v>16</v>
      </c>
      <c r="B43" s="571"/>
      <c r="C43" s="571"/>
      <c r="D43" s="572"/>
      <c r="E43" s="572"/>
      <c r="F43" s="572"/>
      <c r="G43" s="572"/>
      <c r="H43" s="572"/>
      <c r="I43" s="572"/>
      <c r="J43" s="572"/>
      <c r="K43" s="572"/>
      <c r="L43" s="572"/>
      <c r="M43" s="572"/>
      <c r="N43" s="572"/>
      <c r="O43" s="572"/>
      <c r="P43" s="572"/>
      <c r="Q43" s="572"/>
      <c r="R43" s="572"/>
      <c r="S43" s="572"/>
      <c r="T43" s="572"/>
      <c r="U43" s="572"/>
      <c r="V43" s="572"/>
      <c r="W43" s="572"/>
      <c r="X43" s="572"/>
    </row>
    <row r="44" spans="1:24" s="561" customFormat="1">
      <c r="A44" s="567" t="s">
        <v>39</v>
      </c>
      <c r="B44" s="574"/>
      <c r="C44" s="574"/>
      <c r="D44" s="574"/>
      <c r="E44" s="574"/>
      <c r="F44" s="574"/>
      <c r="G44" s="574"/>
      <c r="H44" s="574"/>
      <c r="I44" s="574"/>
      <c r="J44" s="574"/>
      <c r="K44" s="574"/>
      <c r="L44" s="574"/>
      <c r="M44" s="574"/>
      <c r="N44" s="574"/>
      <c r="O44" s="574"/>
      <c r="P44" s="573"/>
      <c r="Q44" s="573"/>
      <c r="R44" s="573"/>
      <c r="S44" s="573"/>
      <c r="T44" s="573"/>
      <c r="U44" s="573"/>
      <c r="V44" s="573"/>
      <c r="W44" s="573"/>
      <c r="X44" s="573"/>
    </row>
    <row r="45" spans="1:24" s="561" customFormat="1">
      <c r="A45" s="565" t="s">
        <v>40</v>
      </c>
      <c r="B45" s="575"/>
      <c r="C45" s="575"/>
      <c r="D45" s="575"/>
      <c r="E45" s="575"/>
      <c r="F45" s="575"/>
      <c r="G45" s="575"/>
      <c r="H45" s="575"/>
      <c r="I45" s="575"/>
      <c r="J45" s="575"/>
      <c r="K45" s="575"/>
      <c r="L45" s="575"/>
      <c r="M45" s="575"/>
      <c r="N45" s="575"/>
      <c r="O45" s="575"/>
      <c r="P45" s="575"/>
      <c r="Q45" s="575"/>
      <c r="R45" s="575"/>
      <c r="S45" s="575"/>
      <c r="T45" s="575"/>
      <c r="U45" s="576"/>
      <c r="V45" s="576"/>
      <c r="W45" s="576"/>
      <c r="X45" s="576"/>
    </row>
    <row r="46" spans="1:24" s="561" customFormat="1">
      <c r="A46" s="565" t="s">
        <v>41</v>
      </c>
      <c r="B46" s="575"/>
      <c r="C46" s="575"/>
      <c r="D46" s="575"/>
      <c r="E46" s="575"/>
      <c r="F46" s="575"/>
      <c r="G46" s="575"/>
      <c r="H46" s="575"/>
      <c r="I46" s="575"/>
      <c r="J46" s="575"/>
      <c r="K46" s="575"/>
      <c r="L46" s="575"/>
      <c r="M46" s="575"/>
      <c r="N46" s="575"/>
      <c r="O46" s="575"/>
      <c r="P46" s="575"/>
      <c r="Q46" s="575"/>
      <c r="R46" s="575"/>
      <c r="S46" s="575"/>
      <c r="T46" s="575"/>
      <c r="U46" s="575"/>
      <c r="V46" s="576"/>
      <c r="W46" s="576"/>
      <c r="X46" s="576"/>
    </row>
    <row r="47" spans="1:24" s="561" customFormat="1">
      <c r="A47" s="567" t="s">
        <v>42</v>
      </c>
      <c r="B47" s="575"/>
      <c r="C47" s="575"/>
      <c r="D47" s="575"/>
      <c r="E47" s="575"/>
      <c r="F47" s="575"/>
      <c r="G47" s="575"/>
      <c r="H47" s="575"/>
      <c r="I47" s="575"/>
      <c r="J47" s="575"/>
      <c r="K47" s="575"/>
      <c r="L47" s="575"/>
      <c r="M47" s="575"/>
      <c r="N47" s="575"/>
      <c r="O47" s="575"/>
      <c r="P47" s="575"/>
      <c r="Q47" s="575"/>
      <c r="R47" s="575"/>
      <c r="S47" s="575"/>
      <c r="T47" s="575"/>
      <c r="U47" s="575"/>
      <c r="V47" s="575"/>
      <c r="W47" s="576"/>
      <c r="X47" s="576"/>
    </row>
    <row r="48" spans="1:24" s="561" customFormat="1">
      <c r="A48" s="567" t="s">
        <v>43</v>
      </c>
      <c r="B48" s="575"/>
      <c r="C48" s="575"/>
      <c r="D48" s="575"/>
      <c r="E48" s="575"/>
      <c r="F48" s="575"/>
      <c r="G48" s="575"/>
      <c r="H48" s="575"/>
      <c r="I48" s="575"/>
      <c r="J48" s="575"/>
      <c r="K48" s="575"/>
      <c r="L48" s="575"/>
      <c r="M48" s="575"/>
      <c r="N48" s="575"/>
      <c r="O48" s="575"/>
      <c r="P48" s="575"/>
      <c r="Q48" s="575"/>
      <c r="R48" s="575"/>
      <c r="S48" s="575"/>
      <c r="T48" s="575"/>
      <c r="U48" s="575"/>
      <c r="V48" s="575"/>
      <c r="W48" s="576"/>
      <c r="X48" s="576"/>
    </row>
    <row r="49" spans="1:24" s="561" customFormat="1">
      <c r="A49" s="567" t="s">
        <v>44</v>
      </c>
      <c r="B49" s="575"/>
      <c r="C49" s="575"/>
      <c r="D49" s="575"/>
      <c r="E49" s="575"/>
      <c r="F49" s="575"/>
      <c r="G49" s="575"/>
      <c r="H49" s="575"/>
      <c r="I49" s="575"/>
      <c r="J49" s="575"/>
      <c r="K49" s="575"/>
      <c r="L49" s="576"/>
      <c r="M49" s="576"/>
      <c r="N49" s="576"/>
      <c r="O49" s="576"/>
      <c r="P49" s="576"/>
      <c r="Q49" s="576"/>
      <c r="R49" s="576"/>
      <c r="S49" s="576"/>
      <c r="T49" s="576"/>
      <c r="U49" s="576"/>
      <c r="V49" s="576"/>
      <c r="W49" s="576"/>
      <c r="X49" s="576"/>
    </row>
    <row r="50" spans="1:24">
      <c r="A50" s="577"/>
      <c r="B50" s="566"/>
      <c r="C50" s="566"/>
    </row>
    <row r="51" spans="1:24">
      <c r="A51" s="563" t="s">
        <v>45</v>
      </c>
    </row>
    <row r="52" spans="1:24">
      <c r="A52" s="562"/>
    </row>
    <row r="53" spans="1:24" s="561" customFormat="1">
      <c r="A53" s="564" t="s">
        <v>10</v>
      </c>
    </row>
    <row r="54" spans="1:24" s="561" customFormat="1">
      <c r="A54" s="567" t="s">
        <v>46</v>
      </c>
    </row>
    <row r="55" spans="1:24" s="561" customFormat="1">
      <c r="A55" s="567" t="s">
        <v>47</v>
      </c>
    </row>
    <row r="56" spans="1:24" s="561" customFormat="1">
      <c r="A56" s="564" t="s">
        <v>25</v>
      </c>
    </row>
    <row r="57" spans="1:24" s="561" customFormat="1">
      <c r="A57" s="567" t="s">
        <v>48</v>
      </c>
    </row>
    <row r="58" spans="1:24" s="561" customFormat="1">
      <c r="A58" s="567" t="s">
        <v>49</v>
      </c>
    </row>
    <row r="59" spans="1:24" s="561" customFormat="1">
      <c r="A59" s="567" t="s">
        <v>50</v>
      </c>
    </row>
    <row r="60" spans="1:24">
      <c r="A60" s="578"/>
    </row>
    <row r="61" spans="1:24" s="579" customFormat="1">
      <c r="A61" s="563" t="s">
        <v>51</v>
      </c>
      <c r="B61"/>
      <c r="C61"/>
      <c r="D61"/>
      <c r="E61"/>
      <c r="F61"/>
      <c r="G61"/>
      <c r="H61"/>
      <c r="I61"/>
      <c r="J61"/>
      <c r="K61"/>
      <c r="L61"/>
      <c r="M61"/>
      <c r="N61"/>
      <c r="O61"/>
      <c r="P61"/>
      <c r="Q61"/>
      <c r="R61"/>
      <c r="S61"/>
      <c r="T61"/>
      <c r="U61"/>
      <c r="V61"/>
      <c r="W61"/>
      <c r="X61"/>
    </row>
    <row r="62" spans="1:24" s="579" customFormat="1">
      <c r="A62" s="562"/>
      <c r="B62"/>
      <c r="C62"/>
      <c r="D62"/>
      <c r="E62"/>
      <c r="F62"/>
      <c r="G62"/>
      <c r="H62"/>
      <c r="I62"/>
      <c r="J62"/>
      <c r="K62"/>
      <c r="L62"/>
      <c r="M62"/>
      <c r="N62"/>
      <c r="O62"/>
      <c r="P62"/>
      <c r="Q62"/>
      <c r="R62"/>
      <c r="S62"/>
      <c r="T62"/>
      <c r="U62"/>
      <c r="V62"/>
      <c r="W62"/>
      <c r="X62"/>
    </row>
    <row r="63" spans="1:24" s="560" customFormat="1">
      <c r="A63" s="580" t="s">
        <v>10</v>
      </c>
      <c r="B63" s="561"/>
      <c r="C63" s="561"/>
      <c r="D63" s="561"/>
      <c r="E63" s="561"/>
      <c r="F63" s="561"/>
      <c r="G63" s="561"/>
      <c r="H63" s="561"/>
      <c r="I63" s="561"/>
      <c r="J63" s="561"/>
      <c r="K63" s="561"/>
      <c r="L63" s="561"/>
      <c r="M63" s="561"/>
      <c r="N63" s="561"/>
      <c r="O63" s="561"/>
      <c r="P63" s="561"/>
      <c r="Q63" s="561"/>
      <c r="R63" s="561"/>
      <c r="S63" s="561"/>
      <c r="T63" s="561"/>
      <c r="U63" s="561"/>
      <c r="V63" s="561"/>
      <c r="W63" s="561"/>
      <c r="X63" s="561"/>
    </row>
    <row r="64" spans="1:24" s="560" customFormat="1">
      <c r="A64" s="567" t="s">
        <v>52</v>
      </c>
      <c r="B64" s="561"/>
      <c r="C64" s="561"/>
      <c r="D64" s="561"/>
      <c r="E64" s="561"/>
      <c r="F64" s="561"/>
      <c r="G64" s="561"/>
      <c r="H64" s="561"/>
      <c r="I64" s="561"/>
      <c r="J64" s="561"/>
      <c r="K64" s="561"/>
      <c r="L64" s="561"/>
      <c r="M64" s="561"/>
      <c r="N64" s="561"/>
      <c r="O64" s="561"/>
      <c r="P64" s="561"/>
      <c r="Q64" s="561"/>
      <c r="R64" s="561"/>
      <c r="S64" s="561"/>
      <c r="T64" s="561"/>
      <c r="U64" s="561"/>
      <c r="V64" s="561"/>
      <c r="W64" s="561"/>
      <c r="X64" s="561"/>
    </row>
    <row r="65" spans="1:24" s="560" customFormat="1">
      <c r="A65" s="567" t="s">
        <v>53</v>
      </c>
      <c r="B65" s="561"/>
      <c r="C65" s="561"/>
      <c r="D65" s="561"/>
      <c r="E65" s="561"/>
      <c r="F65" s="561"/>
      <c r="G65" s="561"/>
      <c r="H65" s="561"/>
      <c r="I65" s="561"/>
      <c r="J65" s="561"/>
      <c r="K65" s="561"/>
      <c r="L65" s="561"/>
      <c r="M65" s="561"/>
      <c r="N65" s="561"/>
      <c r="O65" s="561"/>
      <c r="P65" s="561"/>
      <c r="Q65" s="561"/>
      <c r="R65" s="561"/>
      <c r="S65" s="561"/>
      <c r="T65" s="561"/>
      <c r="U65" s="561"/>
      <c r="V65" s="561"/>
      <c r="W65" s="561"/>
      <c r="X65" s="561"/>
    </row>
    <row r="66" spans="1:24" s="560" customFormat="1">
      <c r="A66" s="567" t="s">
        <v>54</v>
      </c>
      <c r="B66" s="561"/>
      <c r="C66" s="561"/>
      <c r="D66" s="561"/>
      <c r="E66" s="561"/>
      <c r="F66" s="561"/>
      <c r="G66" s="561"/>
      <c r="H66" s="561"/>
      <c r="I66" s="561"/>
      <c r="J66" s="561"/>
      <c r="K66" s="561"/>
      <c r="L66" s="561"/>
      <c r="M66" s="561"/>
      <c r="N66" s="561"/>
      <c r="O66" s="561"/>
      <c r="P66" s="561"/>
      <c r="Q66" s="561"/>
      <c r="R66" s="561"/>
      <c r="S66" s="561"/>
      <c r="T66" s="561"/>
      <c r="U66" s="561"/>
      <c r="V66" s="561"/>
      <c r="W66" s="561"/>
      <c r="X66" s="561"/>
    </row>
    <row r="67" spans="1:24" s="560" customFormat="1">
      <c r="A67" s="567"/>
      <c r="B67" s="561"/>
      <c r="C67" s="561"/>
      <c r="D67" s="561"/>
      <c r="E67" s="561"/>
      <c r="F67" s="561"/>
      <c r="G67" s="561"/>
      <c r="H67" s="561"/>
      <c r="I67" s="561"/>
      <c r="J67" s="561"/>
      <c r="K67" s="561"/>
      <c r="L67" s="561"/>
      <c r="M67" s="561"/>
      <c r="N67" s="561"/>
      <c r="O67" s="561"/>
      <c r="P67" s="561"/>
      <c r="Q67" s="561"/>
      <c r="R67" s="561"/>
      <c r="S67" s="561"/>
      <c r="T67" s="561"/>
      <c r="U67" s="561"/>
      <c r="V67" s="561"/>
      <c r="W67" s="561"/>
      <c r="X67" s="561"/>
    </row>
    <row r="68" spans="1:24" s="560" customFormat="1">
      <c r="A68" s="567" t="s">
        <v>25</v>
      </c>
      <c r="B68" s="561"/>
      <c r="C68" s="561"/>
      <c r="D68" s="561"/>
      <c r="E68" s="561"/>
      <c r="F68" s="561"/>
      <c r="G68" s="561"/>
      <c r="H68" s="561"/>
      <c r="I68" s="561"/>
      <c r="J68" s="561"/>
      <c r="K68" s="561"/>
      <c r="L68" s="561"/>
      <c r="M68" s="561"/>
      <c r="N68" s="561"/>
      <c r="O68" s="561"/>
      <c r="P68" s="561"/>
      <c r="Q68" s="561"/>
      <c r="R68" s="561"/>
      <c r="S68" s="561"/>
      <c r="T68" s="561"/>
      <c r="U68" s="561"/>
      <c r="V68" s="561"/>
      <c r="W68" s="561"/>
      <c r="X68" s="561"/>
    </row>
    <row r="69" spans="1:24" s="560" customFormat="1">
      <c r="A69" s="567" t="s">
        <v>55</v>
      </c>
      <c r="B69" s="561"/>
      <c r="C69" s="561"/>
      <c r="D69" s="561"/>
      <c r="E69" s="561"/>
      <c r="F69" s="561"/>
      <c r="G69" s="561"/>
      <c r="H69" s="561"/>
      <c r="I69" s="561"/>
      <c r="J69" s="561"/>
      <c r="K69" s="561"/>
      <c r="L69" s="561"/>
      <c r="M69" s="561"/>
      <c r="N69" s="561"/>
      <c r="O69" s="561"/>
      <c r="P69" s="561"/>
      <c r="Q69" s="561"/>
      <c r="R69" s="561"/>
      <c r="S69" s="561"/>
      <c r="T69" s="561"/>
      <c r="U69" s="561"/>
      <c r="V69" s="561"/>
      <c r="W69" s="561"/>
      <c r="X69" s="561"/>
    </row>
    <row r="70" spans="1:24" s="560" customFormat="1">
      <c r="A70" s="567" t="s">
        <v>56</v>
      </c>
      <c r="B70" s="561"/>
      <c r="C70" s="561"/>
      <c r="D70" s="561"/>
      <c r="E70" s="561"/>
      <c r="F70" s="561"/>
      <c r="G70" s="561"/>
      <c r="H70" s="561"/>
      <c r="I70" s="561"/>
      <c r="J70" s="561"/>
      <c r="K70" s="561"/>
      <c r="L70" s="561"/>
      <c r="M70" s="561"/>
      <c r="N70" s="561"/>
      <c r="O70" s="561"/>
      <c r="P70" s="561"/>
      <c r="Q70" s="561"/>
      <c r="R70" s="561"/>
      <c r="S70" s="561"/>
      <c r="T70" s="561"/>
      <c r="U70" s="561"/>
      <c r="V70" s="561"/>
      <c r="W70" s="561"/>
      <c r="X70" s="561"/>
    </row>
    <row r="71" spans="1:24" s="560" customFormat="1">
      <c r="A71" s="567" t="s">
        <v>57</v>
      </c>
      <c r="B71" s="561"/>
      <c r="C71" s="561"/>
      <c r="D71" s="561"/>
      <c r="E71" s="561"/>
      <c r="F71" s="561"/>
      <c r="G71" s="561"/>
      <c r="H71" s="561"/>
      <c r="I71" s="561"/>
      <c r="J71" s="561"/>
      <c r="K71" s="561"/>
      <c r="L71" s="561"/>
      <c r="M71" s="561"/>
      <c r="N71" s="561"/>
      <c r="O71" s="561"/>
      <c r="P71" s="561"/>
      <c r="Q71" s="561"/>
      <c r="R71" s="561"/>
      <c r="S71" s="561"/>
      <c r="T71" s="561"/>
      <c r="U71" s="561"/>
      <c r="V71" s="561"/>
      <c r="W71" s="561"/>
      <c r="X71" s="561"/>
    </row>
    <row r="72" spans="1:24" s="560" customFormat="1">
      <c r="A72" s="567" t="s">
        <v>58</v>
      </c>
      <c r="B72" s="561"/>
      <c r="C72" s="561"/>
      <c r="D72" s="561"/>
      <c r="E72" s="561"/>
      <c r="F72" s="561"/>
      <c r="G72" s="561"/>
      <c r="H72" s="561"/>
      <c r="I72" s="561"/>
      <c r="J72" s="561"/>
      <c r="K72" s="561"/>
      <c r="L72" s="561"/>
      <c r="M72" s="561"/>
      <c r="N72" s="561"/>
      <c r="O72" s="561"/>
      <c r="P72" s="561"/>
      <c r="Q72" s="561"/>
      <c r="R72" s="561"/>
      <c r="S72" s="561"/>
      <c r="T72" s="561"/>
      <c r="U72" s="561"/>
      <c r="V72" s="561"/>
      <c r="W72" s="561"/>
      <c r="X72" s="561"/>
    </row>
    <row r="73" spans="1:24" ht="16.5">
      <c r="A73" s="562"/>
      <c r="I73" s="1"/>
    </row>
    <row r="74" spans="1:24">
      <c r="A74" s="563" t="s">
        <v>59</v>
      </c>
    </row>
    <row r="75" spans="1:24">
      <c r="A75" s="563"/>
    </row>
    <row r="76" spans="1:24" s="561" customFormat="1">
      <c r="A76" s="564" t="s">
        <v>10</v>
      </c>
    </row>
    <row r="77" spans="1:24" s="570" customFormat="1">
      <c r="A77" s="844" t="s">
        <v>60</v>
      </c>
    </row>
    <row r="78" spans="1:24" s="570" customFormat="1">
      <c r="A78" s="844" t="s">
        <v>61</v>
      </c>
    </row>
    <row r="79" spans="1:24" s="566" customFormat="1">
      <c r="A79" s="567"/>
    </row>
    <row r="80" spans="1:24" s="561" customFormat="1">
      <c r="A80" s="564" t="s">
        <v>25</v>
      </c>
    </row>
    <row r="81" spans="1:24" s="882" customFormat="1">
      <c r="A81" s="881" t="s">
        <v>62</v>
      </c>
    </row>
    <row r="82" spans="1:24" s="570" customFormat="1">
      <c r="A82" s="567"/>
      <c r="B82" s="566"/>
      <c r="C82" s="566"/>
      <c r="D82" s="566"/>
      <c r="E82" s="566"/>
      <c r="F82" s="566"/>
      <c r="G82" s="566"/>
      <c r="H82" s="566"/>
      <c r="I82" s="566"/>
      <c r="J82" s="566"/>
      <c r="K82" s="566"/>
      <c r="L82" s="566"/>
      <c r="M82" s="566"/>
      <c r="N82" s="566"/>
      <c r="O82" s="566"/>
      <c r="P82" s="566"/>
      <c r="Q82" s="566"/>
      <c r="R82" s="566"/>
      <c r="S82" s="566"/>
      <c r="T82" s="566"/>
      <c r="U82" s="566"/>
      <c r="V82" s="566"/>
      <c r="W82" s="566"/>
      <c r="X82" s="566"/>
    </row>
    <row r="83" spans="1:24" s="560" customFormat="1">
      <c r="A83" s="565"/>
      <c r="B83" s="561"/>
      <c r="C83" s="561"/>
      <c r="D83" s="561"/>
      <c r="E83" s="561"/>
      <c r="F83" s="561"/>
      <c r="G83" s="561"/>
      <c r="H83" s="561"/>
      <c r="I83" s="561"/>
      <c r="J83" s="561"/>
      <c r="K83" s="561"/>
      <c r="L83" s="561"/>
      <c r="M83" s="561"/>
      <c r="N83" s="561"/>
      <c r="O83" s="561"/>
      <c r="P83" s="561"/>
      <c r="Q83" s="561"/>
      <c r="R83" s="561"/>
      <c r="S83" s="561"/>
      <c r="T83" s="561"/>
      <c r="U83" s="561"/>
      <c r="V83" s="561"/>
      <c r="W83" s="561"/>
      <c r="X83" s="561"/>
    </row>
  </sheetData>
  <phoneticPr fontId="28" type="noConversion"/>
  <pageMargins left="0.70866141732283472" right="0.70866141732283472" top="0.74803149606299213" bottom="0.74803149606299213" header="0.31496062992125984" footer="0.31496062992125984"/>
  <pageSetup paperSize="8" scale="59" orientation="portrait"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71DEDB-B717-4AC4-94AE-E7A04D0F7D23}">
  <sheetPr>
    <tabColor rgb="FF339088"/>
    <pageSetUpPr fitToPage="1"/>
  </sheetPr>
  <dimension ref="A1:T40"/>
  <sheetViews>
    <sheetView showGridLines="0" view="pageBreakPreview" zoomScaleNormal="100" zoomScaleSheetLayoutView="100" workbookViewId="0">
      <selection activeCell="B13" sqref="B13:P21"/>
    </sheetView>
  </sheetViews>
  <sheetFormatPr defaultColWidth="9.26953125" defaultRowHeight="16.5" outlineLevelRow="1"/>
  <cols>
    <col min="1" max="1" width="9.26953125" style="1"/>
    <col min="2" max="2" width="27.26953125" style="1" customWidth="1"/>
    <col min="3" max="4" width="10.7265625" style="64" hidden="1" customWidth="1"/>
    <col min="5" max="14" width="10.7265625" style="64" customWidth="1"/>
    <col min="15" max="16" width="10.7265625" style="1" customWidth="1"/>
    <col min="17" max="17" width="2.7265625" style="1" customWidth="1"/>
    <col min="18" max="18" width="9.26953125" style="1" customWidth="1"/>
    <col min="19" max="26" width="9.26953125" style="1"/>
    <col min="27" max="27" width="8.7265625" style="1" customWidth="1"/>
    <col min="28" max="16384" width="9.26953125" style="1"/>
  </cols>
  <sheetData>
    <row r="1" spans="1:19" ht="26">
      <c r="A1" s="4" t="s">
        <v>63</v>
      </c>
    </row>
    <row r="2" spans="1:19" ht="19.5">
      <c r="B2" s="188" t="s">
        <v>64</v>
      </c>
      <c r="C2" s="423"/>
      <c r="D2" s="423"/>
      <c r="E2" s="423"/>
      <c r="F2" s="423"/>
      <c r="G2" s="423"/>
      <c r="H2" s="423"/>
      <c r="I2" s="423"/>
      <c r="J2" s="423"/>
      <c r="K2" s="423"/>
      <c r="L2" s="423"/>
      <c r="M2" s="423"/>
      <c r="N2" s="423"/>
      <c r="O2" s="286"/>
      <c r="P2" s="286"/>
    </row>
    <row r="3" spans="1:19" ht="19.5">
      <c r="B3" s="424" t="s">
        <v>65</v>
      </c>
      <c r="C3" s="425" t="s">
        <v>66</v>
      </c>
      <c r="D3" s="425" t="s">
        <v>67</v>
      </c>
      <c r="E3" s="425" t="s">
        <v>68</v>
      </c>
      <c r="F3" s="425" t="s">
        <v>69</v>
      </c>
      <c r="G3" s="425" t="s">
        <v>70</v>
      </c>
      <c r="H3" s="425" t="s">
        <v>71</v>
      </c>
      <c r="I3" s="425" t="s">
        <v>72</v>
      </c>
      <c r="J3" s="425" t="s">
        <v>73</v>
      </c>
      <c r="K3" s="425" t="s">
        <v>74</v>
      </c>
      <c r="L3" s="425" t="s">
        <v>75</v>
      </c>
      <c r="M3" s="425" t="s">
        <v>76</v>
      </c>
      <c r="N3" s="425" t="s">
        <v>77</v>
      </c>
      <c r="O3" s="425" t="s">
        <v>78</v>
      </c>
      <c r="P3" s="425" t="s">
        <v>79</v>
      </c>
    </row>
    <row r="4" spans="1:19" ht="19.5">
      <c r="B4" s="426" t="s">
        <v>80</v>
      </c>
      <c r="C4" s="427">
        <v>3.2000000000000001E-2</v>
      </c>
      <c r="D4" s="427">
        <v>2.9000000000000001E-2</v>
      </c>
      <c r="E4" s="427">
        <v>2.1999999999999999E-2</v>
      </c>
      <c r="F4" s="427">
        <v>-7.0000000000000001E-3</v>
      </c>
      <c r="G4" s="427">
        <v>4.1000000000000002E-2</v>
      </c>
      <c r="H4" s="428">
        <v>2.5999999999999999E-2</v>
      </c>
      <c r="I4" s="428">
        <v>1.4E-2</v>
      </c>
      <c r="J4" s="428">
        <v>0.02</v>
      </c>
      <c r="K4" s="428">
        <v>-1E-3</v>
      </c>
      <c r="L4" s="428">
        <v>3.0000000000000001E-3</v>
      </c>
      <c r="M4" s="428">
        <v>1.2999999999999999E-2</v>
      </c>
      <c r="N4" s="444">
        <v>1.4999999999999999E-2</v>
      </c>
      <c r="O4" s="444">
        <v>8.9999999999999993E-3</v>
      </c>
      <c r="P4" s="444">
        <v>1.7999999999999999E-2</v>
      </c>
    </row>
    <row r="5" spans="1:19" ht="15.75" customHeight="1" outlineLevel="1">
      <c r="B5" s="442" t="s">
        <v>81</v>
      </c>
      <c r="C5" s="427"/>
      <c r="D5" s="68">
        <f t="shared" ref="D5:J5" si="0">D4-C4</f>
        <v>-2.9999999999999992E-3</v>
      </c>
      <c r="E5" s="68">
        <f t="shared" si="0"/>
        <v>-7.0000000000000027E-3</v>
      </c>
      <c r="F5" s="68">
        <f t="shared" si="0"/>
        <v>-2.8999999999999998E-2</v>
      </c>
      <c r="G5" s="68">
        <f t="shared" si="0"/>
        <v>4.8000000000000001E-2</v>
      </c>
      <c r="H5" s="68">
        <f t="shared" si="0"/>
        <v>-1.5000000000000003E-2</v>
      </c>
      <c r="I5" s="68">
        <f t="shared" si="0"/>
        <v>-1.1999999999999999E-2</v>
      </c>
      <c r="J5" s="68">
        <f t="shared" si="0"/>
        <v>6.0000000000000001E-3</v>
      </c>
      <c r="K5" s="68"/>
      <c r="L5" s="68">
        <f t="shared" ref="L5:L10" si="1">L4-K4</f>
        <v>4.0000000000000001E-3</v>
      </c>
      <c r="M5" s="68">
        <f t="shared" ref="M5:M10" si="2">M4-L4</f>
        <v>9.9999999999999985E-3</v>
      </c>
      <c r="N5" s="445">
        <f t="shared" ref="N5:N10" si="3">N4-M4</f>
        <v>2E-3</v>
      </c>
      <c r="O5" s="68">
        <f>O4-J4</f>
        <v>-1.1000000000000001E-2</v>
      </c>
      <c r="P5" s="445">
        <f t="shared" ref="P5:P9" si="4">P4-O4</f>
        <v>8.9999999999999993E-3</v>
      </c>
      <c r="S5" s="12"/>
    </row>
    <row r="6" spans="1:19" ht="17.25" customHeight="1">
      <c r="B6" s="456" t="s">
        <v>82</v>
      </c>
      <c r="C6" s="429">
        <v>1.9400000000000001E-2</v>
      </c>
      <c r="D6" s="429">
        <v>1.4800000000000001E-2</v>
      </c>
      <c r="E6" s="429">
        <v>3.8E-3</v>
      </c>
      <c r="F6" s="429">
        <v>5.4000000000000003E-3</v>
      </c>
      <c r="G6" s="429">
        <v>2.5000000000000001E-2</v>
      </c>
      <c r="H6" s="428">
        <v>5.0999999999999997E-2</v>
      </c>
      <c r="I6" s="428">
        <v>3.5999999999999997E-2</v>
      </c>
      <c r="J6" s="428">
        <v>2.3E-2</v>
      </c>
      <c r="K6" s="428">
        <v>2.1000000000000001E-2</v>
      </c>
      <c r="L6" s="428">
        <v>0.02</v>
      </c>
      <c r="M6" s="428">
        <v>1.9E-2</v>
      </c>
      <c r="N6" s="444">
        <v>2.1000000000000001E-2</v>
      </c>
      <c r="O6" s="444">
        <v>2.1000000000000001E-2</v>
      </c>
      <c r="P6" s="444">
        <v>0.02</v>
      </c>
    </row>
    <row r="7" spans="1:19" ht="18" customHeight="1" outlineLevel="1">
      <c r="B7" s="442" t="s">
        <v>81</v>
      </c>
      <c r="C7" s="430"/>
      <c r="D7" s="68">
        <f t="shared" ref="D7:J7" si="5">D6-C6</f>
        <v>-4.5999999999999999E-3</v>
      </c>
      <c r="E7" s="68">
        <f t="shared" si="5"/>
        <v>-1.1000000000000001E-2</v>
      </c>
      <c r="F7" s="68">
        <f t="shared" si="5"/>
        <v>1.6000000000000003E-3</v>
      </c>
      <c r="G7" s="68">
        <f t="shared" si="5"/>
        <v>1.9599999999999999E-2</v>
      </c>
      <c r="H7" s="68">
        <f t="shared" si="5"/>
        <v>2.5999999999999995E-2</v>
      </c>
      <c r="I7" s="68">
        <f t="shared" si="5"/>
        <v>-1.4999999999999999E-2</v>
      </c>
      <c r="J7" s="68">
        <f t="shared" si="5"/>
        <v>-1.2999999999999998E-2</v>
      </c>
      <c r="K7" s="68"/>
      <c r="L7" s="68">
        <f t="shared" si="1"/>
        <v>-1.0000000000000009E-3</v>
      </c>
      <c r="M7" s="68">
        <f t="shared" si="2"/>
        <v>-1.0000000000000009E-3</v>
      </c>
      <c r="N7" s="445">
        <f t="shared" si="3"/>
        <v>2.0000000000000018E-3</v>
      </c>
      <c r="O7" s="68">
        <f>O6-J6</f>
        <v>-1.9999999999999983E-3</v>
      </c>
      <c r="P7" s="445">
        <f t="shared" si="4"/>
        <v>-1.0000000000000009E-3</v>
      </c>
    </row>
    <row r="8" spans="1:19" ht="19.5">
      <c r="B8" s="426" t="s">
        <v>83</v>
      </c>
      <c r="C8" s="429">
        <v>3.6999999999999998E-2</v>
      </c>
      <c r="D8" s="429">
        <v>3.9E-2</v>
      </c>
      <c r="E8" s="429">
        <v>3.7999999999999999E-2</v>
      </c>
      <c r="F8" s="429">
        <v>0.04</v>
      </c>
      <c r="G8" s="429">
        <v>3.6999999999999998E-2</v>
      </c>
      <c r="H8" s="428">
        <v>2.9000000000000001E-2</v>
      </c>
      <c r="I8" s="428">
        <v>2.7E-2</v>
      </c>
      <c r="J8" s="428">
        <v>2.8000000000000001E-2</v>
      </c>
      <c r="K8" s="428">
        <v>3.4000000000000002E-2</v>
      </c>
      <c r="L8" s="428">
        <v>3.3000000000000002E-2</v>
      </c>
      <c r="M8" s="428">
        <v>2.5000000000000001E-2</v>
      </c>
      <c r="N8" s="444">
        <v>2.5000000000000001E-2</v>
      </c>
      <c r="O8" s="444">
        <v>2.8000000000000001E-2</v>
      </c>
      <c r="P8" s="444">
        <v>2.8000000000000001E-2</v>
      </c>
    </row>
    <row r="9" spans="1:19" ht="17.25" customHeight="1" outlineLevel="1">
      <c r="B9" s="442" t="s">
        <v>81</v>
      </c>
      <c r="C9" s="61"/>
      <c r="D9" s="68">
        <f t="shared" ref="D9:J9" si="6">D8-C8</f>
        <v>2.0000000000000018E-3</v>
      </c>
      <c r="E9" s="68">
        <f t="shared" si="6"/>
        <v>-1.0000000000000009E-3</v>
      </c>
      <c r="F9" s="68">
        <f t="shared" si="6"/>
        <v>2.0000000000000018E-3</v>
      </c>
      <c r="G9" s="68">
        <f t="shared" si="6"/>
        <v>-3.0000000000000027E-3</v>
      </c>
      <c r="H9" s="68">
        <f t="shared" si="6"/>
        <v>-7.9999999999999967E-3</v>
      </c>
      <c r="I9" s="68">
        <f t="shared" si="6"/>
        <v>-2.0000000000000018E-3</v>
      </c>
      <c r="J9" s="68">
        <f t="shared" si="6"/>
        <v>1.0000000000000009E-3</v>
      </c>
      <c r="K9" s="68"/>
      <c r="L9" s="68">
        <f t="shared" si="1"/>
        <v>-1.0000000000000009E-3</v>
      </c>
      <c r="M9" s="68">
        <f t="shared" si="2"/>
        <v>-8.0000000000000002E-3</v>
      </c>
      <c r="N9" s="445">
        <f t="shared" si="3"/>
        <v>0</v>
      </c>
      <c r="O9" s="68">
        <f>O8-J8</f>
        <v>0</v>
      </c>
      <c r="P9" s="445">
        <f t="shared" si="4"/>
        <v>0</v>
      </c>
    </row>
    <row r="10" spans="1:19">
      <c r="B10" s="441" t="s">
        <v>84</v>
      </c>
      <c r="C10" s="69"/>
      <c r="D10" s="69"/>
      <c r="E10" s="505">
        <f t="shared" ref="E10:J10" si="7">E9-D9</f>
        <v>-3.0000000000000027E-3</v>
      </c>
      <c r="F10" s="505">
        <f t="shared" si="7"/>
        <v>3.0000000000000027E-3</v>
      </c>
      <c r="G10" s="505">
        <f t="shared" si="7"/>
        <v>-5.0000000000000044E-3</v>
      </c>
      <c r="H10" s="505">
        <f t="shared" si="7"/>
        <v>-4.999999999999994E-3</v>
      </c>
      <c r="I10" s="505">
        <f t="shared" si="7"/>
        <v>5.9999999999999949E-3</v>
      </c>
      <c r="J10" s="505">
        <f t="shared" si="7"/>
        <v>3.0000000000000027E-3</v>
      </c>
      <c r="K10" s="850"/>
      <c r="L10" s="850">
        <f t="shared" si="1"/>
        <v>-1.0000000000000009E-3</v>
      </c>
      <c r="M10" s="850">
        <f t="shared" si="2"/>
        <v>-6.9999999999999993E-3</v>
      </c>
      <c r="N10" s="634">
        <f t="shared" si="3"/>
        <v>8.0000000000000002E-3</v>
      </c>
      <c r="O10" s="849"/>
      <c r="P10" s="849"/>
    </row>
    <row r="11" spans="1:19">
      <c r="B11" s="441"/>
      <c r="C11" s="69"/>
      <c r="D11" s="69"/>
      <c r="E11" s="505"/>
      <c r="F11" s="505"/>
      <c r="G11" s="505"/>
      <c r="H11" s="505"/>
      <c r="I11" s="505"/>
      <c r="J11" s="505"/>
      <c r="K11" s="850"/>
      <c r="L11" s="850"/>
      <c r="M11" s="634"/>
      <c r="N11" s="634"/>
      <c r="O11" s="849"/>
      <c r="P11" s="849"/>
    </row>
    <row r="12" spans="1:19" ht="15" customHeight="1" thickBot="1">
      <c r="A12"/>
      <c r="B12"/>
      <c r="C12"/>
      <c r="D12"/>
      <c r="E12"/>
      <c r="F12"/>
      <c r="G12"/>
      <c r="H12"/>
      <c r="I12"/>
      <c r="J12"/>
      <c r="K12"/>
      <c r="L12"/>
      <c r="M12"/>
      <c r="N12"/>
      <c r="O12"/>
      <c r="P12"/>
    </row>
    <row r="13" spans="1:19" ht="38.65" customHeight="1">
      <c r="A13"/>
      <c r="B13" s="1056" t="s">
        <v>85</v>
      </c>
      <c r="C13" s="1057"/>
      <c r="D13" s="1057"/>
      <c r="E13" s="1057"/>
      <c r="F13" s="1057"/>
      <c r="G13" s="1057"/>
      <c r="H13" s="1057"/>
      <c r="I13" s="1057"/>
      <c r="J13" s="1057"/>
      <c r="K13" s="1057"/>
      <c r="L13" s="1057"/>
      <c r="M13" s="1057"/>
      <c r="N13" s="1057"/>
      <c r="O13" s="1057"/>
      <c r="P13" s="1058"/>
    </row>
    <row r="14" spans="1:19" ht="38.65" customHeight="1">
      <c r="A14"/>
      <c r="B14" s="1059"/>
      <c r="C14" s="1060"/>
      <c r="D14" s="1060"/>
      <c r="E14" s="1060"/>
      <c r="F14" s="1060"/>
      <c r="G14" s="1060"/>
      <c r="H14" s="1060"/>
      <c r="I14" s="1060"/>
      <c r="J14" s="1060"/>
      <c r="K14" s="1060"/>
      <c r="L14" s="1060"/>
      <c r="M14" s="1060"/>
      <c r="N14" s="1060"/>
      <c r="O14" s="1060"/>
      <c r="P14" s="1061"/>
    </row>
    <row r="15" spans="1:19" ht="38.65" customHeight="1">
      <c r="A15"/>
      <c r="B15" s="1059"/>
      <c r="C15" s="1060"/>
      <c r="D15" s="1060"/>
      <c r="E15" s="1060"/>
      <c r="F15" s="1060"/>
      <c r="G15" s="1060"/>
      <c r="H15" s="1060"/>
      <c r="I15" s="1060"/>
      <c r="J15" s="1060"/>
      <c r="K15" s="1060"/>
      <c r="L15" s="1060"/>
      <c r="M15" s="1060"/>
      <c r="N15" s="1060"/>
      <c r="O15" s="1060"/>
      <c r="P15" s="1061"/>
    </row>
    <row r="16" spans="1:19" ht="38.65" customHeight="1">
      <c r="A16"/>
      <c r="B16" s="1059"/>
      <c r="C16" s="1060"/>
      <c r="D16" s="1060"/>
      <c r="E16" s="1060"/>
      <c r="F16" s="1060"/>
      <c r="G16" s="1060"/>
      <c r="H16" s="1060"/>
      <c r="I16" s="1060"/>
      <c r="J16" s="1060"/>
      <c r="K16" s="1060"/>
      <c r="L16" s="1060"/>
      <c r="M16" s="1060"/>
      <c r="N16" s="1060"/>
      <c r="O16" s="1060"/>
      <c r="P16" s="1061"/>
    </row>
    <row r="17" spans="1:20" ht="38.65" customHeight="1">
      <c r="A17"/>
      <c r="B17" s="1059"/>
      <c r="C17" s="1060"/>
      <c r="D17" s="1060"/>
      <c r="E17" s="1060"/>
      <c r="F17" s="1060"/>
      <c r="G17" s="1060"/>
      <c r="H17" s="1060"/>
      <c r="I17" s="1060"/>
      <c r="J17" s="1060"/>
      <c r="K17" s="1060"/>
      <c r="L17" s="1060"/>
      <c r="M17" s="1060"/>
      <c r="N17" s="1060"/>
      <c r="O17" s="1060"/>
      <c r="P17" s="1061"/>
    </row>
    <row r="18" spans="1:20" ht="38.65" customHeight="1">
      <c r="A18"/>
      <c r="B18" s="1059"/>
      <c r="C18" s="1060"/>
      <c r="D18" s="1060"/>
      <c r="E18" s="1060"/>
      <c r="F18" s="1060"/>
      <c r="G18" s="1060"/>
      <c r="H18" s="1060"/>
      <c r="I18" s="1060"/>
      <c r="J18" s="1060"/>
      <c r="K18" s="1060"/>
      <c r="L18" s="1060"/>
      <c r="M18" s="1060"/>
      <c r="N18" s="1060"/>
      <c r="O18" s="1060"/>
      <c r="P18" s="1061"/>
    </row>
    <row r="19" spans="1:20" ht="38.65" customHeight="1">
      <c r="A19"/>
      <c r="B19" s="1059"/>
      <c r="C19" s="1060"/>
      <c r="D19" s="1060"/>
      <c r="E19" s="1060"/>
      <c r="F19" s="1060"/>
      <c r="G19" s="1060"/>
      <c r="H19" s="1060"/>
      <c r="I19" s="1060"/>
      <c r="J19" s="1060"/>
      <c r="K19" s="1060"/>
      <c r="L19" s="1060"/>
      <c r="M19" s="1060"/>
      <c r="N19" s="1060"/>
      <c r="O19" s="1060"/>
      <c r="P19" s="1061"/>
    </row>
    <row r="20" spans="1:20" ht="38.65" customHeight="1">
      <c r="A20"/>
      <c r="B20" s="1059"/>
      <c r="C20" s="1060"/>
      <c r="D20" s="1060"/>
      <c r="E20" s="1060"/>
      <c r="F20" s="1060"/>
      <c r="G20" s="1060"/>
      <c r="H20" s="1060"/>
      <c r="I20" s="1060"/>
      <c r="J20" s="1060"/>
      <c r="K20" s="1060"/>
      <c r="L20" s="1060"/>
      <c r="M20" s="1060"/>
      <c r="N20" s="1060"/>
      <c r="O20" s="1060"/>
      <c r="P20" s="1061"/>
    </row>
    <row r="21" spans="1:20" ht="38.65" customHeight="1" thickBot="1">
      <c r="A21"/>
      <c r="B21" s="1062"/>
      <c r="C21" s="1063"/>
      <c r="D21" s="1063"/>
      <c r="E21" s="1063"/>
      <c r="F21" s="1063"/>
      <c r="G21" s="1063"/>
      <c r="H21" s="1063"/>
      <c r="I21" s="1063"/>
      <c r="J21" s="1063"/>
      <c r="K21" s="1063"/>
      <c r="L21" s="1063"/>
      <c r="M21" s="1063"/>
      <c r="N21" s="1063"/>
      <c r="O21" s="1063"/>
      <c r="P21" s="1064"/>
    </row>
    <row r="22" spans="1:20" ht="15" customHeight="1">
      <c r="A22"/>
      <c r="B22"/>
      <c r="C22"/>
      <c r="D22"/>
      <c r="E22"/>
      <c r="F22"/>
      <c r="G22"/>
      <c r="H22" s="169"/>
      <c r="I22" s="169"/>
      <c r="J22" s="169"/>
      <c r="K22" s="169"/>
      <c r="L22" s="169"/>
      <c r="M22" s="169"/>
      <c r="N22" s="169"/>
      <c r="O22"/>
      <c r="P22"/>
    </row>
    <row r="23" spans="1:20" ht="15" customHeight="1">
      <c r="A23"/>
      <c r="B23"/>
      <c r="C23"/>
      <c r="D23"/>
      <c r="E23"/>
      <c r="F23" s="70"/>
      <c r="G23" s="70"/>
      <c r="H23"/>
      <c r="I23"/>
      <c r="J23"/>
      <c r="K23"/>
      <c r="L23"/>
      <c r="M23"/>
      <c r="N23"/>
      <c r="O23"/>
      <c r="P23"/>
    </row>
    <row r="24" spans="1:20" ht="15" customHeight="1">
      <c r="A24"/>
      <c r="B24"/>
      <c r="C24"/>
      <c r="D24"/>
      <c r="E24"/>
      <c r="F24" s="70"/>
      <c r="G24" s="70"/>
      <c r="H24"/>
      <c r="I24"/>
      <c r="J24"/>
      <c r="K24"/>
      <c r="L24"/>
      <c r="M24"/>
      <c r="N24"/>
      <c r="O24"/>
      <c r="P24"/>
    </row>
    <row r="25" spans="1:20" ht="15" customHeight="1">
      <c r="A25"/>
      <c r="B25"/>
      <c r="C25"/>
      <c r="D25"/>
      <c r="E25"/>
      <c r="F25" s="70"/>
      <c r="G25" s="70"/>
      <c r="H25"/>
      <c r="I25"/>
      <c r="J25"/>
      <c r="K25"/>
      <c r="L25"/>
      <c r="M25"/>
      <c r="N25"/>
      <c r="O25"/>
      <c r="P25"/>
    </row>
    <row r="26" spans="1:20" ht="15" customHeight="1">
      <c r="A26"/>
      <c r="B26"/>
      <c r="C26"/>
      <c r="D26"/>
      <c r="E26"/>
      <c r="F26" s="70"/>
      <c r="G26" s="70"/>
      <c r="H26"/>
      <c r="I26"/>
      <c r="J26"/>
      <c r="K26"/>
      <c r="L26"/>
      <c r="M26"/>
      <c r="N26"/>
      <c r="O26"/>
      <c r="P26"/>
      <c r="Q26" s="1055"/>
      <c r="R26" s="1055"/>
      <c r="S26" s="1055"/>
      <c r="T26" s="1055"/>
    </row>
    <row r="27" spans="1:20" ht="15" customHeight="1">
      <c r="A27" s="20"/>
      <c r="B27"/>
      <c r="C27"/>
      <c r="D27"/>
      <c r="E27"/>
      <c r="F27"/>
      <c r="G27"/>
      <c r="H27"/>
      <c r="I27"/>
      <c r="J27"/>
      <c r="K27"/>
      <c r="L27"/>
      <c r="M27"/>
      <c r="N27"/>
      <c r="O27"/>
      <c r="P27"/>
      <c r="Q27" s="1055"/>
      <c r="R27" s="1055"/>
      <c r="S27" s="1055"/>
      <c r="T27" s="1055"/>
    </row>
    <row r="28" spans="1:20" ht="15" customHeight="1">
      <c r="A28" s="20"/>
      <c r="B28"/>
      <c r="C28"/>
      <c r="D28"/>
      <c r="E28"/>
      <c r="F28"/>
      <c r="G28"/>
      <c r="H28"/>
      <c r="I28"/>
      <c r="J28"/>
      <c r="K28"/>
      <c r="L28"/>
      <c r="M28"/>
      <c r="N28"/>
      <c r="O28"/>
      <c r="P28"/>
      <c r="Q28" s="1055"/>
      <c r="R28" s="1055"/>
      <c r="S28" s="1055"/>
      <c r="T28" s="1055"/>
    </row>
    <row r="29" spans="1:20" ht="15" customHeight="1">
      <c r="A29" s="20"/>
      <c r="B29"/>
      <c r="C29"/>
      <c r="D29"/>
      <c r="E29"/>
      <c r="F29" s="170"/>
      <c r="G29"/>
      <c r="H29"/>
      <c r="I29"/>
      <c r="J29"/>
      <c r="K29"/>
      <c r="L29"/>
      <c r="M29"/>
      <c r="N29"/>
      <c r="O29"/>
      <c r="P29"/>
      <c r="Q29" s="1055"/>
      <c r="R29" s="1055"/>
      <c r="S29" s="1055"/>
      <c r="T29" s="1055"/>
    </row>
    <row r="30" spans="1:20" ht="15" customHeight="1">
      <c r="A30" s="20"/>
      <c r="B30"/>
      <c r="C30"/>
      <c r="D30"/>
      <c r="E30"/>
      <c r="F30"/>
      <c r="G30"/>
      <c r="H30"/>
      <c r="I30"/>
      <c r="J30"/>
      <c r="K30"/>
      <c r="L30"/>
      <c r="M30"/>
      <c r="N30"/>
      <c r="O30"/>
      <c r="P30"/>
      <c r="Q30" s="1055"/>
      <c r="R30" s="1055"/>
      <c r="S30" s="1055"/>
      <c r="T30" s="1055"/>
    </row>
    <row r="31" spans="1:20" ht="15" customHeight="1">
      <c r="A31" s="20"/>
      <c r="B31"/>
      <c r="C31"/>
      <c r="D31"/>
      <c r="E31"/>
      <c r="F31"/>
      <c r="G31"/>
      <c r="H31"/>
      <c r="I31"/>
      <c r="J31"/>
      <c r="K31"/>
      <c r="L31"/>
      <c r="M31"/>
      <c r="N31"/>
      <c r="O31"/>
      <c r="P31"/>
    </row>
    <row r="32" spans="1:20" ht="15" customHeight="1">
      <c r="A32" s="20"/>
      <c r="B32"/>
      <c r="C32"/>
      <c r="D32"/>
      <c r="E32"/>
      <c r="F32" s="70"/>
      <c r="G32" s="70"/>
      <c r="H32"/>
      <c r="I32"/>
      <c r="J32"/>
      <c r="K32"/>
      <c r="L32"/>
      <c r="M32"/>
      <c r="N32"/>
      <c r="O32"/>
      <c r="P32"/>
    </row>
    <row r="33" spans="1:16" ht="15" customHeight="1">
      <c r="A33" s="20"/>
      <c r="B33" s="20"/>
      <c r="C33" s="70"/>
      <c r="D33" s="70"/>
      <c r="E33" s="70"/>
      <c r="F33" s="70"/>
      <c r="G33" s="70"/>
      <c r="H33"/>
      <c r="I33"/>
      <c r="J33"/>
      <c r="K33"/>
      <c r="L33"/>
      <c r="M33"/>
      <c r="N33"/>
      <c r="O33"/>
      <c r="P33"/>
    </row>
    <row r="34" spans="1:16" ht="15" customHeight="1">
      <c r="A34"/>
      <c r="B34" s="20"/>
      <c r="C34" s="70"/>
      <c r="D34" s="70"/>
      <c r="E34" s="70"/>
      <c r="F34" s="70"/>
      <c r="G34" s="70"/>
      <c r="H34"/>
      <c r="I34"/>
      <c r="J34"/>
      <c r="K34"/>
      <c r="L34"/>
      <c r="M34"/>
      <c r="N34"/>
      <c r="O34"/>
      <c r="P34"/>
    </row>
    <row r="35" spans="1:16" ht="15" customHeight="1">
      <c r="A35"/>
      <c r="B35" s="20"/>
      <c r="C35" s="70"/>
      <c r="D35" s="70"/>
      <c r="E35" s="70"/>
      <c r="F35" s="70"/>
      <c r="G35" s="70"/>
      <c r="H35"/>
      <c r="I35"/>
      <c r="J35"/>
      <c r="K35"/>
      <c r="L35"/>
      <c r="M35"/>
      <c r="N35"/>
      <c r="O35"/>
      <c r="P35"/>
    </row>
    <row r="36" spans="1:16" ht="15" customHeight="1">
      <c r="B36" s="20"/>
      <c r="C36" s="70"/>
      <c r="D36" s="70"/>
      <c r="E36" s="70"/>
      <c r="F36" s="70"/>
      <c r="G36" s="70"/>
    </row>
    <row r="37" spans="1:16" ht="15" customHeight="1">
      <c r="F37" s="70"/>
      <c r="G37" s="70"/>
    </row>
    <row r="38" spans="1:16" ht="15" customHeight="1">
      <c r="B38" s="20"/>
      <c r="C38" s="70"/>
      <c r="D38" s="70"/>
      <c r="E38" s="70"/>
      <c r="F38" s="70"/>
      <c r="G38" s="70"/>
    </row>
    <row r="39" spans="1:16" ht="15" customHeight="1">
      <c r="B39" s="20"/>
      <c r="C39" s="70"/>
      <c r="D39" s="70"/>
      <c r="E39" s="70"/>
      <c r="F39" s="70"/>
      <c r="G39" s="70"/>
    </row>
    <row r="40" spans="1:16" ht="15" customHeight="1">
      <c r="B40" s="20"/>
      <c r="C40" s="70"/>
      <c r="D40" s="70"/>
      <c r="E40" s="70"/>
      <c r="F40" s="70"/>
      <c r="G40" s="70"/>
    </row>
  </sheetData>
  <mergeCells count="2">
    <mergeCell ref="Q26:T30"/>
    <mergeCell ref="B13:P21"/>
  </mergeCells>
  <phoneticPr fontId="28" type="noConversion"/>
  <pageMargins left="0.25" right="0.25" top="0.75" bottom="0.75" header="0.3" footer="0.3"/>
  <pageSetup paperSize="9" scale="54" fitToWidth="0" orientation="landscape" r:id="rId1"/>
  <drawing r:id="rId2"/>
  <legacyDrawing r:id="rId3"/>
  <tableParts count="1">
    <tablePart r:id="rId4"/>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DF62DB-FBC6-48CC-A8C2-B8F6152CC4EF}">
  <sheetPr>
    <tabColor rgb="FF339088"/>
  </sheetPr>
  <dimension ref="A1:V177"/>
  <sheetViews>
    <sheetView showGridLines="0" view="pageBreakPreview" topLeftCell="A20" zoomScale="70" zoomScaleNormal="100" zoomScaleSheetLayoutView="70" workbookViewId="0">
      <selection activeCell="A26" sqref="A26:J40"/>
    </sheetView>
  </sheetViews>
  <sheetFormatPr defaultColWidth="12.26953125" defaultRowHeight="16.5"/>
  <cols>
    <col min="1" max="1" width="21.26953125" style="1" bestFit="1" customWidth="1"/>
    <col min="2" max="2" width="16.26953125" style="1" customWidth="1"/>
    <col min="3" max="3" width="23.26953125" style="1" customWidth="1"/>
    <col min="4" max="4" width="16.26953125" style="1" customWidth="1"/>
    <col min="5" max="5" width="8.7265625" style="1" customWidth="1"/>
    <col min="6" max="6" width="16.26953125" style="1" customWidth="1"/>
    <col min="7" max="7" width="8.26953125" style="1" bestFit="1" customWidth="1"/>
    <col min="8" max="9" width="16.26953125" style="1" customWidth="1"/>
    <col min="10" max="10" width="22.7265625" style="1" customWidth="1"/>
    <col min="11" max="11" width="16.26953125" style="14" customWidth="1"/>
    <col min="12" max="12" width="2.7265625" style="14" customWidth="1"/>
    <col min="13" max="13" width="12.26953125" style="1"/>
    <col min="14" max="14" width="7.7265625" style="38" customWidth="1"/>
    <col min="15" max="15" width="14.26953125" style="1" bestFit="1" customWidth="1"/>
    <col min="16" max="16" width="12.26953125" style="1"/>
    <col min="17" max="17" width="24" style="1" customWidth="1"/>
    <col min="18" max="18" width="12.26953125" style="1"/>
    <col min="19" max="19" width="8" style="1" customWidth="1"/>
    <col min="20" max="20" width="7.7265625" style="1" customWidth="1"/>
    <col min="21" max="16384" width="12.26953125" style="1"/>
  </cols>
  <sheetData>
    <row r="1" spans="1:16" ht="19.5">
      <c r="A1" s="204" t="s">
        <v>86</v>
      </c>
      <c r="B1" s="49"/>
      <c r="C1" s="49"/>
      <c r="D1" s="49"/>
    </row>
    <row r="2" spans="1:16" ht="18">
      <c r="A2" s="49"/>
      <c r="B2" s="49"/>
      <c r="C2" s="49"/>
      <c r="D2" s="49"/>
    </row>
    <row r="3" spans="1:16" s="2" customFormat="1" ht="19.5">
      <c r="A3" s="188" t="s">
        <v>87</v>
      </c>
      <c r="B3" s="49"/>
      <c r="C3" s="49"/>
      <c r="D3" s="49"/>
      <c r="E3" s="1"/>
      <c r="K3" s="3"/>
      <c r="L3" s="3"/>
    </row>
    <row r="4" spans="1:16" s="2" customFormat="1" ht="41">
      <c r="A4" s="48"/>
      <c r="B4" s="205" t="s">
        <v>88</v>
      </c>
      <c r="C4" s="48"/>
      <c r="D4" s="48"/>
      <c r="E4" s="1"/>
    </row>
    <row r="5" spans="1:16" s="16" customFormat="1" ht="16.5" customHeight="1">
      <c r="A5" s="1074" t="s">
        <v>89</v>
      </c>
      <c r="B5" s="1076" t="s">
        <v>90</v>
      </c>
      <c r="C5" s="1090" t="s">
        <v>91</v>
      </c>
      <c r="D5" s="1090"/>
      <c r="E5" s="1"/>
      <c r="P5" s="58"/>
    </row>
    <row r="6" spans="1:16" s="17" customFormat="1" ht="47.15" customHeight="1">
      <c r="A6" s="1075"/>
      <c r="B6" s="1077"/>
      <c r="C6" s="1090"/>
      <c r="D6" s="1090"/>
      <c r="E6" s="1"/>
    </row>
    <row r="7" spans="1:16" s="2" customFormat="1" ht="20.5">
      <c r="A7" s="206">
        <v>2009</v>
      </c>
      <c r="B7" s="193">
        <v>7817.5330000000004</v>
      </c>
      <c r="C7" s="1088" t="s">
        <v>92</v>
      </c>
      <c r="D7" s="1089"/>
      <c r="E7" s="1"/>
    </row>
    <row r="8" spans="1:16" s="2" customFormat="1" ht="20.5">
      <c r="A8" s="207">
        <v>2010</v>
      </c>
      <c r="B8" s="197">
        <v>8797.6579999999994</v>
      </c>
      <c r="C8" s="1091">
        <f t="shared" ref="C8:C21" si="0">B8/B7-1</f>
        <v>0.12537523026765585</v>
      </c>
      <c r="D8" s="1092"/>
      <c r="E8" s="12">
        <f>B8/B7-1</f>
        <v>0.12537523026765585</v>
      </c>
    </row>
    <row r="9" spans="1:16" s="2" customFormat="1" ht="20.5">
      <c r="A9" s="206">
        <v>2011</v>
      </c>
      <c r="B9" s="193">
        <v>9794.7960000000003</v>
      </c>
      <c r="C9" s="1091">
        <f t="shared" si="0"/>
        <v>0.11334130060522929</v>
      </c>
      <c r="D9" s="1092"/>
      <c r="E9" s="12">
        <f t="shared" ref="E9:E20" si="1">B9/B8-1</f>
        <v>0.11334130060522929</v>
      </c>
    </row>
    <row r="10" spans="1:16" s="2" customFormat="1" ht="20.5">
      <c r="A10" s="207">
        <v>2012</v>
      </c>
      <c r="B10" s="203">
        <v>11140.028</v>
      </c>
      <c r="C10" s="1091">
        <f t="shared" si="0"/>
        <v>0.13734150256932365</v>
      </c>
      <c r="D10" s="1092"/>
      <c r="E10" s="12">
        <f t="shared" si="1"/>
        <v>0.13734150256932365</v>
      </c>
    </row>
    <row r="11" spans="1:16" s="2" customFormat="1" ht="20.5">
      <c r="A11" s="206">
        <v>2013</v>
      </c>
      <c r="B11" s="193">
        <v>12175.55</v>
      </c>
      <c r="C11" s="1091">
        <f t="shared" si="0"/>
        <v>9.2955062590506898E-2</v>
      </c>
      <c r="D11" s="1092"/>
      <c r="E11" s="12">
        <f t="shared" si="1"/>
        <v>9.2955062590506898E-2</v>
      </c>
    </row>
    <row r="12" spans="1:16" s="2" customFormat="1" ht="20.5">
      <c r="A12" s="207">
        <v>2014</v>
      </c>
      <c r="B12" s="203">
        <v>14201.516</v>
      </c>
      <c r="C12" s="1091">
        <f t="shared" si="0"/>
        <v>0.16639626135985641</v>
      </c>
      <c r="D12" s="1092"/>
      <c r="E12" s="12">
        <f t="shared" si="1"/>
        <v>0.16639626135985641</v>
      </c>
    </row>
    <row r="13" spans="1:16" s="2" customFormat="1" ht="20.5">
      <c r="A13" s="206">
        <v>2015</v>
      </c>
      <c r="B13" s="193">
        <v>13231.651</v>
      </c>
      <c r="C13" s="1091">
        <f t="shared" si="0"/>
        <v>-6.8293061106997288E-2</v>
      </c>
      <c r="D13" s="1092"/>
      <c r="E13" s="12">
        <f t="shared" si="1"/>
        <v>-6.8293061106997288E-2</v>
      </c>
    </row>
    <row r="14" spans="1:16" s="2" customFormat="1" ht="20.5">
      <c r="A14" s="207">
        <v>2016</v>
      </c>
      <c r="B14" s="197">
        <v>17241.823</v>
      </c>
      <c r="C14" s="1091">
        <f t="shared" si="0"/>
        <v>0.30307419686326376</v>
      </c>
      <c r="D14" s="1092"/>
      <c r="E14" s="12">
        <f t="shared" si="1"/>
        <v>0.30307419686326376</v>
      </c>
    </row>
    <row r="15" spans="1:16" s="2" customFormat="1" ht="20.5">
      <c r="A15" s="206">
        <v>2017</v>
      </c>
      <c r="B15" s="193">
        <v>13335.758</v>
      </c>
      <c r="C15" s="1091">
        <f t="shared" si="0"/>
        <v>-0.22654594006677831</v>
      </c>
      <c r="D15" s="1092"/>
      <c r="E15" s="12">
        <f t="shared" si="1"/>
        <v>-0.22654594006677831</v>
      </c>
    </row>
    <row r="16" spans="1:16" s="2" customFormat="1" ht="20.5">
      <c r="A16" s="207">
        <v>2018</v>
      </c>
      <c r="B16" s="203">
        <v>15346.879000000001</v>
      </c>
      <c r="C16" s="1091">
        <f t="shared" si="0"/>
        <v>0.15080665081055011</v>
      </c>
      <c r="D16" s="1092"/>
      <c r="E16" s="12">
        <f t="shared" si="1"/>
        <v>0.15080665081055011</v>
      </c>
    </row>
    <row r="17" spans="1:10" s="2" customFormat="1" ht="20.5">
      <c r="A17" s="206">
        <v>2019</v>
      </c>
      <c r="B17" s="193">
        <v>17502.756000000001</v>
      </c>
      <c r="C17" s="1091">
        <f t="shared" si="0"/>
        <v>0.14047657507431976</v>
      </c>
      <c r="D17" s="1092"/>
      <c r="E17" s="12">
        <f t="shared" si="1"/>
        <v>0.14047657507431976</v>
      </c>
    </row>
    <row r="18" spans="1:10" s="2" customFormat="1" ht="20.5">
      <c r="A18" s="207">
        <v>2020</v>
      </c>
      <c r="B18" s="203">
        <v>2519.1179999999999</v>
      </c>
      <c r="C18" s="1091">
        <f t="shared" si="0"/>
        <v>-0.85607306643593728</v>
      </c>
      <c r="D18" s="1092"/>
      <c r="E18" s="12">
        <f t="shared" si="1"/>
        <v>-0.85607306643593728</v>
      </c>
    </row>
    <row r="19" spans="1:10" s="2" customFormat="1" ht="20.5">
      <c r="A19" s="206">
        <v>2021</v>
      </c>
      <c r="B19" s="193">
        <v>967.00300000000004</v>
      </c>
      <c r="C19" s="1091">
        <f t="shared" si="0"/>
        <v>-0.61613429779788009</v>
      </c>
      <c r="D19" s="1092"/>
      <c r="E19" s="12">
        <f t="shared" si="1"/>
        <v>-0.61613429779788009</v>
      </c>
    </row>
    <row r="20" spans="1:10" ht="20.5">
      <c r="A20" s="208">
        <v>2022</v>
      </c>
      <c r="B20" s="197">
        <f>C177/1000</f>
        <v>3198.0169999999998</v>
      </c>
      <c r="C20" s="1091">
        <f t="shared" si="0"/>
        <v>2.3071427906635238</v>
      </c>
      <c r="D20" s="1092"/>
      <c r="E20" s="12">
        <f t="shared" si="1"/>
        <v>2.3071427906635238</v>
      </c>
    </row>
    <row r="21" spans="1:10" ht="20.5">
      <c r="A21" s="206">
        <v>2023</v>
      </c>
      <c r="B21" s="193">
        <f>(J138/1000)</f>
        <v>11031.665000000001</v>
      </c>
      <c r="C21" s="1091">
        <f t="shared" si="0"/>
        <v>2.4495329449468222</v>
      </c>
      <c r="D21" s="1092"/>
      <c r="E21" s="63"/>
      <c r="F21" s="62"/>
    </row>
    <row r="22" spans="1:10" ht="23.25" customHeight="1">
      <c r="A22" s="507">
        <v>2024</v>
      </c>
      <c r="B22" s="631">
        <f>SUM(J139:J150)/1000</f>
        <v>16369.609</v>
      </c>
      <c r="C22" s="1091">
        <f t="shared" ref="C22" si="2">B22/B21-1</f>
        <v>0.48387473695040595</v>
      </c>
      <c r="D22" s="1092"/>
      <c r="E22" s="63"/>
      <c r="F22" s="62"/>
    </row>
    <row r="23" spans="1:10" ht="23.25" customHeight="1">
      <c r="A23" s="432" t="s">
        <v>93</v>
      </c>
      <c r="B23" s="193">
        <f>(SUM(J152:J163)/1000)</f>
        <v>15821.331</v>
      </c>
      <c r="C23" s="1095">
        <f t="shared" ref="C23" si="3">B23/B22-1</f>
        <v>-3.349365278058869E-2</v>
      </c>
      <c r="D23" s="1096"/>
      <c r="E23" s="63"/>
      <c r="F23" s="62"/>
    </row>
    <row r="24" spans="1:10" ht="18">
      <c r="A24" s="49" t="s">
        <v>94</v>
      </c>
      <c r="B24" s="49"/>
      <c r="C24" s="49"/>
      <c r="D24" s="49"/>
    </row>
    <row r="25" spans="1:10" ht="17" thickBot="1">
      <c r="A25" s="28"/>
      <c r="B25" s="28"/>
      <c r="C25" s="28"/>
      <c r="D25" s="28"/>
    </row>
    <row r="26" spans="1:10" ht="26.65" customHeight="1">
      <c r="A26" s="1065" t="s">
        <v>95</v>
      </c>
      <c r="B26" s="1066"/>
      <c r="C26" s="1066"/>
      <c r="D26" s="1066"/>
      <c r="E26" s="1066"/>
      <c r="F26" s="1066"/>
      <c r="G26" s="1066"/>
      <c r="H26" s="1066"/>
      <c r="I26" s="1066"/>
      <c r="J26" s="1067"/>
    </row>
    <row r="27" spans="1:10" ht="26.65" customHeight="1">
      <c r="A27" s="1068"/>
      <c r="B27" s="1069"/>
      <c r="C27" s="1069"/>
      <c r="D27" s="1069"/>
      <c r="E27" s="1069"/>
      <c r="F27" s="1069"/>
      <c r="G27" s="1069"/>
      <c r="H27" s="1069"/>
      <c r="I27" s="1069"/>
      <c r="J27" s="1070"/>
    </row>
    <row r="28" spans="1:10" ht="26.65" customHeight="1">
      <c r="A28" s="1068"/>
      <c r="B28" s="1069"/>
      <c r="C28" s="1069"/>
      <c r="D28" s="1069"/>
      <c r="E28" s="1069"/>
      <c r="F28" s="1069"/>
      <c r="G28" s="1069"/>
      <c r="H28" s="1069"/>
      <c r="I28" s="1069"/>
      <c r="J28" s="1070"/>
    </row>
    <row r="29" spans="1:10" ht="26.65" customHeight="1">
      <c r="A29" s="1068"/>
      <c r="B29" s="1069"/>
      <c r="C29" s="1069"/>
      <c r="D29" s="1069"/>
      <c r="E29" s="1069"/>
      <c r="F29" s="1069"/>
      <c r="G29" s="1069"/>
      <c r="H29" s="1069"/>
      <c r="I29" s="1069"/>
      <c r="J29" s="1070"/>
    </row>
    <row r="30" spans="1:10" ht="26.65" customHeight="1">
      <c r="A30" s="1068"/>
      <c r="B30" s="1069"/>
      <c r="C30" s="1069"/>
      <c r="D30" s="1069"/>
      <c r="E30" s="1069"/>
      <c r="F30" s="1069"/>
      <c r="G30" s="1069"/>
      <c r="H30" s="1069"/>
      <c r="I30" s="1069"/>
      <c r="J30" s="1070"/>
    </row>
    <row r="31" spans="1:10" ht="26.65" customHeight="1">
      <c r="A31" s="1068"/>
      <c r="B31" s="1069"/>
      <c r="C31" s="1069"/>
      <c r="D31" s="1069"/>
      <c r="E31" s="1069"/>
      <c r="F31" s="1069"/>
      <c r="G31" s="1069"/>
      <c r="H31" s="1069"/>
      <c r="I31" s="1069"/>
      <c r="J31" s="1070"/>
    </row>
    <row r="32" spans="1:10" ht="26.65" customHeight="1">
      <c r="A32" s="1068"/>
      <c r="B32" s="1069"/>
      <c r="C32" s="1069"/>
      <c r="D32" s="1069"/>
      <c r="E32" s="1069"/>
      <c r="F32" s="1069"/>
      <c r="G32" s="1069"/>
      <c r="H32" s="1069"/>
      <c r="I32" s="1069"/>
      <c r="J32" s="1070"/>
    </row>
    <row r="33" spans="1:12" ht="26.65" customHeight="1">
      <c r="A33" s="1068"/>
      <c r="B33" s="1069"/>
      <c r="C33" s="1069"/>
      <c r="D33" s="1069"/>
      <c r="E33" s="1069"/>
      <c r="F33" s="1069"/>
      <c r="G33" s="1069"/>
      <c r="H33" s="1069"/>
      <c r="I33" s="1069"/>
      <c r="J33" s="1070"/>
    </row>
    <row r="34" spans="1:12" ht="26.65" customHeight="1">
      <c r="A34" s="1068"/>
      <c r="B34" s="1069"/>
      <c r="C34" s="1069"/>
      <c r="D34" s="1069"/>
      <c r="E34" s="1069"/>
      <c r="F34" s="1069"/>
      <c r="G34" s="1069"/>
      <c r="H34" s="1069"/>
      <c r="I34" s="1069"/>
      <c r="J34" s="1070"/>
    </row>
    <row r="35" spans="1:12" ht="26.65" customHeight="1">
      <c r="A35" s="1068"/>
      <c r="B35" s="1069"/>
      <c r="C35" s="1069"/>
      <c r="D35" s="1069"/>
      <c r="E35" s="1069"/>
      <c r="F35" s="1069"/>
      <c r="G35" s="1069"/>
      <c r="H35" s="1069"/>
      <c r="I35" s="1069"/>
      <c r="J35" s="1070"/>
    </row>
    <row r="36" spans="1:12" ht="26.65" customHeight="1">
      <c r="A36" s="1068"/>
      <c r="B36" s="1069"/>
      <c r="C36" s="1069"/>
      <c r="D36" s="1069"/>
      <c r="E36" s="1069"/>
      <c r="F36" s="1069"/>
      <c r="G36" s="1069"/>
      <c r="H36" s="1069"/>
      <c r="I36" s="1069"/>
      <c r="J36" s="1070"/>
    </row>
    <row r="37" spans="1:12" ht="26.65" customHeight="1">
      <c r="A37" s="1068"/>
      <c r="B37" s="1069"/>
      <c r="C37" s="1069"/>
      <c r="D37" s="1069"/>
      <c r="E37" s="1069"/>
      <c r="F37" s="1069"/>
      <c r="G37" s="1069"/>
      <c r="H37" s="1069"/>
      <c r="I37" s="1069"/>
      <c r="J37" s="1070"/>
    </row>
    <row r="38" spans="1:12" ht="26.65" customHeight="1">
      <c r="A38" s="1068"/>
      <c r="B38" s="1069"/>
      <c r="C38" s="1069"/>
      <c r="D38" s="1069"/>
      <c r="E38" s="1069"/>
      <c r="F38" s="1069"/>
      <c r="G38" s="1069"/>
      <c r="H38" s="1069"/>
      <c r="I38" s="1069"/>
      <c r="J38" s="1070"/>
    </row>
    <row r="39" spans="1:12" ht="26.65" customHeight="1">
      <c r="A39" s="1068"/>
      <c r="B39" s="1069"/>
      <c r="C39" s="1069"/>
      <c r="D39" s="1069"/>
      <c r="E39" s="1069"/>
      <c r="F39" s="1069"/>
      <c r="G39" s="1069"/>
      <c r="H39" s="1069"/>
      <c r="I39" s="1069"/>
      <c r="J39" s="1070"/>
    </row>
    <row r="40" spans="1:12" ht="26.65" customHeight="1" thickBot="1">
      <c r="A40" s="1071"/>
      <c r="B40" s="1072"/>
      <c r="C40" s="1072"/>
      <c r="D40" s="1072"/>
      <c r="E40" s="1072"/>
      <c r="F40" s="1072"/>
      <c r="G40" s="1072"/>
      <c r="H40" s="1072"/>
      <c r="I40" s="1072"/>
      <c r="J40" s="1073"/>
    </row>
    <row r="42" spans="1:12" ht="19.5">
      <c r="A42" s="188" t="s">
        <v>96</v>
      </c>
      <c r="B42" s="31"/>
      <c r="C42" s="2"/>
      <c r="D42" s="2"/>
      <c r="E42" s="2"/>
    </row>
    <row r="43" spans="1:12" ht="20.5">
      <c r="A43" s="48"/>
      <c r="B43" s="189"/>
      <c r="C43" s="190" t="s">
        <v>88</v>
      </c>
      <c r="D43" s="191"/>
      <c r="E43" s="191"/>
      <c r="H43" s="48"/>
      <c r="I43" s="189"/>
      <c r="J43" s="190" t="s">
        <v>88</v>
      </c>
      <c r="K43" s="191"/>
      <c r="L43" s="191"/>
    </row>
    <row r="44" spans="1:12">
      <c r="A44" s="1074" t="s">
        <v>89</v>
      </c>
      <c r="B44" s="1074" t="s">
        <v>97</v>
      </c>
      <c r="C44" s="1076" t="s">
        <v>90</v>
      </c>
      <c r="D44" s="1090" t="s">
        <v>91</v>
      </c>
      <c r="E44" s="1090"/>
      <c r="H44" s="1074" t="s">
        <v>89</v>
      </c>
      <c r="I44" s="1074" t="s">
        <v>97</v>
      </c>
      <c r="J44" s="1076" t="s">
        <v>90</v>
      </c>
      <c r="K44" s="1090" t="s">
        <v>91</v>
      </c>
      <c r="L44" s="1090"/>
    </row>
    <row r="45" spans="1:12" ht="21" customHeight="1">
      <c r="A45" s="1075"/>
      <c r="B45" s="1075"/>
      <c r="C45" s="1077"/>
      <c r="D45" s="1090"/>
      <c r="E45" s="1090"/>
      <c r="H45" s="1075"/>
      <c r="I45" s="1075"/>
      <c r="J45" s="1077"/>
      <c r="K45" s="1090"/>
      <c r="L45" s="1090"/>
    </row>
    <row r="46" spans="1:12" ht="20.5" hidden="1">
      <c r="A46" s="1082">
        <v>2009</v>
      </c>
      <c r="B46" s="192">
        <v>1</v>
      </c>
      <c r="C46" s="193">
        <v>607659</v>
      </c>
      <c r="D46" s="1078"/>
      <c r="E46" s="1079"/>
      <c r="H46" s="1082">
        <v>2015</v>
      </c>
      <c r="I46" s="192">
        <v>1</v>
      </c>
      <c r="J46" s="193">
        <v>917054</v>
      </c>
      <c r="K46" s="1078"/>
      <c r="L46" s="1079"/>
    </row>
    <row r="47" spans="1:12" ht="20.5" hidden="1">
      <c r="A47" s="1083"/>
      <c r="B47" s="192">
        <v>2</v>
      </c>
      <c r="C47" s="193">
        <v>666928</v>
      </c>
      <c r="D47" s="194"/>
      <c r="E47" s="195"/>
      <c r="H47" s="1083"/>
      <c r="I47" s="192">
        <v>2</v>
      </c>
      <c r="J47" s="193">
        <v>1050706</v>
      </c>
      <c r="K47" s="194"/>
      <c r="L47" s="195"/>
    </row>
    <row r="48" spans="1:12" ht="20.5" hidden="1">
      <c r="A48" s="1083"/>
      <c r="B48" s="192">
        <v>3</v>
      </c>
      <c r="C48" s="193">
        <v>724117</v>
      </c>
      <c r="D48" s="194"/>
      <c r="E48" s="195"/>
      <c r="H48" s="1083"/>
      <c r="I48" s="192">
        <v>3</v>
      </c>
      <c r="J48" s="193">
        <v>1238144</v>
      </c>
      <c r="K48" s="194"/>
      <c r="L48" s="195"/>
    </row>
    <row r="49" spans="1:12" ht="20.5" hidden="1">
      <c r="A49" s="1083"/>
      <c r="B49" s="192">
        <v>4</v>
      </c>
      <c r="C49" s="193">
        <v>688586</v>
      </c>
      <c r="D49" s="194"/>
      <c r="E49" s="195"/>
      <c r="H49" s="1083"/>
      <c r="I49" s="192">
        <v>4</v>
      </c>
      <c r="J49" s="193">
        <v>1384567</v>
      </c>
      <c r="K49" s="194"/>
      <c r="L49" s="195"/>
    </row>
    <row r="50" spans="1:12" ht="20.5" hidden="1">
      <c r="A50" s="1083"/>
      <c r="B50" s="192">
        <v>5</v>
      </c>
      <c r="C50" s="193">
        <v>574559</v>
      </c>
      <c r="D50" s="194"/>
      <c r="E50" s="195"/>
      <c r="H50" s="1083"/>
      <c r="I50" s="192">
        <v>5</v>
      </c>
      <c r="J50" s="193">
        <v>1334212</v>
      </c>
      <c r="K50" s="194"/>
      <c r="L50" s="195"/>
    </row>
    <row r="51" spans="1:12" ht="20.5" hidden="1">
      <c r="A51" s="1083"/>
      <c r="B51" s="192">
        <v>6</v>
      </c>
      <c r="C51" s="193">
        <v>530506</v>
      </c>
      <c r="D51" s="194"/>
      <c r="E51" s="195"/>
      <c r="H51" s="1083"/>
      <c r="I51" s="192">
        <v>6</v>
      </c>
      <c r="J51" s="193">
        <v>750925</v>
      </c>
      <c r="K51" s="194"/>
      <c r="L51" s="195"/>
    </row>
    <row r="52" spans="1:12" ht="20.5" hidden="1">
      <c r="A52" s="1083"/>
      <c r="B52" s="192">
        <v>7</v>
      </c>
      <c r="C52" s="193">
        <v>609258</v>
      </c>
      <c r="D52" s="194"/>
      <c r="E52" s="195"/>
      <c r="H52" s="1083"/>
      <c r="I52" s="192">
        <v>7</v>
      </c>
      <c r="J52" s="193">
        <v>629737</v>
      </c>
      <c r="K52" s="194"/>
      <c r="L52" s="195"/>
    </row>
    <row r="53" spans="1:12" ht="20.5" hidden="1">
      <c r="A53" s="1083"/>
      <c r="B53" s="192">
        <v>8</v>
      </c>
      <c r="C53" s="193">
        <v>695880</v>
      </c>
      <c r="D53" s="194"/>
      <c r="E53" s="195"/>
      <c r="H53" s="1083"/>
      <c r="I53" s="192">
        <v>8</v>
      </c>
      <c r="J53" s="193">
        <v>1069314</v>
      </c>
      <c r="K53" s="194"/>
      <c r="L53" s="195"/>
    </row>
    <row r="54" spans="1:12" ht="20.5" hidden="1">
      <c r="A54" s="1083"/>
      <c r="B54" s="192">
        <v>9</v>
      </c>
      <c r="C54" s="193">
        <v>678691</v>
      </c>
      <c r="D54" s="194"/>
      <c r="E54" s="195"/>
      <c r="H54" s="1083"/>
      <c r="I54" s="192">
        <v>9</v>
      </c>
      <c r="J54" s="193">
        <v>1206764</v>
      </c>
      <c r="K54" s="194"/>
      <c r="L54" s="195"/>
    </row>
    <row r="55" spans="1:12" ht="20.5" hidden="1">
      <c r="A55" s="1083"/>
      <c r="B55" s="192">
        <v>10</v>
      </c>
      <c r="C55" s="193">
        <v>737373</v>
      </c>
      <c r="D55" s="194"/>
      <c r="E55" s="195"/>
      <c r="H55" s="1083"/>
      <c r="I55" s="192">
        <v>10</v>
      </c>
      <c r="J55" s="193">
        <v>1383704</v>
      </c>
      <c r="K55" s="194"/>
      <c r="L55" s="195"/>
    </row>
    <row r="56" spans="1:12" ht="20.5" hidden="1">
      <c r="A56" s="1083"/>
      <c r="B56" s="192">
        <v>11</v>
      </c>
      <c r="C56" s="193">
        <v>642672</v>
      </c>
      <c r="D56" s="194"/>
      <c r="E56" s="195"/>
      <c r="H56" s="1083"/>
      <c r="I56" s="192">
        <v>11</v>
      </c>
      <c r="J56" s="193">
        <v>1150074</v>
      </c>
      <c r="K56" s="194"/>
      <c r="L56" s="195"/>
    </row>
    <row r="57" spans="1:12" ht="20.5" hidden="1">
      <c r="A57" s="1083"/>
      <c r="B57" s="192">
        <v>12</v>
      </c>
      <c r="C57" s="193">
        <v>661304</v>
      </c>
      <c r="D57" s="194"/>
      <c r="E57" s="195"/>
      <c r="H57" s="1083"/>
      <c r="I57" s="192">
        <v>12</v>
      </c>
      <c r="J57" s="193">
        <v>1116450</v>
      </c>
      <c r="K57" s="194"/>
      <c r="L57" s="195"/>
    </row>
    <row r="58" spans="1:12" ht="20.5" hidden="1">
      <c r="A58" s="1084"/>
      <c r="B58" s="192" t="s">
        <v>98</v>
      </c>
      <c r="C58" s="193">
        <v>7817533</v>
      </c>
      <c r="D58" s="1093" t="s">
        <v>92</v>
      </c>
      <c r="E58" s="1094"/>
      <c r="H58" s="1084"/>
      <c r="I58" s="192" t="s">
        <v>98</v>
      </c>
      <c r="J58" s="193">
        <v>13231651</v>
      </c>
      <c r="K58" s="1093">
        <f>(J58-C123)/C123</f>
        <v>-6.8293061106997316E-2</v>
      </c>
      <c r="L58" s="1094"/>
    </row>
    <row r="59" spans="1:12" ht="20.5" hidden="1">
      <c r="A59" s="1085">
        <v>2010</v>
      </c>
      <c r="B59" s="196">
        <v>1</v>
      </c>
      <c r="C59" s="197">
        <v>569453</v>
      </c>
      <c r="D59" s="1078"/>
      <c r="E59" s="1079"/>
      <c r="H59" s="1085">
        <v>2016</v>
      </c>
      <c r="I59" s="196">
        <v>1</v>
      </c>
      <c r="J59" s="197">
        <v>1077431</v>
      </c>
      <c r="K59" s="1078"/>
      <c r="L59" s="1079"/>
    </row>
    <row r="60" spans="1:12" ht="20.5" hidden="1">
      <c r="A60" s="1086"/>
      <c r="B60" s="196">
        <v>2</v>
      </c>
      <c r="C60" s="197">
        <v>638911</v>
      </c>
      <c r="D60" s="194"/>
      <c r="E60" s="195"/>
      <c r="H60" s="1086"/>
      <c r="I60" s="196">
        <v>2</v>
      </c>
      <c r="J60" s="197">
        <v>1126250</v>
      </c>
      <c r="K60" s="194"/>
      <c r="L60" s="195"/>
    </row>
    <row r="61" spans="1:12" ht="20.5" hidden="1">
      <c r="A61" s="1086"/>
      <c r="B61" s="196">
        <v>3</v>
      </c>
      <c r="C61" s="197">
        <v>769894</v>
      </c>
      <c r="D61" s="194"/>
      <c r="E61" s="195"/>
      <c r="H61" s="1086"/>
      <c r="I61" s="196">
        <v>3</v>
      </c>
      <c r="J61" s="197">
        <v>1389399</v>
      </c>
      <c r="K61" s="194"/>
      <c r="L61" s="195"/>
    </row>
    <row r="62" spans="1:12" ht="20.5" hidden="1">
      <c r="A62" s="1086"/>
      <c r="B62" s="196">
        <v>4</v>
      </c>
      <c r="C62" s="197">
        <v>730265</v>
      </c>
      <c r="D62" s="194"/>
      <c r="E62" s="195"/>
      <c r="H62" s="1086"/>
      <c r="I62" s="196">
        <v>4</v>
      </c>
      <c r="J62" s="197">
        <v>1469674</v>
      </c>
      <c r="K62" s="194"/>
      <c r="L62" s="195"/>
    </row>
    <row r="63" spans="1:12" ht="20.5" hidden="1">
      <c r="A63" s="1086"/>
      <c r="B63" s="196">
        <v>5</v>
      </c>
      <c r="C63" s="197">
        <v>729450</v>
      </c>
      <c r="D63" s="194"/>
      <c r="E63" s="195"/>
      <c r="H63" s="1086"/>
      <c r="I63" s="196">
        <v>5</v>
      </c>
      <c r="J63" s="197">
        <v>1492680</v>
      </c>
      <c r="K63" s="194"/>
      <c r="L63" s="195"/>
    </row>
    <row r="64" spans="1:12" ht="20.5" hidden="1">
      <c r="A64" s="1086"/>
      <c r="B64" s="196">
        <v>6</v>
      </c>
      <c r="C64" s="197">
        <v>718440</v>
      </c>
      <c r="D64" s="194"/>
      <c r="E64" s="195"/>
      <c r="H64" s="1086"/>
      <c r="I64" s="196">
        <v>6</v>
      </c>
      <c r="J64" s="197">
        <v>1554413</v>
      </c>
      <c r="K64" s="194"/>
      <c r="L64" s="195"/>
    </row>
    <row r="65" spans="1:20" ht="20.5" hidden="1">
      <c r="A65" s="1086"/>
      <c r="B65" s="196">
        <v>7</v>
      </c>
      <c r="C65" s="197">
        <v>754672</v>
      </c>
      <c r="D65" s="194"/>
      <c r="E65" s="195"/>
      <c r="H65" s="1086"/>
      <c r="I65" s="196">
        <v>7</v>
      </c>
      <c r="J65" s="197">
        <v>1703495</v>
      </c>
      <c r="K65" s="194"/>
      <c r="L65" s="195"/>
    </row>
    <row r="66" spans="1:20" ht="20.5" hidden="1">
      <c r="A66" s="1086"/>
      <c r="B66" s="196">
        <v>8</v>
      </c>
      <c r="C66" s="197">
        <v>833693</v>
      </c>
      <c r="D66" s="194"/>
      <c r="E66" s="195"/>
      <c r="H66" s="1086"/>
      <c r="I66" s="196">
        <v>8</v>
      </c>
      <c r="J66" s="197">
        <v>1664303</v>
      </c>
      <c r="K66" s="194"/>
      <c r="L66" s="195"/>
    </row>
    <row r="67" spans="1:20" ht="20.5" hidden="1">
      <c r="A67" s="1086"/>
      <c r="B67" s="196">
        <v>9</v>
      </c>
      <c r="C67" s="197">
        <v>764693</v>
      </c>
      <c r="D67" s="194"/>
      <c r="E67" s="195"/>
      <c r="H67" s="1086"/>
      <c r="I67" s="196">
        <v>9</v>
      </c>
      <c r="J67" s="197">
        <v>1523928</v>
      </c>
      <c r="K67" s="194"/>
      <c r="L67" s="195"/>
    </row>
    <row r="68" spans="1:20" ht="20.5" hidden="1">
      <c r="A68" s="1086"/>
      <c r="B68" s="196">
        <v>10</v>
      </c>
      <c r="C68" s="197">
        <v>872550</v>
      </c>
      <c r="D68" s="194"/>
      <c r="E68" s="195"/>
      <c r="H68" s="1086"/>
      <c r="I68" s="196">
        <v>10</v>
      </c>
      <c r="J68" s="197">
        <v>1587797</v>
      </c>
      <c r="K68" s="194"/>
      <c r="L68" s="195"/>
    </row>
    <row r="69" spans="1:20" ht="20.5" hidden="1">
      <c r="A69" s="1086"/>
      <c r="B69" s="196">
        <v>11</v>
      </c>
      <c r="C69" s="197">
        <v>738271</v>
      </c>
      <c r="D69" s="194"/>
      <c r="E69" s="195"/>
      <c r="H69" s="1086"/>
      <c r="I69" s="196">
        <v>11</v>
      </c>
      <c r="J69" s="197">
        <v>1309055</v>
      </c>
      <c r="K69" s="194"/>
      <c r="L69" s="195"/>
    </row>
    <row r="70" spans="1:20" ht="20.5" hidden="1">
      <c r="A70" s="1086"/>
      <c r="B70" s="196">
        <v>12</v>
      </c>
      <c r="C70" s="197">
        <v>677366</v>
      </c>
      <c r="D70" s="194"/>
      <c r="E70" s="195"/>
      <c r="H70" s="1086"/>
      <c r="I70" s="196">
        <v>12</v>
      </c>
      <c r="J70" s="197">
        <v>1343398</v>
      </c>
      <c r="K70" s="194"/>
      <c r="L70" s="195"/>
    </row>
    <row r="71" spans="1:20" ht="20.5" hidden="1">
      <c r="A71" s="1087"/>
      <c r="B71" s="196" t="s">
        <v>98</v>
      </c>
      <c r="C71" s="197">
        <v>8797658</v>
      </c>
      <c r="D71" s="1080">
        <f>(C71-C58)/C58</f>
        <v>0.12537523026765604</v>
      </c>
      <c r="E71" s="1081"/>
      <c r="H71" s="1087"/>
      <c r="I71" s="196" t="s">
        <v>98</v>
      </c>
      <c r="J71" s="197">
        <v>17241823</v>
      </c>
      <c r="K71" s="1080">
        <f>(J71-J58)/J58</f>
        <v>0.3030741968632637</v>
      </c>
      <c r="L71" s="1081"/>
    </row>
    <row r="72" spans="1:20" ht="20.5" hidden="1">
      <c r="A72" s="1082">
        <v>2011</v>
      </c>
      <c r="B72" s="192">
        <v>1</v>
      </c>
      <c r="C72" s="193">
        <v>586152</v>
      </c>
      <c r="D72" s="1078"/>
      <c r="E72" s="1079"/>
      <c r="H72" s="1082">
        <v>2017</v>
      </c>
      <c r="I72" s="192">
        <v>1</v>
      </c>
      <c r="J72" s="193">
        <v>1220695</v>
      </c>
      <c r="K72" s="1078"/>
      <c r="L72" s="1079"/>
    </row>
    <row r="73" spans="1:20" ht="20.5" hidden="1">
      <c r="A73" s="1083"/>
      <c r="B73" s="192">
        <v>2</v>
      </c>
      <c r="C73" s="193">
        <v>667089</v>
      </c>
      <c r="D73" s="194"/>
      <c r="E73" s="195"/>
      <c r="H73" s="1083"/>
      <c r="I73" s="192">
        <v>2</v>
      </c>
      <c r="J73" s="193">
        <v>1252080</v>
      </c>
      <c r="K73" s="194"/>
      <c r="L73" s="195"/>
    </row>
    <row r="74" spans="1:20" ht="20.5" hidden="1">
      <c r="A74" s="1083"/>
      <c r="B74" s="192">
        <v>3</v>
      </c>
      <c r="C74" s="193">
        <v>781286</v>
      </c>
      <c r="D74" s="194"/>
      <c r="E74" s="195"/>
      <c r="H74" s="1083"/>
      <c r="I74" s="192">
        <v>3</v>
      </c>
      <c r="J74" s="193">
        <v>1233640</v>
      </c>
      <c r="K74" s="194"/>
      <c r="L74" s="195"/>
    </row>
    <row r="75" spans="1:20" ht="20.5" hidden="1">
      <c r="A75" s="1083"/>
      <c r="B75" s="192">
        <v>4</v>
      </c>
      <c r="C75" s="193">
        <v>754458</v>
      </c>
      <c r="D75" s="194"/>
      <c r="E75" s="195"/>
      <c r="H75" s="1083"/>
      <c r="I75" s="192">
        <v>4</v>
      </c>
      <c r="J75" s="193">
        <v>1075899</v>
      </c>
      <c r="K75" s="194"/>
      <c r="L75" s="195"/>
      <c r="T75" s="11"/>
    </row>
    <row r="76" spans="1:20" ht="20.5" hidden="1">
      <c r="A76" s="1083"/>
      <c r="B76" s="192">
        <v>5</v>
      </c>
      <c r="C76" s="193">
        <v>743464</v>
      </c>
      <c r="D76" s="194"/>
      <c r="E76" s="195"/>
      <c r="H76" s="1083"/>
      <c r="I76" s="192">
        <v>5</v>
      </c>
      <c r="J76" s="193">
        <v>977889</v>
      </c>
      <c r="K76" s="194"/>
      <c r="L76" s="195"/>
    </row>
    <row r="77" spans="1:20" ht="20.5" hidden="1">
      <c r="A77" s="1083"/>
      <c r="B77" s="192">
        <v>6</v>
      </c>
      <c r="C77" s="193">
        <v>795850</v>
      </c>
      <c r="D77" s="194"/>
      <c r="E77" s="195"/>
      <c r="H77" s="1083"/>
      <c r="I77" s="192">
        <v>6</v>
      </c>
      <c r="J77" s="193">
        <v>991802</v>
      </c>
      <c r="K77" s="194"/>
      <c r="L77" s="195"/>
      <c r="T77" s="11"/>
    </row>
    <row r="78" spans="1:20" ht="20.5" hidden="1">
      <c r="A78" s="1083"/>
      <c r="B78" s="192">
        <v>7</v>
      </c>
      <c r="C78" s="193">
        <v>881809</v>
      </c>
      <c r="D78" s="194"/>
      <c r="E78" s="195"/>
      <c r="H78" s="1083"/>
      <c r="I78" s="192">
        <v>7</v>
      </c>
      <c r="J78" s="193">
        <v>1008671</v>
      </c>
      <c r="K78" s="194"/>
      <c r="L78" s="195"/>
    </row>
    <row r="79" spans="1:20" ht="20.5" hidden="1">
      <c r="A79" s="1083"/>
      <c r="B79" s="192">
        <v>8</v>
      </c>
      <c r="C79" s="193">
        <v>977296</v>
      </c>
      <c r="D79" s="194"/>
      <c r="E79" s="195"/>
      <c r="H79" s="1083"/>
      <c r="I79" s="192">
        <v>8</v>
      </c>
      <c r="J79" s="193">
        <v>1103506</v>
      </c>
      <c r="K79" s="194"/>
      <c r="L79" s="195"/>
    </row>
    <row r="80" spans="1:20" ht="20.5" hidden="1">
      <c r="A80" s="1083"/>
      <c r="B80" s="192">
        <v>9</v>
      </c>
      <c r="C80" s="193">
        <v>906813</v>
      </c>
      <c r="D80" s="194"/>
      <c r="E80" s="195"/>
      <c r="H80" s="1083"/>
      <c r="I80" s="192">
        <v>9</v>
      </c>
      <c r="J80" s="193">
        <v>1078653</v>
      </c>
      <c r="K80" s="194"/>
      <c r="L80" s="195"/>
    </row>
    <row r="81" spans="1:21" ht="20.5" hidden="1">
      <c r="A81" s="1083"/>
      <c r="B81" s="192">
        <v>10</v>
      </c>
      <c r="C81" s="193">
        <v>988320</v>
      </c>
      <c r="D81" s="194"/>
      <c r="E81" s="195"/>
      <c r="H81" s="1083"/>
      <c r="I81" s="192">
        <v>10</v>
      </c>
      <c r="J81" s="193">
        <v>1165638</v>
      </c>
      <c r="K81" s="194"/>
      <c r="L81" s="195"/>
    </row>
    <row r="82" spans="1:21" ht="20.5" hidden="1">
      <c r="A82" s="1083"/>
      <c r="B82" s="192">
        <v>11</v>
      </c>
      <c r="C82" s="193">
        <v>869876</v>
      </c>
      <c r="D82" s="194"/>
      <c r="E82" s="195"/>
      <c r="H82" s="1083"/>
      <c r="I82" s="192">
        <v>11</v>
      </c>
      <c r="J82" s="193">
        <v>1093217</v>
      </c>
      <c r="K82" s="194"/>
      <c r="L82" s="195"/>
    </row>
    <row r="83" spans="1:21" ht="20.5" hidden="1">
      <c r="A83" s="1083"/>
      <c r="B83" s="192">
        <v>12</v>
      </c>
      <c r="C83" s="193">
        <v>842383</v>
      </c>
      <c r="D83" s="194"/>
      <c r="E83" s="195"/>
      <c r="H83" s="1083"/>
      <c r="I83" s="192">
        <v>12</v>
      </c>
      <c r="J83" s="193">
        <v>1134068</v>
      </c>
      <c r="K83" s="194"/>
      <c r="L83" s="195"/>
    </row>
    <row r="84" spans="1:21" ht="20.5" hidden="1">
      <c r="A84" s="1084"/>
      <c r="B84" s="192" t="s">
        <v>98</v>
      </c>
      <c r="C84" s="193">
        <v>9794796</v>
      </c>
      <c r="D84" s="1093">
        <f>(C84-C71)/C71</f>
        <v>0.11334130060522926</v>
      </c>
      <c r="E84" s="1094"/>
      <c r="H84" s="1084"/>
      <c r="I84" s="192" t="s">
        <v>98</v>
      </c>
      <c r="J84" s="193">
        <v>13335758</v>
      </c>
      <c r="K84" s="1093">
        <f>(J84-J71)/J71</f>
        <v>-0.22654594006677833</v>
      </c>
      <c r="L84" s="1094"/>
    </row>
    <row r="85" spans="1:21" ht="20.5" hidden="1">
      <c r="A85" s="1085">
        <v>2012</v>
      </c>
      <c r="B85" s="196">
        <v>1</v>
      </c>
      <c r="C85" s="197">
        <v>753793</v>
      </c>
      <c r="D85" s="1078"/>
      <c r="E85" s="1079"/>
      <c r="H85" s="1085">
        <v>2018</v>
      </c>
      <c r="I85" s="196">
        <v>1</v>
      </c>
      <c r="J85" s="197">
        <v>956036</v>
      </c>
      <c r="K85" s="1078"/>
      <c r="L85" s="1079"/>
    </row>
    <row r="86" spans="1:21" ht="20.5" hidden="1">
      <c r="A86" s="1086"/>
      <c r="B86" s="196">
        <v>2</v>
      </c>
      <c r="C86" s="197">
        <v>810967</v>
      </c>
      <c r="D86" s="194"/>
      <c r="E86" s="195"/>
      <c r="H86" s="1086"/>
      <c r="I86" s="196">
        <v>2</v>
      </c>
      <c r="J86" s="197">
        <v>1045415</v>
      </c>
      <c r="K86" s="194"/>
      <c r="L86" s="195"/>
      <c r="U86" s="11"/>
    </row>
    <row r="87" spans="1:21" ht="20.5" hidden="1">
      <c r="A87" s="1086"/>
      <c r="B87" s="196">
        <v>3</v>
      </c>
      <c r="C87" s="197">
        <v>916357</v>
      </c>
      <c r="D87" s="194"/>
      <c r="E87" s="195"/>
      <c r="H87" s="1086"/>
      <c r="I87" s="196">
        <v>3</v>
      </c>
      <c r="J87" s="197">
        <v>1366100</v>
      </c>
      <c r="K87" s="194"/>
      <c r="L87" s="195"/>
    </row>
    <row r="88" spans="1:21" ht="20.5" hidden="1">
      <c r="A88" s="1086"/>
      <c r="B88" s="196">
        <v>4</v>
      </c>
      <c r="C88" s="197">
        <v>967593</v>
      </c>
      <c r="D88" s="194"/>
      <c r="E88" s="195"/>
      <c r="H88" s="1086"/>
      <c r="I88" s="196">
        <v>4</v>
      </c>
      <c r="J88" s="197">
        <v>1331709</v>
      </c>
      <c r="K88" s="194"/>
      <c r="L88" s="195"/>
      <c r="U88" s="15"/>
    </row>
    <row r="89" spans="1:21" ht="20.5" hidden="1">
      <c r="A89" s="1086"/>
      <c r="B89" s="196">
        <v>5</v>
      </c>
      <c r="C89" s="197">
        <v>942602</v>
      </c>
      <c r="D89" s="194"/>
      <c r="E89" s="195"/>
      <c r="H89" s="1086"/>
      <c r="I89" s="196">
        <v>5</v>
      </c>
      <c r="J89" s="197">
        <v>1238021</v>
      </c>
      <c r="K89" s="194"/>
      <c r="L89" s="195"/>
      <c r="U89" s="11">
        <f>SUM(J139:J143)</f>
        <v>6284113</v>
      </c>
    </row>
    <row r="90" spans="1:21" ht="20.5" hidden="1">
      <c r="A90" s="1086"/>
      <c r="B90" s="196">
        <v>6</v>
      </c>
      <c r="C90" s="197">
        <v>946333</v>
      </c>
      <c r="D90" s="194"/>
      <c r="E90" s="195"/>
      <c r="H90" s="1086"/>
      <c r="I90" s="196">
        <v>6</v>
      </c>
      <c r="J90" s="197">
        <v>1282093</v>
      </c>
      <c r="K90" s="194"/>
      <c r="L90" s="195"/>
    </row>
    <row r="91" spans="1:21" ht="20.5" hidden="1">
      <c r="A91" s="1086"/>
      <c r="B91" s="196">
        <v>7</v>
      </c>
      <c r="C91" s="197">
        <v>1009225</v>
      </c>
      <c r="D91" s="194"/>
      <c r="E91" s="195"/>
      <c r="H91" s="1086"/>
      <c r="I91" s="196">
        <v>7</v>
      </c>
      <c r="J91" s="197">
        <v>1254833</v>
      </c>
      <c r="K91" s="194"/>
      <c r="L91" s="195"/>
      <c r="U91" s="15"/>
    </row>
    <row r="92" spans="1:21" ht="20.5" hidden="1">
      <c r="A92" s="1086"/>
      <c r="B92" s="196">
        <v>8</v>
      </c>
      <c r="C92" s="197">
        <v>1103311</v>
      </c>
      <c r="D92" s="194"/>
      <c r="E92" s="195"/>
      <c r="H92" s="1086"/>
      <c r="I92" s="196">
        <v>8</v>
      </c>
      <c r="J92" s="197">
        <v>1391727</v>
      </c>
      <c r="K92" s="194"/>
      <c r="L92" s="195"/>
    </row>
    <row r="93" spans="1:21" ht="20.5" hidden="1">
      <c r="A93" s="1086"/>
      <c r="B93" s="196">
        <v>9</v>
      </c>
      <c r="C93" s="197">
        <v>986961</v>
      </c>
      <c r="D93" s="194"/>
      <c r="E93" s="195"/>
      <c r="H93" s="1086"/>
      <c r="I93" s="196">
        <v>9</v>
      </c>
      <c r="J93" s="197">
        <v>1278604</v>
      </c>
      <c r="K93" s="194"/>
      <c r="L93" s="195"/>
    </row>
    <row r="94" spans="1:21" ht="20.5" hidden="1">
      <c r="A94" s="1086"/>
      <c r="B94" s="196">
        <v>10</v>
      </c>
      <c r="C94" s="197">
        <v>1025705</v>
      </c>
      <c r="D94" s="194"/>
      <c r="E94" s="195"/>
      <c r="H94" s="1086"/>
      <c r="I94" s="196">
        <v>10</v>
      </c>
      <c r="J94" s="197">
        <v>1527832</v>
      </c>
      <c r="K94" s="194"/>
      <c r="L94" s="195"/>
    </row>
    <row r="95" spans="1:21" ht="20.5" hidden="1">
      <c r="A95" s="1086"/>
      <c r="B95" s="196">
        <v>11</v>
      </c>
      <c r="C95" s="197">
        <v>842189</v>
      </c>
      <c r="D95" s="194"/>
      <c r="E95" s="195"/>
      <c r="H95" s="1086"/>
      <c r="I95" s="196">
        <v>11</v>
      </c>
      <c r="J95" s="197">
        <v>1350390</v>
      </c>
      <c r="K95" s="194"/>
      <c r="L95" s="195"/>
      <c r="U95" s="15"/>
    </row>
    <row r="96" spans="1:21" ht="20.5" hidden="1">
      <c r="A96" s="1086"/>
      <c r="B96" s="196">
        <v>12</v>
      </c>
      <c r="C96" s="197">
        <v>834992</v>
      </c>
      <c r="D96" s="194"/>
      <c r="E96" s="195"/>
      <c r="H96" s="1086"/>
      <c r="I96" s="196">
        <v>12</v>
      </c>
      <c r="J96" s="197">
        <v>1324119</v>
      </c>
      <c r="K96" s="194"/>
      <c r="L96" s="195"/>
    </row>
    <row r="97" spans="1:22" ht="20.5" hidden="1">
      <c r="A97" s="1087"/>
      <c r="B97" s="196" t="s">
        <v>98</v>
      </c>
      <c r="C97" s="197">
        <v>11140028</v>
      </c>
      <c r="D97" s="1080">
        <f>(C97-C84)/C84</f>
        <v>0.13734150256932354</v>
      </c>
      <c r="E97" s="1081"/>
      <c r="H97" s="1087"/>
      <c r="I97" s="196" t="s">
        <v>98</v>
      </c>
      <c r="J97" s="197">
        <v>15346879</v>
      </c>
      <c r="K97" s="1080">
        <f>(J97-J84)/J84</f>
        <v>0.15080665081055011</v>
      </c>
      <c r="L97" s="1081"/>
    </row>
    <row r="98" spans="1:22" ht="20.5" hidden="1">
      <c r="A98" s="1082">
        <v>2013</v>
      </c>
      <c r="B98" s="192">
        <v>1</v>
      </c>
      <c r="C98" s="193">
        <v>753655</v>
      </c>
      <c r="D98" s="1078"/>
      <c r="E98" s="1079"/>
    </row>
    <row r="99" spans="1:22" ht="20.5" hidden="1">
      <c r="A99" s="1083"/>
      <c r="B99" s="192">
        <v>2</v>
      </c>
      <c r="C99" s="193">
        <v>815037</v>
      </c>
      <c r="D99" s="194"/>
      <c r="E99" s="195"/>
      <c r="U99" s="11"/>
      <c r="V99" s="15"/>
    </row>
    <row r="100" spans="1:22" ht="20.5" hidden="1">
      <c r="A100" s="1083"/>
      <c r="B100" s="192">
        <v>3</v>
      </c>
      <c r="C100" s="193">
        <v>1010809</v>
      </c>
      <c r="D100" s="194"/>
      <c r="E100" s="195"/>
    </row>
    <row r="101" spans="1:22" ht="20.5" hidden="1">
      <c r="A101" s="1083"/>
      <c r="B101" s="192">
        <v>4</v>
      </c>
      <c r="C101" s="193">
        <v>972164</v>
      </c>
      <c r="D101" s="194"/>
      <c r="E101" s="195"/>
    </row>
    <row r="102" spans="1:22" ht="20.5" hidden="1">
      <c r="A102" s="1083"/>
      <c r="B102" s="192">
        <v>5</v>
      </c>
      <c r="C102" s="193">
        <v>919355</v>
      </c>
      <c r="D102" s="194"/>
      <c r="E102" s="195"/>
      <c r="U102" s="11">
        <f>SUM(J152:J156)</f>
        <v>7206747</v>
      </c>
      <c r="V102" s="15">
        <f>U102/U89-1</f>
        <v>0.14682008423464055</v>
      </c>
    </row>
    <row r="103" spans="1:22" ht="20.5" hidden="1">
      <c r="A103" s="1083"/>
      <c r="B103" s="192">
        <v>6</v>
      </c>
      <c r="C103" s="193">
        <v>1059082</v>
      </c>
      <c r="D103" s="194"/>
      <c r="E103" s="195"/>
    </row>
    <row r="104" spans="1:22" ht="20.5" hidden="1">
      <c r="A104" s="1083"/>
      <c r="B104" s="192">
        <v>7</v>
      </c>
      <c r="C104" s="193">
        <v>1205152</v>
      </c>
      <c r="D104" s="194"/>
      <c r="E104" s="195"/>
    </row>
    <row r="105" spans="1:22" ht="20.5" hidden="1">
      <c r="A105" s="1083"/>
      <c r="B105" s="192">
        <v>8</v>
      </c>
      <c r="C105" s="193">
        <v>1358909</v>
      </c>
      <c r="D105" s="194"/>
      <c r="E105" s="195"/>
    </row>
    <row r="106" spans="1:22" ht="20.5" hidden="1">
      <c r="A106" s="1083"/>
      <c r="B106" s="192">
        <v>9</v>
      </c>
      <c r="C106" s="193">
        <v>1156913</v>
      </c>
      <c r="D106" s="194"/>
      <c r="E106" s="195"/>
    </row>
    <row r="107" spans="1:22" ht="20.5" hidden="1">
      <c r="A107" s="1083"/>
      <c r="B107" s="192">
        <v>10</v>
      </c>
      <c r="C107" s="193">
        <v>1087974</v>
      </c>
      <c r="D107" s="194"/>
      <c r="E107" s="195"/>
    </row>
    <row r="108" spans="1:22" ht="20.5" hidden="1">
      <c r="A108" s="1083"/>
      <c r="B108" s="192">
        <v>11</v>
      </c>
      <c r="C108" s="193">
        <v>907901</v>
      </c>
      <c r="D108" s="194"/>
      <c r="E108" s="195"/>
    </row>
    <row r="109" spans="1:22" ht="20.5" hidden="1">
      <c r="A109" s="1083"/>
      <c r="B109" s="192">
        <v>12</v>
      </c>
      <c r="C109" s="193">
        <v>928599</v>
      </c>
      <c r="D109" s="194"/>
      <c r="E109" s="195"/>
    </row>
    <row r="110" spans="1:22" ht="20.5" hidden="1">
      <c r="A110" s="1084"/>
      <c r="B110" s="192" t="s">
        <v>98</v>
      </c>
      <c r="C110" s="193">
        <v>12175550</v>
      </c>
      <c r="D110" s="1093">
        <f>(C110-C97)/C97</f>
        <v>9.2955062590506954E-2</v>
      </c>
      <c r="E110" s="1094"/>
    </row>
    <row r="111" spans="1:22" ht="20.5" hidden="1">
      <c r="A111" s="1085">
        <v>2014</v>
      </c>
      <c r="B111" s="196">
        <v>1</v>
      </c>
      <c r="C111" s="197">
        <v>842671</v>
      </c>
      <c r="D111" s="1078"/>
      <c r="E111" s="1079"/>
    </row>
    <row r="112" spans="1:22" ht="20.5" hidden="1">
      <c r="A112" s="1086"/>
      <c r="B112" s="196">
        <v>2</v>
      </c>
      <c r="C112" s="197">
        <v>886026</v>
      </c>
      <c r="D112" s="194"/>
      <c r="E112" s="195"/>
    </row>
    <row r="113" spans="1:18" ht="20.5" hidden="1">
      <c r="A113" s="1086"/>
      <c r="B113" s="196">
        <v>3</v>
      </c>
      <c r="C113" s="197">
        <v>1132155</v>
      </c>
      <c r="D113" s="194"/>
      <c r="E113" s="195"/>
    </row>
    <row r="114" spans="1:18" ht="20.5" hidden="1">
      <c r="A114" s="1086"/>
      <c r="B114" s="196">
        <v>4</v>
      </c>
      <c r="C114" s="197">
        <v>1251374</v>
      </c>
      <c r="D114" s="194"/>
      <c r="E114" s="195"/>
    </row>
    <row r="115" spans="1:18" ht="20.5" hidden="1">
      <c r="A115" s="1086"/>
      <c r="B115" s="196">
        <v>5</v>
      </c>
      <c r="C115" s="197">
        <v>1239606</v>
      </c>
      <c r="D115" s="194"/>
      <c r="E115" s="195"/>
    </row>
    <row r="116" spans="1:18" ht="20.5" hidden="1">
      <c r="A116" s="1086"/>
      <c r="B116" s="196">
        <v>6</v>
      </c>
      <c r="C116" s="197">
        <v>1273627</v>
      </c>
      <c r="D116" s="194"/>
      <c r="E116" s="195"/>
    </row>
    <row r="117" spans="1:18" ht="20.5" hidden="1">
      <c r="A117" s="1086"/>
      <c r="B117" s="196">
        <v>7</v>
      </c>
      <c r="C117" s="197">
        <v>1354753</v>
      </c>
      <c r="D117" s="194"/>
      <c r="E117" s="195"/>
    </row>
    <row r="118" spans="1:18" ht="20.5" hidden="1">
      <c r="A118" s="1086"/>
      <c r="B118" s="196">
        <v>8</v>
      </c>
      <c r="C118" s="197">
        <v>1454078</v>
      </c>
      <c r="D118" s="194"/>
      <c r="E118" s="195"/>
    </row>
    <row r="119" spans="1:18" ht="20.5" hidden="1">
      <c r="A119" s="1086"/>
      <c r="B119" s="196">
        <v>9</v>
      </c>
      <c r="C119" s="197">
        <v>1245777</v>
      </c>
      <c r="D119" s="194"/>
      <c r="E119" s="195"/>
    </row>
    <row r="120" spans="1:18" ht="20.5" hidden="1">
      <c r="A120" s="1086"/>
      <c r="B120" s="196">
        <v>10</v>
      </c>
      <c r="C120" s="197">
        <v>1317482</v>
      </c>
      <c r="D120" s="194"/>
      <c r="E120" s="195"/>
    </row>
    <row r="121" spans="1:18" ht="20.5" hidden="1">
      <c r="A121" s="1086"/>
      <c r="B121" s="196">
        <v>11</v>
      </c>
      <c r="C121" s="197">
        <v>1117398</v>
      </c>
      <c r="D121" s="194"/>
      <c r="E121" s="195"/>
      <c r="R121" s="11"/>
    </row>
    <row r="122" spans="1:18" ht="20.5" hidden="1">
      <c r="A122" s="1086"/>
      <c r="B122" s="196">
        <v>12</v>
      </c>
      <c r="C122" s="197">
        <v>1086569</v>
      </c>
      <c r="D122" s="194"/>
      <c r="E122" s="195"/>
    </row>
    <row r="123" spans="1:18" ht="20.5" hidden="1">
      <c r="A123" s="1087"/>
      <c r="B123" s="196" t="s">
        <v>98</v>
      </c>
      <c r="C123" s="197">
        <v>14201516</v>
      </c>
      <c r="D123" s="1080">
        <f>(C123-C110)/C110</f>
        <v>0.16639626135985644</v>
      </c>
      <c r="E123" s="1081"/>
    </row>
    <row r="124" spans="1:18" hidden="1"/>
    <row r="125" spans="1:18" hidden="1"/>
    <row r="126" spans="1:18" ht="20.5">
      <c r="A126" s="1082">
        <v>2019</v>
      </c>
      <c r="B126" s="192">
        <v>1</v>
      </c>
      <c r="C126" s="193">
        <v>1104803</v>
      </c>
      <c r="D126" s="198"/>
      <c r="E126" s="199"/>
      <c r="H126" s="1082">
        <v>2023</v>
      </c>
      <c r="I126" s="192">
        <v>1</v>
      </c>
      <c r="J126" s="193">
        <v>434429</v>
      </c>
      <c r="K126" s="194">
        <f t="shared" ref="K126:K137" si="4">1-C165/J126</f>
        <v>0.81158946571246393</v>
      </c>
      <c r="L126" s="199"/>
    </row>
    <row r="127" spans="1:18" ht="20.5">
      <c r="A127" s="1083"/>
      <c r="B127" s="192">
        <v>2</v>
      </c>
      <c r="C127" s="193">
        <v>1201802</v>
      </c>
      <c r="D127" s="194"/>
      <c r="E127" s="195"/>
      <c r="H127" s="1083"/>
      <c r="I127" s="192">
        <v>2</v>
      </c>
      <c r="J127" s="193">
        <v>479248</v>
      </c>
      <c r="K127" s="194">
        <f t="shared" si="4"/>
        <v>0.7913418522351684</v>
      </c>
      <c r="L127" s="195"/>
    </row>
    <row r="128" spans="1:18" ht="20.5">
      <c r="A128" s="1083"/>
      <c r="B128" s="192">
        <v>3</v>
      </c>
      <c r="C128" s="193">
        <v>1535641</v>
      </c>
      <c r="D128" s="194"/>
      <c r="E128" s="195"/>
      <c r="H128" s="1083"/>
      <c r="I128" s="192">
        <v>3</v>
      </c>
      <c r="J128" s="193">
        <v>800575</v>
      </c>
      <c r="K128" s="194">
        <f t="shared" si="4"/>
        <v>0.87912687755675611</v>
      </c>
      <c r="L128" s="195"/>
    </row>
    <row r="129" spans="1:12" ht="20.5">
      <c r="A129" s="1083"/>
      <c r="B129" s="192">
        <v>4</v>
      </c>
      <c r="C129" s="193">
        <v>1635066</v>
      </c>
      <c r="D129" s="194"/>
      <c r="E129" s="195"/>
      <c r="H129" s="1083"/>
      <c r="I129" s="192">
        <v>4</v>
      </c>
      <c r="J129" s="193">
        <v>888776</v>
      </c>
      <c r="K129" s="194">
        <f t="shared" si="4"/>
        <v>0.85607284625147395</v>
      </c>
      <c r="L129" s="195"/>
    </row>
    <row r="130" spans="1:12" ht="20.5">
      <c r="A130" s="1083"/>
      <c r="B130" s="192">
        <v>5</v>
      </c>
      <c r="C130" s="193">
        <v>1485684</v>
      </c>
      <c r="D130" s="194"/>
      <c r="E130" s="195"/>
      <c r="H130" s="1083"/>
      <c r="I130" s="192">
        <v>5</v>
      </c>
      <c r="J130" s="193">
        <v>867130</v>
      </c>
      <c r="K130" s="194">
        <f t="shared" si="4"/>
        <v>0.79712153886960435</v>
      </c>
      <c r="L130" s="195"/>
    </row>
    <row r="131" spans="1:12" ht="20.5">
      <c r="A131" s="1083"/>
      <c r="B131" s="192">
        <v>6</v>
      </c>
      <c r="C131" s="193">
        <v>1476218</v>
      </c>
      <c r="D131" s="194"/>
      <c r="E131" s="195"/>
      <c r="H131" s="1083"/>
      <c r="I131" s="192">
        <v>6</v>
      </c>
      <c r="J131" s="193">
        <v>960638</v>
      </c>
      <c r="K131" s="194">
        <f t="shared" si="4"/>
        <v>0.7629564934970301</v>
      </c>
      <c r="L131" s="195"/>
    </row>
    <row r="132" spans="1:12" ht="20.5">
      <c r="A132" s="1083"/>
      <c r="B132" s="192">
        <v>7</v>
      </c>
      <c r="C132" s="193">
        <v>1448067</v>
      </c>
      <c r="D132" s="194"/>
      <c r="E132" s="195"/>
      <c r="H132" s="1083"/>
      <c r="I132" s="192">
        <v>7</v>
      </c>
      <c r="J132" s="193">
        <v>1032188</v>
      </c>
      <c r="K132" s="194">
        <f t="shared" si="4"/>
        <v>0.74424620321104296</v>
      </c>
      <c r="L132" s="195"/>
    </row>
    <row r="133" spans="1:12" ht="20.5">
      <c r="A133" s="1083"/>
      <c r="B133" s="192">
        <v>8</v>
      </c>
      <c r="C133" s="193">
        <v>1586299</v>
      </c>
      <c r="D133" s="194"/>
      <c r="E133" s="195"/>
      <c r="H133" s="1083"/>
      <c r="I133" s="192">
        <v>8</v>
      </c>
      <c r="J133" s="193">
        <v>1089133</v>
      </c>
      <c r="K133" s="194">
        <f t="shared" si="4"/>
        <v>0.71450226923617222</v>
      </c>
      <c r="L133" s="195"/>
    </row>
    <row r="134" spans="1:12" ht="20.5">
      <c r="A134" s="1083"/>
      <c r="B134" s="192">
        <v>9</v>
      </c>
      <c r="C134" s="193">
        <v>1459664</v>
      </c>
      <c r="D134" s="194"/>
      <c r="E134" s="195"/>
      <c r="H134" s="1083"/>
      <c r="I134" s="192">
        <v>9</v>
      </c>
      <c r="J134" s="193">
        <v>1098034</v>
      </c>
      <c r="K134" s="194">
        <f t="shared" si="4"/>
        <v>0.69250678940724963</v>
      </c>
      <c r="L134" s="195"/>
    </row>
    <row r="135" spans="1:12" ht="20.5">
      <c r="A135" s="1083"/>
      <c r="B135" s="192">
        <v>10</v>
      </c>
      <c r="C135" s="193">
        <v>1656195</v>
      </c>
      <c r="D135" s="194"/>
      <c r="E135" s="195"/>
      <c r="H135" s="1083"/>
      <c r="I135" s="192">
        <v>10</v>
      </c>
      <c r="J135" s="193">
        <v>1229899</v>
      </c>
      <c r="K135" s="194">
        <f t="shared" si="4"/>
        <v>0.61289748182574344</v>
      </c>
      <c r="L135" s="195"/>
    </row>
    <row r="136" spans="1:12" ht="20.5">
      <c r="A136" s="1083"/>
      <c r="B136" s="192">
        <v>11</v>
      </c>
      <c r="C136" s="193">
        <v>1456429</v>
      </c>
      <c r="D136" s="194"/>
      <c r="E136" s="195"/>
      <c r="H136" s="1083"/>
      <c r="I136" s="192">
        <v>11</v>
      </c>
      <c r="J136" s="193">
        <v>1114990</v>
      </c>
      <c r="K136" s="194">
        <f t="shared" si="4"/>
        <v>0.58752455178970209</v>
      </c>
      <c r="L136" s="195"/>
    </row>
    <row r="137" spans="1:12" ht="20.5">
      <c r="A137" s="1083"/>
      <c r="B137" s="192">
        <v>12</v>
      </c>
      <c r="C137" s="193">
        <v>1456888</v>
      </c>
      <c r="D137" s="194"/>
      <c r="E137" s="195"/>
      <c r="H137" s="1083"/>
      <c r="I137" s="192">
        <v>12</v>
      </c>
      <c r="J137" s="193">
        <v>1036625</v>
      </c>
      <c r="K137" s="194">
        <f t="shared" si="4"/>
        <v>0.47978005546846736</v>
      </c>
      <c r="L137" s="195"/>
    </row>
    <row r="138" spans="1:12" ht="20.5">
      <c r="A138" s="1084"/>
      <c r="B138" s="192" t="s">
        <v>98</v>
      </c>
      <c r="C138" s="193">
        <v>17502756</v>
      </c>
      <c r="D138" s="1093">
        <f>(C138-J97)/J97</f>
        <v>0.14047657507431968</v>
      </c>
      <c r="E138" s="1094"/>
      <c r="H138" s="1084"/>
      <c r="I138" s="192" t="s">
        <v>98</v>
      </c>
      <c r="J138" s="193">
        <f>SUM(J126:J137)</f>
        <v>11031665</v>
      </c>
      <c r="K138" s="1093">
        <f>(J138-C177)/C177</f>
        <v>2.4495329449468217</v>
      </c>
      <c r="L138" s="1094"/>
    </row>
    <row r="139" spans="1:12" ht="20.5">
      <c r="A139" s="1085">
        <v>2020</v>
      </c>
      <c r="B139" s="196">
        <v>1</v>
      </c>
      <c r="C139" s="197">
        <v>1272708</v>
      </c>
      <c r="D139" s="1078"/>
      <c r="E139" s="1079"/>
      <c r="H139" s="1097">
        <v>2024</v>
      </c>
      <c r="I139" s="200">
        <v>1</v>
      </c>
      <c r="J139" s="201">
        <v>880881</v>
      </c>
      <c r="K139" s="202">
        <f>1-J126/J139</f>
        <v>0.5068244178271526</v>
      </c>
      <c r="L139" s="195"/>
    </row>
    <row r="140" spans="1:12" ht="20.5">
      <c r="A140" s="1086"/>
      <c r="B140" s="196">
        <v>2</v>
      </c>
      <c r="C140" s="197">
        <v>685212</v>
      </c>
      <c r="D140" s="194"/>
      <c r="E140" s="195"/>
      <c r="H140" s="1098"/>
      <c r="I140" s="200">
        <v>2</v>
      </c>
      <c r="J140" s="201">
        <v>1030224</v>
      </c>
      <c r="K140" s="202">
        <f>1-J127/J140</f>
        <v>0.53481184674400906</v>
      </c>
      <c r="L140" s="195"/>
    </row>
    <row r="141" spans="1:12" ht="20.5">
      <c r="A141" s="1086"/>
      <c r="B141" s="196">
        <v>3</v>
      </c>
      <c r="C141" s="197">
        <v>83497</v>
      </c>
      <c r="D141" s="194"/>
      <c r="E141" s="195"/>
      <c r="H141" s="1098"/>
      <c r="I141" s="200">
        <v>3</v>
      </c>
      <c r="J141" s="201">
        <v>1491748</v>
      </c>
      <c r="K141" s="202">
        <f t="shared" ref="K141:K150" si="5">1-J128/J141</f>
        <v>0.46333093793321656</v>
      </c>
      <c r="L141" s="195"/>
    </row>
    <row r="142" spans="1:12" ht="20.5">
      <c r="A142" s="1086"/>
      <c r="B142" s="196">
        <v>4</v>
      </c>
      <c r="C142" s="197">
        <v>29415</v>
      </c>
      <c r="D142" s="194"/>
      <c r="E142" s="195"/>
      <c r="H142" s="1098"/>
      <c r="I142" s="200">
        <v>4</v>
      </c>
      <c r="J142" s="201">
        <v>1462797</v>
      </c>
      <c r="K142" s="202">
        <f t="shared" si="5"/>
        <v>0.39241330136717534</v>
      </c>
      <c r="L142" s="195"/>
    </row>
    <row r="143" spans="1:12" ht="20.5">
      <c r="A143" s="1086"/>
      <c r="B143" s="196">
        <v>5</v>
      </c>
      <c r="C143" s="197">
        <v>30806</v>
      </c>
      <c r="D143" s="194"/>
      <c r="E143" s="195"/>
      <c r="H143" s="1098"/>
      <c r="I143" s="200">
        <v>5</v>
      </c>
      <c r="J143" s="201">
        <v>1418463</v>
      </c>
      <c r="K143" s="202">
        <f t="shared" si="5"/>
        <v>0.38868338476223918</v>
      </c>
      <c r="L143" s="471"/>
    </row>
    <row r="144" spans="1:12" ht="20.5">
      <c r="A144" s="1086"/>
      <c r="B144" s="196">
        <v>6</v>
      </c>
      <c r="C144" s="197">
        <v>36938</v>
      </c>
      <c r="D144" s="194"/>
      <c r="E144" s="195"/>
      <c r="H144" s="1098"/>
      <c r="I144" s="200">
        <v>6</v>
      </c>
      <c r="J144" s="201">
        <v>1417274</v>
      </c>
      <c r="K144" s="202">
        <f t="shared" si="5"/>
        <v>0.32219316801126674</v>
      </c>
      <c r="L144" s="632"/>
    </row>
    <row r="145" spans="1:19" ht="20.5">
      <c r="A145" s="1086"/>
      <c r="B145" s="196">
        <v>7</v>
      </c>
      <c r="C145" s="197">
        <v>61012</v>
      </c>
      <c r="D145" s="194"/>
      <c r="E145" s="195"/>
      <c r="H145" s="1098"/>
      <c r="I145" s="200">
        <v>7</v>
      </c>
      <c r="J145" s="201">
        <v>1408499</v>
      </c>
      <c r="K145" s="202">
        <f t="shared" si="5"/>
        <v>0.26717164868416665</v>
      </c>
      <c r="L145" s="632"/>
      <c r="M145" s="11">
        <f>SUM(J139:J145)</f>
        <v>9109886</v>
      </c>
    </row>
    <row r="146" spans="1:19" ht="20.5">
      <c r="A146" s="1086"/>
      <c r="B146" s="196">
        <v>8</v>
      </c>
      <c r="C146" s="197">
        <v>68797</v>
      </c>
      <c r="D146" s="194"/>
      <c r="E146" s="195"/>
      <c r="H146" s="1098"/>
      <c r="I146" s="200">
        <v>8</v>
      </c>
      <c r="J146" s="201">
        <v>1563221</v>
      </c>
      <c r="K146" s="202">
        <f t="shared" si="5"/>
        <v>0.30327637614898983</v>
      </c>
      <c r="L146" s="632"/>
    </row>
    <row r="147" spans="1:19" ht="20.5">
      <c r="A147" s="1086"/>
      <c r="B147" s="196">
        <v>9</v>
      </c>
      <c r="C147" s="197">
        <v>65040</v>
      </c>
      <c r="D147" s="194"/>
      <c r="E147" s="195"/>
      <c r="H147" s="1098"/>
      <c r="I147" s="200">
        <v>9</v>
      </c>
      <c r="J147" s="201">
        <v>1464300</v>
      </c>
      <c r="K147" s="202">
        <f t="shared" si="5"/>
        <v>0.25013043775182686</v>
      </c>
      <c r="L147" s="632"/>
    </row>
    <row r="148" spans="1:19" ht="20.5">
      <c r="A148" s="1086"/>
      <c r="B148" s="196">
        <v>10</v>
      </c>
      <c r="C148" s="197">
        <v>61585</v>
      </c>
      <c r="D148" s="194"/>
      <c r="E148" s="195"/>
      <c r="H148" s="1098"/>
      <c r="I148" s="200">
        <v>10</v>
      </c>
      <c r="J148" s="201">
        <v>1600263</v>
      </c>
      <c r="K148" s="202">
        <f t="shared" si="5"/>
        <v>0.23143945713923275</v>
      </c>
      <c r="L148" s="632"/>
    </row>
    <row r="149" spans="1:19" ht="20.5">
      <c r="A149" s="1086"/>
      <c r="B149" s="196">
        <v>11</v>
      </c>
      <c r="C149" s="197">
        <v>61764</v>
      </c>
      <c r="D149" s="194"/>
      <c r="E149" s="195"/>
      <c r="H149" s="1098"/>
      <c r="I149" s="200">
        <v>11</v>
      </c>
      <c r="J149" s="201">
        <v>1361076</v>
      </c>
      <c r="K149" s="202">
        <f t="shared" si="5"/>
        <v>0.18080254151862207</v>
      </c>
      <c r="L149" s="632"/>
      <c r="R149" s="11"/>
      <c r="S149" s="12"/>
    </row>
    <row r="150" spans="1:19" ht="20.5">
      <c r="A150" s="1086"/>
      <c r="B150" s="196">
        <v>12</v>
      </c>
      <c r="C150" s="197">
        <v>62344</v>
      </c>
      <c r="D150" s="194"/>
      <c r="E150" s="195"/>
      <c r="H150" s="1098"/>
      <c r="I150" s="200">
        <v>12</v>
      </c>
      <c r="J150" s="201">
        <v>1270863</v>
      </c>
      <c r="K150" s="202">
        <f t="shared" si="5"/>
        <v>0.18431412355226329</v>
      </c>
      <c r="L150" s="632"/>
    </row>
    <row r="151" spans="1:19" ht="20.5">
      <c r="A151" s="1087"/>
      <c r="B151" s="196" t="s">
        <v>98</v>
      </c>
      <c r="C151" s="197">
        <v>2519118</v>
      </c>
      <c r="D151" s="1080">
        <f>(C151-C138)/C138</f>
        <v>-0.85607306643593728</v>
      </c>
      <c r="E151" s="1081"/>
      <c r="H151" s="1099"/>
      <c r="I151" s="200" t="s">
        <v>98</v>
      </c>
      <c r="J151" s="201">
        <f>SUM(J139:J150)</f>
        <v>16369609</v>
      </c>
      <c r="K151" s="1100">
        <f>(J151-J138)/J138</f>
        <v>0.48387473695040595</v>
      </c>
      <c r="L151" s="1101"/>
    </row>
    <row r="152" spans="1:19" ht="20.5">
      <c r="A152" s="1082">
        <v>2021</v>
      </c>
      <c r="B152" s="192">
        <v>1</v>
      </c>
      <c r="C152" s="193">
        <v>58397</v>
      </c>
      <c r="D152" s="1078"/>
      <c r="E152" s="1079"/>
      <c r="H152" s="1082">
        <v>2025</v>
      </c>
      <c r="I152" s="192">
        <v>1</v>
      </c>
      <c r="J152" s="193">
        <v>1117243</v>
      </c>
      <c r="K152" s="198">
        <f t="shared" ref="K152:K164" si="6">(J152-J139)/J139</f>
        <v>0.26832455235156621</v>
      </c>
      <c r="L152" s="199"/>
    </row>
    <row r="153" spans="1:19" ht="20.5">
      <c r="A153" s="1083"/>
      <c r="B153" s="192">
        <v>2</v>
      </c>
      <c r="C153" s="193">
        <v>65582</v>
      </c>
      <c r="D153" s="194"/>
      <c r="E153" s="195"/>
      <c r="H153" s="1083"/>
      <c r="I153" s="192">
        <v>2</v>
      </c>
      <c r="J153" s="193">
        <v>1138408</v>
      </c>
      <c r="K153" s="194">
        <f t="shared" si="6"/>
        <v>0.10501017254499992</v>
      </c>
      <c r="L153" s="195"/>
    </row>
    <row r="154" spans="1:19" ht="20.5">
      <c r="A154" s="1083"/>
      <c r="B154" s="192">
        <v>3</v>
      </c>
      <c r="C154" s="193">
        <v>74604</v>
      </c>
      <c r="D154" s="194"/>
      <c r="E154" s="195"/>
      <c r="H154" s="1083"/>
      <c r="I154" s="192">
        <v>3</v>
      </c>
      <c r="J154" s="193">
        <v>1614596</v>
      </c>
      <c r="K154" s="194">
        <f t="shared" si="6"/>
        <v>8.235171087878114E-2</v>
      </c>
      <c r="L154" s="195"/>
    </row>
    <row r="155" spans="1:19" ht="20.5">
      <c r="A155" s="1083"/>
      <c r="B155" s="192">
        <v>4</v>
      </c>
      <c r="C155" s="193">
        <v>70112</v>
      </c>
      <c r="D155" s="194"/>
      <c r="E155" s="195"/>
      <c r="H155" s="1083"/>
      <c r="I155" s="192">
        <v>4</v>
      </c>
      <c r="J155" s="193">
        <v>1707113</v>
      </c>
      <c r="K155" s="194">
        <f t="shared" si="6"/>
        <v>0.16701975735525845</v>
      </c>
      <c r="L155" s="195"/>
    </row>
    <row r="156" spans="1:19" ht="20.5">
      <c r="A156" s="1083"/>
      <c r="B156" s="192">
        <v>5</v>
      </c>
      <c r="C156" s="193">
        <v>74463</v>
      </c>
      <c r="D156" s="194"/>
      <c r="E156" s="195"/>
      <c r="H156" s="1083"/>
      <c r="I156" s="192">
        <v>5</v>
      </c>
      <c r="J156" s="193">
        <v>1629387</v>
      </c>
      <c r="K156" s="194">
        <f t="shared" si="6"/>
        <v>0.14869897910625798</v>
      </c>
      <c r="L156" s="195"/>
    </row>
    <row r="157" spans="1:19" ht="20.5">
      <c r="A157" s="1083"/>
      <c r="B157" s="192">
        <v>6</v>
      </c>
      <c r="C157" s="193">
        <v>77029</v>
      </c>
      <c r="D157" s="194"/>
      <c r="E157" s="195"/>
      <c r="H157" s="1083"/>
      <c r="I157" s="192">
        <v>6</v>
      </c>
      <c r="J157" s="193">
        <v>1619220</v>
      </c>
      <c r="K157" s="194">
        <f t="shared" si="6"/>
        <v>0.14248903176097211</v>
      </c>
      <c r="L157" s="195"/>
    </row>
    <row r="158" spans="1:19" ht="20.5">
      <c r="A158" s="1083"/>
      <c r="B158" s="192">
        <v>7</v>
      </c>
      <c r="C158" s="193">
        <v>83005</v>
      </c>
      <c r="D158" s="194"/>
      <c r="E158" s="195"/>
      <c r="H158" s="1083"/>
      <c r="I158" s="192">
        <v>7</v>
      </c>
      <c r="J158" s="193">
        <v>1733199</v>
      </c>
      <c r="K158" s="194">
        <f t="shared" si="6"/>
        <v>0.23052909515732706</v>
      </c>
      <c r="L158" s="195"/>
      <c r="M158" s="11">
        <f>SUM(J152:J158)</f>
        <v>10559166</v>
      </c>
      <c r="N158" s="858">
        <f>M158/M145-1</f>
        <v>0.15908870868417013</v>
      </c>
    </row>
    <row r="159" spans="1:19" ht="20.5">
      <c r="A159" s="1083"/>
      <c r="B159" s="192">
        <v>8</v>
      </c>
      <c r="C159" s="193">
        <v>97087</v>
      </c>
      <c r="D159" s="194"/>
      <c r="E159" s="195"/>
      <c r="H159" s="1083"/>
      <c r="I159" s="192">
        <v>8</v>
      </c>
      <c r="J159" s="193">
        <v>1820332</v>
      </c>
      <c r="K159" s="194">
        <f t="shared" si="6"/>
        <v>0.16447514458928073</v>
      </c>
      <c r="L159" s="195"/>
    </row>
    <row r="160" spans="1:19" ht="20.5">
      <c r="A160" s="1083"/>
      <c r="B160" s="192">
        <v>9</v>
      </c>
      <c r="C160" s="193">
        <v>89800</v>
      </c>
      <c r="D160" s="194"/>
      <c r="E160" s="195"/>
      <c r="H160" s="1083"/>
      <c r="I160" s="192">
        <v>9</v>
      </c>
      <c r="J160" s="193">
        <v>1702813</v>
      </c>
      <c r="K160" s="194">
        <f t="shared" si="6"/>
        <v>0.16288533770402239</v>
      </c>
      <c r="L160" s="195"/>
    </row>
    <row r="161" spans="1:20" ht="20.5">
      <c r="A161" s="1083"/>
      <c r="B161" s="192">
        <v>10</v>
      </c>
      <c r="C161" s="193">
        <v>92416</v>
      </c>
      <c r="D161" s="194"/>
      <c r="E161" s="195"/>
      <c r="H161" s="1083"/>
      <c r="I161" s="192">
        <v>10</v>
      </c>
      <c r="J161" s="193">
        <v>1739020</v>
      </c>
      <c r="K161" s="194">
        <f t="shared" si="6"/>
        <v>8.6708872229127334E-2</v>
      </c>
      <c r="L161" s="195"/>
    </row>
    <row r="162" spans="1:20" ht="20.5">
      <c r="A162" s="1083"/>
      <c r="B162" s="192">
        <v>11</v>
      </c>
      <c r="C162" s="193">
        <v>94358</v>
      </c>
      <c r="D162" s="194"/>
      <c r="E162" s="195"/>
      <c r="H162" s="1083"/>
      <c r="I162" s="192">
        <v>11</v>
      </c>
      <c r="J162" s="193"/>
      <c r="K162" s="194">
        <f t="shared" si="6"/>
        <v>-1</v>
      </c>
      <c r="L162" s="195"/>
    </row>
    <row r="163" spans="1:20" ht="20.5">
      <c r="A163" s="1083"/>
      <c r="B163" s="192">
        <v>12</v>
      </c>
      <c r="C163" s="193">
        <v>90150</v>
      </c>
      <c r="D163" s="194"/>
      <c r="E163" s="195"/>
      <c r="H163" s="1083"/>
      <c r="I163" s="192">
        <v>12</v>
      </c>
      <c r="J163" s="193"/>
      <c r="K163" s="194">
        <f t="shared" si="6"/>
        <v>-1</v>
      </c>
      <c r="L163" s="195"/>
    </row>
    <row r="164" spans="1:20" ht="20.5">
      <c r="A164" s="1084"/>
      <c r="B164" s="192" t="s">
        <v>98</v>
      </c>
      <c r="C164" s="193">
        <v>967003</v>
      </c>
      <c r="D164" s="1093">
        <f>(C164-C151)/C151</f>
        <v>-0.61613429779788009</v>
      </c>
      <c r="E164" s="1094"/>
      <c r="H164" s="1084"/>
      <c r="I164" s="192" t="s">
        <v>98</v>
      </c>
      <c r="J164" s="193">
        <f>SUM(J152:J163)</f>
        <v>15821331</v>
      </c>
      <c r="K164" s="1093">
        <f t="shared" si="6"/>
        <v>-3.349365278058871E-2</v>
      </c>
      <c r="L164" s="1094"/>
    </row>
    <row r="165" spans="1:20" ht="20.5">
      <c r="A165" s="1085">
        <v>2022</v>
      </c>
      <c r="B165" s="196">
        <v>1</v>
      </c>
      <c r="C165" s="197">
        <v>81851</v>
      </c>
      <c r="D165" s="194">
        <f t="shared" ref="D165:D171" si="7">1-C152/C165</f>
        <v>0.2865450635911595</v>
      </c>
      <c r="E165" s="199"/>
      <c r="H165" s="2" t="s">
        <v>99</v>
      </c>
      <c r="K165" s="1"/>
      <c r="L165" s="1"/>
    </row>
    <row r="166" spans="1:20" ht="20.5">
      <c r="A166" s="1086"/>
      <c r="B166" s="196">
        <v>2</v>
      </c>
      <c r="C166" s="197">
        <v>99999</v>
      </c>
      <c r="D166" s="194">
        <f t="shared" si="7"/>
        <v>0.34417344173441733</v>
      </c>
      <c r="E166" s="195"/>
    </row>
    <row r="167" spans="1:20" ht="20.5">
      <c r="A167" s="1086"/>
      <c r="B167" s="196">
        <v>3</v>
      </c>
      <c r="C167" s="197">
        <v>96768</v>
      </c>
      <c r="D167" s="194">
        <f t="shared" si="7"/>
        <v>0.22904265873015872</v>
      </c>
      <c r="E167" s="195"/>
      <c r="T167" s="12"/>
    </row>
    <row r="168" spans="1:20" ht="20.5">
      <c r="A168" s="1086"/>
      <c r="B168" s="196">
        <v>4</v>
      </c>
      <c r="C168" s="197">
        <v>127919</v>
      </c>
      <c r="D168" s="194">
        <f t="shared" si="7"/>
        <v>0.45190315746683452</v>
      </c>
      <c r="E168" s="195"/>
    </row>
    <row r="169" spans="1:20" ht="20.5">
      <c r="A169" s="1086"/>
      <c r="B169" s="196">
        <v>5</v>
      </c>
      <c r="C169" s="197">
        <v>175922</v>
      </c>
      <c r="D169" s="194">
        <f t="shared" si="7"/>
        <v>0.57672718591193828</v>
      </c>
      <c r="E169" s="195"/>
    </row>
    <row r="170" spans="1:20" ht="20.5">
      <c r="A170" s="1086"/>
      <c r="B170" s="196">
        <v>6</v>
      </c>
      <c r="C170" s="197">
        <v>227713</v>
      </c>
      <c r="D170" s="194">
        <f t="shared" si="7"/>
        <v>0.66172770109743406</v>
      </c>
      <c r="E170" s="195"/>
    </row>
    <row r="171" spans="1:20" ht="20.5">
      <c r="A171" s="1086"/>
      <c r="B171" s="196">
        <v>7</v>
      </c>
      <c r="C171" s="197">
        <v>263986</v>
      </c>
      <c r="D171" s="194">
        <f t="shared" si="7"/>
        <v>0.68557044691763958</v>
      </c>
      <c r="E171" s="195"/>
    </row>
    <row r="172" spans="1:20" ht="20.5">
      <c r="A172" s="1086"/>
      <c r="B172" s="196">
        <v>8</v>
      </c>
      <c r="C172" s="197">
        <v>310945</v>
      </c>
      <c r="D172" s="194">
        <f>1-C159/C172</f>
        <v>0.68776793323578123</v>
      </c>
      <c r="E172" s="195"/>
    </row>
    <row r="173" spans="1:20" ht="20.5">
      <c r="A173" s="1086"/>
      <c r="B173" s="196">
        <v>9</v>
      </c>
      <c r="C173" s="197">
        <v>337638</v>
      </c>
      <c r="D173" s="194">
        <f>1-C160/C173</f>
        <v>0.73403467619166096</v>
      </c>
      <c r="E173" s="195"/>
    </row>
    <row r="174" spans="1:20" ht="20.5">
      <c r="A174" s="1086"/>
      <c r="B174" s="196">
        <v>10</v>
      </c>
      <c r="C174" s="197">
        <v>476097</v>
      </c>
      <c r="D174" s="194">
        <f>1-C161/C174</f>
        <v>0.80588829587247979</v>
      </c>
      <c r="E174" s="195"/>
    </row>
    <row r="175" spans="1:20" ht="20.5">
      <c r="A175" s="1086"/>
      <c r="B175" s="196">
        <v>11</v>
      </c>
      <c r="C175" s="197">
        <v>459906</v>
      </c>
      <c r="D175" s="194">
        <f>1-C162/C175</f>
        <v>0.79483198740612215</v>
      </c>
      <c r="E175" s="195"/>
    </row>
    <row r="176" spans="1:20" ht="20.5">
      <c r="A176" s="1086"/>
      <c r="B176" s="196">
        <v>12</v>
      </c>
      <c r="C176" s="197">
        <v>539273</v>
      </c>
      <c r="D176" s="194">
        <f>1-C163/C176</f>
        <v>0.83283049587129343</v>
      </c>
      <c r="E176" s="195"/>
    </row>
    <row r="177" spans="1:5" ht="20.5">
      <c r="A177" s="1087"/>
      <c r="B177" s="196" t="s">
        <v>98</v>
      </c>
      <c r="C177" s="197">
        <f>SUM(C165:C176)</f>
        <v>3198017</v>
      </c>
      <c r="D177" s="1080">
        <f>(C177-C164)/C164</f>
        <v>2.3071427906635242</v>
      </c>
      <c r="E177" s="1081"/>
    </row>
  </sheetData>
  <mergeCells count="75">
    <mergeCell ref="K151:L151"/>
    <mergeCell ref="A85:A97"/>
    <mergeCell ref="D85:E85"/>
    <mergeCell ref="D97:E97"/>
    <mergeCell ref="D58:E58"/>
    <mergeCell ref="K59:L59"/>
    <mergeCell ref="H59:H71"/>
    <mergeCell ref="D98:E98"/>
    <mergeCell ref="H85:H97"/>
    <mergeCell ref="A111:A123"/>
    <mergeCell ref="D123:E123"/>
    <mergeCell ref="H46:H58"/>
    <mergeCell ref="D177:E177"/>
    <mergeCell ref="A152:A164"/>
    <mergeCell ref="D152:E152"/>
    <mergeCell ref="D164:E164"/>
    <mergeCell ref="A165:A177"/>
    <mergeCell ref="H152:H164"/>
    <mergeCell ref="K164:L164"/>
    <mergeCell ref="A72:A84"/>
    <mergeCell ref="D72:E72"/>
    <mergeCell ref="A98:A110"/>
    <mergeCell ref="H126:H138"/>
    <mergeCell ref="D110:E110"/>
    <mergeCell ref="H139:H151"/>
    <mergeCell ref="K138:L138"/>
    <mergeCell ref="A139:A151"/>
    <mergeCell ref="D139:E139"/>
    <mergeCell ref="D151:E151"/>
    <mergeCell ref="H72:H84"/>
    <mergeCell ref="K72:L72"/>
    <mergeCell ref="A126:A138"/>
    <mergeCell ref="D138:E138"/>
    <mergeCell ref="C21:D21"/>
    <mergeCell ref="C18:D18"/>
    <mergeCell ref="C19:D19"/>
    <mergeCell ref="D84:E84"/>
    <mergeCell ref="K84:L84"/>
    <mergeCell ref="K46:L46"/>
    <mergeCell ref="K58:L58"/>
    <mergeCell ref="D59:E59"/>
    <mergeCell ref="D71:E71"/>
    <mergeCell ref="D46:E46"/>
    <mergeCell ref="C20:D20"/>
    <mergeCell ref="H44:H45"/>
    <mergeCell ref="C22:D22"/>
    <mergeCell ref="C23:D23"/>
    <mergeCell ref="J44:J45"/>
    <mergeCell ref="K44:L45"/>
    <mergeCell ref="A5:A6"/>
    <mergeCell ref="C7:D7"/>
    <mergeCell ref="A44:A45"/>
    <mergeCell ref="B5:B6"/>
    <mergeCell ref="D44:E45"/>
    <mergeCell ref="C5:D6"/>
    <mergeCell ref="C8:D8"/>
    <mergeCell ref="C9:D9"/>
    <mergeCell ref="C10:D10"/>
    <mergeCell ref="C11:D11"/>
    <mergeCell ref="C12:D12"/>
    <mergeCell ref="C13:D13"/>
    <mergeCell ref="C14:D14"/>
    <mergeCell ref="C15:D15"/>
    <mergeCell ref="C16:D16"/>
    <mergeCell ref="C17:D17"/>
    <mergeCell ref="A26:J40"/>
    <mergeCell ref="B44:B45"/>
    <mergeCell ref="C44:C45"/>
    <mergeCell ref="D111:E111"/>
    <mergeCell ref="K85:L85"/>
    <mergeCell ref="K97:L97"/>
    <mergeCell ref="K71:L71"/>
    <mergeCell ref="A46:A58"/>
    <mergeCell ref="A59:A71"/>
    <mergeCell ref="I44:I45"/>
  </mergeCells>
  <phoneticPr fontId="28" type="noConversion"/>
  <pageMargins left="0.23622047244094491" right="0.23622047244094491" top="0.74803149606299213" bottom="0.74803149606299213" header="0.31496062992125984" footer="0.31496062992125984"/>
  <pageSetup paperSize="9" scale="41" fitToWidth="0" fitToHeight="2" orientation="landscape" r:id="rId1"/>
  <rowBreaks count="2" manualBreakCount="2">
    <brk id="41" max="19" man="1"/>
    <brk id="97" max="19" man="1"/>
  </rowBreaks>
  <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930C43-2CFA-44C1-B157-891D8A8C0EDD}">
  <sheetPr>
    <tabColor rgb="FF339088"/>
    <pageSetUpPr fitToPage="1"/>
  </sheetPr>
  <dimension ref="A1:R81"/>
  <sheetViews>
    <sheetView showGridLines="0" view="pageBreakPreview" zoomScale="55" zoomScaleNormal="100" zoomScaleSheetLayoutView="55" workbookViewId="0"/>
  </sheetViews>
  <sheetFormatPr defaultColWidth="9.26953125" defaultRowHeight="16.5"/>
  <cols>
    <col min="1" max="1" width="12.7265625" style="1" customWidth="1"/>
    <col min="2" max="4" width="17.7265625" style="27" customWidth="1"/>
    <col min="5" max="5" width="12.26953125" style="27" customWidth="1"/>
    <col min="6" max="6" width="13.7265625" style="27" customWidth="1"/>
    <col min="7" max="7" width="17.7265625" style="1" customWidth="1"/>
    <col min="8" max="8" width="19" style="1" bestFit="1" customWidth="1"/>
    <col min="9" max="9" width="9.7265625" style="1" bestFit="1" customWidth="1"/>
    <col min="10" max="16384" width="9.26953125" style="1"/>
  </cols>
  <sheetData>
    <row r="1" spans="1:16" ht="26">
      <c r="A1" s="4" t="s">
        <v>100</v>
      </c>
    </row>
    <row r="3" spans="1:16" s="2" customFormat="1" ht="20.5">
      <c r="A3" s="181" t="s">
        <v>101</v>
      </c>
      <c r="B3" s="186"/>
      <c r="C3" s="186"/>
      <c r="D3" s="186"/>
      <c r="E3" s="186"/>
      <c r="F3" s="186"/>
      <c r="G3" s="48"/>
    </row>
    <row r="4" spans="1:16" s="2" customFormat="1" ht="20.5">
      <c r="A4" s="209"/>
      <c r="B4" s="1123" t="s">
        <v>102</v>
      </c>
      <c r="C4" s="1124"/>
      <c r="D4" s="1124"/>
      <c r="E4" s="1124"/>
      <c r="F4" s="1124"/>
      <c r="G4" s="1124"/>
      <c r="H4" s="1124"/>
    </row>
    <row r="5" spans="1:16" s="2" customFormat="1" ht="87" customHeight="1">
      <c r="A5" s="210" t="s">
        <v>103</v>
      </c>
      <c r="B5" s="211" t="s">
        <v>104</v>
      </c>
      <c r="C5" s="211" t="s">
        <v>105</v>
      </c>
      <c r="D5" s="211" t="s">
        <v>106</v>
      </c>
      <c r="E5" s="1127" t="s">
        <v>107</v>
      </c>
      <c r="F5" s="1128"/>
      <c r="G5" s="236" t="s">
        <v>108</v>
      </c>
      <c r="H5" s="236" t="s">
        <v>109</v>
      </c>
      <c r="P5" s="57"/>
    </row>
    <row r="6" spans="1:16" s="18" customFormat="1" ht="8.15" customHeight="1">
      <c r="A6" s="212"/>
      <c r="B6" s="213" t="s">
        <v>110</v>
      </c>
      <c r="C6" s="213" t="s">
        <v>111</v>
      </c>
      <c r="D6" s="213" t="s">
        <v>112</v>
      </c>
      <c r="E6" s="1129" t="s">
        <v>113</v>
      </c>
      <c r="F6" s="1129"/>
      <c r="G6" s="214"/>
    </row>
    <row r="7" spans="1:16" s="2" customFormat="1" ht="21" customHeight="1">
      <c r="A7" s="215">
        <v>43739</v>
      </c>
      <c r="B7" s="216">
        <v>30.392561303827751</v>
      </c>
      <c r="C7" s="216">
        <v>8.9772973983253586</v>
      </c>
      <c r="D7" s="217">
        <f>B7-C7</f>
        <v>21.415263905502393</v>
      </c>
      <c r="E7" s="1125">
        <f>C7/B7</f>
        <v>0.29537811270926762</v>
      </c>
      <c r="F7" s="1126"/>
      <c r="G7" s="218"/>
      <c r="H7" s="226"/>
    </row>
    <row r="8" spans="1:16" s="2" customFormat="1" ht="20.5">
      <c r="A8" s="219">
        <v>43770</v>
      </c>
      <c r="B8" s="220">
        <v>31.360098684210527</v>
      </c>
      <c r="C8" s="220">
        <v>9.7126233552631582</v>
      </c>
      <c r="D8" s="221">
        <f>B8-C8</f>
        <v>21.647475328947369</v>
      </c>
      <c r="E8" s="1121">
        <f t="shared" ref="E8:E40" si="0">C8/B8</f>
        <v>0.30971278034126082</v>
      </c>
      <c r="F8" s="1122"/>
      <c r="G8" s="222">
        <f t="shared" ref="G8:G18" si="1">C8/C7-1</f>
        <v>8.1909501747705171E-2</v>
      </c>
      <c r="H8" s="227"/>
    </row>
    <row r="9" spans="1:16" s="2" customFormat="1" ht="20.5">
      <c r="A9" s="223">
        <v>43800</v>
      </c>
      <c r="B9" s="224">
        <v>31.805010466507177</v>
      </c>
      <c r="C9" s="224">
        <v>9.6020858253588521</v>
      </c>
      <c r="D9" s="225">
        <f t="shared" ref="D9:D40" si="2">B9-C9</f>
        <v>22.202924641148325</v>
      </c>
      <c r="E9" s="1117">
        <f t="shared" si="0"/>
        <v>0.30190481576701561</v>
      </c>
      <c r="F9" s="1118"/>
      <c r="G9" s="226">
        <f t="shared" si="1"/>
        <v>-1.1380810915972317E-2</v>
      </c>
      <c r="H9" s="226"/>
    </row>
    <row r="10" spans="1:16" s="2" customFormat="1" ht="20.5">
      <c r="A10" s="219">
        <v>43831</v>
      </c>
      <c r="B10" s="220">
        <v>29.555722188995215</v>
      </c>
      <c r="C10" s="220">
        <v>9.0506354665071775</v>
      </c>
      <c r="D10" s="221">
        <f t="shared" si="2"/>
        <v>20.505086722488038</v>
      </c>
      <c r="E10" s="1121">
        <f t="shared" si="0"/>
        <v>0.30622278178934476</v>
      </c>
      <c r="F10" s="1122"/>
      <c r="G10" s="227">
        <f t="shared" si="1"/>
        <v>-5.7430267639902666E-2</v>
      </c>
      <c r="H10" s="227"/>
    </row>
    <row r="11" spans="1:16" s="2" customFormat="1" ht="20.5">
      <c r="A11" s="223">
        <v>43862</v>
      </c>
      <c r="B11" s="224">
        <v>25.859802631578948</v>
      </c>
      <c r="C11" s="224">
        <v>8.8117284688995223</v>
      </c>
      <c r="D11" s="225">
        <f t="shared" si="2"/>
        <v>17.048074162679427</v>
      </c>
      <c r="E11" s="1117">
        <f t="shared" si="0"/>
        <v>0.34075002792708847</v>
      </c>
      <c r="F11" s="1118"/>
      <c r="G11" s="226">
        <f t="shared" si="1"/>
        <v>-2.6396709766044135E-2</v>
      </c>
      <c r="H11" s="226"/>
    </row>
    <row r="12" spans="1:16" s="2" customFormat="1" ht="20.5">
      <c r="A12" s="219">
        <v>43891</v>
      </c>
      <c r="B12" s="220">
        <v>28.009406399521531</v>
      </c>
      <c r="C12" s="220">
        <v>9.2667516447368428</v>
      </c>
      <c r="D12" s="221">
        <f t="shared" si="2"/>
        <v>18.742654754784688</v>
      </c>
      <c r="E12" s="1121">
        <f t="shared" si="0"/>
        <v>0.33084427111940301</v>
      </c>
      <c r="F12" s="1122"/>
      <c r="G12" s="227">
        <f t="shared" si="1"/>
        <v>5.1638356474929648E-2</v>
      </c>
      <c r="H12" s="227"/>
    </row>
    <row r="13" spans="1:16" s="2" customFormat="1" ht="20.5">
      <c r="A13" s="223">
        <v>43922</v>
      </c>
      <c r="B13" s="224">
        <v>28.203891297846891</v>
      </c>
      <c r="C13" s="224">
        <v>8.8703685705741631</v>
      </c>
      <c r="D13" s="225">
        <f t="shared" si="2"/>
        <v>19.333522727272729</v>
      </c>
      <c r="E13" s="1117">
        <f t="shared" si="0"/>
        <v>0.31450867814298145</v>
      </c>
      <c r="F13" s="1118"/>
      <c r="G13" s="226">
        <f t="shared" si="1"/>
        <v>-4.2774759630879955E-2</v>
      </c>
      <c r="H13" s="226"/>
    </row>
    <row r="14" spans="1:16" s="2" customFormat="1" ht="20.5">
      <c r="A14" s="219">
        <v>43952</v>
      </c>
      <c r="B14" s="220">
        <v>30.618290968899522</v>
      </c>
      <c r="C14" s="220">
        <v>9.354215759569378</v>
      </c>
      <c r="D14" s="221">
        <f t="shared" si="2"/>
        <v>21.264075209330144</v>
      </c>
      <c r="E14" s="1121">
        <f t="shared" si="0"/>
        <v>0.30551070825837101</v>
      </c>
      <c r="F14" s="1122"/>
      <c r="G14" s="227">
        <f t="shared" si="1"/>
        <v>5.4546458261079511E-2</v>
      </c>
      <c r="H14" s="227"/>
    </row>
    <row r="15" spans="1:16" s="2" customFormat="1" ht="20.5">
      <c r="A15" s="223">
        <v>43983</v>
      </c>
      <c r="B15" s="224">
        <v>30.322935107655503</v>
      </c>
      <c r="C15" s="224">
        <v>9.2877825956937805</v>
      </c>
      <c r="D15" s="225">
        <f t="shared" si="2"/>
        <v>21.035152511961723</v>
      </c>
      <c r="E15" s="1117">
        <f t="shared" si="0"/>
        <v>0.30629563275188798</v>
      </c>
      <c r="F15" s="1118"/>
      <c r="G15" s="226">
        <f t="shared" si="1"/>
        <v>-7.1019490658675855E-3</v>
      </c>
      <c r="H15" s="226"/>
    </row>
    <row r="16" spans="1:16" s="2" customFormat="1" ht="20.5">
      <c r="A16" s="219">
        <v>44013</v>
      </c>
      <c r="B16" s="220">
        <v>28.978742523923444</v>
      </c>
      <c r="C16" s="220">
        <v>9.5440572667464121</v>
      </c>
      <c r="D16" s="221">
        <f t="shared" si="2"/>
        <v>19.43468525717703</v>
      </c>
      <c r="E16" s="1121">
        <f t="shared" si="0"/>
        <v>0.32934683963140571</v>
      </c>
      <c r="F16" s="1122"/>
      <c r="G16" s="227">
        <f t="shared" si="1"/>
        <v>2.7592664708953496E-2</v>
      </c>
      <c r="H16" s="227"/>
    </row>
    <row r="17" spans="1:10" s="2" customFormat="1" ht="20.5">
      <c r="A17" s="223">
        <v>44044</v>
      </c>
      <c r="B17" s="224">
        <v>29.342496261961724</v>
      </c>
      <c r="C17" s="224">
        <v>9.9497988935406703</v>
      </c>
      <c r="D17" s="225">
        <f t="shared" si="2"/>
        <v>19.392697368421054</v>
      </c>
      <c r="E17" s="1117">
        <f t="shared" si="0"/>
        <v>0.33909176658698725</v>
      </c>
      <c r="F17" s="1118"/>
      <c r="G17" s="226">
        <f t="shared" si="1"/>
        <v>4.2512488709382623E-2</v>
      </c>
      <c r="H17" s="226"/>
    </row>
    <row r="18" spans="1:10" s="2" customFormat="1" ht="20.5">
      <c r="A18" s="219">
        <v>44075</v>
      </c>
      <c r="B18" s="220">
        <v>31.413343301435408</v>
      </c>
      <c r="C18" s="220">
        <v>10.237085825358852</v>
      </c>
      <c r="D18" s="221">
        <f t="shared" si="2"/>
        <v>21.176257476076557</v>
      </c>
      <c r="E18" s="1121">
        <f t="shared" si="0"/>
        <v>0.32588335877292873</v>
      </c>
      <c r="F18" s="1122"/>
      <c r="G18" s="227">
        <f t="shared" si="1"/>
        <v>2.8873642059708882E-2</v>
      </c>
      <c r="H18" s="227"/>
    </row>
    <row r="19" spans="1:10" s="2" customFormat="1" ht="20.5">
      <c r="A19" s="223">
        <v>44105</v>
      </c>
      <c r="B19" s="224">
        <v>30.548736543062201</v>
      </c>
      <c r="C19" s="224">
        <v>10.275361094497608</v>
      </c>
      <c r="D19" s="225">
        <f t="shared" si="2"/>
        <v>20.273375448564593</v>
      </c>
      <c r="E19" s="1117">
        <f t="shared" si="0"/>
        <v>0.33635960950506816</v>
      </c>
      <c r="F19" s="1118"/>
      <c r="G19" s="226">
        <f t="shared" ref="G19:G67" si="3">C19/C18-1</f>
        <v>3.7388832907840897E-3</v>
      </c>
      <c r="H19" s="226"/>
      <c r="I19" s="1"/>
      <c r="J19" s="1"/>
    </row>
    <row r="20" spans="1:10" s="2" customFormat="1" ht="20.5">
      <c r="A20" s="219">
        <v>44136</v>
      </c>
      <c r="B20" s="220">
        <v>31.10086572966507</v>
      </c>
      <c r="C20" s="220">
        <v>11.125837320574163</v>
      </c>
      <c r="D20" s="221">
        <f t="shared" si="2"/>
        <v>19.975028409090907</v>
      </c>
      <c r="E20" s="1121">
        <f t="shared" si="0"/>
        <v>0.35773400706212366</v>
      </c>
      <c r="F20" s="1122"/>
      <c r="G20" s="227">
        <f t="shared" si="3"/>
        <v>8.2768500129107858E-2</v>
      </c>
      <c r="H20" s="227">
        <f t="shared" ref="H20:H67" si="4">C20/C7-1</f>
        <v>0.23933037159374915</v>
      </c>
      <c r="I20" s="1"/>
      <c r="J20" s="1"/>
    </row>
    <row r="21" spans="1:10" ht="20.5">
      <c r="A21" s="223">
        <v>44166</v>
      </c>
      <c r="B21" s="224">
        <v>31.329763008373206</v>
      </c>
      <c r="C21" s="224">
        <v>11.839816836124402</v>
      </c>
      <c r="D21" s="225">
        <f t="shared" si="2"/>
        <v>19.489946172248803</v>
      </c>
      <c r="E21" s="1117">
        <f t="shared" si="0"/>
        <v>0.37790955625678013</v>
      </c>
      <c r="F21" s="1118"/>
      <c r="G21" s="226">
        <f t="shared" si="3"/>
        <v>6.4173104008085069E-2</v>
      </c>
      <c r="H21" s="226">
        <f t="shared" si="4"/>
        <v>0.21901327819003114</v>
      </c>
    </row>
    <row r="22" spans="1:10" ht="20.5">
      <c r="A22" s="219">
        <v>44197</v>
      </c>
      <c r="B22" s="220">
        <v>29.797374401913874</v>
      </c>
      <c r="C22" s="220">
        <v>11.092331040669857</v>
      </c>
      <c r="D22" s="221">
        <f t="shared" si="2"/>
        <v>18.705043361244016</v>
      </c>
      <c r="E22" s="1121">
        <f t="shared" si="0"/>
        <v>0.37225867256134487</v>
      </c>
      <c r="F22" s="1122"/>
      <c r="G22" s="227">
        <f t="shared" si="3"/>
        <v>-6.3133222903744235E-2</v>
      </c>
      <c r="H22" s="227">
        <f t="shared" si="4"/>
        <v>0.15520015571776158</v>
      </c>
    </row>
    <row r="23" spans="1:10" ht="20.5">
      <c r="A23" s="223">
        <v>44228</v>
      </c>
      <c r="B23" s="224">
        <v>28.435613038277513</v>
      </c>
      <c r="C23" s="224">
        <v>10.150839563397129</v>
      </c>
      <c r="D23" s="225">
        <f t="shared" si="2"/>
        <v>18.284773474880382</v>
      </c>
      <c r="E23" s="1117">
        <f t="shared" si="0"/>
        <v>0.35697628708524642</v>
      </c>
      <c r="F23" s="1118"/>
      <c r="G23" s="226">
        <f t="shared" si="3"/>
        <v>-8.4877693770656792E-2</v>
      </c>
      <c r="H23" s="226">
        <f t="shared" si="4"/>
        <v>0.12156097778563413</v>
      </c>
    </row>
    <row r="24" spans="1:10" ht="20.5">
      <c r="A24" s="219">
        <v>44256</v>
      </c>
      <c r="B24" s="220">
        <v>31.951087021531102</v>
      </c>
      <c r="C24" s="220">
        <v>11.597094049043061</v>
      </c>
      <c r="D24" s="221">
        <f t="shared" si="2"/>
        <v>20.35399297248804</v>
      </c>
      <c r="E24" s="1121">
        <f t="shared" si="0"/>
        <v>0.36296399059061896</v>
      </c>
      <c r="F24" s="1122"/>
      <c r="G24" s="227">
        <f t="shared" si="3"/>
        <v>0.14247634164773681</v>
      </c>
      <c r="H24" s="227">
        <f t="shared" si="4"/>
        <v>0.31609752728699281</v>
      </c>
    </row>
    <row r="25" spans="1:10" ht="21" customHeight="1">
      <c r="A25" s="223">
        <v>44287</v>
      </c>
      <c r="B25" s="224">
        <v>31.848787380382774</v>
      </c>
      <c r="C25" s="224">
        <v>10.99053528708134</v>
      </c>
      <c r="D25" s="225">
        <f t="shared" si="2"/>
        <v>20.858252093301434</v>
      </c>
      <c r="E25" s="1117">
        <f t="shared" si="0"/>
        <v>0.34508488991486524</v>
      </c>
      <c r="F25" s="1118"/>
      <c r="G25" s="226">
        <f t="shared" si="3"/>
        <v>-5.2302650939678452E-2</v>
      </c>
      <c r="H25" s="226">
        <f t="shared" si="4"/>
        <v>0.18601811167816718</v>
      </c>
    </row>
    <row r="26" spans="1:10" ht="21" customHeight="1">
      <c r="A26" s="219">
        <v>44317</v>
      </c>
      <c r="B26" s="220">
        <v>32.890611543062199</v>
      </c>
      <c r="C26" s="220">
        <v>11.697275717703349</v>
      </c>
      <c r="D26" s="221">
        <f t="shared" si="2"/>
        <v>21.193335825358851</v>
      </c>
      <c r="E26" s="1121">
        <f t="shared" si="0"/>
        <v>0.3556417825308183</v>
      </c>
      <c r="F26" s="1122"/>
      <c r="G26" s="227">
        <f t="shared" si="3"/>
        <v>6.4304459442729556E-2</v>
      </c>
      <c r="H26" s="227">
        <f t="shared" si="4"/>
        <v>0.31869105828442534</v>
      </c>
    </row>
    <row r="27" spans="1:10" ht="21" customHeight="1">
      <c r="A27" s="223">
        <v>44348</v>
      </c>
      <c r="B27" s="224">
        <v>31.94490505382775</v>
      </c>
      <c r="C27" s="224">
        <v>11.362989683014353</v>
      </c>
      <c r="D27" s="225">
        <f t="shared" si="2"/>
        <v>20.581915370813398</v>
      </c>
      <c r="E27" s="1117">
        <f t="shared" si="0"/>
        <v>0.35570585243147562</v>
      </c>
      <c r="F27" s="1118"/>
      <c r="G27" s="226">
        <f t="shared" si="3"/>
        <v>-2.8578110216130659E-2</v>
      </c>
      <c r="H27" s="226">
        <f t="shared" si="4"/>
        <v>0.21474530576120143</v>
      </c>
    </row>
    <row r="28" spans="1:10" ht="21" customHeight="1">
      <c r="A28" s="219">
        <v>44378</v>
      </c>
      <c r="B28" s="220">
        <v>32.332824461722488</v>
      </c>
      <c r="C28" s="220">
        <v>11.699274072966507</v>
      </c>
      <c r="D28" s="221">
        <f t="shared" si="2"/>
        <v>20.633550388755982</v>
      </c>
      <c r="E28" s="1121">
        <f t="shared" si="0"/>
        <v>0.36183891347991576</v>
      </c>
      <c r="F28" s="1122"/>
      <c r="G28" s="227">
        <f t="shared" si="3"/>
        <v>2.9594710488458631E-2</v>
      </c>
      <c r="H28" s="227">
        <f t="shared" si="4"/>
        <v>0.25964124939690114</v>
      </c>
    </row>
    <row r="29" spans="1:10" ht="21" customHeight="1">
      <c r="A29" s="223">
        <v>44409</v>
      </c>
      <c r="B29" s="224">
        <v>31.585139055023923</v>
      </c>
      <c r="C29" s="224">
        <v>11.420134569377991</v>
      </c>
      <c r="D29" s="225">
        <f t="shared" si="2"/>
        <v>20.16500448564593</v>
      </c>
      <c r="E29" s="1117">
        <f t="shared" si="0"/>
        <v>0.36156670228626103</v>
      </c>
      <c r="F29" s="1118"/>
      <c r="G29" s="226">
        <f t="shared" si="3"/>
        <v>-2.3859557597126657E-2</v>
      </c>
      <c r="H29" s="226">
        <f t="shared" si="4"/>
        <v>0.19657020596138319</v>
      </c>
    </row>
    <row r="30" spans="1:10" ht="21" customHeight="1">
      <c r="A30" s="219">
        <v>44440</v>
      </c>
      <c r="B30" s="220">
        <v>33.526113935406698</v>
      </c>
      <c r="C30" s="220">
        <v>11.671983403110048</v>
      </c>
      <c r="D30" s="221">
        <f t="shared" si="2"/>
        <v>21.854130532296651</v>
      </c>
      <c r="E30" s="1121">
        <f t="shared" si="0"/>
        <v>0.3481460280662993</v>
      </c>
      <c r="F30" s="1122"/>
      <c r="G30" s="227">
        <f t="shared" si="3"/>
        <v>2.2053053070614892E-2</v>
      </c>
      <c r="H30" s="227">
        <f t="shared" si="4"/>
        <v>0.17308736869922114</v>
      </c>
    </row>
    <row r="31" spans="1:10" ht="21" customHeight="1">
      <c r="A31" s="223">
        <v>44470</v>
      </c>
      <c r="B31" s="224">
        <v>34.09382476076555</v>
      </c>
      <c r="C31" s="224">
        <v>12.236739683014354</v>
      </c>
      <c r="D31" s="225">
        <f t="shared" si="2"/>
        <v>21.857085077751194</v>
      </c>
      <c r="E31" s="1117">
        <f t="shared" si="0"/>
        <v>0.35891366747142239</v>
      </c>
      <c r="F31" s="1118"/>
      <c r="G31" s="226">
        <f t="shared" si="3"/>
        <v>4.8385630822078252E-2</v>
      </c>
      <c r="H31" s="226">
        <f t="shared" si="4"/>
        <v>0.19533428670706754</v>
      </c>
    </row>
    <row r="32" spans="1:10" ht="21" customHeight="1">
      <c r="A32" s="219">
        <v>44501</v>
      </c>
      <c r="B32" s="220">
        <v>34.189869916267945</v>
      </c>
      <c r="C32" s="220">
        <v>12.62688322368421</v>
      </c>
      <c r="D32" s="221">
        <f t="shared" si="2"/>
        <v>21.562986692583735</v>
      </c>
      <c r="E32" s="1121">
        <f t="shared" si="0"/>
        <v>0.36931650382431519</v>
      </c>
      <c r="F32" s="1122"/>
      <c r="G32" s="227">
        <f t="shared" si="3"/>
        <v>3.1882964807317782E-2</v>
      </c>
      <c r="H32" s="227">
        <f t="shared" si="4"/>
        <v>0.22885055888165606</v>
      </c>
    </row>
    <row r="33" spans="1:18" ht="21" customHeight="1">
      <c r="A33" s="223">
        <v>44531</v>
      </c>
      <c r="B33" s="224">
        <v>35.063868122009566</v>
      </c>
      <c r="C33" s="224">
        <v>13.315193630382774</v>
      </c>
      <c r="D33" s="225">
        <f t="shared" si="2"/>
        <v>21.748674491626794</v>
      </c>
      <c r="E33" s="1117">
        <f t="shared" si="0"/>
        <v>0.37974115074956138</v>
      </c>
      <c r="F33" s="1118"/>
      <c r="G33" s="226">
        <f t="shared" si="3"/>
        <v>5.4511504898334895E-2</v>
      </c>
      <c r="H33" s="226">
        <f t="shared" si="4"/>
        <v>0.19678126209521341</v>
      </c>
    </row>
    <row r="34" spans="1:18" ht="21" customHeight="1">
      <c r="A34" s="219">
        <v>44562</v>
      </c>
      <c r="B34" s="220">
        <v>32.720553977272729</v>
      </c>
      <c r="C34" s="220">
        <v>12.321819677033492</v>
      </c>
      <c r="D34" s="221">
        <f t="shared" si="2"/>
        <v>20.398734300239237</v>
      </c>
      <c r="E34" s="1121">
        <f t="shared" si="0"/>
        <v>0.37657735518757007</v>
      </c>
      <c r="F34" s="1122"/>
      <c r="G34" s="227">
        <f t="shared" si="3"/>
        <v>-7.4604544321652866E-2</v>
      </c>
      <c r="H34" s="227">
        <f t="shared" si="4"/>
        <v>4.0710329186719685E-2</v>
      </c>
    </row>
    <row r="35" spans="1:18" ht="21" customHeight="1">
      <c r="A35" s="223">
        <v>44593</v>
      </c>
      <c r="B35" s="224">
        <v>29.946381578947367</v>
      </c>
      <c r="C35" s="224">
        <v>11.522120215311006</v>
      </c>
      <c r="D35" s="225">
        <f t="shared" si="2"/>
        <v>18.424261363636361</v>
      </c>
      <c r="E35" s="1117">
        <f t="shared" si="0"/>
        <v>0.38475834500857298</v>
      </c>
      <c r="F35" s="1118"/>
      <c r="G35" s="226">
        <f t="shared" si="3"/>
        <v>-6.4901084635497264E-2</v>
      </c>
      <c r="H35" s="226">
        <f t="shared" si="4"/>
        <v>3.8746515323545117E-2</v>
      </c>
    </row>
    <row r="36" spans="1:18" ht="21" customHeight="1">
      <c r="A36" s="219">
        <v>44621</v>
      </c>
      <c r="B36" s="220">
        <v>34.402442434210528</v>
      </c>
      <c r="C36" s="220">
        <v>12.880277362440191</v>
      </c>
      <c r="D36" s="221">
        <f t="shared" si="2"/>
        <v>21.522165071770338</v>
      </c>
      <c r="E36" s="1121">
        <f t="shared" si="0"/>
        <v>0.3744000847344422</v>
      </c>
      <c r="F36" s="1122"/>
      <c r="G36" s="227">
        <f t="shared" si="3"/>
        <v>0.11787389141491666</v>
      </c>
      <c r="H36" s="227">
        <f t="shared" si="4"/>
        <v>0.26888788676013853</v>
      </c>
    </row>
    <row r="37" spans="1:18" ht="21" customHeight="1">
      <c r="A37" s="223">
        <v>44652</v>
      </c>
      <c r="B37" s="224">
        <v>34.032959778708133</v>
      </c>
      <c r="C37" s="224">
        <v>12.309311453349283</v>
      </c>
      <c r="D37" s="225">
        <f t="shared" si="2"/>
        <v>21.723648325358852</v>
      </c>
      <c r="E37" s="1117">
        <f t="shared" si="0"/>
        <v>0.36168794995756715</v>
      </c>
      <c r="F37" s="1118"/>
      <c r="G37" s="226">
        <f t="shared" si="3"/>
        <v>-4.4328696737221396E-2</v>
      </c>
      <c r="H37" s="226">
        <f t="shared" si="4"/>
        <v>6.1413436960528145E-2</v>
      </c>
    </row>
    <row r="38" spans="1:18" ht="21" customHeight="1">
      <c r="A38" s="219">
        <v>44682</v>
      </c>
      <c r="B38" s="220">
        <v>35.55005457535885</v>
      </c>
      <c r="C38" s="220">
        <v>12.968489832535885</v>
      </c>
      <c r="D38" s="221">
        <f t="shared" si="2"/>
        <v>22.581564742822962</v>
      </c>
      <c r="E38" s="1121">
        <f t="shared" si="0"/>
        <v>0.36479521585671093</v>
      </c>
      <c r="F38" s="1122"/>
      <c r="G38" s="227">
        <f t="shared" si="3"/>
        <v>5.3551198349705009E-2</v>
      </c>
      <c r="H38" s="227">
        <f t="shared" si="4"/>
        <v>0.17996889994789456</v>
      </c>
    </row>
    <row r="39" spans="1:18" ht="21" customHeight="1">
      <c r="A39" s="223">
        <v>44713</v>
      </c>
      <c r="B39" s="224">
        <v>34.212492523923444</v>
      </c>
      <c r="C39" s="224">
        <v>12.5267120215311</v>
      </c>
      <c r="D39" s="225">
        <f t="shared" si="2"/>
        <v>21.685780502392344</v>
      </c>
      <c r="E39" s="1117">
        <f t="shared" si="0"/>
        <v>0.36614438462125098</v>
      </c>
      <c r="F39" s="1118"/>
      <c r="G39" s="226">
        <f t="shared" si="3"/>
        <v>-3.4065478456592135E-2</v>
      </c>
      <c r="H39" s="226">
        <f t="shared" si="4"/>
        <v>7.0908502444926969E-2</v>
      </c>
    </row>
    <row r="40" spans="1:18" ht="21" customHeight="1">
      <c r="A40" s="219">
        <v>44743</v>
      </c>
      <c r="B40" s="220">
        <v>34.473463666267939</v>
      </c>
      <c r="C40" s="220">
        <v>12.732675687799043</v>
      </c>
      <c r="D40" s="221">
        <f t="shared" si="2"/>
        <v>21.740787978468894</v>
      </c>
      <c r="E40" s="1121">
        <f t="shared" si="0"/>
        <v>0.36934715383003081</v>
      </c>
      <c r="F40" s="1122"/>
      <c r="G40" s="227">
        <f t="shared" si="3"/>
        <v>1.6441957467684176E-2</v>
      </c>
      <c r="H40" s="227">
        <f t="shared" si="4"/>
        <v>0.12053922805475459</v>
      </c>
    </row>
    <row r="41" spans="1:18" ht="21" customHeight="1" thickBot="1">
      <c r="A41" s="223">
        <v>44774</v>
      </c>
      <c r="B41" s="224">
        <v>34.629107356459329</v>
      </c>
      <c r="C41" s="224">
        <v>13.246175239234452</v>
      </c>
      <c r="D41" s="225">
        <f>B41-C41</f>
        <v>21.382932117224875</v>
      </c>
      <c r="E41" s="1117">
        <f t="shared" ref="E41:E58" si="5">C41/B41</f>
        <v>0.38251564219900858</v>
      </c>
      <c r="F41" s="1118"/>
      <c r="G41" s="226">
        <f t="shared" si="3"/>
        <v>4.0329272811642003E-2</v>
      </c>
      <c r="H41" s="226">
        <f t="shared" si="4"/>
        <v>0.13222197861338825</v>
      </c>
    </row>
    <row r="42" spans="1:18" ht="21" customHeight="1">
      <c r="A42" s="219">
        <v>44805</v>
      </c>
      <c r="B42" s="220">
        <v>34.473463666267939</v>
      </c>
      <c r="C42" s="220">
        <v>12.732675687799043</v>
      </c>
      <c r="D42" s="221">
        <f>B42-C42</f>
        <v>21.740787978468894</v>
      </c>
      <c r="E42" s="1121">
        <f t="shared" si="5"/>
        <v>0.36934715383003081</v>
      </c>
      <c r="F42" s="1122"/>
      <c r="G42" s="227">
        <f t="shared" si="3"/>
        <v>-3.8765873330321887E-2</v>
      </c>
      <c r="H42" s="227">
        <f t="shared" si="4"/>
        <v>0.11493219370115892</v>
      </c>
      <c r="J42" s="1106" t="s">
        <v>114</v>
      </c>
      <c r="K42" s="1107"/>
      <c r="L42" s="1107"/>
      <c r="M42" s="1107"/>
      <c r="N42" s="1107"/>
      <c r="O42" s="1107"/>
      <c r="P42" s="1107"/>
      <c r="Q42" s="1107"/>
      <c r="R42" s="1108"/>
    </row>
    <row r="43" spans="1:18" ht="21" customHeight="1">
      <c r="A43" s="223">
        <v>44835</v>
      </c>
      <c r="B43" s="224">
        <v>33.715313487327109</v>
      </c>
      <c r="C43" s="224">
        <v>12.435231341711718</v>
      </c>
      <c r="D43" s="225">
        <f>B43-C43</f>
        <v>21.280082145615388</v>
      </c>
      <c r="E43" s="1117">
        <f t="shared" si="5"/>
        <v>0.36883036387562779</v>
      </c>
      <c r="F43" s="1118"/>
      <c r="G43" s="226">
        <f t="shared" si="3"/>
        <v>-2.3360710142986463E-2</v>
      </c>
      <c r="H43" s="226">
        <f t="shared" si="4"/>
        <v>6.5391451670356204E-2</v>
      </c>
      <c r="I43" s="506"/>
      <c r="J43" s="1109"/>
      <c r="K43" s="1110"/>
      <c r="L43" s="1110"/>
      <c r="M43" s="1110"/>
      <c r="N43" s="1110"/>
      <c r="O43" s="1110"/>
      <c r="P43" s="1110"/>
      <c r="Q43" s="1110"/>
      <c r="R43" s="1111"/>
    </row>
    <row r="44" spans="1:18" ht="21" customHeight="1">
      <c r="A44" s="219">
        <v>44866</v>
      </c>
      <c r="B44" s="220">
        <v>35.934166666666663</v>
      </c>
      <c r="C44" s="220">
        <v>13.739839247801031</v>
      </c>
      <c r="D44" s="221">
        <v>22.194327418865633</v>
      </c>
      <c r="E44" s="1121">
        <f t="shared" si="5"/>
        <v>0.38236142708567145</v>
      </c>
      <c r="F44" s="1122"/>
      <c r="G44" s="227">
        <f t="shared" si="3"/>
        <v>0.10491223446026643</v>
      </c>
      <c r="H44" s="227">
        <f t="shared" si="4"/>
        <v>0.1228349710563108</v>
      </c>
      <c r="I44" s="506"/>
      <c r="J44" s="1109"/>
      <c r="K44" s="1110"/>
      <c r="L44" s="1110"/>
      <c r="M44" s="1110"/>
      <c r="N44" s="1110"/>
      <c r="O44" s="1110"/>
      <c r="P44" s="1110"/>
      <c r="Q44" s="1110"/>
      <c r="R44" s="1111"/>
    </row>
    <row r="45" spans="1:18" ht="21" customHeight="1">
      <c r="A45" s="223">
        <v>44896</v>
      </c>
      <c r="B45" s="224">
        <v>41.842759716714752</v>
      </c>
      <c r="C45" s="224">
        <v>14.578981191464411</v>
      </c>
      <c r="D45" s="225">
        <v>27.263778525250341</v>
      </c>
      <c r="E45" s="1117">
        <f t="shared" si="5"/>
        <v>0.3484230316109051</v>
      </c>
      <c r="F45" s="1118"/>
      <c r="G45" s="226">
        <f t="shared" si="3"/>
        <v>6.1073636199759695E-2</v>
      </c>
      <c r="H45" s="226">
        <f t="shared" si="4"/>
        <v>0.15459856032553287</v>
      </c>
      <c r="I45" s="506"/>
      <c r="J45" s="1109"/>
      <c r="K45" s="1110"/>
      <c r="L45" s="1110"/>
      <c r="M45" s="1110"/>
      <c r="N45" s="1110"/>
      <c r="O45" s="1110"/>
      <c r="P45" s="1110"/>
      <c r="Q45" s="1110"/>
      <c r="R45" s="1111"/>
    </row>
    <row r="46" spans="1:18" ht="21" customHeight="1">
      <c r="A46" s="228">
        <v>44927</v>
      </c>
      <c r="B46" s="220">
        <v>42.60884826618561</v>
      </c>
      <c r="C46" s="220">
        <v>14.389130487071558</v>
      </c>
      <c r="D46" s="221">
        <v>28.219717779114053</v>
      </c>
      <c r="E46" s="1121">
        <f t="shared" si="5"/>
        <v>0.33770287329007143</v>
      </c>
      <c r="F46" s="1122"/>
      <c r="G46" s="227">
        <f t="shared" si="3"/>
        <v>-1.3022220270371587E-2</v>
      </c>
      <c r="H46" s="227">
        <f t="shared" si="4"/>
        <v>8.0654993573526568E-2</v>
      </c>
      <c r="I46" s="506"/>
      <c r="J46" s="1109"/>
      <c r="K46" s="1110"/>
      <c r="L46" s="1110"/>
      <c r="M46" s="1110"/>
      <c r="N46" s="1110"/>
      <c r="O46" s="1110"/>
      <c r="P46" s="1110"/>
      <c r="Q46" s="1110"/>
      <c r="R46" s="1111"/>
    </row>
    <row r="47" spans="1:18" ht="21" customHeight="1">
      <c r="A47" s="223">
        <v>44958</v>
      </c>
      <c r="B47" s="224">
        <v>38.019641311361887</v>
      </c>
      <c r="C47" s="224">
        <v>13.411077797189039</v>
      </c>
      <c r="D47" s="225">
        <v>24.60856351417285</v>
      </c>
      <c r="E47" s="1117">
        <f t="shared" si="5"/>
        <v>0.35274077646758961</v>
      </c>
      <c r="F47" s="1118"/>
      <c r="G47" s="226">
        <f t="shared" si="3"/>
        <v>-6.7971632529240433E-2</v>
      </c>
      <c r="H47" s="226">
        <f t="shared" si="4"/>
        <v>8.8400751569656766E-2</v>
      </c>
      <c r="I47" s="506"/>
      <c r="J47" s="1109"/>
      <c r="K47" s="1110"/>
      <c r="L47" s="1110"/>
      <c r="M47" s="1110"/>
      <c r="N47" s="1110"/>
      <c r="O47" s="1110"/>
      <c r="P47" s="1110"/>
      <c r="Q47" s="1110"/>
      <c r="R47" s="1111"/>
    </row>
    <row r="48" spans="1:18" ht="21" customHeight="1">
      <c r="A48" s="228">
        <v>44986</v>
      </c>
      <c r="B48" s="220">
        <v>41.617457667358487</v>
      </c>
      <c r="C48" s="220">
        <v>14.289077374342321</v>
      </c>
      <c r="D48" s="221">
        <v>27.328380293016167</v>
      </c>
      <c r="E48" s="1121">
        <f t="shared" si="5"/>
        <v>0.34334335096950352</v>
      </c>
      <c r="F48" s="1122"/>
      <c r="G48" s="227">
        <f t="shared" si="3"/>
        <v>6.5468233831087908E-2</v>
      </c>
      <c r="H48" s="227">
        <f t="shared" si="4"/>
        <v>0.240143055906888</v>
      </c>
      <c r="I48" s="506"/>
      <c r="J48" s="1109"/>
      <c r="K48" s="1110"/>
      <c r="L48" s="1110"/>
      <c r="M48" s="1110"/>
      <c r="N48" s="1110"/>
      <c r="O48" s="1110"/>
      <c r="P48" s="1110"/>
      <c r="Q48" s="1110"/>
      <c r="R48" s="1111"/>
    </row>
    <row r="49" spans="1:18" ht="21" customHeight="1">
      <c r="A49" s="223">
        <v>45017</v>
      </c>
      <c r="B49" s="224">
        <v>39.759988939477729</v>
      </c>
      <c r="C49" s="224">
        <v>13.531354307921909</v>
      </c>
      <c r="D49" s="225">
        <v>26.228634631555821</v>
      </c>
      <c r="E49" s="1117">
        <f t="shared" si="5"/>
        <v>0.34032590724608114</v>
      </c>
      <c r="F49" s="1118"/>
      <c r="G49" s="226">
        <f t="shared" si="3"/>
        <v>-5.3028130968133191E-2</v>
      </c>
      <c r="H49" s="226">
        <f t="shared" si="4"/>
        <v>5.0548363762748183E-2</v>
      </c>
      <c r="I49" s="506"/>
      <c r="J49" s="1109"/>
      <c r="K49" s="1110"/>
      <c r="L49" s="1110"/>
      <c r="M49" s="1110"/>
      <c r="N49" s="1110"/>
      <c r="O49" s="1110"/>
      <c r="P49" s="1110"/>
      <c r="Q49" s="1110"/>
      <c r="R49" s="1111"/>
    </row>
    <row r="50" spans="1:18" ht="21" customHeight="1">
      <c r="A50" s="219">
        <v>45047</v>
      </c>
      <c r="B50" s="220">
        <v>41.189317954239165</v>
      </c>
      <c r="C50" s="220">
        <v>14.491767868032918</v>
      </c>
      <c r="D50" s="221">
        <v>26.697550086206249</v>
      </c>
      <c r="E50" s="1121">
        <f t="shared" si="5"/>
        <v>0.35183315936751119</v>
      </c>
      <c r="F50" s="1122"/>
      <c r="G50" s="227">
        <f t="shared" si="3"/>
        <v>7.0976898413541489E-2</v>
      </c>
      <c r="H50" s="227">
        <f t="shared" si="4"/>
        <v>0.17730125872229863</v>
      </c>
      <c r="I50" s="506"/>
      <c r="J50" s="1109"/>
      <c r="K50" s="1110"/>
      <c r="L50" s="1110"/>
      <c r="M50" s="1110"/>
      <c r="N50" s="1110"/>
      <c r="O50" s="1110"/>
      <c r="P50" s="1110"/>
      <c r="Q50" s="1110"/>
      <c r="R50" s="1111"/>
    </row>
    <row r="51" spans="1:18" ht="21" customHeight="1">
      <c r="A51" s="223">
        <v>45078</v>
      </c>
      <c r="B51" s="224">
        <v>40.67695012763069</v>
      </c>
      <c r="C51" s="224">
        <v>14.24420494944899</v>
      </c>
      <c r="D51" s="225">
        <v>26.432745178181698</v>
      </c>
      <c r="E51" s="1117">
        <f t="shared" si="5"/>
        <v>0.35017878441612338</v>
      </c>
      <c r="F51" s="1118"/>
      <c r="G51" s="226">
        <f t="shared" si="3"/>
        <v>-1.7083003318733914E-2</v>
      </c>
      <c r="H51" s="226">
        <f t="shared" si="4"/>
        <v>9.8370367975501471E-2</v>
      </c>
      <c r="I51" s="506"/>
      <c r="J51" s="1109"/>
      <c r="K51" s="1110"/>
      <c r="L51" s="1110"/>
      <c r="M51" s="1110"/>
      <c r="N51" s="1110"/>
      <c r="O51" s="1110"/>
      <c r="P51" s="1110"/>
      <c r="Q51" s="1110"/>
      <c r="R51" s="1111"/>
    </row>
    <row r="52" spans="1:18" ht="21" customHeight="1">
      <c r="A52" s="229">
        <v>45108</v>
      </c>
      <c r="B52" s="230">
        <v>39.951624037938274</v>
      </c>
      <c r="C52" s="230">
        <v>14.697082329161159</v>
      </c>
      <c r="D52" s="231">
        <v>25.254541708777115</v>
      </c>
      <c r="E52" s="1119">
        <f t="shared" si="5"/>
        <v>0.36787196223124075</v>
      </c>
      <c r="F52" s="1120"/>
      <c r="G52" s="232">
        <f t="shared" si="3"/>
        <v>3.1793798342510282E-2</v>
      </c>
      <c r="H52" s="227">
        <f t="shared" si="4"/>
        <v>0.17325937595592467</v>
      </c>
      <c r="I52" s="506"/>
      <c r="J52" s="1109"/>
      <c r="K52" s="1110"/>
      <c r="L52" s="1110"/>
      <c r="M52" s="1110"/>
      <c r="N52" s="1110"/>
      <c r="O52" s="1110"/>
      <c r="P52" s="1110"/>
      <c r="Q52" s="1110"/>
      <c r="R52" s="1111"/>
    </row>
    <row r="53" spans="1:18" ht="21" customHeight="1">
      <c r="A53" s="223">
        <v>45139</v>
      </c>
      <c r="B53" s="233">
        <v>39.08880899830865</v>
      </c>
      <c r="C53" s="233">
        <v>14.468807784780843</v>
      </c>
      <c r="D53" s="234">
        <v>24.620001213527807</v>
      </c>
      <c r="E53" s="1115">
        <f t="shared" si="5"/>
        <v>0.37015217796497457</v>
      </c>
      <c r="F53" s="1116"/>
      <c r="G53" s="235">
        <f t="shared" si="3"/>
        <v>-1.5531963369857849E-2</v>
      </c>
      <c r="H53" s="226">
        <f t="shared" si="4"/>
        <v>0.13635249491553703</v>
      </c>
      <c r="I53" s="506"/>
      <c r="J53" s="1109"/>
      <c r="K53" s="1110"/>
      <c r="L53" s="1110"/>
      <c r="M53" s="1110"/>
      <c r="N53" s="1110"/>
      <c r="O53" s="1110"/>
      <c r="P53" s="1110"/>
      <c r="Q53" s="1110"/>
      <c r="R53" s="1111"/>
    </row>
    <row r="54" spans="1:18" ht="21" customHeight="1">
      <c r="A54" s="219">
        <v>45170</v>
      </c>
      <c r="B54" s="230">
        <v>40.952499868368598</v>
      </c>
      <c r="C54" s="230">
        <v>14.307995667446427</v>
      </c>
      <c r="D54" s="231">
        <v>26.644504200922171</v>
      </c>
      <c r="E54" s="1119">
        <f t="shared" si="5"/>
        <v>0.34938027503658731</v>
      </c>
      <c r="F54" s="1120"/>
      <c r="G54" s="232">
        <f t="shared" si="3"/>
        <v>-1.111440000630648E-2</v>
      </c>
      <c r="H54" s="227">
        <f t="shared" si="4"/>
        <v>8.0160530042432177E-2</v>
      </c>
      <c r="I54" s="506"/>
      <c r="J54" s="1109"/>
      <c r="K54" s="1110"/>
      <c r="L54" s="1110"/>
      <c r="M54" s="1110"/>
      <c r="N54" s="1110"/>
      <c r="O54" s="1110"/>
      <c r="P54" s="1110"/>
      <c r="Q54" s="1110"/>
      <c r="R54" s="1111"/>
    </row>
    <row r="55" spans="1:18" ht="21" customHeight="1">
      <c r="A55" s="223">
        <v>45200</v>
      </c>
      <c r="B55" s="233">
        <v>39.872398551851269</v>
      </c>
      <c r="C55" s="233">
        <v>14.874266486018257</v>
      </c>
      <c r="D55" s="234">
        <v>24.998132065833012</v>
      </c>
      <c r="E55" s="1115">
        <f t="shared" si="5"/>
        <v>0.37304669461194595</v>
      </c>
      <c r="F55" s="1116"/>
      <c r="G55" s="235">
        <f t="shared" si="3"/>
        <v>3.9577228825992128E-2</v>
      </c>
      <c r="H55" s="226">
        <f t="shared" si="4"/>
        <v>0.16819644595765304</v>
      </c>
      <c r="I55" s="65"/>
      <c r="J55" s="1109"/>
      <c r="K55" s="1110"/>
      <c r="L55" s="1110"/>
      <c r="M55" s="1110"/>
      <c r="N55" s="1110"/>
      <c r="O55" s="1110"/>
      <c r="P55" s="1110"/>
      <c r="Q55" s="1110"/>
      <c r="R55" s="1111"/>
    </row>
    <row r="56" spans="1:18" ht="21" customHeight="1">
      <c r="A56" s="228">
        <v>45231</v>
      </c>
      <c r="B56" s="230">
        <v>42.295704332298008</v>
      </c>
      <c r="C56" s="230">
        <v>16.029851418280053</v>
      </c>
      <c r="D56" s="231">
        <v>26.265852914017955</v>
      </c>
      <c r="E56" s="1119">
        <f t="shared" si="5"/>
        <v>0.37899478614520377</v>
      </c>
      <c r="F56" s="1120"/>
      <c r="G56" s="232">
        <f t="shared" si="3"/>
        <v>7.7690213050037871E-2</v>
      </c>
      <c r="H56" s="227">
        <f t="shared" si="4"/>
        <v>0.28906740677279052</v>
      </c>
      <c r="J56" s="1109"/>
      <c r="K56" s="1110"/>
      <c r="L56" s="1110"/>
      <c r="M56" s="1110"/>
      <c r="N56" s="1110"/>
      <c r="O56" s="1110"/>
      <c r="P56" s="1110"/>
      <c r="Q56" s="1110"/>
      <c r="R56" s="1111"/>
    </row>
    <row r="57" spans="1:18" ht="21" customHeight="1">
      <c r="A57" s="223">
        <v>45261</v>
      </c>
      <c r="B57" s="233">
        <v>42.873726590898634</v>
      </c>
      <c r="C57" s="233">
        <v>15.755174159112869</v>
      </c>
      <c r="D57" s="234">
        <v>27.118552431785766</v>
      </c>
      <c r="E57" s="1115">
        <f t="shared" si="5"/>
        <v>0.36747853316901602</v>
      </c>
      <c r="F57" s="1116"/>
      <c r="G57" s="235">
        <f t="shared" si="3"/>
        <v>-1.7135359024847197E-2</v>
      </c>
      <c r="H57" s="226">
        <f t="shared" si="4"/>
        <v>0.14667820161246636</v>
      </c>
      <c r="J57" s="1109"/>
      <c r="K57" s="1110"/>
      <c r="L57" s="1110"/>
      <c r="M57" s="1110"/>
      <c r="N57" s="1110"/>
      <c r="O57" s="1110"/>
      <c r="P57" s="1110"/>
      <c r="Q57" s="1110"/>
      <c r="R57" s="1111"/>
    </row>
    <row r="58" spans="1:18" ht="21" customHeight="1">
      <c r="A58" s="228">
        <v>45292</v>
      </c>
      <c r="B58" s="230">
        <v>39.217393111055706</v>
      </c>
      <c r="C58" s="230">
        <v>15.322254961958944</v>
      </c>
      <c r="D58" s="231">
        <v>23.895138149096763</v>
      </c>
      <c r="E58" s="1119">
        <f t="shared" si="5"/>
        <v>0.39070049655185962</v>
      </c>
      <c r="F58" s="1120"/>
      <c r="G58" s="232">
        <f t="shared" si="3"/>
        <v>-2.7477906164783517E-2</v>
      </c>
      <c r="H58" s="227">
        <f t="shared" si="4"/>
        <v>5.0982559119405302E-2</v>
      </c>
      <c r="J58" s="1109"/>
      <c r="K58" s="1110"/>
      <c r="L58" s="1110"/>
      <c r="M58" s="1110"/>
      <c r="N58" s="1110"/>
      <c r="O58" s="1110"/>
      <c r="P58" s="1110"/>
      <c r="Q58" s="1110"/>
      <c r="R58" s="1111"/>
    </row>
    <row r="59" spans="1:18" ht="21" customHeight="1">
      <c r="A59" s="223">
        <v>45323</v>
      </c>
      <c r="B59" s="233">
        <v>37.761740279634161</v>
      </c>
      <c r="C59" s="233">
        <v>14.315522549446589</v>
      </c>
      <c r="D59" s="234">
        <v>23.44621773018757</v>
      </c>
      <c r="E59" s="1115">
        <f t="shared" ref="E59:E61" si="6">C59/B59</f>
        <v>0.37910123959957703</v>
      </c>
      <c r="F59" s="1116"/>
      <c r="G59" s="235">
        <f t="shared" si="3"/>
        <v>-6.5703932940144982E-2</v>
      </c>
      <c r="H59" s="226">
        <f t="shared" si="4"/>
        <v>-5.1155236719205854E-3</v>
      </c>
      <c r="J59" s="1109"/>
      <c r="K59" s="1110"/>
      <c r="L59" s="1110"/>
      <c r="M59" s="1110"/>
      <c r="N59" s="1110"/>
      <c r="O59" s="1110"/>
      <c r="P59" s="1110"/>
      <c r="Q59" s="1110"/>
      <c r="R59" s="1111"/>
    </row>
    <row r="60" spans="1:18" ht="21" customHeight="1">
      <c r="A60" s="228">
        <v>45352</v>
      </c>
      <c r="B60" s="230">
        <v>40.806140423389365</v>
      </c>
      <c r="C60" s="230">
        <v>15.347748912218474</v>
      </c>
      <c r="D60" s="231">
        <v>25.458391511170891</v>
      </c>
      <c r="E60" s="1119">
        <f t="shared" si="6"/>
        <v>0.37611371114680114</v>
      </c>
      <c r="F60" s="1120"/>
      <c r="G60" s="232">
        <f t="shared" si="3"/>
        <v>7.2105391836485122E-2</v>
      </c>
      <c r="H60" s="227">
        <f t="shared" si="4"/>
        <v>0.14440831261417042</v>
      </c>
      <c r="J60" s="1109"/>
      <c r="K60" s="1110"/>
      <c r="L60" s="1110"/>
      <c r="M60" s="1110"/>
      <c r="N60" s="1110"/>
      <c r="O60" s="1110"/>
      <c r="P60" s="1110"/>
      <c r="Q60" s="1110"/>
      <c r="R60" s="1111"/>
    </row>
    <row r="61" spans="1:18" ht="21" customHeight="1">
      <c r="A61" s="223">
        <v>45383</v>
      </c>
      <c r="B61" s="233">
        <v>38.341366251654087</v>
      </c>
      <c r="C61" s="233">
        <v>14.477487699494821</v>
      </c>
      <c r="D61" s="234">
        <v>23.863878552159264</v>
      </c>
      <c r="E61" s="1115">
        <f t="shared" si="6"/>
        <v>0.37759446558246335</v>
      </c>
      <c r="F61" s="1116"/>
      <c r="G61" s="235">
        <f t="shared" si="3"/>
        <v>-5.6702857057482237E-2</v>
      </c>
      <c r="H61" s="226">
        <f t="shared" si="4"/>
        <v>1.3185618652384878E-2</v>
      </c>
      <c r="J61" s="1109"/>
      <c r="K61" s="1110"/>
      <c r="L61" s="1110"/>
      <c r="M61" s="1110"/>
      <c r="N61" s="1110"/>
      <c r="O61" s="1110"/>
      <c r="P61" s="1110"/>
      <c r="Q61" s="1110"/>
      <c r="R61" s="1111"/>
    </row>
    <row r="62" spans="1:18" ht="21" customHeight="1">
      <c r="A62" s="229">
        <v>45413</v>
      </c>
      <c r="B62" s="230">
        <v>40.025324632522576</v>
      </c>
      <c r="C62" s="230">
        <v>15.267609254498714</v>
      </c>
      <c r="D62" s="231">
        <v>24.75771537802386</v>
      </c>
      <c r="E62" s="1119">
        <f t="shared" ref="E62:E64" si="7">C62/B62</f>
        <v>0.38144873013954317</v>
      </c>
      <c r="F62" s="1120"/>
      <c r="G62" s="232">
        <f t="shared" si="3"/>
        <v>5.4575874723862716E-2</v>
      </c>
      <c r="H62" s="227">
        <f t="shared" si="4"/>
        <v>0.12831346420072065</v>
      </c>
      <c r="J62" s="1109"/>
      <c r="K62" s="1110"/>
      <c r="L62" s="1110"/>
      <c r="M62" s="1110"/>
      <c r="N62" s="1110"/>
      <c r="O62" s="1110"/>
      <c r="P62" s="1110"/>
      <c r="Q62" s="1110"/>
      <c r="R62" s="1111"/>
    </row>
    <row r="63" spans="1:18" ht="21" customHeight="1">
      <c r="A63" s="508">
        <v>45444</v>
      </c>
      <c r="B63" s="233">
        <v>38.110456985936104</v>
      </c>
      <c r="C63" s="233">
        <v>14.528858151043741</v>
      </c>
      <c r="D63" s="234">
        <v>23.581598834892361</v>
      </c>
      <c r="E63" s="1115">
        <f t="shared" si="7"/>
        <v>0.38123022655974248</v>
      </c>
      <c r="F63" s="1116"/>
      <c r="G63" s="235">
        <f t="shared" si="3"/>
        <v>-4.8386822792002904E-2</v>
      </c>
      <c r="H63" s="226">
        <f t="shared" si="4"/>
        <v>2.5594036109728435E-3</v>
      </c>
      <c r="J63" s="1109"/>
      <c r="K63" s="1110"/>
      <c r="L63" s="1110"/>
      <c r="M63" s="1110"/>
      <c r="N63" s="1110"/>
      <c r="O63" s="1110"/>
      <c r="P63" s="1110"/>
      <c r="Q63" s="1110"/>
      <c r="R63" s="1111"/>
    </row>
    <row r="64" spans="1:18" ht="21" customHeight="1">
      <c r="A64" s="229">
        <v>45474</v>
      </c>
      <c r="B64" s="230">
        <v>37.643236131793145</v>
      </c>
      <c r="C64" s="230">
        <v>14.396459396550476</v>
      </c>
      <c r="D64" s="231">
        <v>23.246776735242669</v>
      </c>
      <c r="E64" s="1119">
        <f t="shared" si="7"/>
        <v>0.38244478625979111</v>
      </c>
      <c r="F64" s="1120"/>
      <c r="G64" s="232">
        <f t="shared" si="3"/>
        <v>-9.112812109309032E-3</v>
      </c>
      <c r="H64" s="227">
        <f t="shared" si="4"/>
        <v>1.0688869448440164E-2</v>
      </c>
      <c r="J64" s="1109"/>
      <c r="K64" s="1110"/>
      <c r="L64" s="1110"/>
      <c r="M64" s="1110"/>
      <c r="N64" s="1110"/>
      <c r="O64" s="1110"/>
      <c r="P64" s="1110"/>
      <c r="Q64" s="1110"/>
      <c r="R64" s="1111"/>
    </row>
    <row r="65" spans="1:18" ht="21" customHeight="1">
      <c r="A65" s="508">
        <v>45505</v>
      </c>
      <c r="B65" s="233">
        <v>38.45959384115497</v>
      </c>
      <c r="C65" s="233">
        <v>14.456667282058856</v>
      </c>
      <c r="D65" s="234">
        <v>24.002926559096114</v>
      </c>
      <c r="E65" s="1115">
        <f t="shared" ref="E65:E67" si="8">C65/B65</f>
        <v>0.37589235449982877</v>
      </c>
      <c r="F65" s="1116"/>
      <c r="G65" s="235">
        <f t="shared" si="3"/>
        <v>4.1821314428744927E-3</v>
      </c>
      <c r="H65" s="235">
        <f t="shared" si="4"/>
        <v>-1.6358011863707445E-2</v>
      </c>
      <c r="J65" s="1109"/>
      <c r="K65" s="1110"/>
      <c r="L65" s="1110"/>
      <c r="M65" s="1110"/>
      <c r="N65" s="1110"/>
      <c r="O65" s="1110"/>
      <c r="P65" s="1110"/>
      <c r="Q65" s="1110"/>
      <c r="R65" s="1111"/>
    </row>
    <row r="66" spans="1:18" ht="21" customHeight="1">
      <c r="A66" s="229">
        <v>45536</v>
      </c>
      <c r="B66" s="230">
        <v>40.607507379272107</v>
      </c>
      <c r="C66" s="230">
        <v>14.684000089899763</v>
      </c>
      <c r="D66" s="231">
        <v>25.923507289372345</v>
      </c>
      <c r="E66" s="1119">
        <f t="shared" si="8"/>
        <v>0.36160801382739233</v>
      </c>
      <c r="F66" s="1120"/>
      <c r="G66" s="232">
        <f t="shared" si="3"/>
        <v>1.5725118618662215E-2</v>
      </c>
      <c r="H66" s="232">
        <f t="shared" si="4"/>
        <v>1.4872842899003258E-2</v>
      </c>
      <c r="J66" s="1109"/>
      <c r="K66" s="1110"/>
      <c r="L66" s="1110"/>
      <c r="M66" s="1110"/>
      <c r="N66" s="1110"/>
      <c r="O66" s="1110"/>
      <c r="P66" s="1110"/>
      <c r="Q66" s="1110"/>
      <c r="R66" s="1111"/>
    </row>
    <row r="67" spans="1:18" ht="21" customHeight="1">
      <c r="A67" s="508">
        <v>45566</v>
      </c>
      <c r="B67" s="233">
        <v>39.464177810433505</v>
      </c>
      <c r="C67" s="233">
        <v>14.907156502571638</v>
      </c>
      <c r="D67" s="234">
        <v>24.557021307861866</v>
      </c>
      <c r="E67" s="1115">
        <f t="shared" si="8"/>
        <v>0.37773893514716778</v>
      </c>
      <c r="F67" s="1116"/>
      <c r="G67" s="235">
        <f t="shared" si="3"/>
        <v>1.5197249476004204E-2</v>
      </c>
      <c r="H67" s="235">
        <f t="shared" si="4"/>
        <v>4.1875944685140221E-2</v>
      </c>
      <c r="J67" s="1109"/>
      <c r="K67" s="1110"/>
      <c r="L67" s="1110"/>
      <c r="M67" s="1110"/>
      <c r="N67" s="1110"/>
      <c r="O67" s="1110"/>
      <c r="P67" s="1110"/>
      <c r="Q67" s="1110"/>
      <c r="R67" s="1111"/>
    </row>
    <row r="68" spans="1:18" ht="21" customHeight="1">
      <c r="A68" s="229">
        <v>45597</v>
      </c>
      <c r="B68" s="230">
        <v>39.366220987813804</v>
      </c>
      <c r="C68" s="230">
        <v>15.231527652183898</v>
      </c>
      <c r="D68" s="231">
        <v>24.134693335629905</v>
      </c>
      <c r="E68" s="1119">
        <f t="shared" ref="E68" si="9">C68/B68</f>
        <v>0.38691871533462574</v>
      </c>
      <c r="F68" s="1120"/>
      <c r="G68" s="232">
        <f>C68/C67-1</f>
        <v>2.1759424713647002E-2</v>
      </c>
      <c r="H68" s="232">
        <f>C68/C55-1</f>
        <v>2.4018741798223386E-2</v>
      </c>
      <c r="I68" s="509"/>
      <c r="J68" s="1109"/>
      <c r="K68" s="1110"/>
      <c r="L68" s="1110"/>
      <c r="M68" s="1110"/>
      <c r="N68" s="1110"/>
      <c r="O68" s="1110"/>
      <c r="P68" s="1110"/>
      <c r="Q68" s="1110"/>
      <c r="R68" s="1111"/>
    </row>
    <row r="69" spans="1:18" ht="21" customHeight="1">
      <c r="A69" s="508">
        <v>45627</v>
      </c>
      <c r="B69" s="233">
        <v>38.844035219810095</v>
      </c>
      <c r="C69" s="233">
        <v>15.943492143165878</v>
      </c>
      <c r="D69" s="234">
        <v>22.900543076644219</v>
      </c>
      <c r="E69" s="1115">
        <f t="shared" ref="E69:E71" si="10">C69/B69</f>
        <v>0.41044891584885718</v>
      </c>
      <c r="F69" s="1116"/>
      <c r="G69" s="235">
        <f t="shared" ref="G69:G71" si="11">C69/C68-1</f>
        <v>4.6742815772645052E-2</v>
      </c>
      <c r="H69" s="235">
        <f t="shared" ref="H69:H71" si="12">C69/C56-1</f>
        <v>-5.3874033427216972E-3</v>
      </c>
      <c r="I69" s="509"/>
      <c r="J69" s="1109"/>
      <c r="K69" s="1110"/>
      <c r="L69" s="1110"/>
      <c r="M69" s="1110"/>
      <c r="N69" s="1110"/>
      <c r="O69" s="1110"/>
      <c r="P69" s="1110"/>
      <c r="Q69" s="1110"/>
      <c r="R69" s="1111"/>
    </row>
    <row r="70" spans="1:18" ht="21" customHeight="1">
      <c r="A70" s="229">
        <v>45658</v>
      </c>
      <c r="B70" s="230">
        <v>36.694166741082164</v>
      </c>
      <c r="C70" s="230">
        <v>15.058993398773174</v>
      </c>
      <c r="D70" s="231">
        <v>21.635173342308988</v>
      </c>
      <c r="E70" s="1119">
        <f t="shared" si="10"/>
        <v>0.41039202511480882</v>
      </c>
      <c r="F70" s="1120"/>
      <c r="G70" s="232">
        <f t="shared" si="11"/>
        <v>-5.5477102284134272E-2</v>
      </c>
      <c r="H70" s="232">
        <f t="shared" si="12"/>
        <v>-4.4187436667402435E-2</v>
      </c>
      <c r="I70" s="509"/>
      <c r="J70" s="1109"/>
      <c r="K70" s="1110"/>
      <c r="L70" s="1110"/>
      <c r="M70" s="1110"/>
      <c r="N70" s="1110"/>
      <c r="O70" s="1110"/>
      <c r="P70" s="1110"/>
      <c r="Q70" s="1110"/>
      <c r="R70" s="1111"/>
    </row>
    <row r="71" spans="1:18" ht="21" customHeight="1">
      <c r="A71" s="508">
        <v>45689</v>
      </c>
      <c r="B71" s="233">
        <v>34.578008522648666</v>
      </c>
      <c r="C71" s="233">
        <v>14.594439525166717</v>
      </c>
      <c r="D71" s="234">
        <v>19.983568997481949</v>
      </c>
      <c r="E71" s="1115">
        <f t="shared" si="10"/>
        <v>0.4220728766264063</v>
      </c>
      <c r="F71" s="1116"/>
      <c r="G71" s="235">
        <f t="shared" si="11"/>
        <v>-3.084893268127098E-2</v>
      </c>
      <c r="H71" s="235">
        <f t="shared" si="12"/>
        <v>-4.7500543399075279E-2</v>
      </c>
      <c r="I71" s="509"/>
      <c r="J71" s="1109"/>
      <c r="K71" s="1110"/>
      <c r="L71" s="1110"/>
      <c r="M71" s="1110"/>
      <c r="N71" s="1110"/>
      <c r="O71" s="1110"/>
      <c r="P71" s="1110"/>
      <c r="Q71" s="1110"/>
      <c r="R71" s="1111"/>
    </row>
    <row r="72" spans="1:18" ht="21" customHeight="1">
      <c r="A72" s="229">
        <v>45717</v>
      </c>
      <c r="B72" s="230">
        <v>37.868809499296468</v>
      </c>
      <c r="C72" s="230">
        <v>15.36592333299015</v>
      </c>
      <c r="D72" s="231">
        <v>22.502886166306318</v>
      </c>
      <c r="E72" s="1119">
        <f t="shared" ref="E72:E74" si="13">C72/B72</f>
        <v>0.40576726694499388</v>
      </c>
      <c r="F72" s="1120"/>
      <c r="G72" s="232">
        <f t="shared" ref="G72:G74" si="14">C72/C71-1</f>
        <v>5.2861489233148262E-2</v>
      </c>
      <c r="H72" s="232">
        <f t="shared" ref="H72:H74" si="15">C72/C59-1</f>
        <v>7.3374952253081771E-2</v>
      </c>
      <c r="I72" s="509"/>
      <c r="J72" s="1109"/>
      <c r="K72" s="1110"/>
      <c r="L72" s="1110"/>
      <c r="M72" s="1110"/>
      <c r="N72" s="1110"/>
      <c r="O72" s="1110"/>
      <c r="P72" s="1110"/>
      <c r="Q72" s="1110"/>
      <c r="R72" s="1111"/>
    </row>
    <row r="73" spans="1:18" ht="21" customHeight="1">
      <c r="A73" s="508">
        <v>45748</v>
      </c>
      <c r="B73" s="233">
        <v>36.884506096336665</v>
      </c>
      <c r="C73" s="233">
        <v>15.060234991103018</v>
      </c>
      <c r="D73" s="234">
        <v>21.824271105233649</v>
      </c>
      <c r="E73" s="1115">
        <f t="shared" si="13"/>
        <v>0.40830789361169695</v>
      </c>
      <c r="F73" s="1116"/>
      <c r="G73" s="235">
        <f t="shared" si="14"/>
        <v>-1.9893912995832097E-2</v>
      </c>
      <c r="H73" s="235">
        <f t="shared" si="15"/>
        <v>-1.873329585725525E-2</v>
      </c>
      <c r="I73" s="509"/>
      <c r="J73" s="1109"/>
      <c r="K73" s="1110"/>
      <c r="L73" s="1110"/>
      <c r="M73" s="1110"/>
      <c r="N73" s="1110"/>
      <c r="O73" s="1110"/>
      <c r="P73" s="1110"/>
      <c r="Q73" s="1110"/>
      <c r="R73" s="1111"/>
    </row>
    <row r="74" spans="1:18" ht="20.5">
      <c r="A74" s="229">
        <v>45778</v>
      </c>
      <c r="B74" s="230">
        <v>39.605171066124534</v>
      </c>
      <c r="C74" s="230">
        <v>16.125590000645396</v>
      </c>
      <c r="D74" s="231">
        <v>23.479581065479138</v>
      </c>
      <c r="E74" s="1119">
        <f t="shared" si="13"/>
        <v>0.40715870091110618</v>
      </c>
      <c r="F74" s="1120"/>
      <c r="G74" s="232">
        <f t="shared" si="14"/>
        <v>7.0739600688285886E-2</v>
      </c>
      <c r="H74" s="232">
        <f t="shared" si="15"/>
        <v>0.11383897091538087</v>
      </c>
      <c r="I74" s="509"/>
      <c r="J74" s="1109"/>
      <c r="K74" s="1110"/>
      <c r="L74" s="1110"/>
      <c r="M74" s="1110"/>
      <c r="N74" s="1110"/>
      <c r="O74" s="1110"/>
      <c r="P74" s="1110"/>
      <c r="Q74" s="1110"/>
      <c r="R74" s="1111"/>
    </row>
    <row r="75" spans="1:18" ht="20.5">
      <c r="A75" s="508">
        <v>45809</v>
      </c>
      <c r="B75" s="468">
        <v>39.068238779765167</v>
      </c>
      <c r="C75" s="468">
        <v>16.084627821061488</v>
      </c>
      <c r="D75" s="469">
        <v>22.983610958703679</v>
      </c>
      <c r="E75" s="1104">
        <v>0.41199999999999998</v>
      </c>
      <c r="F75" s="1105"/>
      <c r="G75" s="470">
        <f t="shared" ref="G75:G79" si="16">C75/C74-1</f>
        <v>-2.5401972630004765E-3</v>
      </c>
      <c r="H75" s="470">
        <f t="shared" ref="H75:H79" si="17">C75/C62-1</f>
        <v>5.3513196004936647E-2</v>
      </c>
      <c r="I75" s="509"/>
      <c r="J75" s="1109"/>
      <c r="K75" s="1110"/>
      <c r="L75" s="1110"/>
      <c r="M75" s="1110"/>
      <c r="N75" s="1110"/>
      <c r="O75" s="1110"/>
      <c r="P75" s="1110"/>
      <c r="Q75" s="1110"/>
      <c r="R75" s="1111"/>
    </row>
    <row r="76" spans="1:18" ht="20.5">
      <c r="A76" s="229">
        <v>45839</v>
      </c>
      <c r="B76" s="465">
        <v>39.692608455374412</v>
      </c>
      <c r="C76" s="465">
        <v>16.828386730850337</v>
      </c>
      <c r="D76" s="466">
        <v>22.864221724524075</v>
      </c>
      <c r="E76" s="1102">
        <v>0.42399999999999999</v>
      </c>
      <c r="F76" s="1103"/>
      <c r="G76" s="467">
        <f t="shared" si="16"/>
        <v>4.624035557819739E-2</v>
      </c>
      <c r="H76" s="467">
        <f t="shared" si="17"/>
        <v>0.15827317989482892</v>
      </c>
      <c r="I76" s="509"/>
      <c r="J76" s="1109"/>
      <c r="K76" s="1110"/>
      <c r="L76" s="1110"/>
      <c r="M76" s="1110"/>
      <c r="N76" s="1110"/>
      <c r="O76" s="1110"/>
      <c r="P76" s="1110"/>
      <c r="Q76" s="1110"/>
      <c r="R76" s="1111"/>
    </row>
    <row r="77" spans="1:18" ht="20.5">
      <c r="A77" s="508">
        <v>45870</v>
      </c>
      <c r="B77" s="468">
        <v>38.191498639955093</v>
      </c>
      <c r="C77" s="468">
        <v>16.077657844364808</v>
      </c>
      <c r="D77" s="469">
        <v>22.113840795590285</v>
      </c>
      <c r="E77" s="1104">
        <v>0.42099999999999999</v>
      </c>
      <c r="F77" s="1105"/>
      <c r="G77" s="470">
        <f t="shared" si="16"/>
        <v>-4.4610864873295797E-2</v>
      </c>
      <c r="H77" s="470">
        <f t="shared" si="17"/>
        <v>0.11677860517685068</v>
      </c>
      <c r="I77" s="509"/>
      <c r="J77" s="1109"/>
      <c r="K77" s="1110"/>
      <c r="L77" s="1110"/>
      <c r="M77" s="1110"/>
      <c r="N77" s="1110"/>
      <c r="O77" s="1110"/>
      <c r="P77" s="1110"/>
      <c r="Q77" s="1110"/>
      <c r="R77" s="1111"/>
    </row>
    <row r="78" spans="1:18" ht="20.5">
      <c r="A78" s="229">
        <v>45901</v>
      </c>
      <c r="B78" s="465">
        <v>40.801515989740125</v>
      </c>
      <c r="C78" s="465">
        <v>17.027517728458218</v>
      </c>
      <c r="D78" s="466">
        <v>23.773998261281907</v>
      </c>
      <c r="E78" s="1102">
        <v>0.41699999999999998</v>
      </c>
      <c r="F78" s="1103"/>
      <c r="G78" s="467">
        <f t="shared" si="16"/>
        <v>5.90794936232788E-2</v>
      </c>
      <c r="H78" s="467">
        <f t="shared" si="17"/>
        <v>0.17783147361977836</v>
      </c>
      <c r="I78" s="509"/>
      <c r="J78" s="1109"/>
      <c r="K78" s="1110"/>
      <c r="L78" s="1110"/>
      <c r="M78" s="1110"/>
      <c r="N78" s="1110"/>
      <c r="O78" s="1110"/>
      <c r="P78" s="1110"/>
      <c r="Q78" s="1110"/>
      <c r="R78" s="1111"/>
    </row>
    <row r="79" spans="1:18" ht="21" thickBot="1">
      <c r="A79" s="508">
        <v>45931</v>
      </c>
      <c r="B79" s="468">
        <v>39.096717625899288</v>
      </c>
      <c r="C79" s="468">
        <v>15.955430109037771</v>
      </c>
      <c r="D79" s="469">
        <v>23.141287516861517</v>
      </c>
      <c r="E79" s="1104">
        <v>0.40799999999999997</v>
      </c>
      <c r="F79" s="1105"/>
      <c r="G79" s="470">
        <f t="shared" si="16"/>
        <v>-6.2962061559252325E-2</v>
      </c>
      <c r="H79" s="470">
        <f t="shared" si="17"/>
        <v>8.6586080860388215E-2</v>
      </c>
      <c r="I79" s="509"/>
      <c r="J79" s="1112"/>
      <c r="K79" s="1113"/>
      <c r="L79" s="1113"/>
      <c r="M79" s="1113"/>
      <c r="N79" s="1113"/>
      <c r="O79" s="1113"/>
      <c r="P79" s="1113"/>
      <c r="Q79" s="1113"/>
      <c r="R79" s="1114"/>
    </row>
    <row r="80" spans="1:18" ht="20.5">
      <c r="A80" s="854"/>
      <c r="B80" s="855"/>
      <c r="C80" s="855"/>
      <c r="D80" s="855"/>
      <c r="E80" s="856"/>
      <c r="F80" s="856"/>
      <c r="G80" s="857"/>
      <c r="H80" s="857"/>
      <c r="I80" s="509"/>
      <c r="J80" s="15"/>
    </row>
    <row r="81" spans="1:1" ht="17.149999999999999" customHeight="1">
      <c r="A81" s="49" t="s">
        <v>115</v>
      </c>
    </row>
  </sheetData>
  <mergeCells count="77">
    <mergeCell ref="E27:F27"/>
    <mergeCell ref="E45:F45"/>
    <mergeCell ref="E46:F46"/>
    <mergeCell ref="E47:F47"/>
    <mergeCell ref="E38:F38"/>
    <mergeCell ref="E69:F69"/>
    <mergeCell ref="E70:F70"/>
    <mergeCell ref="E28:F28"/>
    <mergeCell ref="E29:F29"/>
    <mergeCell ref="E30:F30"/>
    <mergeCell ref="E48:F48"/>
    <mergeCell ref="E31:F31"/>
    <mergeCell ref="E32:F32"/>
    <mergeCell ref="E63:F63"/>
    <mergeCell ref="E64:F64"/>
    <mergeCell ref="E65:F65"/>
    <mergeCell ref="E66:F66"/>
    <mergeCell ref="E67:F67"/>
    <mergeCell ref="E61:F61"/>
    <mergeCell ref="B4:H4"/>
    <mergeCell ref="E13:F13"/>
    <mergeCell ref="E7:F7"/>
    <mergeCell ref="E8:F8"/>
    <mergeCell ref="E9:F9"/>
    <mergeCell ref="E10:F10"/>
    <mergeCell ref="E5:F5"/>
    <mergeCell ref="E6:F6"/>
    <mergeCell ref="E11:F11"/>
    <mergeCell ref="E12:F12"/>
    <mergeCell ref="E16:F16"/>
    <mergeCell ref="E14:F14"/>
    <mergeCell ref="E15:F15"/>
    <mergeCell ref="E59:F59"/>
    <mergeCell ref="E60:F60"/>
    <mergeCell ref="E39:F39"/>
    <mergeCell ref="E33:F33"/>
    <mergeCell ref="E34:F34"/>
    <mergeCell ref="E37:F37"/>
    <mergeCell ref="E35:F35"/>
    <mergeCell ref="E36:F36"/>
    <mergeCell ref="E22:F22"/>
    <mergeCell ref="E23:F23"/>
    <mergeCell ref="E24:F24"/>
    <mergeCell ref="E25:F25"/>
    <mergeCell ref="E26:F26"/>
    <mergeCell ref="E75:F75"/>
    <mergeCell ref="E76:F76"/>
    <mergeCell ref="E17:F17"/>
    <mergeCell ref="E18:F18"/>
    <mergeCell ref="E19:F19"/>
    <mergeCell ref="E20:F20"/>
    <mergeCell ref="E72:F72"/>
    <mergeCell ref="E73:F73"/>
    <mergeCell ref="E41:F41"/>
    <mergeCell ref="E42:F42"/>
    <mergeCell ref="E40:F40"/>
    <mergeCell ref="E62:F62"/>
    <mergeCell ref="E21:F21"/>
    <mergeCell ref="E74:F74"/>
    <mergeCell ref="E71:F71"/>
    <mergeCell ref="E68:F68"/>
    <mergeCell ref="E78:F78"/>
    <mergeCell ref="E79:F79"/>
    <mergeCell ref="J42:R79"/>
    <mergeCell ref="E77:F77"/>
    <mergeCell ref="E55:F55"/>
    <mergeCell ref="E51:F51"/>
    <mergeCell ref="E52:F52"/>
    <mergeCell ref="E53:F53"/>
    <mergeCell ref="E54:F54"/>
    <mergeCell ref="E43:F43"/>
    <mergeCell ref="E44:F44"/>
    <mergeCell ref="E56:F56"/>
    <mergeCell ref="E49:F49"/>
    <mergeCell ref="E50:F50"/>
    <mergeCell ref="E57:F57"/>
    <mergeCell ref="E58:F58"/>
  </mergeCells>
  <phoneticPr fontId="28" type="noConversion"/>
  <pageMargins left="0.25" right="0.25" top="0.75" bottom="0.75" header="0.3" footer="0.3"/>
  <pageSetup paperSize="9" scale="27" fitToWidth="0" orientation="landscape" r:id="rId1"/>
  <colBreaks count="1" manualBreakCount="1">
    <brk id="19" max="64" man="1"/>
  </colBreaks>
  <drawing r:id="rId2"/>
  <legacyDrawing r:id="rId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9B6F7B-5DF0-4179-ABAE-E63D83FDA982}">
  <sheetPr>
    <tabColor rgb="FF339088"/>
    <pageSetUpPr fitToPage="1"/>
  </sheetPr>
  <dimension ref="A1:P68"/>
  <sheetViews>
    <sheetView showGridLines="0" view="pageBreakPreview" zoomScale="55" zoomScaleNormal="100" zoomScaleSheetLayoutView="55" workbookViewId="0">
      <selection activeCell="A46" sqref="A46"/>
    </sheetView>
  </sheetViews>
  <sheetFormatPr defaultColWidth="9.26953125" defaultRowHeight="16.5"/>
  <cols>
    <col min="1" max="1" width="10.26953125" style="1" bestFit="1" customWidth="1"/>
    <col min="2" max="2" width="19.26953125" style="1" customWidth="1"/>
    <col min="3" max="14" width="9.26953125" style="1"/>
    <col min="15" max="33" width="12" style="1" customWidth="1"/>
    <col min="34" max="16384" width="9.26953125" style="1"/>
  </cols>
  <sheetData>
    <row r="1" spans="1:16" ht="26">
      <c r="A1" s="4" t="s">
        <v>116</v>
      </c>
    </row>
    <row r="3" spans="1:16" s="2" customFormat="1" ht="20.5">
      <c r="A3" s="181" t="s">
        <v>117</v>
      </c>
      <c r="B3" s="48"/>
    </row>
    <row r="4" spans="1:16" s="5" customFormat="1" ht="72.650000000000006" customHeight="1">
      <c r="A4" s="237" t="s">
        <v>103</v>
      </c>
      <c r="B4" s="236" t="s">
        <v>118</v>
      </c>
    </row>
    <row r="5" spans="1:16" s="2" customFormat="1" ht="22.4" customHeight="1">
      <c r="A5" s="238">
        <v>44409</v>
      </c>
      <c r="B5" s="239">
        <v>0.17300000000000004</v>
      </c>
      <c r="P5" s="57"/>
    </row>
    <row r="6" spans="1:16" s="2" customFormat="1" ht="20.5">
      <c r="A6" s="240">
        <v>44440</v>
      </c>
      <c r="B6" s="241">
        <v>0.23599999999999999</v>
      </c>
    </row>
    <row r="7" spans="1:16" s="2" customFormat="1" ht="20.5">
      <c r="A7" s="238">
        <v>44470</v>
      </c>
      <c r="B7" s="239">
        <v>0.27400000000000002</v>
      </c>
    </row>
    <row r="8" spans="1:16" s="2" customFormat="1" ht="20.5">
      <c r="A8" s="240">
        <v>44501</v>
      </c>
      <c r="B8" s="241">
        <v>0.28499999999999992</v>
      </c>
    </row>
    <row r="9" spans="1:16" s="2" customFormat="1" ht="20.5">
      <c r="A9" s="238">
        <v>44531</v>
      </c>
      <c r="B9" s="239">
        <v>0.31300000000000017</v>
      </c>
    </row>
    <row r="10" spans="1:16" s="2" customFormat="1" ht="20.5">
      <c r="A10" s="240">
        <v>44562</v>
      </c>
      <c r="B10" s="241">
        <v>0.22099999999999986</v>
      </c>
    </row>
    <row r="11" spans="1:16" s="2" customFormat="1" ht="20.5">
      <c r="A11" s="238">
        <v>44593</v>
      </c>
      <c r="B11" s="239">
        <v>0.1120000000000001</v>
      </c>
      <c r="C11" s="1"/>
      <c r="D11" s="1"/>
      <c r="E11" s="1"/>
      <c r="F11" s="1"/>
      <c r="G11" s="1"/>
      <c r="H11" s="1"/>
      <c r="I11" s="1"/>
    </row>
    <row r="12" spans="1:16" s="2" customFormat="1" ht="21" thickBot="1">
      <c r="A12" s="240">
        <v>44621</v>
      </c>
      <c r="B12" s="241">
        <v>0.27499999999999991</v>
      </c>
      <c r="C12" s="1"/>
      <c r="D12" s="1"/>
      <c r="E12" s="1"/>
      <c r="F12" s="1"/>
      <c r="G12" s="1"/>
      <c r="H12" s="1"/>
      <c r="I12" s="1"/>
    </row>
    <row r="13" spans="1:16" s="2" customFormat="1" ht="20.5">
      <c r="A13" s="238">
        <v>44652</v>
      </c>
      <c r="B13" s="239">
        <v>0.29000000000000004</v>
      </c>
      <c r="C13" s="1"/>
      <c r="D13" s="1106" t="s">
        <v>119</v>
      </c>
      <c r="E13" s="1107"/>
      <c r="F13" s="1107"/>
      <c r="G13" s="1107"/>
      <c r="H13" s="1107"/>
      <c r="I13" s="1107"/>
      <c r="J13" s="1107"/>
      <c r="K13" s="1107"/>
      <c r="L13" s="1107"/>
      <c r="M13" s="1108"/>
    </row>
    <row r="14" spans="1:16" s="2" customFormat="1" ht="20.5">
      <c r="A14" s="240">
        <v>44682</v>
      </c>
      <c r="B14" s="241">
        <v>0.36499999999999999</v>
      </c>
      <c r="C14" s="1"/>
      <c r="D14" s="1109"/>
      <c r="E14" s="1110"/>
      <c r="F14" s="1110"/>
      <c r="G14" s="1110"/>
      <c r="H14" s="1110"/>
      <c r="I14" s="1110"/>
      <c r="J14" s="1110"/>
      <c r="K14" s="1110"/>
      <c r="L14" s="1110"/>
      <c r="M14" s="1111"/>
    </row>
    <row r="15" spans="1:16" s="2" customFormat="1" ht="20.5">
      <c r="A15" s="238">
        <v>44713</v>
      </c>
      <c r="B15" s="239">
        <v>0.32000000000000006</v>
      </c>
      <c r="C15" s="1"/>
      <c r="D15" s="1109"/>
      <c r="E15" s="1110"/>
      <c r="F15" s="1110"/>
      <c r="G15" s="1110"/>
      <c r="H15" s="1110"/>
      <c r="I15" s="1110"/>
      <c r="J15" s="1110"/>
      <c r="K15" s="1110"/>
      <c r="L15" s="1110"/>
      <c r="M15" s="1111"/>
    </row>
    <row r="16" spans="1:16" s="2" customFormat="1" ht="20.5">
      <c r="A16" s="240">
        <v>44743</v>
      </c>
      <c r="B16" s="241">
        <v>0.34699999999999998</v>
      </c>
      <c r="C16" s="1"/>
      <c r="D16" s="1109"/>
      <c r="E16" s="1110"/>
      <c r="F16" s="1110"/>
      <c r="G16" s="1110"/>
      <c r="H16" s="1110"/>
      <c r="I16" s="1110"/>
      <c r="J16" s="1110"/>
      <c r="K16" s="1110"/>
      <c r="L16" s="1110"/>
      <c r="M16" s="1111"/>
    </row>
    <row r="17" spans="1:14" s="2" customFormat="1" ht="20.5">
      <c r="A17" s="238">
        <v>44774</v>
      </c>
      <c r="B17" s="239">
        <v>0.34599999999999997</v>
      </c>
      <c r="C17" s="1"/>
      <c r="D17" s="1109"/>
      <c r="E17" s="1110"/>
      <c r="F17" s="1110"/>
      <c r="G17" s="1110"/>
      <c r="H17" s="1110"/>
      <c r="I17" s="1110"/>
      <c r="J17" s="1110"/>
      <c r="K17" s="1110"/>
      <c r="L17" s="1110"/>
      <c r="M17" s="1111"/>
    </row>
    <row r="18" spans="1:14" s="2" customFormat="1" ht="20.5">
      <c r="A18" s="240">
        <v>44805</v>
      </c>
      <c r="B18" s="241">
        <v>0.35000000000000009</v>
      </c>
      <c r="C18" s="1"/>
      <c r="D18" s="1109"/>
      <c r="E18" s="1110"/>
      <c r="F18" s="1110"/>
      <c r="G18" s="1110"/>
      <c r="H18" s="1110"/>
      <c r="I18" s="1110"/>
      <c r="J18" s="1110"/>
      <c r="K18" s="1110"/>
      <c r="L18" s="1110"/>
      <c r="M18" s="1111"/>
    </row>
    <row r="19" spans="1:14" ht="20.5">
      <c r="A19" s="238">
        <v>44835</v>
      </c>
      <c r="B19" s="239">
        <v>0.38400000000000012</v>
      </c>
      <c r="D19" s="1109"/>
      <c r="E19" s="1110"/>
      <c r="F19" s="1110"/>
      <c r="G19" s="1110"/>
      <c r="H19" s="1110"/>
      <c r="I19" s="1110"/>
      <c r="J19" s="1110"/>
      <c r="K19" s="1110"/>
      <c r="L19" s="1110"/>
      <c r="M19" s="1111"/>
    </row>
    <row r="20" spans="1:14" ht="20.5">
      <c r="A20" s="240">
        <v>44866</v>
      </c>
      <c r="B20" s="241">
        <v>0.35599999999999987</v>
      </c>
      <c r="D20" s="1109"/>
      <c r="E20" s="1110"/>
      <c r="F20" s="1110"/>
      <c r="G20" s="1110"/>
      <c r="H20" s="1110"/>
      <c r="I20" s="1110"/>
      <c r="J20" s="1110"/>
      <c r="K20" s="1110"/>
      <c r="L20" s="1110"/>
      <c r="M20" s="1111"/>
    </row>
    <row r="21" spans="1:14" ht="20.5">
      <c r="A21" s="238">
        <v>44896</v>
      </c>
      <c r="B21" s="239">
        <v>0.39599999999999985</v>
      </c>
      <c r="D21" s="1109"/>
      <c r="E21" s="1110"/>
      <c r="F21" s="1110"/>
      <c r="G21" s="1110"/>
      <c r="H21" s="1110"/>
      <c r="I21" s="1110"/>
      <c r="J21" s="1110"/>
      <c r="K21" s="1110"/>
      <c r="L21" s="1110"/>
      <c r="M21" s="1111"/>
    </row>
    <row r="22" spans="1:14" ht="20.5">
      <c r="A22" s="240">
        <v>44927</v>
      </c>
      <c r="B22" s="242">
        <v>0.33099999999999991</v>
      </c>
      <c r="D22" s="1109"/>
      <c r="E22" s="1110"/>
      <c r="F22" s="1110"/>
      <c r="G22" s="1110"/>
      <c r="H22" s="1110"/>
      <c r="I22" s="1110"/>
      <c r="J22" s="1110"/>
      <c r="K22" s="1110"/>
      <c r="L22" s="1110"/>
      <c r="M22" s="1111"/>
    </row>
    <row r="23" spans="1:14" ht="20.5">
      <c r="A23" s="238">
        <v>44958</v>
      </c>
      <c r="B23" s="239">
        <v>0.32555673382820793</v>
      </c>
      <c r="D23" s="1109"/>
      <c r="E23" s="1110"/>
      <c r="F23" s="1110"/>
      <c r="G23" s="1110"/>
      <c r="H23" s="1110"/>
      <c r="I23" s="1110"/>
      <c r="J23" s="1110"/>
      <c r="K23" s="1110"/>
      <c r="L23" s="1110"/>
      <c r="M23" s="1111"/>
    </row>
    <row r="24" spans="1:14" ht="20.5">
      <c r="A24" s="240">
        <v>44986</v>
      </c>
      <c r="B24" s="241">
        <v>0.21900000000000008</v>
      </c>
      <c r="D24" s="1109"/>
      <c r="E24" s="1110"/>
      <c r="F24" s="1110"/>
      <c r="G24" s="1110"/>
      <c r="H24" s="1110"/>
      <c r="I24" s="1110"/>
      <c r="J24" s="1110"/>
      <c r="K24" s="1110"/>
      <c r="L24" s="1110"/>
      <c r="M24" s="1111"/>
    </row>
    <row r="25" spans="1:14" ht="23">
      <c r="A25" s="238">
        <v>45017</v>
      </c>
      <c r="B25" s="239">
        <v>0.18300000000000005</v>
      </c>
      <c r="D25" s="1109"/>
      <c r="E25" s="1110"/>
      <c r="F25" s="1110"/>
      <c r="G25" s="1110"/>
      <c r="H25" s="1110"/>
      <c r="I25" s="1110"/>
      <c r="J25" s="1110"/>
      <c r="K25" s="1110"/>
      <c r="L25" s="1110"/>
      <c r="M25" s="1111"/>
      <c r="N25" s="42"/>
    </row>
    <row r="26" spans="1:14" ht="23">
      <c r="A26" s="240">
        <v>45047</v>
      </c>
      <c r="B26" s="241">
        <v>0.22900000000000009</v>
      </c>
      <c r="D26" s="1109"/>
      <c r="E26" s="1110"/>
      <c r="F26" s="1110"/>
      <c r="G26" s="1110"/>
      <c r="H26" s="1110"/>
      <c r="I26" s="1110"/>
      <c r="J26" s="1110"/>
      <c r="K26" s="1110"/>
      <c r="L26" s="1110"/>
      <c r="M26" s="1111"/>
      <c r="N26" s="42"/>
    </row>
    <row r="27" spans="1:14" ht="23">
      <c r="A27" s="238">
        <v>45078</v>
      </c>
      <c r="B27" s="239">
        <v>0.18500000000000005</v>
      </c>
      <c r="D27" s="1109"/>
      <c r="E27" s="1110"/>
      <c r="F27" s="1110"/>
      <c r="G27" s="1110"/>
      <c r="H27" s="1110"/>
      <c r="I27" s="1110"/>
      <c r="J27" s="1110"/>
      <c r="K27" s="1110"/>
      <c r="L27" s="1110"/>
      <c r="M27" s="1111"/>
      <c r="N27" s="42"/>
    </row>
    <row r="28" spans="1:14" ht="23">
      <c r="A28" s="243">
        <v>45108</v>
      </c>
      <c r="B28" s="244">
        <v>0.16900000000000004</v>
      </c>
      <c r="D28" s="1109"/>
      <c r="E28" s="1110"/>
      <c r="F28" s="1110"/>
      <c r="G28" s="1110"/>
      <c r="H28" s="1110"/>
      <c r="I28" s="1110"/>
      <c r="J28" s="1110"/>
      <c r="K28" s="1110"/>
      <c r="L28" s="1110"/>
      <c r="M28" s="1111"/>
      <c r="N28" s="42"/>
    </row>
    <row r="29" spans="1:14" ht="23">
      <c r="A29" s="245">
        <v>45139</v>
      </c>
      <c r="B29" s="246">
        <v>0.17100000000000004</v>
      </c>
      <c r="D29" s="1109"/>
      <c r="E29" s="1110"/>
      <c r="F29" s="1110"/>
      <c r="G29" s="1110"/>
      <c r="H29" s="1110"/>
      <c r="I29" s="1110"/>
      <c r="J29" s="1110"/>
      <c r="K29" s="1110"/>
      <c r="L29" s="1110"/>
      <c r="M29" s="1111"/>
      <c r="N29" s="42"/>
    </row>
    <row r="30" spans="1:14" ht="23">
      <c r="A30" s="243">
        <v>45170</v>
      </c>
      <c r="B30" s="247">
        <v>0.21300000000000008</v>
      </c>
      <c r="D30" s="1109"/>
      <c r="E30" s="1110"/>
      <c r="F30" s="1110"/>
      <c r="G30" s="1110"/>
      <c r="H30" s="1110"/>
      <c r="I30" s="1110"/>
      <c r="J30" s="1110"/>
      <c r="K30" s="1110"/>
      <c r="L30" s="1110"/>
      <c r="M30" s="1111"/>
      <c r="N30" s="42"/>
    </row>
    <row r="31" spans="1:14" ht="23">
      <c r="A31" s="245">
        <v>45200</v>
      </c>
      <c r="B31" s="246">
        <v>0.21099999999999985</v>
      </c>
      <c r="D31" s="1109"/>
      <c r="E31" s="1110"/>
      <c r="F31" s="1110"/>
      <c r="G31" s="1110"/>
      <c r="H31" s="1110"/>
      <c r="I31" s="1110"/>
      <c r="J31" s="1110"/>
      <c r="K31" s="1110"/>
      <c r="L31" s="1110"/>
      <c r="M31" s="1111"/>
      <c r="N31" s="42"/>
    </row>
    <row r="32" spans="1:14" ht="20.5">
      <c r="A32" s="243">
        <v>45231</v>
      </c>
      <c r="B32" s="247">
        <v>0.22099999999999986</v>
      </c>
      <c r="D32" s="1109"/>
      <c r="E32" s="1110"/>
      <c r="F32" s="1110"/>
      <c r="G32" s="1110"/>
      <c r="H32" s="1110"/>
      <c r="I32" s="1110"/>
      <c r="J32" s="1110"/>
      <c r="K32" s="1110"/>
      <c r="L32" s="1110"/>
      <c r="M32" s="1111"/>
    </row>
    <row r="33" spans="1:13" ht="20.5">
      <c r="A33" s="245">
        <v>45261</v>
      </c>
      <c r="B33" s="246">
        <v>0.2629999999999999</v>
      </c>
      <c r="D33" s="1109"/>
      <c r="E33" s="1110"/>
      <c r="F33" s="1110"/>
      <c r="G33" s="1110"/>
      <c r="H33" s="1110"/>
      <c r="I33" s="1110"/>
      <c r="J33" s="1110"/>
      <c r="K33" s="1110"/>
      <c r="L33" s="1110"/>
      <c r="M33" s="1111"/>
    </row>
    <row r="34" spans="1:13" ht="20.5">
      <c r="A34" s="243">
        <v>45292</v>
      </c>
      <c r="B34" s="247">
        <v>0.16799999999999993</v>
      </c>
      <c r="D34" s="1109"/>
      <c r="E34" s="1110"/>
      <c r="F34" s="1110"/>
      <c r="G34" s="1110"/>
      <c r="H34" s="1110"/>
      <c r="I34" s="1110"/>
      <c r="J34" s="1110"/>
      <c r="K34" s="1110"/>
      <c r="L34" s="1110"/>
      <c r="M34" s="1111"/>
    </row>
    <row r="35" spans="1:13" ht="20.5">
      <c r="A35" s="245">
        <v>45323</v>
      </c>
      <c r="B35" s="246">
        <v>0.123</v>
      </c>
      <c r="D35" s="1109"/>
      <c r="E35" s="1110"/>
      <c r="F35" s="1110"/>
      <c r="G35" s="1110"/>
      <c r="H35" s="1110"/>
      <c r="I35" s="1110"/>
      <c r="J35" s="1110"/>
      <c r="K35" s="1110"/>
      <c r="L35" s="1110"/>
      <c r="M35" s="1111"/>
    </row>
    <row r="36" spans="1:13" ht="20.5">
      <c r="A36" s="243">
        <v>45352</v>
      </c>
      <c r="B36" s="247">
        <v>0.21999999999999997</v>
      </c>
      <c r="D36" s="1109"/>
      <c r="E36" s="1110"/>
      <c r="F36" s="1110"/>
      <c r="G36" s="1110"/>
      <c r="H36" s="1110"/>
      <c r="I36" s="1110"/>
      <c r="J36" s="1110"/>
      <c r="K36" s="1110"/>
      <c r="L36" s="1110"/>
      <c r="M36" s="1111"/>
    </row>
    <row r="37" spans="1:13" ht="20.5">
      <c r="A37" s="245">
        <v>45383</v>
      </c>
      <c r="B37" s="246">
        <v>0.18900000000000006</v>
      </c>
      <c r="D37" s="1109"/>
      <c r="E37" s="1110"/>
      <c r="F37" s="1110"/>
      <c r="G37" s="1110"/>
      <c r="H37" s="1110"/>
      <c r="I37" s="1110"/>
      <c r="J37" s="1110"/>
      <c r="K37" s="1110"/>
      <c r="L37" s="1110"/>
      <c r="M37" s="1111"/>
    </row>
    <row r="38" spans="1:13" ht="20.5">
      <c r="A38" s="243">
        <v>45413</v>
      </c>
      <c r="B38" s="247">
        <v>0.23399999999999999</v>
      </c>
      <c r="D38" s="1109"/>
      <c r="E38" s="1110"/>
      <c r="F38" s="1110"/>
      <c r="G38" s="1110"/>
      <c r="H38" s="1110"/>
      <c r="I38" s="1110"/>
      <c r="J38" s="1110"/>
      <c r="K38" s="1110"/>
      <c r="L38" s="1110"/>
      <c r="M38" s="1111"/>
    </row>
    <row r="39" spans="1:13" ht="20.5">
      <c r="A39" s="245">
        <v>45444</v>
      </c>
      <c r="B39" s="246">
        <v>0.18599999999999994</v>
      </c>
      <c r="D39" s="1109"/>
      <c r="E39" s="1110"/>
      <c r="F39" s="1110"/>
      <c r="G39" s="1110"/>
      <c r="H39" s="1110"/>
      <c r="I39" s="1110"/>
      <c r="J39" s="1110"/>
      <c r="K39" s="1110"/>
      <c r="L39" s="1110"/>
      <c r="M39" s="1111"/>
    </row>
    <row r="40" spans="1:13" ht="21" customHeight="1" thickBot="1">
      <c r="A40" s="243">
        <v>45474</v>
      </c>
      <c r="B40" s="247">
        <v>0.18100000000000005</v>
      </c>
      <c r="D40" s="1112"/>
      <c r="E40" s="1113"/>
      <c r="F40" s="1113"/>
      <c r="G40" s="1113"/>
      <c r="H40" s="1113"/>
      <c r="I40" s="1113"/>
      <c r="J40" s="1113"/>
      <c r="K40" s="1113"/>
      <c r="L40" s="1113"/>
      <c r="M40" s="1114"/>
    </row>
    <row r="41" spans="1:13" ht="21" customHeight="1">
      <c r="A41" s="245">
        <v>45505</v>
      </c>
      <c r="B41" s="246">
        <v>0.18500000000000005</v>
      </c>
    </row>
    <row r="42" spans="1:13" ht="21" customHeight="1">
      <c r="A42" s="243">
        <v>45536</v>
      </c>
      <c r="B42" s="247">
        <v>0.20599999999999996</v>
      </c>
    </row>
    <row r="43" spans="1:13" ht="21" customHeight="1">
      <c r="A43" s="245">
        <v>45566</v>
      </c>
      <c r="B43" s="246">
        <v>0.20799999999999996</v>
      </c>
    </row>
    <row r="44" spans="1:13" ht="21" customHeight="1">
      <c r="A44" s="243">
        <v>45597</v>
      </c>
      <c r="B44" s="247">
        <v>0.22299999999999986</v>
      </c>
    </row>
    <row r="45" spans="1:13" ht="21" customHeight="1">
      <c r="A45" s="245">
        <v>45627</v>
      </c>
      <c r="B45" s="246">
        <v>0.23799999999999999</v>
      </c>
    </row>
    <row r="46" spans="1:13" ht="21" customHeight="1">
      <c r="A46" s="880">
        <v>45658</v>
      </c>
      <c r="B46" s="244">
        <v>0.253</v>
      </c>
    </row>
    <row r="47" spans="1:13" ht="21" customHeight="1">
      <c r="A47" s="245">
        <v>45689</v>
      </c>
      <c r="B47" s="246">
        <f>B46+'[22]Macro_Key Financials'!$DU$794</f>
        <v>0.27242567567567566</v>
      </c>
    </row>
    <row r="48" spans="1:13" ht="21" customHeight="1">
      <c r="A48" s="880">
        <v>45717</v>
      </c>
      <c r="B48" s="244">
        <f>B47+'[22]Macro_Key Financials'!$DU$794</f>
        <v>0.29185135135135132</v>
      </c>
    </row>
    <row r="49" spans="1:14" ht="21" customHeight="1">
      <c r="A49" s="245">
        <v>45748</v>
      </c>
      <c r="B49" s="246">
        <f>B48+'[22]Macro_Key Financials'!$DV$794</f>
        <v>0.30225898361501147</v>
      </c>
    </row>
    <row r="50" spans="1:14" ht="21" customHeight="1">
      <c r="A50" s="880">
        <v>45778</v>
      </c>
      <c r="B50" s="244">
        <f>B49+'[22]Macro_Key Financials'!$DW$794</f>
        <v>0.30893121047072458</v>
      </c>
    </row>
    <row r="51" spans="1:14" ht="21" customHeight="1">
      <c r="A51" s="245">
        <v>45809</v>
      </c>
      <c r="B51" s="246">
        <f>B50+'[22]Macro_Key Financials'!$DX$794</f>
        <v>0.3245833843837681</v>
      </c>
    </row>
    <row r="52" spans="1:14" ht="21" customHeight="1">
      <c r="A52" s="880">
        <v>45839</v>
      </c>
      <c r="B52" s="244">
        <f>B51+'[22]Macro_Key Financials'!$DY$794</f>
        <v>0.36465307079491793</v>
      </c>
    </row>
    <row r="53" spans="1:14" ht="21" customHeight="1">
      <c r="A53" s="245">
        <v>45870</v>
      </c>
      <c r="B53" s="246">
        <f>B52+'[22]Macro_Key Financials'!$DZ$794</f>
        <v>0.37951321065505772</v>
      </c>
    </row>
    <row r="54" spans="1:14" ht="21" customHeight="1">
      <c r="A54" s="880">
        <v>45901</v>
      </c>
      <c r="B54" s="244">
        <f>B53+'[22]Macro_Key Financials'!$EA$794</f>
        <v>0.4205861360532136</v>
      </c>
    </row>
    <row r="55" spans="1:14" ht="21" customHeight="1">
      <c r="A55" s="245">
        <v>45931</v>
      </c>
      <c r="B55" s="246">
        <f>B54+'[22]Macro_Key Financials'!$EB$794</f>
        <v>0.44585993554773762</v>
      </c>
    </row>
    <row r="56" spans="1:14" ht="18">
      <c r="A56" s="248" t="s">
        <v>115</v>
      </c>
    </row>
    <row r="64" spans="1:14">
      <c r="D64" s="1130"/>
      <c r="E64" s="1130"/>
      <c r="F64" s="1130"/>
      <c r="G64" s="1130"/>
      <c r="H64" s="1130"/>
      <c r="I64" s="1130"/>
      <c r="J64" s="1130"/>
      <c r="K64" s="1130"/>
      <c r="L64" s="1130"/>
      <c r="M64" s="1130"/>
      <c r="N64" s="1130"/>
    </row>
    <row r="65" spans="4:14">
      <c r="D65" s="1130"/>
      <c r="E65" s="1130"/>
      <c r="F65" s="1130"/>
      <c r="G65" s="1130"/>
      <c r="H65" s="1130"/>
      <c r="I65" s="1130"/>
      <c r="J65" s="1130"/>
      <c r="K65" s="1130"/>
      <c r="L65" s="1130"/>
      <c r="M65" s="1130"/>
      <c r="N65" s="1130"/>
    </row>
    <row r="66" spans="4:14">
      <c r="D66" s="1130"/>
      <c r="E66" s="1130"/>
      <c r="F66" s="1130"/>
      <c r="G66" s="1130"/>
      <c r="H66" s="1130"/>
      <c r="I66" s="1130"/>
      <c r="J66" s="1130"/>
      <c r="K66" s="1130"/>
      <c r="L66" s="1130"/>
      <c r="M66" s="1130"/>
      <c r="N66" s="1130"/>
    </row>
    <row r="67" spans="4:14">
      <c r="D67" s="1130"/>
      <c r="E67" s="1130"/>
      <c r="F67" s="1130"/>
      <c r="G67" s="1130"/>
      <c r="H67" s="1130"/>
      <c r="I67" s="1130"/>
      <c r="J67" s="1130"/>
      <c r="K67" s="1130"/>
      <c r="L67" s="1130"/>
      <c r="M67" s="1130"/>
      <c r="N67" s="1130"/>
    </row>
    <row r="68" spans="4:14">
      <c r="D68" s="1130"/>
      <c r="E68" s="1130"/>
      <c r="F68" s="1130"/>
      <c r="G68" s="1130"/>
      <c r="H68" s="1130"/>
      <c r="I68" s="1130"/>
      <c r="J68" s="1130"/>
      <c r="K68" s="1130"/>
      <c r="L68" s="1130"/>
      <c r="M68" s="1130"/>
      <c r="N68" s="1130"/>
    </row>
  </sheetData>
  <mergeCells count="2">
    <mergeCell ref="D64:N68"/>
    <mergeCell ref="D13:M40"/>
  </mergeCells>
  <phoneticPr fontId="28" type="noConversion"/>
  <pageMargins left="0.25" right="0.25" top="0.75" bottom="0.75" header="0.3" footer="0.3"/>
  <pageSetup paperSize="9" scale="39" fitToWidth="0" orientation="landscape" r:id="rId1"/>
  <colBreaks count="1" manualBreakCount="1">
    <brk id="14" max="47" man="1"/>
  </colBreaks>
  <drawing r:id="rId2"/>
  <legacyDrawing r:id="rId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003F43-25CD-4FD5-B573-312C6878388B}">
  <sheetPr>
    <tabColor rgb="FF339088"/>
    <pageSetUpPr fitToPage="1"/>
  </sheetPr>
  <dimension ref="A1:P31"/>
  <sheetViews>
    <sheetView showGridLines="0" view="pageBreakPreview" zoomScaleNormal="100" zoomScaleSheetLayoutView="100" workbookViewId="0">
      <selection activeCell="E4" sqref="E4:K30"/>
    </sheetView>
  </sheetViews>
  <sheetFormatPr defaultColWidth="9.26953125" defaultRowHeight="16.5" customHeight="1"/>
  <cols>
    <col min="1" max="1" width="19.26953125" style="1" customWidth="1"/>
    <col min="2" max="2" width="23.26953125" style="1" customWidth="1"/>
    <col min="3" max="3" width="11.26953125" style="1" customWidth="1"/>
    <col min="4" max="4" width="5.26953125" style="43" customWidth="1"/>
    <col min="5" max="9" width="16.453125" style="1" customWidth="1"/>
    <col min="10" max="10" width="14" style="1" customWidth="1"/>
    <col min="11" max="11" width="16.453125" style="1" customWidth="1"/>
    <col min="12" max="12" width="3.453125" style="1" customWidth="1"/>
    <col min="13" max="26" width="9.26953125" style="1"/>
    <col min="27" max="27" width="2.81640625" style="1" customWidth="1"/>
    <col min="28" max="16384" width="9.26953125" style="1"/>
  </cols>
  <sheetData>
    <row r="1" spans="1:16" ht="25.5" customHeight="1">
      <c r="A1" s="4" t="s">
        <v>120</v>
      </c>
    </row>
    <row r="3" spans="1:16" s="2" customFormat="1" ht="21" customHeight="1" thickBot="1">
      <c r="A3" s="181" t="s">
        <v>121</v>
      </c>
      <c r="B3" s="48"/>
      <c r="C3" s="48"/>
      <c r="D3" s="109"/>
    </row>
    <row r="4" spans="1:16" s="5" customFormat="1" ht="16.5" customHeight="1">
      <c r="A4" s="237" t="s">
        <v>89</v>
      </c>
      <c r="B4" s="236" t="s">
        <v>83</v>
      </c>
      <c r="C4" s="210" t="s">
        <v>122</v>
      </c>
      <c r="D4" s="110"/>
      <c r="E4" s="1131" t="s">
        <v>123</v>
      </c>
      <c r="F4" s="1132"/>
      <c r="G4" s="1132"/>
      <c r="H4" s="1132"/>
      <c r="I4" s="1132"/>
      <c r="J4" s="1132"/>
      <c r="K4" s="1133"/>
    </row>
    <row r="5" spans="1:16" s="2" customFormat="1" ht="20.149999999999999" hidden="1" customHeight="1">
      <c r="A5" s="208">
        <v>2006</v>
      </c>
      <c r="B5" s="626">
        <v>3.5000000000000003E-2</v>
      </c>
      <c r="C5" s="431"/>
      <c r="D5" s="111"/>
      <c r="E5" s="1134"/>
      <c r="F5" s="1135"/>
      <c r="G5" s="1135"/>
      <c r="H5" s="1135"/>
      <c r="I5" s="1135"/>
      <c r="J5" s="1135"/>
      <c r="K5" s="1136"/>
      <c r="P5" s="57"/>
    </row>
    <row r="6" spans="1:16" s="2" customFormat="1" ht="20.149999999999999" hidden="1" customHeight="1">
      <c r="A6" s="432">
        <v>2007</v>
      </c>
      <c r="B6" s="627">
        <v>3.2000000000000001E-2</v>
      </c>
      <c r="C6" s="433">
        <f t="shared" ref="C6:C23" si="0">B6-B5</f>
        <v>-3.0000000000000027E-3</v>
      </c>
      <c r="D6" s="111"/>
      <c r="E6" s="1134"/>
      <c r="F6" s="1135"/>
      <c r="G6" s="1135"/>
      <c r="H6" s="1135"/>
      <c r="I6" s="1135"/>
      <c r="J6" s="1135"/>
      <c r="K6" s="1136"/>
    </row>
    <row r="7" spans="1:16" s="2" customFormat="1" ht="20.149999999999999" hidden="1" customHeight="1">
      <c r="A7" s="208">
        <v>2008</v>
      </c>
      <c r="B7" s="626">
        <v>3.2000000000000001E-2</v>
      </c>
      <c r="C7" s="431">
        <f t="shared" si="0"/>
        <v>0</v>
      </c>
      <c r="D7" s="111"/>
      <c r="E7" s="1134"/>
      <c r="F7" s="1135"/>
      <c r="G7" s="1135"/>
      <c r="H7" s="1135"/>
      <c r="I7" s="1135"/>
      <c r="J7" s="1135"/>
      <c r="K7" s="1136"/>
    </row>
    <row r="8" spans="1:16" s="2" customFormat="1" ht="20.149999999999999" hidden="1" customHeight="1">
      <c r="A8" s="432">
        <v>2009</v>
      </c>
      <c r="B8" s="627">
        <v>3.6000000000000004E-2</v>
      </c>
      <c r="C8" s="433">
        <f t="shared" si="0"/>
        <v>4.0000000000000036E-3</v>
      </c>
      <c r="D8" s="111"/>
      <c r="E8" s="1134"/>
      <c r="F8" s="1135"/>
      <c r="G8" s="1135"/>
      <c r="H8" s="1135"/>
      <c r="I8" s="1135"/>
      <c r="J8" s="1135"/>
      <c r="K8" s="1136"/>
    </row>
    <row r="9" spans="1:16" s="2" customFormat="1" ht="20.149999999999999" hidden="1" customHeight="1">
      <c r="A9" s="208">
        <v>2010</v>
      </c>
      <c r="B9" s="626">
        <v>3.7000000000000005E-2</v>
      </c>
      <c r="C9" s="431">
        <f t="shared" si="0"/>
        <v>1.0000000000000009E-3</v>
      </c>
      <c r="D9" s="111"/>
      <c r="E9" s="1134"/>
      <c r="F9" s="1135"/>
      <c r="G9" s="1135"/>
      <c r="H9" s="1135"/>
      <c r="I9" s="1135"/>
      <c r="J9" s="1135"/>
      <c r="K9" s="1136"/>
    </row>
    <row r="10" spans="1:16" s="2" customFormat="1" ht="20.149999999999999" hidden="1" customHeight="1">
      <c r="A10" s="432">
        <v>2011</v>
      </c>
      <c r="B10" s="627">
        <v>3.4000000000000002E-2</v>
      </c>
      <c r="C10" s="433">
        <f t="shared" si="0"/>
        <v>-3.0000000000000027E-3</v>
      </c>
      <c r="D10" s="111"/>
      <c r="E10" s="1134"/>
      <c r="F10" s="1135"/>
      <c r="G10" s="1135"/>
      <c r="H10" s="1135"/>
      <c r="I10" s="1135"/>
      <c r="J10" s="1135"/>
      <c r="K10" s="1136"/>
    </row>
    <row r="11" spans="1:16" s="2" customFormat="1" ht="20.149999999999999" hidden="1" customHeight="1">
      <c r="A11" s="208">
        <v>2012</v>
      </c>
      <c r="B11" s="626">
        <v>3.2000000000000001E-2</v>
      </c>
      <c r="C11" s="431">
        <f t="shared" si="0"/>
        <v>-2.0000000000000018E-3</v>
      </c>
      <c r="D11" s="111"/>
      <c r="E11" s="1134"/>
      <c r="F11" s="1135"/>
      <c r="G11" s="1135"/>
      <c r="H11" s="1135"/>
      <c r="I11" s="1135"/>
      <c r="J11" s="1135"/>
      <c r="K11" s="1136"/>
    </row>
    <row r="12" spans="1:16" s="2" customFormat="1" ht="20.149999999999999" hidden="1" customHeight="1">
      <c r="A12" s="432">
        <v>2013</v>
      </c>
      <c r="B12" s="627">
        <v>3.1E-2</v>
      </c>
      <c r="C12" s="433">
        <f t="shared" si="0"/>
        <v>-1.0000000000000009E-3</v>
      </c>
      <c r="D12" s="111"/>
      <c r="E12" s="1134"/>
      <c r="F12" s="1135"/>
      <c r="G12" s="1135"/>
      <c r="H12" s="1135"/>
      <c r="I12" s="1135"/>
      <c r="J12" s="1135"/>
      <c r="K12" s="1136"/>
    </row>
    <row r="13" spans="1:16" s="2" customFormat="1" ht="20.149999999999999" hidden="1" customHeight="1" thickBot="1">
      <c r="A13" s="208">
        <v>2014</v>
      </c>
      <c r="B13" s="626">
        <v>3.5000000000000003E-2</v>
      </c>
      <c r="C13" s="431">
        <f t="shared" si="0"/>
        <v>4.0000000000000036E-3</v>
      </c>
      <c r="D13" s="111"/>
      <c r="E13" s="1134"/>
      <c r="F13" s="1135"/>
      <c r="G13" s="1135"/>
      <c r="H13" s="1135"/>
      <c r="I13" s="1135"/>
      <c r="J13" s="1135"/>
      <c r="K13" s="1136"/>
    </row>
    <row r="14" spans="1:16" s="2" customFormat="1" ht="20.149999999999999" hidden="1" customHeight="1">
      <c r="A14" s="432">
        <v>2015</v>
      </c>
      <c r="B14" s="627">
        <v>3.6000000000000004E-2</v>
      </c>
      <c r="C14" s="433">
        <f t="shared" si="0"/>
        <v>1.0000000000000009E-3</v>
      </c>
      <c r="D14" s="111"/>
      <c r="E14" s="1134"/>
      <c r="F14" s="1135"/>
      <c r="G14" s="1135"/>
      <c r="H14" s="1135"/>
      <c r="I14" s="1135"/>
      <c r="J14" s="1135"/>
      <c r="K14" s="1136"/>
      <c r="L14" s="851"/>
    </row>
    <row r="15" spans="1:16" s="2" customFormat="1" ht="20.149999999999999" hidden="1" customHeight="1">
      <c r="A15" s="208">
        <v>2016</v>
      </c>
      <c r="B15" s="626">
        <v>3.7000000000000005E-2</v>
      </c>
      <c r="C15" s="431">
        <f t="shared" si="0"/>
        <v>1.0000000000000009E-3</v>
      </c>
      <c r="D15" s="111"/>
      <c r="E15" s="1134"/>
      <c r="F15" s="1135"/>
      <c r="G15" s="1135"/>
      <c r="H15" s="1135"/>
      <c r="I15" s="1135"/>
      <c r="J15" s="1135"/>
      <c r="K15" s="1136"/>
      <c r="L15" s="853"/>
    </row>
    <row r="16" spans="1:16" s="2" customFormat="1" ht="20.149999999999999" hidden="1" customHeight="1">
      <c r="A16" s="432">
        <v>2017</v>
      </c>
      <c r="B16" s="627">
        <v>3.7000000000000005E-2</v>
      </c>
      <c r="C16" s="433">
        <f t="shared" si="0"/>
        <v>0</v>
      </c>
      <c r="D16" s="111"/>
      <c r="E16" s="1134"/>
      <c r="F16" s="1135"/>
      <c r="G16" s="1135"/>
      <c r="H16" s="1135"/>
      <c r="I16" s="1135"/>
      <c r="J16" s="1135"/>
      <c r="K16" s="1136"/>
      <c r="L16" s="853"/>
    </row>
    <row r="17" spans="1:12" s="2" customFormat="1" ht="20.149999999999999" hidden="1" customHeight="1">
      <c r="A17" s="208">
        <v>2018</v>
      </c>
      <c r="B17" s="626">
        <v>3.7999999999999999E-2</v>
      </c>
      <c r="C17" s="431">
        <f t="shared" si="0"/>
        <v>9.9999999999999395E-4</v>
      </c>
      <c r="D17" s="111"/>
      <c r="E17" s="1134"/>
      <c r="F17" s="1135"/>
      <c r="G17" s="1135"/>
      <c r="H17" s="1135"/>
      <c r="I17" s="1135"/>
      <c r="J17" s="1135"/>
      <c r="K17" s="1136"/>
      <c r="L17" s="853"/>
    </row>
    <row r="18" spans="1:12" s="2" customFormat="1" ht="20.149999999999999" customHeight="1">
      <c r="A18" s="432">
        <v>2019</v>
      </c>
      <c r="B18" s="627">
        <v>3.7999999999999999E-2</v>
      </c>
      <c r="C18" s="433">
        <f t="shared" si="0"/>
        <v>0</v>
      </c>
      <c r="D18" s="111"/>
      <c r="E18" s="1134"/>
      <c r="F18" s="1135"/>
      <c r="G18" s="1135"/>
      <c r="H18" s="1135"/>
      <c r="I18" s="1135"/>
      <c r="J18" s="1135"/>
      <c r="K18" s="1136"/>
      <c r="L18" s="852"/>
    </row>
    <row r="19" spans="1:12" ht="20.149999999999999" customHeight="1">
      <c r="A19" s="208">
        <v>2020</v>
      </c>
      <c r="B19" s="626">
        <v>0.04</v>
      </c>
      <c r="C19" s="431">
        <f t="shared" si="0"/>
        <v>2.0000000000000018E-3</v>
      </c>
      <c r="D19" s="111"/>
      <c r="E19" s="1134"/>
      <c r="F19" s="1135"/>
      <c r="G19" s="1135"/>
      <c r="H19" s="1135"/>
      <c r="I19" s="1135"/>
      <c r="J19" s="1135"/>
      <c r="K19" s="1136"/>
      <c r="L19" s="852"/>
    </row>
    <row r="20" spans="1:12" ht="20.149999999999999" customHeight="1">
      <c r="A20" s="432">
        <v>2021</v>
      </c>
      <c r="B20" s="627">
        <v>3.7000000000000005E-2</v>
      </c>
      <c r="C20" s="433">
        <f t="shared" si="0"/>
        <v>-2.9999999999999957E-3</v>
      </c>
      <c r="D20" s="111"/>
      <c r="E20" s="1134"/>
      <c r="F20" s="1135"/>
      <c r="G20" s="1135"/>
      <c r="H20" s="1135"/>
      <c r="I20" s="1135"/>
      <c r="J20" s="1135"/>
      <c r="K20" s="1136"/>
      <c r="L20" s="852"/>
    </row>
    <row r="21" spans="1:12" ht="20.149999999999999" customHeight="1">
      <c r="A21" s="208">
        <v>2022</v>
      </c>
      <c r="B21" s="626">
        <v>2.9000000000000001E-2</v>
      </c>
      <c r="C21" s="431">
        <f t="shared" si="0"/>
        <v>-8.0000000000000036E-3</v>
      </c>
      <c r="D21" s="111"/>
      <c r="E21" s="1134"/>
      <c r="F21" s="1135"/>
      <c r="G21" s="1135"/>
      <c r="H21" s="1135"/>
      <c r="I21" s="1135"/>
      <c r="J21" s="1135"/>
      <c r="K21" s="1136"/>
      <c r="L21" s="852"/>
    </row>
    <row r="22" spans="1:12" ht="20.149999999999999" customHeight="1">
      <c r="A22" s="432">
        <v>2023</v>
      </c>
      <c r="B22" s="627">
        <v>2.7E-2</v>
      </c>
      <c r="C22" s="433">
        <f t="shared" si="0"/>
        <v>-2.0000000000000018E-3</v>
      </c>
      <c r="D22" s="111"/>
      <c r="E22" s="1134"/>
      <c r="F22" s="1135"/>
      <c r="G22" s="1135"/>
      <c r="H22" s="1135"/>
      <c r="I22" s="1135"/>
      <c r="J22" s="1135"/>
      <c r="K22" s="1136"/>
      <c r="L22" s="852"/>
    </row>
    <row r="23" spans="1:12" ht="19.5" customHeight="1">
      <c r="A23" s="208" t="s">
        <v>124</v>
      </c>
      <c r="B23" s="628">
        <v>2.8000000000000001E-2</v>
      </c>
      <c r="C23" s="434">
        <f t="shared" si="0"/>
        <v>1.0000000000000009E-3</v>
      </c>
      <c r="D23" s="111"/>
      <c r="E23" s="1134"/>
      <c r="F23" s="1135"/>
      <c r="G23" s="1135"/>
      <c r="H23" s="1135"/>
      <c r="I23" s="1135"/>
      <c r="J23" s="1135"/>
      <c r="K23" s="1136"/>
      <c r="L23" s="852"/>
    </row>
    <row r="24" spans="1:12" ht="20.149999999999999" customHeight="1">
      <c r="A24" s="432" t="s">
        <v>125</v>
      </c>
      <c r="B24" s="629">
        <v>2.8000000000000001E-2</v>
      </c>
      <c r="C24" s="443">
        <f t="shared" ref="C24:C25" si="1">B24-B23</f>
        <v>0</v>
      </c>
      <c r="D24" s="111"/>
      <c r="E24" s="1134"/>
      <c r="F24" s="1135"/>
      <c r="G24" s="1135"/>
      <c r="H24" s="1135"/>
      <c r="I24" s="1135"/>
      <c r="J24" s="1135"/>
      <c r="K24" s="1136"/>
      <c r="L24" s="852"/>
    </row>
    <row r="25" spans="1:12" ht="20.149999999999999" customHeight="1">
      <c r="A25" s="507" t="s">
        <v>126</v>
      </c>
      <c r="B25" s="628">
        <v>2.5000000000000001E-2</v>
      </c>
      <c r="C25" s="434">
        <f t="shared" si="1"/>
        <v>-2.9999999999999992E-3</v>
      </c>
      <c r="D25" s="111"/>
      <c r="E25" s="1134"/>
      <c r="F25" s="1135"/>
      <c r="G25" s="1135"/>
      <c r="H25" s="1135"/>
      <c r="I25" s="1135"/>
      <c r="J25" s="1135"/>
      <c r="K25" s="1136"/>
      <c r="L25" s="852"/>
    </row>
    <row r="26" spans="1:12" ht="20.149999999999999" customHeight="1">
      <c r="A26" s="630" t="s">
        <v>127</v>
      </c>
      <c r="B26" s="629">
        <v>2.4E-2</v>
      </c>
      <c r="C26" s="443">
        <f t="shared" ref="C26:C28" si="2">B26-B25</f>
        <v>-1.0000000000000009E-3</v>
      </c>
      <c r="D26" s="111"/>
      <c r="E26" s="1134"/>
      <c r="F26" s="1135"/>
      <c r="G26" s="1135"/>
      <c r="H26" s="1135"/>
      <c r="I26" s="1135"/>
      <c r="J26" s="1135"/>
      <c r="K26" s="1136"/>
      <c r="L26" s="852"/>
    </row>
    <row r="27" spans="1:12" ht="20.149999999999999" customHeight="1">
      <c r="A27" s="507" t="s">
        <v>74</v>
      </c>
      <c r="B27" s="628">
        <v>3.6999999999999998E-2</v>
      </c>
      <c r="C27" s="434">
        <f t="shared" si="2"/>
        <v>1.2999999999999998E-2</v>
      </c>
      <c r="D27" s="111"/>
      <c r="E27" s="1134"/>
      <c r="F27" s="1135"/>
      <c r="G27" s="1135"/>
      <c r="H27" s="1135"/>
      <c r="I27" s="1135"/>
      <c r="J27" s="1135"/>
      <c r="K27" s="1136"/>
      <c r="L27" s="852"/>
    </row>
    <row r="28" spans="1:12" ht="20.149999999999999" customHeight="1">
      <c r="A28" s="432" t="s">
        <v>128</v>
      </c>
      <c r="B28" s="629">
        <f>Headlines!L8</f>
        <v>3.3000000000000002E-2</v>
      </c>
      <c r="C28" s="443">
        <f t="shared" si="2"/>
        <v>-3.9999999999999966E-3</v>
      </c>
      <c r="D28" s="111"/>
      <c r="E28" s="1134"/>
      <c r="F28" s="1135"/>
      <c r="G28" s="1135"/>
      <c r="H28" s="1135"/>
      <c r="I28" s="1135"/>
      <c r="J28" s="1135"/>
      <c r="K28" s="1136"/>
      <c r="L28" s="852"/>
    </row>
    <row r="29" spans="1:12" ht="20.149999999999999" customHeight="1">
      <c r="A29" s="507" t="s">
        <v>129</v>
      </c>
      <c r="B29" s="628">
        <f>Headlines!M8</f>
        <v>2.5000000000000001E-2</v>
      </c>
      <c r="C29" s="434">
        <f t="shared" ref="C29:C30" si="3">B29-B28</f>
        <v>-8.0000000000000002E-3</v>
      </c>
      <c r="D29" s="111"/>
      <c r="E29" s="1134"/>
      <c r="F29" s="1135"/>
      <c r="G29" s="1135"/>
      <c r="H29" s="1135"/>
      <c r="I29" s="1135"/>
      <c r="J29" s="1135"/>
      <c r="K29" s="1136"/>
      <c r="L29" s="852"/>
    </row>
    <row r="30" spans="1:12" ht="20.149999999999999" customHeight="1" thickBot="1">
      <c r="A30" s="432" t="s">
        <v>130</v>
      </c>
      <c r="B30" s="629">
        <v>2.5999999999999999E-2</v>
      </c>
      <c r="C30" s="443">
        <f t="shared" si="3"/>
        <v>9.9999999999999742E-4</v>
      </c>
      <c r="D30" s="111"/>
      <c r="E30" s="1137"/>
      <c r="F30" s="1138"/>
      <c r="G30" s="1138"/>
      <c r="H30" s="1138"/>
      <c r="I30" s="1138"/>
      <c r="J30" s="1138"/>
      <c r="K30" s="1139"/>
      <c r="L30" s="852"/>
    </row>
    <row r="31" spans="1:12" ht="16.5" customHeight="1">
      <c r="A31" s="2" t="s">
        <v>131</v>
      </c>
    </row>
  </sheetData>
  <mergeCells count="1">
    <mergeCell ref="E4:K30"/>
  </mergeCells>
  <phoneticPr fontId="28" type="noConversion"/>
  <pageMargins left="0.25" right="0.25" top="0.75" bottom="0.75" header="0.3" footer="0.3"/>
  <pageSetup paperSize="9" fitToWidth="0" orientation="landscape" r:id="rId1"/>
  <colBreaks count="2" manualBreakCount="2">
    <brk id="4" max="30" man="1"/>
    <brk id="12" max="24" man="1"/>
  </colBreaks>
  <drawing r:id="rId2"/>
  <legacyDrawing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5F4746-E15D-467C-9B0B-B8848A7C189A}">
  <sheetPr>
    <tabColor rgb="FFFFC000"/>
  </sheetPr>
  <dimension ref="A1"/>
  <sheetViews>
    <sheetView showGridLines="0" workbookViewId="0">
      <selection activeCell="P27" sqref="P27"/>
    </sheetView>
  </sheetViews>
  <sheetFormatPr defaultRowHeight="14.5"/>
  <sheetData/>
  <phoneticPr fontId="28"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55AF52-5E72-4D8B-9968-EC78E696AADD}">
  <sheetPr>
    <tabColor rgb="FF339088"/>
    <pageSetUpPr fitToPage="1"/>
  </sheetPr>
  <dimension ref="A1:Q8"/>
  <sheetViews>
    <sheetView showGridLines="0" view="pageBreakPreview" zoomScale="87" zoomScaleNormal="100" zoomScaleSheetLayoutView="85" workbookViewId="0">
      <selection activeCell="B2" sqref="B2:Q7"/>
    </sheetView>
  </sheetViews>
  <sheetFormatPr defaultColWidth="8.7265625" defaultRowHeight="16.5"/>
  <cols>
    <col min="1" max="1" width="9.26953125" style="1" customWidth="1"/>
    <col min="2" max="17" width="7.26953125" style="1" customWidth="1"/>
    <col min="18" max="18" width="5.26953125" style="1" customWidth="1"/>
    <col min="19" max="16384" width="8.7265625" style="1"/>
  </cols>
  <sheetData>
    <row r="1" spans="1:17" ht="23.15" customHeight="1">
      <c r="A1" s="4" t="s">
        <v>132</v>
      </c>
      <c r="F1" s="60"/>
    </row>
    <row r="2" spans="1:17" s="64" customFormat="1" ht="98.15" customHeight="1">
      <c r="A2" s="1140" t="s">
        <v>133</v>
      </c>
      <c r="B2" s="1143" t="s">
        <v>134</v>
      </c>
      <c r="C2" s="1144"/>
      <c r="D2" s="1144"/>
      <c r="E2" s="1144"/>
      <c r="F2" s="1144"/>
      <c r="G2" s="1144"/>
      <c r="H2" s="1144"/>
      <c r="I2" s="1144"/>
      <c r="J2" s="1144"/>
      <c r="K2" s="1144"/>
      <c r="L2" s="1144"/>
      <c r="M2" s="1144"/>
      <c r="N2" s="1144"/>
      <c r="O2" s="1144"/>
      <c r="P2" s="1144"/>
      <c r="Q2" s="1145"/>
    </row>
    <row r="3" spans="1:17" s="64" customFormat="1" ht="98.15" customHeight="1">
      <c r="A3" s="1141"/>
      <c r="B3" s="1146"/>
      <c r="C3" s="1147"/>
      <c r="D3" s="1147"/>
      <c r="E3" s="1147"/>
      <c r="F3" s="1147"/>
      <c r="G3" s="1147"/>
      <c r="H3" s="1147"/>
      <c r="I3" s="1147"/>
      <c r="J3" s="1147"/>
      <c r="K3" s="1147"/>
      <c r="L3" s="1147"/>
      <c r="M3" s="1147"/>
      <c r="N3" s="1147"/>
      <c r="O3" s="1147"/>
      <c r="P3" s="1147"/>
      <c r="Q3" s="1148"/>
    </row>
    <row r="4" spans="1:17" s="64" customFormat="1" ht="98.15" customHeight="1">
      <c r="A4" s="1141"/>
      <c r="B4" s="1146"/>
      <c r="C4" s="1147"/>
      <c r="D4" s="1147"/>
      <c r="E4" s="1147"/>
      <c r="F4" s="1147"/>
      <c r="G4" s="1147"/>
      <c r="H4" s="1147"/>
      <c r="I4" s="1147"/>
      <c r="J4" s="1147"/>
      <c r="K4" s="1147"/>
      <c r="L4" s="1147"/>
      <c r="M4" s="1147"/>
      <c r="N4" s="1147"/>
      <c r="O4" s="1147"/>
      <c r="P4" s="1147"/>
      <c r="Q4" s="1148"/>
    </row>
    <row r="5" spans="1:17" s="64" customFormat="1" ht="98.15" customHeight="1">
      <c r="A5" s="1141"/>
      <c r="B5" s="1146"/>
      <c r="C5" s="1147"/>
      <c r="D5" s="1147"/>
      <c r="E5" s="1147"/>
      <c r="F5" s="1147"/>
      <c r="G5" s="1147"/>
      <c r="H5" s="1147"/>
      <c r="I5" s="1147"/>
      <c r="J5" s="1147"/>
      <c r="K5" s="1147"/>
      <c r="L5" s="1147"/>
      <c r="M5" s="1147"/>
      <c r="N5" s="1147"/>
      <c r="O5" s="1147"/>
      <c r="P5" s="1147"/>
      <c r="Q5" s="1148"/>
    </row>
    <row r="6" spans="1:17" s="64" customFormat="1" ht="98.15" customHeight="1">
      <c r="A6" s="1141"/>
      <c r="B6" s="1146"/>
      <c r="C6" s="1147"/>
      <c r="D6" s="1147"/>
      <c r="E6" s="1147"/>
      <c r="F6" s="1147"/>
      <c r="G6" s="1147"/>
      <c r="H6" s="1147"/>
      <c r="I6" s="1147"/>
      <c r="J6" s="1147"/>
      <c r="K6" s="1147"/>
      <c r="L6" s="1147"/>
      <c r="M6" s="1147"/>
      <c r="N6" s="1147"/>
      <c r="O6" s="1147"/>
      <c r="P6" s="1147"/>
      <c r="Q6" s="1148"/>
    </row>
    <row r="7" spans="1:17" s="64" customFormat="1" ht="98.15" customHeight="1">
      <c r="A7" s="1142"/>
      <c r="B7" s="1149"/>
      <c r="C7" s="1150"/>
      <c r="D7" s="1150"/>
      <c r="E7" s="1150"/>
      <c r="F7" s="1150"/>
      <c r="G7" s="1150"/>
      <c r="H7" s="1150"/>
      <c r="I7" s="1150"/>
      <c r="J7" s="1150"/>
      <c r="K7" s="1150"/>
      <c r="L7" s="1150"/>
      <c r="M7" s="1150"/>
      <c r="N7" s="1150"/>
      <c r="O7" s="1150"/>
      <c r="P7" s="1150"/>
      <c r="Q7" s="1151"/>
    </row>
    <row r="8" spans="1:17">
      <c r="A8" s="2" t="s">
        <v>135</v>
      </c>
    </row>
  </sheetData>
  <mergeCells count="2">
    <mergeCell ref="A2:A7"/>
    <mergeCell ref="B2:Q7"/>
  </mergeCells>
  <phoneticPr fontId="28" type="noConversion"/>
  <pageMargins left="0.25" right="0.25" top="0.75" bottom="0.75" header="0.3" footer="0.3"/>
  <pageSetup paperSize="9" scale="75" fitToWidth="0" orientation="landscape"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373D18-AA9D-460C-A841-B974A37E4A5B}">
  <sheetPr>
    <tabColor rgb="FF339088"/>
  </sheetPr>
  <dimension ref="A1:AB49"/>
  <sheetViews>
    <sheetView showGridLines="0" view="pageBreakPreview" topLeftCell="A10" zoomScale="85" zoomScaleNormal="100" zoomScaleSheetLayoutView="85" workbookViewId="0">
      <selection activeCell="B27" sqref="B27"/>
    </sheetView>
  </sheetViews>
  <sheetFormatPr defaultColWidth="9.26953125" defaultRowHeight="16.5"/>
  <cols>
    <col min="1" max="1" width="39.453125" style="1" customWidth="1"/>
    <col min="2" max="2" width="28" style="1" bestFit="1" customWidth="1"/>
    <col min="3" max="3" width="21.7265625" style="1" customWidth="1"/>
    <col min="4" max="4" width="27.26953125" style="1" bestFit="1" customWidth="1"/>
    <col min="5" max="5" width="30.26953125" style="1" bestFit="1" customWidth="1"/>
    <col min="6" max="6" width="18.54296875" style="43" customWidth="1"/>
    <col min="7" max="7" width="9.26953125" style="1"/>
    <col min="8" max="8" width="12.7265625" style="1" bestFit="1" customWidth="1"/>
    <col min="9" max="10" width="9.26953125" style="1"/>
    <col min="11" max="11" width="15.26953125" style="1" bestFit="1" customWidth="1"/>
    <col min="12" max="12" width="10.26953125" style="1" bestFit="1" customWidth="1"/>
    <col min="13" max="13" width="9.26953125" style="1"/>
    <col min="14" max="14" width="21.26953125" style="1" customWidth="1"/>
    <col min="15" max="15" width="4.26953125" style="1" customWidth="1"/>
    <col min="16" max="16" width="9.26953125" style="1"/>
    <col min="17" max="17" width="5.26953125" style="1" customWidth="1"/>
    <col min="18" max="20" width="9.26953125" style="1"/>
    <col min="21" max="21" width="10.54296875" style="1" bestFit="1" customWidth="1"/>
    <col min="22" max="16384" width="9.26953125" style="1"/>
  </cols>
  <sheetData>
    <row r="1" spans="1:11" ht="26">
      <c r="A1" s="4" t="s">
        <v>136</v>
      </c>
    </row>
    <row r="2" spans="1:11">
      <c r="A2" s="10"/>
      <c r="B2" s="11"/>
      <c r="C2" s="12"/>
    </row>
    <row r="3" spans="1:11">
      <c r="A3" s="25" t="s">
        <v>137</v>
      </c>
    </row>
    <row r="4" spans="1:11" ht="15.75" customHeight="1">
      <c r="A4" s="633" t="s">
        <v>138</v>
      </c>
      <c r="B4" s="37" t="s">
        <v>139</v>
      </c>
      <c r="C4" s="30" t="s">
        <v>140</v>
      </c>
      <c r="D4" s="158" t="s">
        <v>141</v>
      </c>
      <c r="E4" s="30" t="s">
        <v>142</v>
      </c>
    </row>
    <row r="5" spans="1:11" ht="15.75" customHeight="1">
      <c r="A5" s="16" t="s">
        <v>143</v>
      </c>
      <c r="B5" s="883">
        <v>2701427.1724999999</v>
      </c>
      <c r="C5" s="884">
        <f>Table24[[#This Row],[Net (pyeong)]]*1.25</f>
        <v>3376783.9656249997</v>
      </c>
      <c r="D5" s="17"/>
      <c r="E5" s="2"/>
      <c r="K5" s="12"/>
    </row>
    <row r="6" spans="1:11" ht="15.75" customHeight="1">
      <c r="A6" s="16" t="s">
        <v>144</v>
      </c>
      <c r="B6" s="883">
        <v>2701427.1724999999</v>
      </c>
      <c r="C6" s="884">
        <f>Table24[[#This Row],[Net (pyeong)]]*1.25</f>
        <v>3376783.9656249997</v>
      </c>
      <c r="D6" s="157">
        <f>Table24[[#This Row],[Net (pyeong)]]-B5</f>
        <v>0</v>
      </c>
      <c r="E6" s="2"/>
    </row>
    <row r="7" spans="1:11" ht="15.75" customHeight="1">
      <c r="A7" s="16" t="s">
        <v>145</v>
      </c>
      <c r="B7" s="883">
        <v>2687094.678667271</v>
      </c>
      <c r="C7" s="884">
        <f>Table24[[#This Row],[Net (pyeong)]]*1.25</f>
        <v>3358868.3483340889</v>
      </c>
      <c r="D7" s="157">
        <f>Table24[[#This Row],[Net (pyeong)]]-B6</f>
        <v>-14332.493832728826</v>
      </c>
      <c r="E7" s="2"/>
    </row>
    <row r="8" spans="1:11" ht="15.75" customHeight="1">
      <c r="A8" s="16" t="s">
        <v>146</v>
      </c>
      <c r="B8" s="883">
        <v>2687094.678667271</v>
      </c>
      <c r="C8" s="884">
        <f>Table24[[#This Row],[Net (pyeong)]]*1.25</f>
        <v>3358868.3483340889</v>
      </c>
      <c r="D8" s="157">
        <f>Table24[[#This Row],[Net (pyeong)]]-B7</f>
        <v>0</v>
      </c>
      <c r="E8" s="2"/>
    </row>
    <row r="9" spans="1:11" ht="15.75" customHeight="1">
      <c r="A9" s="16" t="s">
        <v>147</v>
      </c>
      <c r="B9" s="883">
        <v>2704553.7686672709</v>
      </c>
      <c r="C9" s="884">
        <f>Table24[[#This Row],[Net (pyeong)]]*1.25</f>
        <v>3380692.2108340887</v>
      </c>
      <c r="D9" s="157">
        <f>Table24[[#This Row],[Net (pyeong)]]-B8</f>
        <v>17459.089999999851</v>
      </c>
      <c r="E9" s="2"/>
    </row>
    <row r="10" spans="1:11" ht="15.75" customHeight="1">
      <c r="A10" s="16" t="s">
        <v>148</v>
      </c>
      <c r="B10" s="883">
        <f>B11-'Future Supply'!H26*1000000</f>
        <v>2704553.7686672709</v>
      </c>
      <c r="C10" s="884">
        <f>Table24[[#This Row],[Net (pyeong)]]*1.25</f>
        <v>3380692.2108340887</v>
      </c>
      <c r="D10" s="157">
        <f>Table24[[#This Row],[Net (pyeong)]]-B9</f>
        <v>0</v>
      </c>
      <c r="E10" s="2"/>
    </row>
    <row r="11" spans="1:11" ht="15.75" customHeight="1">
      <c r="A11" s="16" t="s">
        <v>149</v>
      </c>
      <c r="B11" s="883">
        <f>B12-'Future Supply'!H27*1000000</f>
        <v>2747415.2901172708</v>
      </c>
      <c r="C11" s="884">
        <f>Table24[[#This Row],[Net (pyeong)]]*1.25</f>
        <v>3434269.1126465886</v>
      </c>
      <c r="D11" s="157">
        <f>Table24[[#This Row],[Net (pyeong)]]-B10</f>
        <v>42861.521449999884</v>
      </c>
      <c r="E11" s="859"/>
    </row>
    <row r="12" spans="1:11" ht="15.75" customHeight="1">
      <c r="A12" s="16" t="s">
        <v>150</v>
      </c>
      <c r="B12" s="883">
        <v>2760162.1756500001</v>
      </c>
      <c r="C12" s="884">
        <v>3450366.4250000003</v>
      </c>
      <c r="D12" s="157">
        <f>Table24[[#This Row],[Net (pyeong)]]-B11</f>
        <v>12746.885532729328</v>
      </c>
      <c r="E12" s="2"/>
    </row>
    <row r="13" spans="1:11" ht="15.75" customHeight="1">
      <c r="A13" s="16" t="s">
        <v>151</v>
      </c>
      <c r="B13" s="883">
        <f>B14-('Future Supply'!H28*1000000)</f>
        <v>2760162.1756500001</v>
      </c>
      <c r="C13" s="884">
        <f>Table24[[#This Row],[Net (pyeong)]]*1.25</f>
        <v>3450202.7195625002</v>
      </c>
      <c r="D13" s="157">
        <f>Table24[[#This Row],[Net (pyeong)]]-B12</f>
        <v>0</v>
      </c>
      <c r="E13" s="2"/>
    </row>
    <row r="14" spans="1:11" ht="15.75" customHeight="1">
      <c r="A14" s="16" t="s">
        <v>152</v>
      </c>
      <c r="B14" s="883">
        <v>2768343.5725000002</v>
      </c>
      <c r="C14" s="884">
        <v>3460429.4656250002</v>
      </c>
      <c r="D14" s="157">
        <f>Table24[[#This Row],[Net (pyeong)]]-B13</f>
        <v>8181.3968500001356</v>
      </c>
      <c r="E14" s="2"/>
    </row>
    <row r="15" spans="1:11" ht="15.75" customHeight="1">
      <c r="A15" s="16" t="s">
        <v>153</v>
      </c>
      <c r="B15" s="883">
        <v>2780097.7908000001</v>
      </c>
      <c r="C15" s="884">
        <f>Table24[[#This Row],[Net (pyeong)]]*1.25</f>
        <v>3475122.2385</v>
      </c>
      <c r="D15" s="157">
        <f>Table24[[#This Row],[Net (pyeong)]]-B14</f>
        <v>11754.218299999833</v>
      </c>
      <c r="E15" s="2"/>
    </row>
    <row r="16" spans="1:11" ht="15.75" customHeight="1">
      <c r="A16" s="16" t="s">
        <v>154</v>
      </c>
      <c r="B16" s="883">
        <v>2808534.4652672708</v>
      </c>
      <c r="C16" s="884">
        <v>3510668.0815840885</v>
      </c>
      <c r="D16" s="157">
        <f>Table24[[#This Row],[Net (pyeong)]]-B15</f>
        <v>28436.674467270728</v>
      </c>
      <c r="E16" s="2"/>
    </row>
    <row r="17" spans="1:21" ht="15.75" customHeight="1">
      <c r="A17" s="171" t="s">
        <v>155</v>
      </c>
      <c r="B17" s="885">
        <f>E27</f>
        <v>2808534.4652672708</v>
      </c>
      <c r="C17" s="886">
        <f>Table24[[#This Row],[Net (pyeong)]]*1.25</f>
        <v>3510668.0815840885</v>
      </c>
      <c r="D17" s="172">
        <f>Table24[[#This Row],[Net (pyeong)]]-B16</f>
        <v>0</v>
      </c>
      <c r="E17" s="17"/>
    </row>
    <row r="18" spans="1:21" s="25" customFormat="1" ht="15.75" customHeight="1">
      <c r="A18" s="171" t="s">
        <v>156</v>
      </c>
      <c r="B18" s="887">
        <f>E27</f>
        <v>2808534.4652672708</v>
      </c>
      <c r="C18" s="888">
        <f>Table24[[#This Row],[Net (pyeong)]]*1.25</f>
        <v>3510668.0815840885</v>
      </c>
      <c r="D18" s="172">
        <f>Table24[[#This Row],[Net (pyeong)]]-B17</f>
        <v>0</v>
      </c>
      <c r="E18" s="17" t="b">
        <f>Table24[[#This Row],[Completions (New Supply)]]=D27</f>
        <v>1</v>
      </c>
      <c r="F18" s="113"/>
    </row>
    <row r="19" spans="1:21" s="25" customFormat="1" ht="15.75" customHeight="1">
      <c r="A19" s="24" t="s">
        <v>135</v>
      </c>
      <c r="B19" s="889"/>
      <c r="C19" s="890"/>
      <c r="D19" s="2"/>
      <c r="E19" s="8"/>
      <c r="F19" s="113"/>
    </row>
    <row r="20" spans="1:21" s="25" customFormat="1" ht="15.75" customHeight="1">
      <c r="A20" s="24"/>
      <c r="B20" s="8"/>
      <c r="C20" s="9"/>
      <c r="D20" s="7"/>
    </row>
    <row r="21" spans="1:21" s="25" customFormat="1" ht="15.75" customHeight="1">
      <c r="A21" s="1152" t="s">
        <v>157</v>
      </c>
      <c r="B21" s="1152"/>
      <c r="C21" s="1152"/>
    </row>
    <row r="22" spans="1:21" s="25" customFormat="1" ht="15.75" customHeight="1">
      <c r="A22" s="163"/>
      <c r="B22" s="163"/>
      <c r="C22" s="163"/>
    </row>
    <row r="23" spans="1:21" s="25" customFormat="1" ht="15.75" customHeight="1">
      <c r="A23" s="115" t="s">
        <v>158</v>
      </c>
      <c r="B23" s="116" t="s">
        <v>159</v>
      </c>
      <c r="C23" s="116" t="s">
        <v>160</v>
      </c>
      <c r="D23" s="155" t="s">
        <v>161</v>
      </c>
      <c r="E23" s="116" t="s">
        <v>162</v>
      </c>
      <c r="F23" s="117" t="s">
        <v>163</v>
      </c>
    </row>
    <row r="24" spans="1:21" s="25" customFormat="1" ht="15.75" customHeight="1">
      <c r="A24" s="120" t="s">
        <v>164</v>
      </c>
      <c r="B24" s="121">
        <v>1223517.9552672706</v>
      </c>
      <c r="C24" s="166">
        <f>B24/$B$27</f>
        <v>0.43564284875202197</v>
      </c>
      <c r="D24" s="173"/>
      <c r="E24" s="173">
        <f>SUM(D24,B24)</f>
        <v>1223517.9552672706</v>
      </c>
      <c r="F24" s="174">
        <f>E24/$E$27</f>
        <v>0.43564284875202197</v>
      </c>
    </row>
    <row r="25" spans="1:21" s="25" customFormat="1" ht="15.75" customHeight="1">
      <c r="A25" s="118" t="s">
        <v>165</v>
      </c>
      <c r="B25" s="119">
        <v>931242.62</v>
      </c>
      <c r="C25" s="167">
        <f>B25/$B$27</f>
        <v>0.33157599862723403</v>
      </c>
      <c r="D25" s="175"/>
      <c r="E25" s="175">
        <f>SUM(D25,B25)</f>
        <v>931242.62</v>
      </c>
      <c r="F25" s="176">
        <f>E25/$E$27</f>
        <v>0.33157599862723403</v>
      </c>
    </row>
    <row r="26" spans="1:21" s="25" customFormat="1" ht="15.75" customHeight="1" thickBot="1">
      <c r="A26" s="124" t="s">
        <v>166</v>
      </c>
      <c r="B26" s="125">
        <v>653773.89</v>
      </c>
      <c r="C26" s="166">
        <f>B26/$B$27</f>
        <v>0.23278115262074392</v>
      </c>
      <c r="D26" s="177"/>
      <c r="E26" s="177">
        <f>SUM(D26,B26)</f>
        <v>653773.89</v>
      </c>
      <c r="F26" s="178">
        <f>E26/$E$27</f>
        <v>0.23278115262074392</v>
      </c>
    </row>
    <row r="27" spans="1:21" ht="15.75" customHeight="1" thickTop="1">
      <c r="A27" s="122" t="s">
        <v>98</v>
      </c>
      <c r="B27" s="123">
        <f>SUM(B24:B26)</f>
        <v>2808534.4652672708</v>
      </c>
      <c r="C27" s="161">
        <f>SUM(C24:C26)</f>
        <v>1</v>
      </c>
      <c r="D27" s="123">
        <f>SUM(D24:D26)</f>
        <v>0</v>
      </c>
      <c r="E27" s="123">
        <f>SUM(E24:E26)</f>
        <v>2808534.4652672708</v>
      </c>
      <c r="F27" s="179">
        <f>SUM(F24:F26)</f>
        <v>1</v>
      </c>
      <c r="G27" s="159"/>
      <c r="H27" s="1153" t="s">
        <v>167</v>
      </c>
      <c r="I27" s="1154"/>
      <c r="J27" s="1154"/>
      <c r="K27" s="1154"/>
      <c r="L27" s="1154"/>
      <c r="M27" s="1154"/>
      <c r="N27" s="1154"/>
      <c r="O27" s="1154"/>
      <c r="P27" s="1155"/>
      <c r="U27" s="860">
        <f>SUM('Future Supply'!H29:H31)*1000000</f>
        <v>28436.674467270499</v>
      </c>
    </row>
    <row r="28" spans="1:21" ht="15.75" customHeight="1">
      <c r="A28" s="24" t="s">
        <v>135</v>
      </c>
      <c r="B28" s="41"/>
      <c r="E28" s="107"/>
      <c r="F28" s="114"/>
      <c r="G28" s="159"/>
      <c r="H28" s="1156"/>
      <c r="I28" s="1157"/>
      <c r="J28" s="1157"/>
      <c r="K28" s="1157"/>
      <c r="L28" s="1157"/>
      <c r="M28" s="1157"/>
      <c r="N28" s="1157"/>
      <c r="O28" s="1157"/>
      <c r="P28" s="1158"/>
    </row>
    <row r="29" spans="1:21" ht="28.4" customHeight="1">
      <c r="A29" s="163"/>
      <c r="B29" s="616"/>
      <c r="C29" s="616"/>
      <c r="D29" s="41"/>
      <c r="E29" s="616"/>
      <c r="G29" s="159"/>
      <c r="H29" s="1156"/>
      <c r="I29" s="1157"/>
      <c r="J29" s="1157"/>
      <c r="K29" s="1157"/>
      <c r="L29" s="1157"/>
      <c r="M29" s="1157"/>
      <c r="N29" s="1157"/>
      <c r="O29" s="1157"/>
      <c r="P29" s="1158"/>
    </row>
    <row r="30" spans="1:21" ht="28.4" customHeight="1">
      <c r="A30" s="24"/>
      <c r="B30" s="616"/>
      <c r="C30" s="616"/>
      <c r="D30" s="41"/>
      <c r="E30" s="616"/>
      <c r="F30" s="114"/>
      <c r="G30" s="159"/>
      <c r="H30" s="1156"/>
      <c r="I30" s="1157"/>
      <c r="J30" s="1157"/>
      <c r="K30" s="1157"/>
      <c r="L30" s="1157"/>
      <c r="M30" s="1157"/>
      <c r="N30" s="1157"/>
      <c r="O30" s="1157"/>
      <c r="P30" s="1158"/>
    </row>
    <row r="31" spans="1:21" ht="28.4" customHeight="1">
      <c r="A31" s="10"/>
      <c r="B31" s="616"/>
      <c r="C31" s="616"/>
      <c r="D31" s="41"/>
      <c r="E31" s="616"/>
      <c r="G31" s="159"/>
      <c r="H31" s="1156"/>
      <c r="I31" s="1157"/>
      <c r="J31" s="1157"/>
      <c r="K31" s="1157"/>
      <c r="L31" s="1157"/>
      <c r="M31" s="1157"/>
      <c r="N31" s="1157"/>
      <c r="O31" s="1157"/>
      <c r="P31" s="1158"/>
    </row>
    <row r="32" spans="1:21" ht="65.900000000000006" customHeight="1" thickBot="1">
      <c r="A32" s="10"/>
      <c r="B32" s="616"/>
      <c r="C32" s="616"/>
      <c r="E32" s="616"/>
      <c r="G32" s="159"/>
      <c r="H32" s="1159"/>
      <c r="I32" s="1160"/>
      <c r="J32" s="1160"/>
      <c r="K32" s="1160"/>
      <c r="L32" s="1160"/>
      <c r="M32" s="1160"/>
      <c r="N32" s="1160"/>
      <c r="O32" s="1160"/>
      <c r="P32" s="1161"/>
    </row>
    <row r="33" spans="1:28">
      <c r="A33" s="2"/>
      <c r="B33" s="126"/>
      <c r="C33" s="126"/>
      <c r="D33" s="126"/>
      <c r="G33" s="160"/>
      <c r="H33" s="160"/>
      <c r="I33" s="160"/>
      <c r="J33" s="160"/>
      <c r="K33" s="160"/>
      <c r="L33" s="160"/>
      <c r="M33" s="160"/>
      <c r="N33" s="160"/>
    </row>
    <row r="34" spans="1:28">
      <c r="A34" s="2"/>
      <c r="B34" s="126"/>
      <c r="C34" s="126"/>
      <c r="D34" s="126"/>
    </row>
    <row r="35" spans="1:28">
      <c r="A35" s="2"/>
      <c r="B35" s="126"/>
      <c r="C35" s="126"/>
      <c r="D35" s="126"/>
    </row>
    <row r="36" spans="1:28">
      <c r="A36" s="2"/>
    </row>
    <row r="37" spans="1:28">
      <c r="A37" s="8"/>
    </row>
    <row r="45" spans="1:28">
      <c r="R45" s="1130"/>
      <c r="S45" s="1130"/>
      <c r="T45" s="1130"/>
      <c r="U45" s="1130"/>
      <c r="V45" s="1130"/>
      <c r="W45" s="1130"/>
      <c r="X45" s="1130"/>
      <c r="Y45" s="1130"/>
      <c r="Z45" s="1130"/>
      <c r="AA45" s="1130"/>
      <c r="AB45" s="1130"/>
    </row>
    <row r="46" spans="1:28">
      <c r="R46" s="1130"/>
      <c r="S46" s="1130"/>
      <c r="T46" s="1130"/>
      <c r="U46" s="1130"/>
      <c r="V46" s="1130"/>
      <c r="W46" s="1130"/>
      <c r="X46" s="1130"/>
      <c r="Y46" s="1130"/>
      <c r="Z46" s="1130"/>
      <c r="AA46" s="1130"/>
      <c r="AB46" s="1130"/>
    </row>
    <row r="47" spans="1:28">
      <c r="R47" s="1130"/>
      <c r="S47" s="1130"/>
      <c r="T47" s="1130"/>
      <c r="U47" s="1130"/>
      <c r="V47" s="1130"/>
      <c r="W47" s="1130"/>
      <c r="X47" s="1130"/>
      <c r="Y47" s="1130"/>
      <c r="Z47" s="1130"/>
      <c r="AA47" s="1130"/>
      <c r="AB47" s="1130"/>
    </row>
    <row r="48" spans="1:28">
      <c r="R48" s="1130"/>
      <c r="S48" s="1130"/>
      <c r="T48" s="1130"/>
      <c r="U48" s="1130"/>
      <c r="V48" s="1130"/>
      <c r="W48" s="1130"/>
      <c r="X48" s="1130"/>
      <c r="Y48" s="1130"/>
      <c r="Z48" s="1130"/>
      <c r="AA48" s="1130"/>
      <c r="AB48" s="1130"/>
    </row>
    <row r="49" spans="18:28">
      <c r="R49" s="1130"/>
      <c r="S49" s="1130"/>
      <c r="T49" s="1130"/>
      <c r="U49" s="1130"/>
      <c r="V49" s="1130"/>
      <c r="W49" s="1130"/>
      <c r="X49" s="1130"/>
      <c r="Y49" s="1130"/>
      <c r="Z49" s="1130"/>
      <c r="AA49" s="1130"/>
      <c r="AB49" s="1130"/>
    </row>
  </sheetData>
  <mergeCells count="3">
    <mergeCell ref="R45:AB49"/>
    <mergeCell ref="A21:C21"/>
    <mergeCell ref="H27:P32"/>
  </mergeCells>
  <phoneticPr fontId="28" type="noConversion"/>
  <pageMargins left="0.25" right="0.25" top="0.75" bottom="0.75" header="0.3" footer="0.3"/>
  <pageSetup paperSize="9" scale="46" fitToWidth="2" orientation="landscape" r:id="rId1"/>
  <drawing r:id="rId2"/>
  <tableParts count="1">
    <tablePart r:id="rId3"/>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F10F7C-2CD5-4221-BCCE-4E35F892BC1C}">
  <sheetPr>
    <tabColor rgb="FF339088"/>
  </sheetPr>
  <dimension ref="A1:AB214"/>
  <sheetViews>
    <sheetView showGridLines="0" tabSelected="1" view="pageBreakPreview" topLeftCell="D57" zoomScale="55" zoomScaleNormal="100" zoomScaleSheetLayoutView="55" workbookViewId="0">
      <selection activeCell="H67" sqref="H67"/>
    </sheetView>
  </sheetViews>
  <sheetFormatPr defaultColWidth="9.26953125" defaultRowHeight="16.5" outlineLevelRow="1"/>
  <cols>
    <col min="1" max="1" width="18.26953125" style="1" customWidth="1"/>
    <col min="2" max="2" width="28" style="1" customWidth="1"/>
    <col min="3" max="3" width="31.26953125" style="1" customWidth="1"/>
    <col min="4" max="4" width="94.7265625" style="1" customWidth="1"/>
    <col min="5" max="5" width="46.7265625" style="1" customWidth="1"/>
    <col min="6" max="6" width="22.7265625" style="1" customWidth="1"/>
    <col min="7" max="7" width="18.26953125" style="1" customWidth="1"/>
    <col min="8" max="8" width="28.26953125" style="1" customWidth="1"/>
    <col min="9" max="9" width="67.7265625" style="1" customWidth="1"/>
    <col min="10" max="10" width="19" style="1" customWidth="1"/>
    <col min="11" max="11" width="18.7265625" style="1" bestFit="1" customWidth="1"/>
    <col min="12" max="13" width="18.7265625" style="1" customWidth="1"/>
    <col min="14" max="14" width="9.26953125" style="1" customWidth="1"/>
    <col min="15" max="15" width="7.26953125" style="1" customWidth="1"/>
    <col min="16" max="16" width="27.7265625" style="1" customWidth="1"/>
    <col min="17" max="17" width="25.7265625" style="1" customWidth="1"/>
    <col min="18" max="18" width="27.26953125" style="1" customWidth="1"/>
    <col min="19" max="19" width="21.7265625" style="1" customWidth="1"/>
    <col min="20" max="20" width="111" style="1" customWidth="1"/>
    <col min="21" max="21" width="87.26953125" style="1" customWidth="1"/>
    <col min="22" max="22" width="19.26953125" style="1" customWidth="1"/>
    <col min="23" max="23" width="9.26953125" style="1" bestFit="1" customWidth="1"/>
    <col min="24" max="16384" width="9.26953125" style="1"/>
  </cols>
  <sheetData>
    <row r="1" spans="1:22" ht="32">
      <c r="A1" s="13" t="s">
        <v>168</v>
      </c>
    </row>
    <row r="2" spans="1:22" s="2" customFormat="1" ht="14.5"/>
    <row r="3" spans="1:22" s="2" customFormat="1" ht="28.4" customHeight="1" thickBot="1">
      <c r="A3" s="181" t="s">
        <v>169</v>
      </c>
      <c r="B3" s="48"/>
      <c r="C3" s="48"/>
      <c r="E3" s="181" t="s">
        <v>170</v>
      </c>
      <c r="F3" s="48"/>
      <c r="G3" s="48"/>
      <c r="H3" s="48"/>
      <c r="I3" s="48" t="s">
        <v>171</v>
      </c>
      <c r="J3" s="48"/>
      <c r="K3" s="48"/>
      <c r="L3" s="48"/>
      <c r="M3" s="48"/>
      <c r="N3" s="48"/>
      <c r="P3" s="181" t="s">
        <v>172</v>
      </c>
      <c r="Q3" s="48"/>
      <c r="R3" s="48"/>
    </row>
    <row r="4" spans="1:22" s="2" customFormat="1" ht="43.5" customHeight="1" thickBot="1">
      <c r="A4" s="287"/>
      <c r="B4" s="287" t="s">
        <v>173</v>
      </c>
      <c r="C4" s="288" t="s">
        <v>174</v>
      </c>
      <c r="E4" s="293" t="s">
        <v>158</v>
      </c>
      <c r="F4" s="293" t="s">
        <v>175</v>
      </c>
      <c r="G4" s="293" t="s">
        <v>176</v>
      </c>
      <c r="H4" s="293" t="s">
        <v>177</v>
      </c>
      <c r="I4" s="293" t="s">
        <v>178</v>
      </c>
      <c r="J4" s="293" t="s">
        <v>179</v>
      </c>
      <c r="K4" s="293" t="s">
        <v>180</v>
      </c>
      <c r="L4" s="293" t="s">
        <v>181</v>
      </c>
      <c r="M4" s="293" t="s">
        <v>182</v>
      </c>
      <c r="P4" s="287" t="s">
        <v>183</v>
      </c>
      <c r="Q4" s="298" t="s">
        <v>184</v>
      </c>
      <c r="R4" s="298" t="s">
        <v>185</v>
      </c>
    </row>
    <row r="5" spans="1:22" s="2" customFormat="1" ht="21" thickBot="1">
      <c r="A5" s="289" t="str">
        <f>F4</f>
        <v>2025F</v>
      </c>
      <c r="B5" s="290">
        <f>SUM(F5:F7)/1000000</f>
        <v>0</v>
      </c>
      <c r="C5" s="290">
        <f>B5+SUM(H26:H30)</f>
        <v>7.1972731332729495E-2</v>
      </c>
      <c r="D5" s="57"/>
      <c r="E5" s="459" t="s">
        <v>164</v>
      </c>
      <c r="F5" s="462">
        <f t="shared" ref="F5:M7" si="0">1000000*SUMIFS($H$36:$H$70,$G$36:$G$70,$E5,$A$36:$A$70,LEFT(F$4,4))</f>
        <v>0</v>
      </c>
      <c r="G5" s="462">
        <f t="shared" si="0"/>
        <v>89805.209999999992</v>
      </c>
      <c r="H5" s="462">
        <f t="shared" si="0"/>
        <v>86697.826125000007</v>
      </c>
      <c r="I5" s="462">
        <f t="shared" si="0"/>
        <v>177686.55282499999</v>
      </c>
      <c r="J5" s="462">
        <f t="shared" si="0"/>
        <v>318098.30254999996</v>
      </c>
      <c r="K5" s="462">
        <f t="shared" si="0"/>
        <v>40528.345000000001</v>
      </c>
      <c r="L5" s="462">
        <f t="shared" si="0"/>
        <v>66493.946749999988</v>
      </c>
      <c r="M5" s="462">
        <f t="shared" si="0"/>
        <v>0</v>
      </c>
      <c r="P5" s="328" t="s">
        <v>186</v>
      </c>
      <c r="Q5" s="329">
        <f>(SUM(F5:K5)/1000000)</f>
        <v>0.71281623649999992</v>
      </c>
      <c r="R5" s="330">
        <f>Q5/$Q$8</f>
        <v>0.79758108679527095</v>
      </c>
      <c r="V5" s="57"/>
    </row>
    <row r="6" spans="1:22" s="2" customFormat="1" ht="21" thickBot="1">
      <c r="A6" s="289" t="str">
        <f>G4</f>
        <v>2026F</v>
      </c>
      <c r="B6" s="290">
        <f>SUM(G5:G7)/1000000</f>
        <v>8.9805209999999996E-2</v>
      </c>
      <c r="C6" s="290">
        <f>C5+B6</f>
        <v>0.16177794133272949</v>
      </c>
      <c r="D6" s="57"/>
      <c r="E6" s="459" t="s">
        <v>165</v>
      </c>
      <c r="F6" s="462">
        <f t="shared" si="0"/>
        <v>0</v>
      </c>
      <c r="G6" s="462">
        <f t="shared" si="0"/>
        <v>0</v>
      </c>
      <c r="H6" s="462">
        <f t="shared" si="0"/>
        <v>0</v>
      </c>
      <c r="I6" s="462">
        <f t="shared" si="0"/>
        <v>115248.26499999998</v>
      </c>
      <c r="J6" s="462">
        <f t="shared" si="0"/>
        <v>0</v>
      </c>
      <c r="K6" s="462">
        <f t="shared" si="0"/>
        <v>40282.412499999999</v>
      </c>
      <c r="L6" s="462">
        <f t="shared" si="0"/>
        <v>280988.3175</v>
      </c>
      <c r="M6" s="462">
        <f t="shared" si="0"/>
        <v>0</v>
      </c>
      <c r="P6" s="331" t="s">
        <v>187</v>
      </c>
      <c r="Q6" s="332">
        <f t="shared" ref="Q6:Q7" si="1">(SUM(F6:K6)/1000000)</f>
        <v>0.15553067749999999</v>
      </c>
      <c r="R6" s="333">
        <f>Q6/$Q$8</f>
        <v>0.17402567511585409</v>
      </c>
    </row>
    <row r="7" spans="1:22" s="2" customFormat="1" ht="21" thickBot="1">
      <c r="A7" s="289" t="str">
        <f>H4</f>
        <v>2027F</v>
      </c>
      <c r="B7" s="290">
        <f>SUM(H5:H7)/1000000</f>
        <v>8.6697826125000002E-2</v>
      </c>
      <c r="C7" s="290">
        <f t="shared" ref="C7:C10" si="2">C6+B7</f>
        <v>0.24847576745772948</v>
      </c>
      <c r="E7" s="460" t="s">
        <v>166</v>
      </c>
      <c r="F7" s="463">
        <f t="shared" si="0"/>
        <v>0</v>
      </c>
      <c r="G7" s="463">
        <f t="shared" si="0"/>
        <v>0</v>
      </c>
      <c r="H7" s="463">
        <f t="shared" si="0"/>
        <v>0</v>
      </c>
      <c r="I7" s="463">
        <f t="shared" si="0"/>
        <v>25375.678349999998</v>
      </c>
      <c r="J7" s="463">
        <f t="shared" si="0"/>
        <v>0</v>
      </c>
      <c r="K7" s="463">
        <f t="shared" si="0"/>
        <v>0</v>
      </c>
      <c r="L7" s="463">
        <f t="shared" si="0"/>
        <v>24897.564999999999</v>
      </c>
      <c r="M7" s="463">
        <f t="shared" si="0"/>
        <v>25000</v>
      </c>
      <c r="P7" s="328" t="s">
        <v>188</v>
      </c>
      <c r="Q7" s="329">
        <f t="shared" si="1"/>
        <v>2.537567835E-2</v>
      </c>
      <c r="R7" s="330">
        <f>Q7/$Q$8</f>
        <v>2.8393238088874864E-2</v>
      </c>
    </row>
    <row r="8" spans="1:22" s="2" customFormat="1" ht="21.5" thickTop="1" thickBot="1">
      <c r="A8" s="289" t="str">
        <f>I4</f>
        <v>2028F</v>
      </c>
      <c r="B8" s="290">
        <f>SUM(I5:I7)/1000000</f>
        <v>0.31831049617499996</v>
      </c>
      <c r="C8" s="290">
        <f t="shared" si="2"/>
        <v>0.56678626363272944</v>
      </c>
      <c r="D8" s="74" t="b">
        <f>B11=I70</f>
        <v>0</v>
      </c>
      <c r="E8" s="461" t="s">
        <v>189</v>
      </c>
      <c r="F8" s="464">
        <f t="shared" ref="F8:K8" si="3">SUM(F5:F7)</f>
        <v>0</v>
      </c>
      <c r="G8" s="464">
        <f t="shared" si="3"/>
        <v>89805.209999999992</v>
      </c>
      <c r="H8" s="464">
        <f t="shared" si="3"/>
        <v>86697.826125000007</v>
      </c>
      <c r="I8" s="464">
        <f t="shared" si="3"/>
        <v>318310.49617499998</v>
      </c>
      <c r="J8" s="464">
        <f t="shared" si="3"/>
        <v>318098.30254999996</v>
      </c>
      <c r="K8" s="464">
        <f t="shared" si="3"/>
        <v>80810.757500000007</v>
      </c>
      <c r="L8" s="464">
        <f t="shared" ref="L8:M8" si="4">SUM(L5:L7)</f>
        <v>372379.82925000001</v>
      </c>
      <c r="M8" s="464">
        <f t="shared" si="4"/>
        <v>25000</v>
      </c>
      <c r="P8" s="322" t="s">
        <v>98</v>
      </c>
      <c r="Q8" s="334">
        <f>SUM(Q5:Q7)</f>
        <v>0.89372259234999996</v>
      </c>
      <c r="R8" s="335">
        <f>SUM(R5:R7)</f>
        <v>0.99999999999999989</v>
      </c>
    </row>
    <row r="9" spans="1:22" s="2" customFormat="1" ht="20.5">
      <c r="A9" s="289" t="str">
        <f>J4</f>
        <v>2029F</v>
      </c>
      <c r="B9" s="290">
        <f>SUM(J5:J7)/1000000</f>
        <v>0.31809830254999999</v>
      </c>
      <c r="C9" s="290">
        <f t="shared" si="2"/>
        <v>0.88488456618272937</v>
      </c>
      <c r="E9" s="2" t="s">
        <v>135</v>
      </c>
      <c r="P9" s="2" t="s">
        <v>190</v>
      </c>
      <c r="Q9"/>
      <c r="R9"/>
    </row>
    <row r="10" spans="1:22" s="2" customFormat="1" ht="20.5">
      <c r="A10" s="289" t="str">
        <f>K4</f>
        <v>2030F</v>
      </c>
      <c r="B10" s="290">
        <f>SUM(K5:K7)/1000000</f>
        <v>8.0810757500000011E-2</v>
      </c>
      <c r="C10" s="290">
        <f t="shared" si="2"/>
        <v>0.96569532368272937</v>
      </c>
      <c r="E10" s="181" t="s">
        <v>191</v>
      </c>
    </row>
    <row r="11" spans="1:22" s="2" customFormat="1" ht="21" thickBot="1">
      <c r="A11" s="291" t="s">
        <v>192</v>
      </c>
      <c r="B11" s="292">
        <f>SUM(B5:B10)</f>
        <v>0.89372259234999996</v>
      </c>
      <c r="C11" s="292"/>
      <c r="E11" s="293" t="s">
        <v>158</v>
      </c>
      <c r="F11" s="293" t="s">
        <v>175</v>
      </c>
      <c r="G11" s="293" t="s">
        <v>176</v>
      </c>
      <c r="H11" s="293" t="s">
        <v>177</v>
      </c>
      <c r="I11" s="293" t="s">
        <v>178</v>
      </c>
      <c r="J11" s="293" t="s">
        <v>179</v>
      </c>
      <c r="K11" s="293" t="s">
        <v>180</v>
      </c>
      <c r="L11" s="293" t="s">
        <v>181</v>
      </c>
      <c r="M11" s="293" t="s">
        <v>182</v>
      </c>
      <c r="P11" s="181" t="s">
        <v>193</v>
      </c>
    </row>
    <row r="12" spans="1:22" s="2" customFormat="1" ht="41.5" thickBot="1">
      <c r="A12" s="2" t="s">
        <v>135</v>
      </c>
      <c r="E12" s="459" t="s">
        <v>164</v>
      </c>
      <c r="F12" s="551">
        <f>IFERROR(F5/F$8,)</f>
        <v>0</v>
      </c>
      <c r="G12" s="551">
        <f t="shared" ref="G12:K15" si="5">G5/G$8</f>
        <v>1</v>
      </c>
      <c r="H12" s="551">
        <f t="shared" si="5"/>
        <v>1</v>
      </c>
      <c r="I12" s="551">
        <f t="shared" si="5"/>
        <v>0.55821769925963083</v>
      </c>
      <c r="J12" s="551">
        <f t="shared" si="5"/>
        <v>1</v>
      </c>
      <c r="K12" s="551">
        <f t="shared" si="5"/>
        <v>0.50152165694029038</v>
      </c>
      <c r="L12" s="551">
        <f t="shared" ref="L12:M12" si="6">L5/L$8</f>
        <v>0.17856484569511624</v>
      </c>
      <c r="M12" s="551">
        <f t="shared" si="6"/>
        <v>0</v>
      </c>
      <c r="P12" s="298" t="s">
        <v>194</v>
      </c>
      <c r="Q12" s="298" t="s">
        <v>184</v>
      </c>
      <c r="R12" s="298" t="s">
        <v>185</v>
      </c>
    </row>
    <row r="13" spans="1:22" s="2" customFormat="1" ht="21" thickBot="1">
      <c r="E13" s="459" t="s">
        <v>165</v>
      </c>
      <c r="F13" s="551">
        <f t="shared" ref="F13:F15" si="7">IFERROR(F6/F$8,)</f>
        <v>0</v>
      </c>
      <c r="G13" s="551">
        <f t="shared" si="5"/>
        <v>0</v>
      </c>
      <c r="H13" s="551">
        <f t="shared" si="5"/>
        <v>0</v>
      </c>
      <c r="I13" s="551">
        <f t="shared" si="5"/>
        <v>0.3620624088268804</v>
      </c>
      <c r="J13" s="551">
        <f t="shared" si="5"/>
        <v>0</v>
      </c>
      <c r="K13" s="551">
        <f t="shared" si="5"/>
        <v>0.49847834305970951</v>
      </c>
      <c r="L13" s="551">
        <f t="shared" ref="L13:M13" si="8">L6/L$8</f>
        <v>0.75457448397763882</v>
      </c>
      <c r="M13" s="551">
        <f t="shared" si="8"/>
        <v>0</v>
      </c>
      <c r="P13" s="328" t="s">
        <v>186</v>
      </c>
      <c r="Q13" s="329" cm="1">
        <f t="array" ref="Q13">SUM(G5:I5/1000000)</f>
        <v>0.35418958894999997</v>
      </c>
      <c r="R13" s="330">
        <f>Q13/$Q$16</f>
        <v>0.71580416829679339</v>
      </c>
    </row>
    <row r="14" spans="1:22" s="2" customFormat="1" ht="21" thickBot="1">
      <c r="E14" s="460" t="s">
        <v>166</v>
      </c>
      <c r="F14" s="552">
        <f t="shared" si="7"/>
        <v>0</v>
      </c>
      <c r="G14" s="552">
        <f t="shared" si="5"/>
        <v>0</v>
      </c>
      <c r="H14" s="552">
        <f t="shared" si="5"/>
        <v>0</v>
      </c>
      <c r="I14" s="552">
        <f t="shared" si="5"/>
        <v>7.9719891913488827E-2</v>
      </c>
      <c r="J14" s="552">
        <f t="shared" si="5"/>
        <v>0</v>
      </c>
      <c r="K14" s="552">
        <f t="shared" si="5"/>
        <v>0</v>
      </c>
      <c r="L14" s="552">
        <f t="shared" ref="L14:M14" si="9">L7/L$8</f>
        <v>6.6860670327244895E-2</v>
      </c>
      <c r="M14" s="552">
        <f t="shared" si="9"/>
        <v>1</v>
      </c>
      <c r="P14" s="331" t="s">
        <v>187</v>
      </c>
      <c r="Q14" s="1048" cm="1">
        <f t="array" ref="Q14">SUM(G6:I6/1000000)</f>
        <v>0.11524826499999999</v>
      </c>
      <c r="R14" s="333">
        <f>Q14/$Q$16</f>
        <v>0.23291251648737499</v>
      </c>
    </row>
    <row r="15" spans="1:22" s="2" customFormat="1" ht="21.5" thickTop="1" thickBot="1">
      <c r="E15" s="461" t="s">
        <v>189</v>
      </c>
      <c r="F15" s="618">
        <f t="shared" si="7"/>
        <v>0</v>
      </c>
      <c r="G15" s="618">
        <f t="shared" si="5"/>
        <v>1</v>
      </c>
      <c r="H15" s="618">
        <f t="shared" si="5"/>
        <v>1</v>
      </c>
      <c r="I15" s="618">
        <f t="shared" si="5"/>
        <v>1</v>
      </c>
      <c r="J15" s="618">
        <f t="shared" si="5"/>
        <v>1</v>
      </c>
      <c r="K15" s="618">
        <f t="shared" si="5"/>
        <v>1</v>
      </c>
      <c r="L15" s="618">
        <f t="shared" ref="L15:M15" si="10">L8/L$8</f>
        <v>1</v>
      </c>
      <c r="M15" s="618">
        <f t="shared" si="10"/>
        <v>1</v>
      </c>
      <c r="P15" s="328" t="s">
        <v>188</v>
      </c>
      <c r="Q15" s="329" cm="1">
        <f t="array" ref="Q15">SUM(G7:I7/1000000)</f>
        <v>2.537567835E-2</v>
      </c>
      <c r="R15" s="330">
        <f>Q15/$Q$16</f>
        <v>5.1283315215831668E-2</v>
      </c>
    </row>
    <row r="16" spans="1:22" s="2" customFormat="1" ht="21" thickBot="1">
      <c r="E16" s="622"/>
      <c r="F16" s="623"/>
      <c r="G16" s="623"/>
      <c r="H16" s="623"/>
      <c r="I16" s="623"/>
      <c r="J16" s="623"/>
      <c r="K16" s="623"/>
      <c r="L16" s="623"/>
      <c r="M16" s="623"/>
      <c r="P16" s="322" t="s">
        <v>98</v>
      </c>
      <c r="Q16" s="334">
        <f>SUM(Q13:Q15)</f>
        <v>0.49481353229999991</v>
      </c>
      <c r="R16" s="335">
        <f>SUM(R13:R15)</f>
        <v>1</v>
      </c>
    </row>
    <row r="17" spans="1:19" s="2" customFormat="1" ht="20.5">
      <c r="E17" s="181" t="s">
        <v>195</v>
      </c>
      <c r="H17" s="41"/>
      <c r="I17" s="41"/>
      <c r="P17" s="2" t="s">
        <v>190</v>
      </c>
      <c r="Q17"/>
      <c r="R17"/>
    </row>
    <row r="18" spans="1:19" s="2" customFormat="1" ht="20.5">
      <c r="E18" s="293" t="s">
        <v>158</v>
      </c>
      <c r="F18" s="293" t="s">
        <v>175</v>
      </c>
      <c r="G18" s="293" t="s">
        <v>176</v>
      </c>
      <c r="H18" s="293" t="s">
        <v>177</v>
      </c>
      <c r="I18" s="293" t="s">
        <v>178</v>
      </c>
      <c r="J18" s="293" t="s">
        <v>179</v>
      </c>
      <c r="K18" s="293" t="s">
        <v>180</v>
      </c>
      <c r="L18" s="293" t="s">
        <v>181</v>
      </c>
      <c r="M18" s="293" t="s">
        <v>182</v>
      </c>
    </row>
    <row r="19" spans="1:19" s="2" customFormat="1" ht="20.5">
      <c r="E19" s="459" t="s">
        <v>164</v>
      </c>
      <c r="F19" s="619">
        <f t="shared" ref="F19:M21" si="11">COUNTIFS($A$36:$A$69,LEFT(F$18,4),$G$36:$G$69,$E19)</f>
        <v>0</v>
      </c>
      <c r="G19" s="619">
        <f t="shared" si="11"/>
        <v>4</v>
      </c>
      <c r="H19" s="619">
        <f t="shared" si="11"/>
        <v>6</v>
      </c>
      <c r="I19" s="619">
        <f t="shared" si="11"/>
        <v>6</v>
      </c>
      <c r="J19" s="619">
        <f t="shared" si="11"/>
        <v>6</v>
      </c>
      <c r="K19" s="619">
        <f t="shared" si="11"/>
        <v>1</v>
      </c>
      <c r="L19" s="619">
        <f t="shared" si="11"/>
        <v>3</v>
      </c>
      <c r="M19" s="619">
        <f t="shared" si="11"/>
        <v>0</v>
      </c>
    </row>
    <row r="20" spans="1:19" s="2" customFormat="1" ht="20.5">
      <c r="E20" s="459" t="s">
        <v>165</v>
      </c>
      <c r="F20" s="619">
        <f t="shared" si="11"/>
        <v>0</v>
      </c>
      <c r="G20" s="619">
        <f t="shared" si="11"/>
        <v>0</v>
      </c>
      <c r="H20" s="619">
        <f t="shared" si="11"/>
        <v>0</v>
      </c>
      <c r="I20" s="619">
        <f t="shared" si="11"/>
        <v>2</v>
      </c>
      <c r="J20" s="619">
        <f t="shared" si="11"/>
        <v>0</v>
      </c>
      <c r="K20" s="619">
        <f t="shared" si="11"/>
        <v>1</v>
      </c>
      <c r="L20" s="619">
        <f t="shared" si="11"/>
        <v>1</v>
      </c>
      <c r="M20" s="619">
        <f t="shared" si="11"/>
        <v>0</v>
      </c>
    </row>
    <row r="21" spans="1:19" s="2" customFormat="1" ht="21" thickBot="1">
      <c r="E21" s="460" t="s">
        <v>166</v>
      </c>
      <c r="F21" s="620">
        <f t="shared" si="11"/>
        <v>0</v>
      </c>
      <c r="G21" s="620">
        <f t="shared" si="11"/>
        <v>0</v>
      </c>
      <c r="H21" s="620">
        <f t="shared" si="11"/>
        <v>0</v>
      </c>
      <c r="I21" s="620">
        <f t="shared" si="11"/>
        <v>2</v>
      </c>
      <c r="J21" s="620">
        <f t="shared" si="11"/>
        <v>0</v>
      </c>
      <c r="K21" s="620">
        <f t="shared" si="11"/>
        <v>0</v>
      </c>
      <c r="L21" s="620">
        <f t="shared" si="11"/>
        <v>1</v>
      </c>
      <c r="M21" s="620">
        <f t="shared" si="11"/>
        <v>1</v>
      </c>
    </row>
    <row r="22" spans="1:19" s="2" customFormat="1" ht="21" thickTop="1">
      <c r="E22" s="461" t="s">
        <v>189</v>
      </c>
      <c r="F22" s="621">
        <f>SUM(F19:F21)</f>
        <v>0</v>
      </c>
      <c r="G22" s="621">
        <f t="shared" ref="G22:K22" si="12">SUM(G19:G21)</f>
        <v>4</v>
      </c>
      <c r="H22" s="621">
        <f t="shared" si="12"/>
        <v>6</v>
      </c>
      <c r="I22" s="621">
        <f t="shared" si="12"/>
        <v>10</v>
      </c>
      <c r="J22" s="621">
        <f t="shared" si="12"/>
        <v>6</v>
      </c>
      <c r="K22" s="621">
        <f t="shared" si="12"/>
        <v>2</v>
      </c>
      <c r="L22" s="621">
        <f t="shared" ref="L22:M22" si="13">SUM(L19:L21)</f>
        <v>5</v>
      </c>
      <c r="M22" s="621">
        <f t="shared" si="13"/>
        <v>1</v>
      </c>
    </row>
    <row r="23" spans="1:19" s="2" customFormat="1" ht="14.5">
      <c r="H23" s="41"/>
      <c r="I23" s="41"/>
    </row>
    <row r="24" spans="1:19" s="2" customFormat="1" ht="21" thickBot="1">
      <c r="A24" s="294" t="s">
        <v>196</v>
      </c>
      <c r="B24" s="295"/>
      <c r="C24" s="295"/>
      <c r="D24" s="295"/>
      <c r="E24" s="48"/>
      <c r="F24" s="48"/>
      <c r="G24" s="296"/>
      <c r="H24" s="297"/>
      <c r="I24" s="108"/>
    </row>
    <row r="25" spans="1:19" s="2" customFormat="1" ht="43.5" customHeight="1" thickBot="1">
      <c r="A25" s="287" t="s">
        <v>89</v>
      </c>
      <c r="B25" s="298" t="s">
        <v>197</v>
      </c>
      <c r="C25" s="298" t="s">
        <v>198</v>
      </c>
      <c r="D25" s="298" t="s">
        <v>199</v>
      </c>
      <c r="E25" s="298" t="s">
        <v>200</v>
      </c>
      <c r="F25" s="298" t="s">
        <v>201</v>
      </c>
      <c r="G25" s="298" t="s">
        <v>158</v>
      </c>
      <c r="H25" s="299" t="s">
        <v>202</v>
      </c>
      <c r="I25" s="41"/>
      <c r="S25" s="109"/>
    </row>
    <row r="26" spans="1:19" s="2" customFormat="1" ht="20.149999999999999" customHeight="1" thickBot="1">
      <c r="A26" s="300">
        <v>2024</v>
      </c>
      <c r="B26" s="300" t="s">
        <v>203</v>
      </c>
      <c r="C26" s="300" t="s">
        <v>204</v>
      </c>
      <c r="D26" s="300" t="s">
        <v>205</v>
      </c>
      <c r="E26" s="300" t="s">
        <v>206</v>
      </c>
      <c r="F26" s="300" t="s">
        <v>207</v>
      </c>
      <c r="G26" s="300" t="s">
        <v>188</v>
      </c>
      <c r="H26" s="301">
        <v>4.2861521450000002E-2</v>
      </c>
      <c r="I26" s="41"/>
      <c r="J26" s="2" t="s">
        <v>208</v>
      </c>
      <c r="S26" s="109"/>
    </row>
    <row r="27" spans="1:19" s="2" customFormat="1" ht="20.149999999999999" customHeight="1" thickBot="1">
      <c r="A27" s="302">
        <v>2024</v>
      </c>
      <c r="B27" s="303" t="s">
        <v>209</v>
      </c>
      <c r="C27" s="303" t="s">
        <v>204</v>
      </c>
      <c r="D27" s="303" t="s">
        <v>210</v>
      </c>
      <c r="E27" s="303" t="s">
        <v>211</v>
      </c>
      <c r="F27" s="303" t="s">
        <v>212</v>
      </c>
      <c r="G27" s="303" t="s">
        <v>186</v>
      </c>
      <c r="H27" s="303">
        <v>1.2746885532729501E-2</v>
      </c>
      <c r="S27" s="164"/>
    </row>
    <row r="28" spans="1:19" s="2" customFormat="1" ht="20.149999999999999" customHeight="1" thickBot="1">
      <c r="A28" s="300">
        <v>2024</v>
      </c>
      <c r="B28" s="300" t="s">
        <v>213</v>
      </c>
      <c r="C28" s="300" t="s">
        <v>204</v>
      </c>
      <c r="D28" s="300" t="s">
        <v>214</v>
      </c>
      <c r="E28" s="300" t="s">
        <v>215</v>
      </c>
      <c r="F28" s="300" t="s">
        <v>216</v>
      </c>
      <c r="G28" s="300" t="s">
        <v>187</v>
      </c>
      <c r="H28" s="301">
        <v>8.1813968499999997E-3</v>
      </c>
      <c r="S28" s="164"/>
    </row>
    <row r="29" spans="1:19" s="2" customFormat="1" ht="20.149999999999999" customHeight="1" thickBot="1">
      <c r="A29" s="302">
        <v>2025</v>
      </c>
      <c r="B29" s="303" t="s">
        <v>217</v>
      </c>
      <c r="C29" s="303" t="s">
        <v>204</v>
      </c>
      <c r="D29" s="303" t="s">
        <v>218</v>
      </c>
      <c r="E29" s="303" t="s">
        <v>219</v>
      </c>
      <c r="F29" s="303" t="s">
        <v>220</v>
      </c>
      <c r="G29" s="303" t="s">
        <v>186</v>
      </c>
      <c r="H29" s="303">
        <f>'Existing Supply'!D24/1000000</f>
        <v>0</v>
      </c>
      <c r="S29" s="164"/>
    </row>
    <row r="30" spans="1:19" s="2" customFormat="1" ht="20.149999999999999" customHeight="1" thickBot="1">
      <c r="A30" s="300">
        <v>2025</v>
      </c>
      <c r="B30" s="300" t="s">
        <v>221</v>
      </c>
      <c r="C30" s="300" t="s">
        <v>204</v>
      </c>
      <c r="D30" s="300" t="s">
        <v>222</v>
      </c>
      <c r="E30" s="300" t="s">
        <v>223</v>
      </c>
      <c r="F30" s="300" t="s">
        <v>224</v>
      </c>
      <c r="G30" s="300" t="s">
        <v>187</v>
      </c>
      <c r="H30" s="301">
        <v>8.1829274999999993E-3</v>
      </c>
      <c r="S30" s="164"/>
    </row>
    <row r="31" spans="1:19" s="2" customFormat="1" ht="20.149999999999999" customHeight="1" thickBot="1">
      <c r="A31" s="302">
        <v>2025</v>
      </c>
      <c r="B31" s="303" t="s">
        <v>209</v>
      </c>
      <c r="C31" s="303" t="s">
        <v>204</v>
      </c>
      <c r="D31" s="303" t="s">
        <v>225</v>
      </c>
      <c r="E31" s="303" t="s">
        <v>226</v>
      </c>
      <c r="F31" s="303" t="s">
        <v>220</v>
      </c>
      <c r="G31" s="303" t="s">
        <v>186</v>
      </c>
      <c r="H31" s="303">
        <v>2.0253746967270499E-2</v>
      </c>
      <c r="S31" s="164"/>
    </row>
    <row r="32" spans="1:19" s="2" customFormat="1" ht="17.149999999999999" customHeight="1">
      <c r="A32" s="2" t="s">
        <v>135</v>
      </c>
      <c r="B32" s="104"/>
      <c r="C32" s="103"/>
      <c r="D32" s="105"/>
      <c r="E32" s="104"/>
      <c r="F32" s="104"/>
      <c r="G32" s="104"/>
      <c r="H32" s="102"/>
      <c r="S32" s="164"/>
    </row>
    <row r="33" spans="1:22" s="2" customFormat="1" ht="17.149999999999999" customHeight="1">
      <c r="A33" s="24"/>
      <c r="B33" s="104"/>
      <c r="C33" s="103"/>
      <c r="D33" s="105"/>
      <c r="E33" s="104"/>
      <c r="F33" s="104"/>
      <c r="G33" s="104"/>
      <c r="H33" s="102"/>
      <c r="J33" s="19"/>
      <c r="S33" s="164"/>
    </row>
    <row r="34" spans="1:22" s="2" customFormat="1" ht="17.899999999999999" customHeight="1">
      <c r="A34" s="294" t="s">
        <v>227</v>
      </c>
      <c r="B34" s="295"/>
      <c r="C34" s="295"/>
      <c r="D34" s="48"/>
      <c r="E34" s="48"/>
      <c r="F34" s="304"/>
      <c r="G34" s="48"/>
      <c r="H34" s="48"/>
      <c r="I34" s="48"/>
      <c r="J34" s="304"/>
      <c r="Q34" s="50"/>
      <c r="R34" s="162"/>
      <c r="S34" s="164"/>
    </row>
    <row r="35" spans="1:22" s="2" customFormat="1" ht="75" customHeight="1" thickBot="1">
      <c r="A35" s="305" t="s">
        <v>89</v>
      </c>
      <c r="B35" s="305" t="s">
        <v>197</v>
      </c>
      <c r="C35" s="305" t="s">
        <v>198</v>
      </c>
      <c r="D35" s="305" t="s">
        <v>228</v>
      </c>
      <c r="E35" s="305" t="s">
        <v>200</v>
      </c>
      <c r="F35" s="305" t="s">
        <v>201</v>
      </c>
      <c r="G35" s="305" t="s">
        <v>158</v>
      </c>
      <c r="H35" s="305" t="s">
        <v>229</v>
      </c>
      <c r="I35" s="305" t="s">
        <v>230</v>
      </c>
      <c r="J35" s="866"/>
      <c r="P35" s="8" t="s">
        <v>231</v>
      </c>
      <c r="S35" s="165"/>
    </row>
    <row r="36" spans="1:22" s="2" customFormat="1" ht="22.4" customHeight="1" thickBot="1">
      <c r="A36" s="319">
        <v>2026</v>
      </c>
      <c r="B36" s="319" t="s">
        <v>232</v>
      </c>
      <c r="C36" s="319" t="s">
        <v>233</v>
      </c>
      <c r="D36" s="320" t="s">
        <v>234</v>
      </c>
      <c r="E36" s="319" t="s">
        <v>235</v>
      </c>
      <c r="F36" s="457" t="s">
        <v>236</v>
      </c>
      <c r="G36" s="319" t="s">
        <v>237</v>
      </c>
      <c r="H36" s="321">
        <v>3.5096049999999997E-2</v>
      </c>
      <c r="I36" s="321"/>
      <c r="J36" s="866"/>
      <c r="P36" s="1162" t="s">
        <v>238</v>
      </c>
      <c r="Q36" s="1163"/>
      <c r="R36" s="1163"/>
      <c r="S36" s="1163"/>
      <c r="T36" s="1164"/>
      <c r="U36" s="52"/>
      <c r="V36" s="52"/>
    </row>
    <row r="37" spans="1:22" s="2" customFormat="1" ht="22.4" customHeight="1" thickBot="1">
      <c r="A37" s="306">
        <v>2026</v>
      </c>
      <c r="B37" s="306" t="s">
        <v>232</v>
      </c>
      <c r="C37" s="306" t="s">
        <v>233</v>
      </c>
      <c r="D37" s="314" t="s">
        <v>239</v>
      </c>
      <c r="E37" s="306" t="s">
        <v>240</v>
      </c>
      <c r="F37" s="306" t="s">
        <v>241</v>
      </c>
      <c r="G37" s="306" t="s">
        <v>186</v>
      </c>
      <c r="H37" s="315">
        <f>(41984*0.3025)/1000000</f>
        <v>1.270016E-2</v>
      </c>
      <c r="I37" s="315"/>
      <c r="J37" s="866"/>
      <c r="P37" s="1165"/>
      <c r="Q37" s="1166"/>
      <c r="R37" s="1166"/>
      <c r="S37" s="1166"/>
      <c r="T37" s="1167"/>
    </row>
    <row r="38" spans="1:22" s="2" customFormat="1" ht="22.4" customHeight="1" thickBot="1">
      <c r="A38" s="300">
        <v>2026</v>
      </c>
      <c r="B38" s="300" t="s">
        <v>242</v>
      </c>
      <c r="C38" s="300" t="s">
        <v>233</v>
      </c>
      <c r="D38" s="313" t="s">
        <v>243</v>
      </c>
      <c r="E38" s="300" t="s">
        <v>244</v>
      </c>
      <c r="F38" s="300" t="s">
        <v>241</v>
      </c>
      <c r="G38" s="300" t="s">
        <v>186</v>
      </c>
      <c r="H38" s="301">
        <v>3.2035000000000001E-2</v>
      </c>
      <c r="I38" s="301"/>
      <c r="J38" s="866"/>
      <c r="P38" s="1165"/>
      <c r="Q38" s="1166"/>
      <c r="R38" s="1166"/>
      <c r="S38" s="1166"/>
      <c r="T38" s="1167"/>
    </row>
    <row r="39" spans="1:22" s="2" customFormat="1" ht="66.650000000000006" customHeight="1" thickBot="1">
      <c r="A39" s="316">
        <v>2026</v>
      </c>
      <c r="B39" s="316" t="s">
        <v>242</v>
      </c>
      <c r="C39" s="316" t="s">
        <v>233</v>
      </c>
      <c r="D39" s="317" t="s">
        <v>245</v>
      </c>
      <c r="E39" s="316" t="s">
        <v>246</v>
      </c>
      <c r="F39" s="316" t="s">
        <v>241</v>
      </c>
      <c r="G39" s="316" t="s">
        <v>186</v>
      </c>
      <c r="H39" s="318">
        <v>9.9740000000000002E-3</v>
      </c>
      <c r="I39" s="318" t="s">
        <v>247</v>
      </c>
      <c r="J39" s="866"/>
      <c r="P39" s="1165"/>
      <c r="Q39" s="1166"/>
      <c r="R39" s="1166"/>
      <c r="S39" s="1166"/>
      <c r="T39" s="1167"/>
    </row>
    <row r="40" spans="1:22" s="2" customFormat="1" ht="22.4" customHeight="1" thickTop="1" thickBot="1">
      <c r="A40" s="306">
        <v>2027</v>
      </c>
      <c r="B40" s="306" t="s">
        <v>203</v>
      </c>
      <c r="C40" s="306" t="s">
        <v>248</v>
      </c>
      <c r="D40" s="314" t="s">
        <v>249</v>
      </c>
      <c r="E40" s="306" t="s">
        <v>244</v>
      </c>
      <c r="F40" s="306" t="s">
        <v>241</v>
      </c>
      <c r="G40" s="306" t="s">
        <v>186</v>
      </c>
      <c r="H40" s="315">
        <v>1.9659172500000002E-2</v>
      </c>
      <c r="I40" s="315"/>
      <c r="J40" s="866"/>
      <c r="P40" s="1165"/>
      <c r="Q40" s="1166"/>
      <c r="R40" s="1166"/>
      <c r="S40" s="1166"/>
      <c r="T40" s="1167"/>
    </row>
    <row r="41" spans="1:22" s="2" customFormat="1" ht="22.4" customHeight="1" thickBot="1">
      <c r="A41" s="300">
        <v>2027</v>
      </c>
      <c r="B41" s="300" t="s">
        <v>203</v>
      </c>
      <c r="C41" s="300" t="s">
        <v>248</v>
      </c>
      <c r="D41" s="313" t="s">
        <v>250</v>
      </c>
      <c r="E41" s="300" t="s">
        <v>244</v>
      </c>
      <c r="F41" s="300" t="s">
        <v>241</v>
      </c>
      <c r="G41" s="300" t="s">
        <v>186</v>
      </c>
      <c r="H41" s="301">
        <v>1.5759505850000001E-2</v>
      </c>
      <c r="I41" s="301"/>
      <c r="J41" s="866"/>
      <c r="P41" s="1165"/>
      <c r="Q41" s="1166"/>
      <c r="R41" s="1166"/>
      <c r="S41" s="1166"/>
      <c r="T41" s="1167"/>
    </row>
    <row r="42" spans="1:22" s="2" customFormat="1" ht="22.4" customHeight="1" thickBot="1">
      <c r="A42" s="306">
        <v>2027</v>
      </c>
      <c r="B42" s="306" t="s">
        <v>251</v>
      </c>
      <c r="C42" s="306" t="s">
        <v>248</v>
      </c>
      <c r="D42" s="314" t="s">
        <v>252</v>
      </c>
      <c r="E42" s="306" t="s">
        <v>253</v>
      </c>
      <c r="F42" s="306" t="s">
        <v>241</v>
      </c>
      <c r="G42" s="306" t="s">
        <v>186</v>
      </c>
      <c r="H42" s="315">
        <v>1.3583E-2</v>
      </c>
      <c r="I42" s="315"/>
      <c r="J42" s="866"/>
      <c r="K42" s="877"/>
      <c r="L42" s="109"/>
      <c r="M42" s="109"/>
      <c r="N42" s="109"/>
      <c r="O42" s="109"/>
      <c r="P42" s="1165"/>
      <c r="Q42" s="1166"/>
      <c r="R42" s="1166"/>
      <c r="S42" s="1166"/>
      <c r="T42" s="1167"/>
    </row>
    <row r="43" spans="1:22" s="2" customFormat="1" ht="22.4" customHeight="1" thickBot="1">
      <c r="A43" s="543">
        <v>2027</v>
      </c>
      <c r="B43" s="543" t="s">
        <v>213</v>
      </c>
      <c r="C43" s="543" t="s">
        <v>248</v>
      </c>
      <c r="D43" s="313" t="s">
        <v>254</v>
      </c>
      <c r="E43" s="300" t="s">
        <v>244</v>
      </c>
      <c r="F43" s="300" t="s">
        <v>241</v>
      </c>
      <c r="G43" s="300" t="s">
        <v>186</v>
      </c>
      <c r="H43" s="301">
        <f>9459.147775/1000000</f>
        <v>9.4591477749999993E-3</v>
      </c>
      <c r="I43" s="544"/>
      <c r="J43" s="866"/>
      <c r="K43" s="877"/>
      <c r="L43" s="109"/>
      <c r="M43" s="109"/>
      <c r="N43" s="109"/>
      <c r="O43" s="109"/>
      <c r="P43" s="1165"/>
      <c r="Q43" s="1166"/>
      <c r="R43" s="1166"/>
      <c r="S43" s="1166"/>
      <c r="T43" s="1167"/>
    </row>
    <row r="44" spans="1:22" s="861" customFormat="1" ht="22.4" customHeight="1" thickBot="1">
      <c r="A44" s="306">
        <v>2027</v>
      </c>
      <c r="B44" s="306" t="s">
        <v>242</v>
      </c>
      <c r="C44" s="306" t="s">
        <v>248</v>
      </c>
      <c r="D44" s="314" t="s">
        <v>255</v>
      </c>
      <c r="E44" s="306" t="s">
        <v>244</v>
      </c>
      <c r="F44" s="306" t="s">
        <v>241</v>
      </c>
      <c r="G44" s="306" t="s">
        <v>186</v>
      </c>
      <c r="H44" s="315">
        <f>9098/1000000</f>
        <v>9.0980000000000002E-3</v>
      </c>
      <c r="I44" s="315"/>
      <c r="J44" s="866"/>
      <c r="K44" s="862"/>
      <c r="L44" s="862"/>
      <c r="M44" s="862"/>
      <c r="N44" s="862"/>
      <c r="O44" s="862"/>
      <c r="P44" s="1165"/>
      <c r="Q44" s="1166"/>
      <c r="R44" s="1166"/>
      <c r="S44" s="1166"/>
      <c r="T44" s="1167"/>
      <c r="U44" s="862"/>
    </row>
    <row r="45" spans="1:22" s="2" customFormat="1" ht="22.4" customHeight="1" thickBot="1">
      <c r="A45" s="307">
        <v>2027</v>
      </c>
      <c r="B45" s="307" t="s">
        <v>242</v>
      </c>
      <c r="C45" s="307" t="s">
        <v>248</v>
      </c>
      <c r="D45" s="308" t="s">
        <v>256</v>
      </c>
      <c r="E45" s="307" t="s">
        <v>257</v>
      </c>
      <c r="F45" s="307" t="s">
        <v>258</v>
      </c>
      <c r="G45" s="307" t="s">
        <v>186</v>
      </c>
      <c r="H45" s="309">
        <v>1.9139E-2</v>
      </c>
      <c r="I45" s="309"/>
      <c r="J45" s="866"/>
      <c r="K45" s="109"/>
      <c r="L45" s="109"/>
      <c r="M45" s="109"/>
      <c r="N45" s="109"/>
      <c r="O45" s="109"/>
      <c r="P45" s="1165"/>
      <c r="Q45" s="1166"/>
      <c r="R45" s="1166"/>
      <c r="S45" s="1166"/>
      <c r="T45" s="1167"/>
      <c r="U45" s="109"/>
    </row>
    <row r="46" spans="1:22" s="2" customFormat="1" ht="22.4" customHeight="1" thickTop="1" thickBot="1">
      <c r="A46" s="306">
        <v>2028</v>
      </c>
      <c r="B46" s="306" t="s">
        <v>203</v>
      </c>
      <c r="C46" s="306" t="s">
        <v>259</v>
      </c>
      <c r="D46" s="314" t="s">
        <v>260</v>
      </c>
      <c r="E46" s="306" t="s">
        <v>261</v>
      </c>
      <c r="F46" s="306" t="s">
        <v>262</v>
      </c>
      <c r="G46" s="306" t="s">
        <v>263</v>
      </c>
      <c r="H46" s="315">
        <v>0.105875</v>
      </c>
      <c r="I46" s="315"/>
      <c r="J46" s="866"/>
      <c r="K46" s="863"/>
      <c r="L46" s="863"/>
      <c r="M46" s="863"/>
      <c r="N46" s="109"/>
      <c r="O46" s="109"/>
      <c r="P46" s="1165"/>
      <c r="Q46" s="1166"/>
      <c r="R46" s="1166"/>
      <c r="S46" s="1166"/>
      <c r="T46" s="1167"/>
      <c r="U46" s="109"/>
    </row>
    <row r="47" spans="1:22" s="2" customFormat="1" ht="22.4" customHeight="1" thickBot="1">
      <c r="A47" s="300">
        <v>2028</v>
      </c>
      <c r="B47" s="300" t="s">
        <v>203</v>
      </c>
      <c r="C47" s="300" t="s">
        <v>264</v>
      </c>
      <c r="D47" s="313" t="s">
        <v>265</v>
      </c>
      <c r="E47" s="300" t="s">
        <v>266</v>
      </c>
      <c r="F47" s="300" t="s">
        <v>267</v>
      </c>
      <c r="G47" s="300" t="s">
        <v>188</v>
      </c>
      <c r="H47" s="301">
        <v>1.479664835E-2</v>
      </c>
      <c r="I47" s="301"/>
      <c r="J47" s="866"/>
      <c r="K47" s="877"/>
      <c r="L47" s="109"/>
      <c r="M47" s="109"/>
      <c r="N47" s="109"/>
      <c r="O47" s="109"/>
      <c r="P47" s="1165"/>
      <c r="Q47" s="1166"/>
      <c r="R47" s="1166"/>
      <c r="S47" s="1166"/>
      <c r="T47" s="1167"/>
      <c r="U47" s="109"/>
    </row>
    <row r="48" spans="1:22" s="2" customFormat="1" ht="22.4" customHeight="1" thickBot="1">
      <c r="A48" s="306">
        <v>2028</v>
      </c>
      <c r="B48" s="306" t="s">
        <v>251</v>
      </c>
      <c r="C48" s="306" t="s">
        <v>264</v>
      </c>
      <c r="D48" s="314" t="s">
        <v>268</v>
      </c>
      <c r="E48" s="306" t="s">
        <v>244</v>
      </c>
      <c r="F48" s="306" t="s">
        <v>241</v>
      </c>
      <c r="G48" s="306" t="s">
        <v>186</v>
      </c>
      <c r="H48" s="315">
        <v>6.54569344E-2</v>
      </c>
      <c r="I48" s="315"/>
      <c r="J48" s="866"/>
      <c r="K48" s="877"/>
      <c r="L48" s="109"/>
      <c r="M48" s="109"/>
      <c r="N48" s="109"/>
      <c r="O48" s="109"/>
      <c r="P48" s="1165"/>
      <c r="Q48" s="1166"/>
      <c r="R48" s="1166"/>
      <c r="S48" s="1166"/>
      <c r="T48" s="1167"/>
      <c r="U48" s="109"/>
    </row>
    <row r="49" spans="1:28" s="2" customFormat="1" ht="22.4" customHeight="1" thickBot="1">
      <c r="A49" s="300">
        <v>2028</v>
      </c>
      <c r="B49" s="300" t="s">
        <v>242</v>
      </c>
      <c r="C49" s="300" t="s">
        <v>264</v>
      </c>
      <c r="D49" s="313" t="s">
        <v>269</v>
      </c>
      <c r="E49" s="300" t="s">
        <v>270</v>
      </c>
      <c r="F49" s="300" t="s">
        <v>241</v>
      </c>
      <c r="G49" s="300" t="s">
        <v>186</v>
      </c>
      <c r="H49" s="301">
        <f>13770.456425/1000000</f>
        <v>1.3770456425000001E-2</v>
      </c>
      <c r="I49" s="301"/>
      <c r="J49" s="866"/>
      <c r="K49" s="877"/>
      <c r="L49" s="109"/>
      <c r="M49" s="109"/>
      <c r="N49" s="109"/>
      <c r="O49" s="109"/>
      <c r="P49" s="1165"/>
      <c r="Q49" s="1166"/>
      <c r="R49" s="1166"/>
      <c r="S49" s="1166"/>
      <c r="T49" s="1167"/>
      <c r="U49" s="109"/>
    </row>
    <row r="50" spans="1:28" s="2" customFormat="1" ht="22.4" customHeight="1" thickBot="1">
      <c r="A50" s="306">
        <v>2028</v>
      </c>
      <c r="B50" s="306" t="s">
        <v>242</v>
      </c>
      <c r="C50" s="306" t="s">
        <v>264</v>
      </c>
      <c r="D50" s="314" t="s">
        <v>271</v>
      </c>
      <c r="E50" s="306" t="s">
        <v>272</v>
      </c>
      <c r="F50" s="306" t="s">
        <v>241</v>
      </c>
      <c r="G50" s="306" t="s">
        <v>186</v>
      </c>
      <c r="H50" s="315">
        <v>1.0168235000000001E-2</v>
      </c>
      <c r="I50" s="315"/>
      <c r="J50" s="866"/>
      <c r="K50" s="109"/>
      <c r="L50" s="109"/>
      <c r="M50" s="109"/>
      <c r="N50" s="109"/>
      <c r="O50" s="109"/>
      <c r="P50" s="1165"/>
      <c r="Q50" s="1166"/>
      <c r="R50" s="1166"/>
      <c r="S50" s="1166"/>
      <c r="T50" s="1167"/>
      <c r="U50" s="109"/>
    </row>
    <row r="51" spans="1:28" s="2" customFormat="1" ht="22.4" customHeight="1" thickBot="1">
      <c r="A51" s="300">
        <v>2028</v>
      </c>
      <c r="B51" s="300" t="s">
        <v>242</v>
      </c>
      <c r="C51" s="300" t="s">
        <v>264</v>
      </c>
      <c r="D51" s="313" t="s">
        <v>273</v>
      </c>
      <c r="E51" s="300" t="s">
        <v>274</v>
      </c>
      <c r="F51" s="300" t="s">
        <v>241</v>
      </c>
      <c r="G51" s="300" t="s">
        <v>186</v>
      </c>
      <c r="H51" s="301">
        <v>3.0822934999999999E-2</v>
      </c>
      <c r="I51" s="301"/>
      <c r="J51" s="866"/>
      <c r="K51" s="659"/>
      <c r="L51" s="659"/>
      <c r="M51" s="659"/>
      <c r="N51" s="109"/>
      <c r="O51" s="109"/>
      <c r="P51" s="1165"/>
      <c r="Q51" s="1166"/>
      <c r="R51" s="1166"/>
      <c r="S51" s="1166"/>
      <c r="T51" s="1167"/>
      <c r="U51" s="109"/>
    </row>
    <row r="52" spans="1:28" s="861" customFormat="1" ht="22.4" customHeight="1" thickBot="1">
      <c r="A52" s="306">
        <v>2028</v>
      </c>
      <c r="B52" s="306" t="s">
        <v>242</v>
      </c>
      <c r="C52" s="306" t="s">
        <v>264</v>
      </c>
      <c r="D52" s="314" t="s">
        <v>275</v>
      </c>
      <c r="E52" s="306" t="s">
        <v>270</v>
      </c>
      <c r="F52" s="306" t="s">
        <v>276</v>
      </c>
      <c r="G52" s="306" t="s">
        <v>186</v>
      </c>
      <c r="H52" s="315">
        <v>8.3719999999999992E-3</v>
      </c>
      <c r="I52" s="315"/>
      <c r="J52" s="866"/>
      <c r="K52" s="864"/>
      <c r="L52" s="864"/>
      <c r="M52" s="864"/>
      <c r="N52" s="862"/>
      <c r="O52" s="862"/>
      <c r="P52" s="1165"/>
      <c r="Q52" s="1166"/>
      <c r="R52" s="1166"/>
      <c r="S52" s="1166"/>
      <c r="T52" s="1167"/>
      <c r="U52" s="862"/>
    </row>
    <row r="53" spans="1:28" s="861" customFormat="1" ht="22.4" customHeight="1" thickBot="1">
      <c r="A53" s="300">
        <v>2028</v>
      </c>
      <c r="B53" s="300" t="s">
        <v>242</v>
      </c>
      <c r="C53" s="300" t="s">
        <v>264</v>
      </c>
      <c r="D53" s="313" t="s">
        <v>277</v>
      </c>
      <c r="E53" s="300" t="s">
        <v>278</v>
      </c>
      <c r="F53" s="300" t="s">
        <v>279</v>
      </c>
      <c r="G53" s="300" t="s">
        <v>165</v>
      </c>
      <c r="H53" s="301">
        <v>9.3732649999999987E-3</v>
      </c>
      <c r="I53" s="301"/>
      <c r="J53" s="866"/>
      <c r="K53" s="864"/>
      <c r="L53" s="864"/>
      <c r="M53" s="864"/>
      <c r="N53" s="862"/>
      <c r="O53" s="862"/>
      <c r="P53" s="1165"/>
      <c r="Q53" s="1166"/>
      <c r="R53" s="1166"/>
      <c r="S53" s="1166"/>
      <c r="T53" s="1167"/>
      <c r="U53" s="862"/>
    </row>
    <row r="54" spans="1:28" s="861" customFormat="1" ht="22.4" customHeight="1" thickBot="1">
      <c r="A54" s="306">
        <v>2028</v>
      </c>
      <c r="B54" s="306" t="s">
        <v>242</v>
      </c>
      <c r="C54" s="306" t="s">
        <v>264</v>
      </c>
      <c r="D54" s="314" t="s">
        <v>280</v>
      </c>
      <c r="E54" s="306" t="s">
        <v>281</v>
      </c>
      <c r="F54" s="306" t="s">
        <v>282</v>
      </c>
      <c r="G54" s="306" t="s">
        <v>166</v>
      </c>
      <c r="H54" s="315">
        <v>1.057903E-2</v>
      </c>
      <c r="I54" s="315"/>
      <c r="J54" s="866"/>
      <c r="K54" s="864"/>
      <c r="L54" s="864"/>
      <c r="M54" s="864"/>
      <c r="N54" s="862"/>
      <c r="O54" s="862"/>
      <c r="P54" s="1165"/>
      <c r="Q54" s="1166"/>
      <c r="R54" s="1166"/>
      <c r="S54" s="1166"/>
      <c r="T54" s="1167"/>
      <c r="U54" s="862"/>
    </row>
    <row r="55" spans="1:28" s="2" customFormat="1" ht="22.4" customHeight="1" thickBot="1">
      <c r="A55" s="307">
        <v>2028</v>
      </c>
      <c r="B55" s="307" t="s">
        <v>242</v>
      </c>
      <c r="C55" s="307" t="s">
        <v>264</v>
      </c>
      <c r="D55" s="308" t="s">
        <v>283</v>
      </c>
      <c r="E55" s="307" t="s">
        <v>284</v>
      </c>
      <c r="F55" s="307" t="s">
        <v>241</v>
      </c>
      <c r="G55" s="307" t="s">
        <v>186</v>
      </c>
      <c r="H55" s="309">
        <v>4.9095991999999998E-2</v>
      </c>
      <c r="I55" s="309"/>
      <c r="J55" s="866"/>
      <c r="K55" s="659"/>
      <c r="L55" s="659"/>
      <c r="M55" s="659"/>
      <c r="N55" s="659"/>
      <c r="O55" s="659"/>
      <c r="P55" s="1168"/>
      <c r="Q55" s="1169"/>
      <c r="R55" s="1169"/>
      <c r="S55" s="1169"/>
      <c r="T55" s="1170"/>
      <c r="U55" s="109"/>
    </row>
    <row r="56" spans="1:28" s="2" customFormat="1" ht="22.4" customHeight="1" thickTop="1" thickBot="1">
      <c r="A56" s="310">
        <v>2029</v>
      </c>
      <c r="B56" s="310" t="s">
        <v>203</v>
      </c>
      <c r="C56" s="310" t="s">
        <v>264</v>
      </c>
      <c r="D56" s="311" t="s">
        <v>285</v>
      </c>
      <c r="E56" s="310" t="s">
        <v>286</v>
      </c>
      <c r="F56" s="310" t="s">
        <v>241</v>
      </c>
      <c r="G56" s="310" t="s">
        <v>186</v>
      </c>
      <c r="H56" s="312">
        <v>0.08</v>
      </c>
      <c r="I56" s="312"/>
      <c r="J56" s="866"/>
      <c r="K56" s="659"/>
      <c r="L56" s="659"/>
      <c r="M56" s="659"/>
      <c r="N56" s="659"/>
      <c r="O56" s="659"/>
      <c r="P56"/>
      <c r="Q56" s="50"/>
      <c r="R56" s="53"/>
      <c r="S56" s="54"/>
      <c r="T56" s="54"/>
      <c r="U56" s="109"/>
    </row>
    <row r="57" spans="1:28" s="2" customFormat="1" ht="22.4" customHeight="1" thickBot="1">
      <c r="A57" s="300">
        <v>2029</v>
      </c>
      <c r="B57" s="300" t="s">
        <v>203</v>
      </c>
      <c r="C57" s="300" t="s">
        <v>264</v>
      </c>
      <c r="D57" s="313" t="s">
        <v>287</v>
      </c>
      <c r="E57" s="300" t="s">
        <v>288</v>
      </c>
      <c r="F57" s="300" t="s">
        <v>241</v>
      </c>
      <c r="G57" s="300" t="s">
        <v>186</v>
      </c>
      <c r="H57" s="301">
        <v>5.5417092500000001E-2</v>
      </c>
      <c r="I57" s="301"/>
      <c r="J57" s="866"/>
      <c r="K57" s="659"/>
      <c r="L57" s="659"/>
      <c r="M57" s="659"/>
      <c r="N57" s="659"/>
      <c r="O57" s="659"/>
      <c r="P57"/>
      <c r="Q57" s="50"/>
      <c r="R57" s="53"/>
      <c r="S57" s="54"/>
      <c r="T57" s="54"/>
    </row>
    <row r="58" spans="1:28" s="2" customFormat="1" ht="22.4" customHeight="1" thickBot="1">
      <c r="A58" s="306">
        <v>2029</v>
      </c>
      <c r="B58" s="306" t="s">
        <v>251</v>
      </c>
      <c r="C58" s="306" t="s">
        <v>264</v>
      </c>
      <c r="D58" s="314" t="s">
        <v>289</v>
      </c>
      <c r="E58" s="306" t="s">
        <v>290</v>
      </c>
      <c r="F58" s="306" t="s">
        <v>241</v>
      </c>
      <c r="G58" s="306" t="s">
        <v>186</v>
      </c>
      <c r="H58" s="315">
        <v>3.9001210049999992E-2</v>
      </c>
      <c r="I58" s="315"/>
      <c r="J58" s="866"/>
      <c r="K58" s="659"/>
      <c r="L58" s="659"/>
      <c r="M58" s="659"/>
      <c r="N58" s="659"/>
      <c r="O58" s="659"/>
      <c r="P58" s="305"/>
      <c r="Q58" s="305" t="s">
        <v>291</v>
      </c>
      <c r="R58" s="305" t="s">
        <v>292</v>
      </c>
      <c r="S58" s="305" t="s">
        <v>292</v>
      </c>
      <c r="T58" s="54"/>
    </row>
    <row r="59" spans="1:28" s="2" customFormat="1" ht="22.4" customHeight="1" thickBot="1">
      <c r="A59" s="300">
        <v>2029</v>
      </c>
      <c r="B59" s="300" t="s">
        <v>242</v>
      </c>
      <c r="C59" s="300" t="s">
        <v>233</v>
      </c>
      <c r="D59" s="313" t="s">
        <v>293</v>
      </c>
      <c r="E59" s="300" t="s">
        <v>294</v>
      </c>
      <c r="F59" s="300" t="s">
        <v>236</v>
      </c>
      <c r="G59" s="300" t="s">
        <v>186</v>
      </c>
      <c r="H59" s="301">
        <f>94531.25/1000000</f>
        <v>9.4531249999999997E-2</v>
      </c>
      <c r="I59" s="301" t="s">
        <v>295</v>
      </c>
      <c r="J59" s="866"/>
      <c r="K59" s="659"/>
      <c r="L59" s="659"/>
      <c r="M59" s="659"/>
      <c r="N59" s="659"/>
      <c r="O59" s="659"/>
      <c r="P59" s="315" t="s">
        <v>296</v>
      </c>
      <c r="Q59" s="315">
        <f>I70</f>
        <v>1.2911024216</v>
      </c>
      <c r="R59" s="315">
        <v>2.7683435725000001</v>
      </c>
      <c r="S59" s="554">
        <f>Q59/R59</f>
        <v>0.46638084753116388</v>
      </c>
      <c r="T59" s="54"/>
      <c r="U59" s="55"/>
      <c r="V59"/>
    </row>
    <row r="60" spans="1:28" s="2" customFormat="1" ht="22.4" customHeight="1" thickBot="1">
      <c r="A60" s="306">
        <v>2029</v>
      </c>
      <c r="B60" s="546" t="s">
        <v>213</v>
      </c>
      <c r="C60" s="306" t="s">
        <v>264</v>
      </c>
      <c r="D60" s="547" t="s">
        <v>297</v>
      </c>
      <c r="E60" s="546" t="s">
        <v>298</v>
      </c>
      <c r="F60" s="306" t="s">
        <v>258</v>
      </c>
      <c r="G60" s="306" t="s">
        <v>186</v>
      </c>
      <c r="H60" s="548">
        <f>26189/1000000</f>
        <v>2.6189E-2</v>
      </c>
      <c r="I60" s="315"/>
      <c r="J60" s="866"/>
      <c r="K60" s="659"/>
      <c r="L60" s="659"/>
      <c r="M60" s="659"/>
      <c r="N60" s="659"/>
      <c r="O60" s="659"/>
      <c r="P60" s="659"/>
      <c r="Q60" s="867"/>
      <c r="R60" s="868"/>
      <c r="S60" s="869"/>
      <c r="T60" s="869"/>
      <c r="U60" s="870"/>
      <c r="V60"/>
    </row>
    <row r="61" spans="1:28" s="2" customFormat="1" ht="22.4" customHeight="1" thickBot="1">
      <c r="A61" s="307">
        <v>2029</v>
      </c>
      <c r="B61" s="307" t="s">
        <v>213</v>
      </c>
      <c r="C61" s="307" t="s">
        <v>264</v>
      </c>
      <c r="D61" s="308" t="s">
        <v>299</v>
      </c>
      <c r="E61" s="307" t="s">
        <v>270</v>
      </c>
      <c r="F61" s="307" t="s">
        <v>241</v>
      </c>
      <c r="G61" s="307" t="s">
        <v>186</v>
      </c>
      <c r="H61" s="309">
        <f>22959.75/1000000</f>
        <v>2.2959750000000001E-2</v>
      </c>
      <c r="I61" s="309"/>
      <c r="J61" s="866"/>
      <c r="K61" s="659"/>
      <c r="L61" s="659"/>
      <c r="M61" s="659"/>
      <c r="N61" s="659"/>
      <c r="O61" s="659"/>
      <c r="P61" s="659"/>
      <c r="Q61" s="867"/>
      <c r="R61" s="868"/>
      <c r="S61" s="869"/>
      <c r="T61" s="869"/>
      <c r="U61" s="870"/>
      <c r="V61"/>
      <c r="W61"/>
      <c r="X61"/>
      <c r="Y61"/>
      <c r="Z61"/>
      <c r="AA61"/>
      <c r="AB61"/>
    </row>
    <row r="62" spans="1:28" s="2" customFormat="1" ht="22.4" customHeight="1" thickTop="1" thickBot="1">
      <c r="A62" s="310">
        <v>2030</v>
      </c>
      <c r="B62" s="893" t="s">
        <v>217</v>
      </c>
      <c r="C62" s="310" t="s">
        <v>264</v>
      </c>
      <c r="D62" s="894" t="s">
        <v>300</v>
      </c>
      <c r="E62" s="893" t="s">
        <v>301</v>
      </c>
      <c r="F62" s="310" t="s">
        <v>258</v>
      </c>
      <c r="G62" s="310" t="s">
        <v>186</v>
      </c>
      <c r="H62" s="895">
        <v>4.0528345E-2</v>
      </c>
      <c r="I62" s="312" t="s">
        <v>302</v>
      </c>
      <c r="J62" s="866"/>
      <c r="K62" s="865"/>
      <c r="L62" s="865"/>
      <c r="M62" s="865"/>
      <c r="N62" s="659"/>
      <c r="O62" s="659"/>
      <c r="P62" s="871"/>
      <c r="Q62" s="867"/>
      <c r="R62" s="868"/>
      <c r="S62" s="869"/>
      <c r="T62" s="869"/>
      <c r="U62" s="870"/>
      <c r="V62"/>
      <c r="W62"/>
      <c r="X62"/>
      <c r="Y62"/>
      <c r="Z62"/>
      <c r="AA62"/>
      <c r="AB62"/>
    </row>
    <row r="63" spans="1:28" s="861" customFormat="1" ht="22.4" customHeight="1" thickBot="1">
      <c r="A63" s="307">
        <v>2030</v>
      </c>
      <c r="B63" s="307" t="s">
        <v>303</v>
      </c>
      <c r="C63" s="307" t="s">
        <v>264</v>
      </c>
      <c r="D63" s="308" t="s">
        <v>304</v>
      </c>
      <c r="E63" s="307" t="s">
        <v>305</v>
      </c>
      <c r="F63" s="307" t="s">
        <v>306</v>
      </c>
      <c r="G63" s="307" t="s">
        <v>187</v>
      </c>
      <c r="H63" s="309">
        <v>4.0282412499999996E-2</v>
      </c>
      <c r="I63" s="309"/>
      <c r="J63" s="866"/>
      <c r="K63" s="866"/>
      <c r="L63" s="866"/>
      <c r="M63" s="866"/>
      <c r="N63" s="864"/>
      <c r="O63" s="864"/>
      <c r="P63" s="872"/>
      <c r="Q63" s="873"/>
      <c r="R63" s="874"/>
      <c r="S63" s="875"/>
      <c r="T63" s="875"/>
      <c r="U63" s="876"/>
      <c r="V63" s="570"/>
      <c r="W63" s="570"/>
      <c r="X63" s="570"/>
      <c r="Y63" s="570"/>
      <c r="Z63" s="570"/>
      <c r="AA63" s="570"/>
      <c r="AB63" s="570"/>
    </row>
    <row r="64" spans="1:28" s="861" customFormat="1" ht="22.4" customHeight="1" thickTop="1" thickBot="1">
      <c r="A64" s="310">
        <v>2031</v>
      </c>
      <c r="B64" s="893" t="s">
        <v>307</v>
      </c>
      <c r="C64" s="310" t="s">
        <v>264</v>
      </c>
      <c r="D64" s="894" t="s">
        <v>308</v>
      </c>
      <c r="E64" s="893"/>
      <c r="F64" s="310" t="s">
        <v>309</v>
      </c>
      <c r="G64" s="310" t="s">
        <v>186</v>
      </c>
      <c r="H64" s="895">
        <v>5.2192139999999998E-2</v>
      </c>
      <c r="I64" s="312"/>
      <c r="J64" s="866"/>
      <c r="K64" s="866"/>
      <c r="L64" s="866"/>
      <c r="M64" s="866"/>
      <c r="N64" s="864"/>
      <c r="O64" s="864"/>
      <c r="P64" s="872"/>
      <c r="Q64" s="873"/>
      <c r="R64" s="874"/>
      <c r="S64" s="875"/>
      <c r="T64" s="875"/>
      <c r="U64" s="876"/>
      <c r="V64" s="570"/>
      <c r="W64" s="570"/>
      <c r="X64" s="570"/>
      <c r="Y64" s="570"/>
      <c r="Z64" s="570"/>
      <c r="AA64" s="570"/>
      <c r="AB64" s="570"/>
    </row>
    <row r="65" spans="1:28" s="861" customFormat="1" ht="22.4" customHeight="1" thickBot="1">
      <c r="A65" s="300">
        <v>2031</v>
      </c>
      <c r="B65" s="543" t="s">
        <v>232</v>
      </c>
      <c r="C65" s="300" t="s">
        <v>264</v>
      </c>
      <c r="D65" s="545" t="s">
        <v>310</v>
      </c>
      <c r="E65" s="543"/>
      <c r="F65" s="300" t="s">
        <v>309</v>
      </c>
      <c r="G65" s="300" t="s">
        <v>186</v>
      </c>
      <c r="H65" s="544">
        <v>0</v>
      </c>
      <c r="I65" s="301"/>
      <c r="J65" s="866"/>
      <c r="K65" s="866"/>
      <c r="L65" s="866"/>
      <c r="M65" s="866"/>
      <c r="N65" s="864"/>
      <c r="O65" s="864"/>
      <c r="P65" s="872"/>
      <c r="Q65" s="873"/>
      <c r="R65" s="874"/>
      <c r="S65" s="875"/>
      <c r="T65" s="875"/>
      <c r="U65" s="876"/>
      <c r="V65" s="570"/>
      <c r="W65" s="570"/>
      <c r="X65" s="570"/>
      <c r="Y65" s="570"/>
      <c r="Z65" s="570"/>
      <c r="AA65" s="570"/>
      <c r="AB65" s="570"/>
    </row>
    <row r="66" spans="1:28" s="861" customFormat="1" ht="22.4" customHeight="1" thickBot="1">
      <c r="A66" s="306">
        <v>2031</v>
      </c>
      <c r="B66" s="546" t="s">
        <v>213</v>
      </c>
      <c r="C66" s="306" t="s">
        <v>264</v>
      </c>
      <c r="D66" s="547" t="s">
        <v>311</v>
      </c>
      <c r="E66" s="546"/>
      <c r="F66" s="306" t="s">
        <v>258</v>
      </c>
      <c r="G66" s="306" t="s">
        <v>186</v>
      </c>
      <c r="H66" s="548">
        <v>1.4301806749999998E-2</v>
      </c>
      <c r="I66" s="315"/>
      <c r="J66" s="866"/>
      <c r="K66" s="866"/>
      <c r="L66" s="866"/>
      <c r="M66" s="866"/>
      <c r="N66" s="864"/>
      <c r="O66" s="864"/>
      <c r="P66" s="872"/>
      <c r="Q66" s="873"/>
      <c r="R66" s="874"/>
      <c r="S66" s="875"/>
      <c r="T66" s="875"/>
      <c r="U66" s="876"/>
      <c r="V66" s="570"/>
      <c r="W66" s="570"/>
      <c r="X66" s="570"/>
      <c r="Y66" s="570"/>
      <c r="Z66" s="570"/>
      <c r="AA66" s="570"/>
      <c r="AB66" s="570"/>
    </row>
    <row r="67" spans="1:28" s="861" customFormat="1" ht="22.4" customHeight="1" thickBot="1">
      <c r="A67" s="896">
        <v>2031</v>
      </c>
      <c r="B67" s="897" t="s">
        <v>213</v>
      </c>
      <c r="C67" s="896" t="s">
        <v>264</v>
      </c>
      <c r="D67" s="898" t="s">
        <v>312</v>
      </c>
      <c r="E67" s="897" t="s">
        <v>313</v>
      </c>
      <c r="F67" s="896" t="s">
        <v>306</v>
      </c>
      <c r="G67" s="896" t="s">
        <v>187</v>
      </c>
      <c r="H67" s="899">
        <v>0.28098831750000003</v>
      </c>
      <c r="I67" s="900" t="s">
        <v>314</v>
      </c>
      <c r="J67" s="866"/>
      <c r="K67" s="866"/>
      <c r="L67" s="866"/>
      <c r="M67" s="866"/>
      <c r="N67" s="864"/>
      <c r="O67" s="864"/>
      <c r="P67" s="872"/>
      <c r="Q67" s="873"/>
      <c r="R67" s="874"/>
      <c r="S67" s="875"/>
      <c r="T67" s="875"/>
      <c r="U67" s="876"/>
      <c r="V67" s="570"/>
      <c r="W67" s="570"/>
      <c r="X67" s="570"/>
      <c r="Y67" s="570"/>
      <c r="Z67" s="570"/>
      <c r="AA67" s="570"/>
      <c r="AB67" s="570"/>
    </row>
    <row r="68" spans="1:28" s="861" customFormat="1" ht="22.4" customHeight="1" thickBot="1">
      <c r="A68" s="316">
        <v>2031</v>
      </c>
      <c r="B68" s="316" t="s">
        <v>213</v>
      </c>
      <c r="C68" s="316" t="s">
        <v>264</v>
      </c>
      <c r="D68" s="317" t="s">
        <v>315</v>
      </c>
      <c r="E68" s="316" t="s">
        <v>316</v>
      </c>
      <c r="F68" s="316" t="s">
        <v>267</v>
      </c>
      <c r="G68" s="316" t="s">
        <v>166</v>
      </c>
      <c r="H68" s="318">
        <v>2.4897565E-2</v>
      </c>
      <c r="I68" s="318"/>
      <c r="J68" s="866"/>
      <c r="K68" s="866"/>
      <c r="L68" s="866"/>
      <c r="M68" s="866"/>
      <c r="N68" s="864"/>
      <c r="O68" s="864"/>
      <c r="P68" s="872"/>
      <c r="Q68" s="873"/>
      <c r="R68" s="874"/>
      <c r="S68" s="875"/>
      <c r="T68" s="875"/>
      <c r="U68" s="876"/>
      <c r="V68" s="570"/>
      <c r="W68" s="570"/>
      <c r="X68" s="570"/>
      <c r="Y68" s="570"/>
      <c r="Z68" s="570"/>
      <c r="AA68" s="570"/>
      <c r="AB68" s="570"/>
    </row>
    <row r="69" spans="1:28" s="861" customFormat="1" ht="22.4" customHeight="1" thickTop="1" thickBot="1">
      <c r="A69" s="319">
        <v>2032</v>
      </c>
      <c r="B69" s="891" t="s">
        <v>213</v>
      </c>
      <c r="C69" s="319" t="s">
        <v>264</v>
      </c>
      <c r="D69" s="892" t="s">
        <v>317</v>
      </c>
      <c r="E69" s="891"/>
      <c r="F69" s="319" t="s">
        <v>267</v>
      </c>
      <c r="G69" s="319" t="s">
        <v>188</v>
      </c>
      <c r="H69" s="617">
        <v>2.5000000000000001E-2</v>
      </c>
      <c r="I69" s="321"/>
      <c r="J69" s="866"/>
      <c r="K69" s="866"/>
      <c r="L69" s="866"/>
      <c r="M69" s="866"/>
      <c r="N69" s="864"/>
      <c r="O69" s="864"/>
      <c r="P69" s="872"/>
      <c r="Q69" s="873"/>
      <c r="R69" s="874"/>
      <c r="S69" s="875"/>
      <c r="T69" s="875"/>
      <c r="U69" s="876"/>
      <c r="V69" s="570"/>
      <c r="W69" s="570"/>
      <c r="X69" s="570"/>
      <c r="Y69" s="570"/>
      <c r="Z69" s="570"/>
      <c r="AA69" s="570"/>
      <c r="AB69" s="570"/>
    </row>
    <row r="70" spans="1:28" s="2" customFormat="1" ht="22.4" customHeight="1" thickBot="1">
      <c r="A70" s="322"/>
      <c r="B70" s="323"/>
      <c r="C70" s="324"/>
      <c r="D70" s="323"/>
      <c r="E70" s="325"/>
      <c r="F70" s="325"/>
      <c r="G70" s="326" t="s">
        <v>192</v>
      </c>
      <c r="H70" s="530">
        <f>SUM(H36:H39)</f>
        <v>8.9805209999999996E-2</v>
      </c>
      <c r="I70" s="327">
        <f>SUM(H36:H69)</f>
        <v>1.2911024216</v>
      </c>
      <c r="J70" s="866"/>
      <c r="K70" s="863"/>
      <c r="L70" s="863"/>
      <c r="M70" s="863"/>
      <c r="N70" s="659"/>
      <c r="O70" s="659"/>
      <c r="P70"/>
      <c r="Q70" s="50"/>
      <c r="R70" s="53"/>
      <c r="S70" s="54"/>
      <c r="T70" s="54"/>
      <c r="U70" s="55"/>
      <c r="V70"/>
      <c r="W70"/>
      <c r="X70"/>
      <c r="Y70"/>
      <c r="Z70"/>
      <c r="AA70"/>
      <c r="AB70"/>
    </row>
    <row r="71" spans="1:28" s="2" customFormat="1" ht="22.4" customHeight="1">
      <c r="A71" s="2" t="s">
        <v>190</v>
      </c>
      <c r="I71" s="553"/>
      <c r="J71" s="19"/>
      <c r="K71" s="581"/>
      <c r="L71" s="581"/>
      <c r="M71" s="581"/>
      <c r="N71"/>
      <c r="O71"/>
      <c r="P71"/>
      <c r="Q71" s="50"/>
      <c r="R71" s="53"/>
      <c r="S71" s="54"/>
      <c r="T71" s="54"/>
      <c r="U71" s="55"/>
      <c r="V71"/>
      <c r="W71"/>
      <c r="X71"/>
      <c r="Y71"/>
      <c r="Z71"/>
      <c r="AA71"/>
      <c r="AB71"/>
    </row>
    <row r="72" spans="1:28" s="2" customFormat="1" ht="15" customHeight="1">
      <c r="K72"/>
      <c r="L72"/>
      <c r="M72"/>
      <c r="N72"/>
      <c r="O72"/>
      <c r="P72"/>
      <c r="Q72" s="50"/>
      <c r="R72" s="53"/>
      <c r="S72" s="54"/>
      <c r="T72" s="54"/>
      <c r="U72" s="55"/>
      <c r="V72"/>
      <c r="W72"/>
      <c r="X72"/>
      <c r="Y72"/>
      <c r="Z72"/>
      <c r="AA72"/>
      <c r="AB72"/>
    </row>
    <row r="73" spans="1:28" s="2" customFormat="1" ht="14.9" customHeight="1">
      <c r="R73" s="51"/>
      <c r="S73" s="52"/>
      <c r="T73" s="52"/>
      <c r="U73" s="50"/>
      <c r="V73"/>
      <c r="W73"/>
      <c r="X73"/>
      <c r="Y73"/>
      <c r="Z73"/>
      <c r="AA73"/>
      <c r="AB73"/>
    </row>
    <row r="74" spans="1:28" s="2" customFormat="1" ht="14.9" hidden="1" customHeight="1" outlineLevel="1">
      <c r="R74" s="51"/>
      <c r="S74" s="52"/>
      <c r="T74" s="52"/>
      <c r="U74" s="50"/>
      <c r="V74"/>
      <c r="W74"/>
      <c r="X74"/>
      <c r="Y74"/>
      <c r="Z74"/>
      <c r="AA74"/>
      <c r="AB74"/>
    </row>
    <row r="75" spans="1:28" s="2" customFormat="1" ht="14.9" hidden="1" customHeight="1" outlineLevel="1">
      <c r="R75"/>
      <c r="S75"/>
      <c r="T75"/>
      <c r="U75"/>
      <c r="V75"/>
      <c r="W75"/>
      <c r="X75"/>
      <c r="Y75"/>
      <c r="Z75"/>
      <c r="AA75"/>
      <c r="AB75"/>
    </row>
    <row r="76" spans="1:28" s="2" customFormat="1" ht="14.9" hidden="1" customHeight="1" outlineLevel="1">
      <c r="E76"/>
      <c r="F76"/>
      <c r="R76"/>
      <c r="S76"/>
      <c r="T76"/>
      <c r="U76"/>
      <c r="V76"/>
      <c r="W76"/>
      <c r="X76"/>
      <c r="Y76"/>
      <c r="Z76"/>
      <c r="AA76"/>
      <c r="AB76"/>
    </row>
    <row r="77" spans="1:28" s="2" customFormat="1" ht="15" hidden="1" customHeight="1" outlineLevel="1">
      <c r="E77"/>
      <c r="F77"/>
      <c r="R77"/>
      <c r="S77"/>
      <c r="T77"/>
      <c r="U77"/>
      <c r="V77"/>
      <c r="W77"/>
      <c r="X77"/>
      <c r="Y77"/>
      <c r="Z77"/>
      <c r="AA77"/>
      <c r="AB77"/>
    </row>
    <row r="78" spans="1:28" s="2" customFormat="1" ht="15" hidden="1" customHeight="1" outlineLevel="1">
      <c r="E78"/>
      <c r="F78"/>
      <c r="R78"/>
      <c r="S78"/>
      <c r="V78"/>
      <c r="W78"/>
      <c r="X78"/>
      <c r="Y78"/>
      <c r="Z78"/>
      <c r="AA78"/>
      <c r="AB78"/>
    </row>
    <row r="79" spans="1:28" s="2" customFormat="1" ht="14.9" hidden="1" customHeight="1" outlineLevel="1">
      <c r="E79"/>
      <c r="F79"/>
      <c r="R79"/>
      <c r="S79"/>
      <c r="V79"/>
      <c r="W79"/>
      <c r="X79"/>
      <c r="Y79"/>
      <c r="Z79"/>
      <c r="AA79"/>
      <c r="AB79"/>
    </row>
    <row r="80" spans="1:28" s="2" customFormat="1" ht="14.9" hidden="1" customHeight="1" outlineLevel="1">
      <c r="E80"/>
      <c r="F80"/>
      <c r="R80"/>
      <c r="S80"/>
      <c r="V80"/>
      <c r="W80"/>
      <c r="X80"/>
      <c r="Y80"/>
      <c r="Z80"/>
      <c r="AA80"/>
      <c r="AB80"/>
    </row>
    <row r="81" spans="4:28" s="2" customFormat="1" ht="14.9" hidden="1" customHeight="1" outlineLevel="1">
      <c r="E81"/>
      <c r="F81"/>
      <c r="R81"/>
      <c r="S81"/>
      <c r="V81"/>
      <c r="W81"/>
      <c r="X81"/>
      <c r="Y81"/>
      <c r="Z81"/>
      <c r="AA81"/>
      <c r="AB81"/>
    </row>
    <row r="82" spans="4:28" s="2" customFormat="1" ht="14.9" hidden="1" customHeight="1" outlineLevel="1">
      <c r="E82"/>
      <c r="F82"/>
      <c r="K82"/>
      <c r="L82"/>
      <c r="M82"/>
      <c r="N82"/>
      <c r="O82"/>
      <c r="P82"/>
      <c r="Q82"/>
      <c r="R82"/>
      <c r="S82"/>
      <c r="V82"/>
      <c r="W82"/>
      <c r="X82"/>
      <c r="Y82"/>
      <c r="Z82"/>
      <c r="AA82"/>
      <c r="AB82"/>
    </row>
    <row r="83" spans="4:28" s="2" customFormat="1" ht="14.9" hidden="1" customHeight="1" outlineLevel="1">
      <c r="D83"/>
      <c r="E83"/>
      <c r="F83"/>
      <c r="K83"/>
      <c r="L83"/>
      <c r="M83"/>
      <c r="N83"/>
      <c r="O83"/>
      <c r="P83"/>
      <c r="Q83"/>
      <c r="R83"/>
      <c r="S83"/>
      <c r="V83"/>
      <c r="W83"/>
      <c r="X83"/>
      <c r="Y83"/>
      <c r="Z83"/>
      <c r="AA83"/>
      <c r="AB83"/>
    </row>
    <row r="84" spans="4:28" s="2" customFormat="1" ht="14.9" hidden="1" customHeight="1" outlineLevel="1">
      <c r="D84"/>
      <c r="E84"/>
      <c r="F84"/>
      <c r="K84"/>
      <c r="L84"/>
      <c r="M84"/>
      <c r="N84"/>
      <c r="O84"/>
      <c r="P84"/>
      <c r="Q84"/>
      <c r="R84"/>
      <c r="S84"/>
      <c r="V84"/>
      <c r="W84"/>
      <c r="X84"/>
      <c r="Y84"/>
      <c r="Z84"/>
      <c r="AA84"/>
      <c r="AB84"/>
    </row>
    <row r="85" spans="4:28" s="2" customFormat="1" ht="14.9" hidden="1" customHeight="1" outlineLevel="1">
      <c r="D85"/>
      <c r="E85"/>
      <c r="F85"/>
      <c r="K85"/>
      <c r="L85"/>
      <c r="M85"/>
      <c r="N85"/>
      <c r="O85"/>
      <c r="P85"/>
      <c r="Q85"/>
      <c r="R85"/>
      <c r="S85"/>
      <c r="V85"/>
      <c r="W85"/>
      <c r="X85"/>
      <c r="Y85"/>
      <c r="Z85"/>
      <c r="AA85"/>
      <c r="AB85"/>
    </row>
    <row r="86" spans="4:28" s="2" customFormat="1" ht="34.5" hidden="1" customHeight="1" outlineLevel="1">
      <c r="D86"/>
      <c r="E86"/>
      <c r="F86"/>
      <c r="K86"/>
      <c r="L86"/>
      <c r="M86"/>
      <c r="N86"/>
      <c r="O86"/>
      <c r="P86"/>
      <c r="Q86"/>
      <c r="R86"/>
      <c r="S86"/>
      <c r="V86"/>
      <c r="W86"/>
      <c r="X86"/>
      <c r="Y86"/>
      <c r="Z86"/>
      <c r="AA86"/>
      <c r="AB86"/>
    </row>
    <row r="87" spans="4:28" s="2" customFormat="1" ht="15" hidden="1" customHeight="1" outlineLevel="1">
      <c r="P87"/>
      <c r="Q87"/>
      <c r="R87"/>
      <c r="S87"/>
      <c r="V87"/>
      <c r="W87"/>
      <c r="X87"/>
      <c r="Y87"/>
      <c r="Z87"/>
      <c r="AA87"/>
      <c r="AB87"/>
    </row>
    <row r="88" spans="4:28" s="2" customFormat="1" ht="15" hidden="1" customHeight="1" outlineLevel="1">
      <c r="P88"/>
      <c r="Q88"/>
      <c r="R88"/>
      <c r="S88"/>
      <c r="V88"/>
      <c r="W88"/>
      <c r="X88"/>
      <c r="Y88"/>
      <c r="Z88"/>
      <c r="AA88"/>
      <c r="AB88"/>
    </row>
    <row r="89" spans="4:28" s="2" customFormat="1" ht="15" hidden="1" customHeight="1" outlineLevel="1">
      <c r="P89"/>
      <c r="Q89"/>
      <c r="R89"/>
      <c r="S89"/>
      <c r="T89"/>
      <c r="U89"/>
      <c r="V89"/>
      <c r="W89"/>
      <c r="X89"/>
      <c r="Y89"/>
      <c r="Z89"/>
      <c r="AA89"/>
      <c r="AB89"/>
    </row>
    <row r="90" spans="4:28" s="2" customFormat="1" ht="15" hidden="1" customHeight="1" outlineLevel="1">
      <c r="P90"/>
      <c r="Q90"/>
      <c r="R90"/>
      <c r="S90"/>
      <c r="T90"/>
      <c r="U90"/>
      <c r="V90"/>
      <c r="W90"/>
      <c r="X90"/>
      <c r="Y90"/>
      <c r="Z90"/>
      <c r="AA90"/>
      <c r="AB90"/>
    </row>
    <row r="91" spans="4:28" s="2" customFormat="1" ht="15" hidden="1" customHeight="1" outlineLevel="1">
      <c r="P91"/>
      <c r="Q91"/>
      <c r="R91"/>
      <c r="S91"/>
      <c r="T91"/>
      <c r="U91"/>
      <c r="V91"/>
      <c r="W91"/>
      <c r="X91"/>
      <c r="Y91"/>
      <c r="Z91"/>
      <c r="AA91"/>
      <c r="AB91"/>
    </row>
    <row r="92" spans="4:28" s="2" customFormat="1" ht="15" hidden="1" customHeight="1" outlineLevel="1">
      <c r="P92"/>
      <c r="Q92"/>
      <c r="R92"/>
      <c r="S92"/>
      <c r="T92"/>
      <c r="U92"/>
      <c r="V92"/>
      <c r="W92"/>
      <c r="X92"/>
      <c r="Y92"/>
      <c r="Z92"/>
      <c r="AA92"/>
      <c r="AB92"/>
    </row>
    <row r="93" spans="4:28" s="2" customFormat="1" ht="15" hidden="1" customHeight="1" outlineLevel="1">
      <c r="P93"/>
      <c r="Q93"/>
      <c r="R93"/>
      <c r="S93"/>
      <c r="T93"/>
      <c r="U93"/>
      <c r="V93"/>
      <c r="W93"/>
      <c r="X93"/>
      <c r="Y93"/>
      <c r="Z93"/>
      <c r="AA93"/>
      <c r="AB93"/>
    </row>
    <row r="94" spans="4:28" s="2" customFormat="1" ht="15" hidden="1" customHeight="1" outlineLevel="1">
      <c r="K94"/>
      <c r="L94"/>
      <c r="M94"/>
      <c r="N94"/>
      <c r="O94"/>
      <c r="P94"/>
      <c r="Q94"/>
      <c r="R94"/>
      <c r="S94"/>
      <c r="T94"/>
      <c r="U94"/>
      <c r="V94"/>
      <c r="W94"/>
      <c r="X94"/>
      <c r="Y94"/>
      <c r="Z94"/>
      <c r="AA94"/>
      <c r="AB94"/>
    </row>
    <row r="95" spans="4:28" s="2" customFormat="1" ht="15" hidden="1" customHeight="1" outlineLevel="1">
      <c r="K95"/>
      <c r="L95"/>
      <c r="M95"/>
      <c r="N95"/>
      <c r="O95"/>
      <c r="P95"/>
      <c r="Q95"/>
      <c r="R95"/>
      <c r="S95"/>
      <c r="T95"/>
      <c r="U95"/>
      <c r="V95"/>
      <c r="W95"/>
      <c r="X95"/>
      <c r="Y95"/>
      <c r="Z95"/>
      <c r="AA95"/>
      <c r="AB95"/>
    </row>
    <row r="96" spans="4:28" s="2" customFormat="1" ht="15" hidden="1" customHeight="1" outlineLevel="1">
      <c r="V96"/>
      <c r="W96"/>
      <c r="X96"/>
      <c r="Y96"/>
      <c r="Z96"/>
      <c r="AA96"/>
      <c r="AB96"/>
    </row>
    <row r="97" spans="22:28" s="2" customFormat="1" ht="15" hidden="1" customHeight="1" outlineLevel="1">
      <c r="V97"/>
      <c r="W97"/>
      <c r="X97"/>
      <c r="Y97"/>
      <c r="Z97"/>
      <c r="AA97"/>
      <c r="AB97"/>
    </row>
    <row r="98" spans="22:28" s="2" customFormat="1" ht="15" hidden="1" customHeight="1" outlineLevel="1">
      <c r="V98"/>
      <c r="W98"/>
      <c r="X98"/>
      <c r="Y98"/>
      <c r="Z98"/>
      <c r="AA98"/>
      <c r="AB98"/>
    </row>
    <row r="99" spans="22:28" s="2" customFormat="1" ht="15" collapsed="1">
      <c r="V99"/>
      <c r="W99"/>
      <c r="X99"/>
      <c r="Y99"/>
      <c r="Z99"/>
      <c r="AA99"/>
      <c r="AB99"/>
    </row>
    <row r="100" spans="22:28" s="2" customFormat="1" ht="15">
      <c r="V100"/>
      <c r="W100"/>
      <c r="X100"/>
      <c r="Y100"/>
      <c r="Z100"/>
      <c r="AA100"/>
      <c r="AB100"/>
    </row>
    <row r="101" spans="22:28" s="2" customFormat="1" ht="15">
      <c r="V101"/>
      <c r="W101"/>
      <c r="X101"/>
      <c r="Y101"/>
      <c r="Z101"/>
      <c r="AA101"/>
      <c r="AB101"/>
    </row>
    <row r="102" spans="22:28" s="2" customFormat="1" ht="15">
      <c r="V102"/>
      <c r="W102"/>
      <c r="X102"/>
      <c r="Y102"/>
      <c r="Z102"/>
      <c r="AA102"/>
      <c r="AB102"/>
    </row>
    <row r="103" spans="22:28" s="2" customFormat="1" ht="15">
      <c r="V103"/>
      <c r="W103"/>
      <c r="X103"/>
      <c r="Y103"/>
      <c r="Z103"/>
      <c r="AA103"/>
      <c r="AB103"/>
    </row>
    <row r="104" spans="22:28" s="2" customFormat="1" ht="15">
      <c r="V104"/>
      <c r="W104"/>
      <c r="X104"/>
      <c r="Y104"/>
      <c r="Z104"/>
      <c r="AA104"/>
      <c r="AB104"/>
    </row>
    <row r="105" spans="22:28" s="2" customFormat="1" ht="15">
      <c r="V105"/>
      <c r="W105"/>
      <c r="X105"/>
      <c r="Y105"/>
      <c r="Z105"/>
      <c r="AA105"/>
      <c r="AB105"/>
    </row>
    <row r="106" spans="22:28" s="2" customFormat="1" ht="15">
      <c r="V106"/>
      <c r="W106"/>
      <c r="X106"/>
      <c r="Y106"/>
      <c r="Z106"/>
      <c r="AA106"/>
      <c r="AB106"/>
    </row>
    <row r="107" spans="22:28" s="2" customFormat="1" ht="15">
      <c r="V107"/>
      <c r="W107"/>
      <c r="X107"/>
      <c r="Y107"/>
      <c r="Z107"/>
      <c r="AA107"/>
      <c r="AB107"/>
    </row>
    <row r="108" spans="22:28" s="2" customFormat="1" ht="14.5"/>
    <row r="109" spans="22:28" s="2" customFormat="1" ht="14.5"/>
    <row r="110" spans="22:28" s="2" customFormat="1" ht="14.5"/>
    <row r="111" spans="22:28" s="2" customFormat="1" ht="14.5"/>
    <row r="112" spans="22:28" s="2" customFormat="1" ht="14.5"/>
    <row r="113" s="2" customFormat="1" ht="14.5"/>
    <row r="114" s="2" customFormat="1" ht="14.5"/>
    <row r="115" s="2" customFormat="1" ht="14.5"/>
    <row r="116" s="2" customFormat="1" ht="14.5"/>
    <row r="117" s="2" customFormat="1" ht="14.5"/>
    <row r="118" s="2" customFormat="1" ht="14.5"/>
    <row r="119" s="2" customFormat="1" ht="14.5"/>
    <row r="120" s="2" customFormat="1" ht="14.5"/>
    <row r="121" s="2" customFormat="1" ht="14.5"/>
    <row r="122" s="2" customFormat="1" ht="14.5"/>
    <row r="123" s="2" customFormat="1" ht="14.5"/>
    <row r="124" s="2" customFormat="1" ht="14.5"/>
    <row r="125" s="2" customFormat="1" ht="14.5"/>
    <row r="126" s="2" customFormat="1" ht="14.5"/>
    <row r="127" s="2" customFormat="1" ht="14.5"/>
    <row r="128" s="2" customFormat="1" ht="14.5"/>
    <row r="129" s="2" customFormat="1" ht="14.5"/>
    <row r="130" s="2" customFormat="1" ht="14.5"/>
    <row r="131" s="2" customFormat="1" ht="14.5"/>
    <row r="132" s="2" customFormat="1" ht="14.5"/>
    <row r="133" s="2" customFormat="1" ht="14.5"/>
    <row r="134" s="2" customFormat="1" ht="14.5"/>
    <row r="135" s="2" customFormat="1" ht="14.5"/>
    <row r="136" s="2" customFormat="1" ht="14.5"/>
    <row r="137" s="2" customFormat="1" ht="14.5"/>
    <row r="138" s="2" customFormat="1" ht="14.5"/>
    <row r="139" s="2" customFormat="1" ht="14.5"/>
    <row r="140" s="2" customFormat="1" ht="14.5"/>
    <row r="141" s="2" customFormat="1" ht="14.5"/>
    <row r="142" s="2" customFormat="1" ht="14.5"/>
    <row r="143" s="2" customFormat="1" ht="14.5"/>
    <row r="144" s="2" customFormat="1" ht="14.5"/>
    <row r="145" s="2" customFormat="1" ht="14.5"/>
    <row r="146" s="2" customFormat="1" ht="14.5"/>
    <row r="147" s="2" customFormat="1" ht="14.5"/>
    <row r="148" s="2" customFormat="1" ht="14.5"/>
    <row r="149" s="2" customFormat="1" ht="14.5"/>
    <row r="150" s="2" customFormat="1" ht="14.5"/>
    <row r="151" s="2" customFormat="1" ht="14.5"/>
    <row r="152" s="2" customFormat="1" ht="14.5"/>
    <row r="153" s="2" customFormat="1" ht="14.5"/>
    <row r="154" s="2" customFormat="1" ht="14.5"/>
    <row r="155" s="2" customFormat="1" ht="14.5"/>
    <row r="156" s="2" customFormat="1" ht="14.5"/>
    <row r="157" s="2" customFormat="1" ht="14.5"/>
    <row r="158" s="2" customFormat="1" ht="14.5"/>
    <row r="159" s="2" customFormat="1" ht="14.5"/>
    <row r="160" s="2" customFormat="1" ht="14.5"/>
    <row r="161" s="2" customFormat="1" ht="14.5"/>
    <row r="162" s="2" customFormat="1" ht="14.5"/>
    <row r="163" s="2" customFormat="1" ht="14.5"/>
    <row r="164" s="2" customFormat="1" ht="14.5"/>
    <row r="165" s="2" customFormat="1" ht="14.5"/>
    <row r="166" s="2" customFormat="1" ht="14.5"/>
    <row r="167" s="2" customFormat="1" ht="14.5"/>
    <row r="168" s="2" customFormat="1" ht="14.5"/>
    <row r="169" s="2" customFormat="1" ht="14.5"/>
    <row r="170" s="2" customFormat="1" ht="14.5"/>
    <row r="171" s="2" customFormat="1" ht="14.5"/>
    <row r="172" s="2" customFormat="1" ht="14.5"/>
    <row r="173" s="2" customFormat="1" ht="14.5"/>
    <row r="174" s="2" customFormat="1" ht="14.5"/>
    <row r="175" s="2" customFormat="1" ht="14.5"/>
    <row r="176" s="2" customFormat="1" ht="14.5"/>
    <row r="177" s="2" customFormat="1" ht="14.5"/>
    <row r="178" s="2" customFormat="1" ht="14.5"/>
    <row r="179" s="2" customFormat="1" ht="14.5"/>
    <row r="180" s="2" customFormat="1" ht="14.5"/>
    <row r="181" s="2" customFormat="1" ht="14.5"/>
    <row r="182" s="2" customFormat="1" ht="14.5"/>
    <row r="183" s="2" customFormat="1" ht="14.5"/>
    <row r="184" s="2" customFormat="1" ht="14.5"/>
    <row r="185" s="2" customFormat="1" ht="14.5"/>
    <row r="186" s="2" customFormat="1" ht="14.5"/>
    <row r="187" s="2" customFormat="1" ht="14.5"/>
    <row r="188" s="2" customFormat="1" ht="14.5"/>
    <row r="189" s="2" customFormat="1" ht="14.5"/>
    <row r="190" s="2" customFormat="1" ht="14.5"/>
    <row r="191" s="2" customFormat="1" ht="14.5"/>
    <row r="192" s="2" customFormat="1" ht="14.5"/>
    <row r="193" spans="1:18" s="2" customFormat="1" ht="14.5"/>
    <row r="194" spans="1:18" s="2" customFormat="1" ht="14.5"/>
    <row r="195" spans="1:18" s="2" customFormat="1" ht="14.5"/>
    <row r="196" spans="1:18" s="2" customFormat="1" ht="14.5"/>
    <row r="197" spans="1:18" s="2" customFormat="1" ht="14.5"/>
    <row r="198" spans="1:18" s="2" customFormat="1" ht="14.5"/>
    <row r="199" spans="1:18" s="2" customFormat="1" ht="14.5"/>
    <row r="200" spans="1:18" s="2" customFormat="1" ht="14.5"/>
    <row r="201" spans="1:18" s="2" customFormat="1" ht="14.5"/>
    <row r="202" spans="1:18" s="2" customFormat="1" ht="14.5"/>
    <row r="203" spans="1:18" s="2" customFormat="1" ht="14.5"/>
    <row r="204" spans="1:18" s="2" customFormat="1">
      <c r="J204" s="1"/>
    </row>
    <row r="205" spans="1:18" s="2" customFormat="1">
      <c r="J205" s="1"/>
    </row>
    <row r="206" spans="1:18">
      <c r="A206" s="2"/>
      <c r="B206" s="2"/>
      <c r="C206" s="2"/>
      <c r="D206" s="2"/>
      <c r="E206" s="2"/>
      <c r="F206" s="2"/>
      <c r="G206" s="2"/>
      <c r="H206" s="2"/>
      <c r="I206" s="2"/>
      <c r="Q206" s="2"/>
      <c r="R206" s="2"/>
    </row>
    <row r="207" spans="1:18">
      <c r="A207" s="2"/>
      <c r="B207" s="2"/>
      <c r="C207" s="2"/>
      <c r="D207" s="2"/>
      <c r="E207" s="2"/>
      <c r="F207" s="2"/>
      <c r="G207" s="2"/>
      <c r="H207" s="2"/>
      <c r="I207" s="2"/>
      <c r="Q207" s="2"/>
      <c r="R207" s="2"/>
    </row>
    <row r="208" spans="1:18">
      <c r="A208" s="2"/>
      <c r="B208" s="2"/>
      <c r="C208" s="2"/>
      <c r="D208" s="2"/>
      <c r="E208" s="2"/>
      <c r="F208" s="2"/>
      <c r="G208" s="2"/>
      <c r="H208" s="2"/>
      <c r="I208" s="2"/>
      <c r="Q208" s="2"/>
      <c r="R208" s="2"/>
    </row>
    <row r="209" spans="1:18">
      <c r="A209" s="2"/>
      <c r="B209" s="2"/>
      <c r="C209" s="2"/>
      <c r="D209" s="2"/>
      <c r="E209" s="2"/>
      <c r="F209" s="2"/>
      <c r="G209" s="2"/>
      <c r="H209" s="2"/>
      <c r="I209" s="2"/>
      <c r="Q209" s="2"/>
      <c r="R209" s="2"/>
    </row>
    <row r="210" spans="1:18">
      <c r="A210" s="2"/>
      <c r="B210" s="2"/>
      <c r="C210" s="2"/>
      <c r="D210" s="2"/>
      <c r="E210" s="2"/>
      <c r="F210" s="2"/>
      <c r="G210" s="2"/>
      <c r="H210" s="2"/>
      <c r="I210" s="2"/>
      <c r="Q210" s="2"/>
      <c r="R210" s="2"/>
    </row>
    <row r="211" spans="1:18">
      <c r="A211" s="2"/>
      <c r="B211" s="2"/>
      <c r="C211" s="2"/>
      <c r="D211" s="2"/>
      <c r="E211" s="2"/>
      <c r="F211" s="2"/>
      <c r="G211" s="2"/>
      <c r="H211" s="2"/>
      <c r="I211" s="2"/>
      <c r="Q211" s="2"/>
      <c r="R211" s="2"/>
    </row>
    <row r="212" spans="1:18">
      <c r="A212" s="2"/>
      <c r="D212" s="2"/>
      <c r="E212" s="2"/>
      <c r="F212" s="2"/>
      <c r="G212" s="2"/>
      <c r="H212" s="2"/>
      <c r="I212" s="2"/>
    </row>
    <row r="213" spans="1:18">
      <c r="A213" s="2"/>
      <c r="D213" s="2"/>
      <c r="E213" s="2"/>
      <c r="F213" s="2"/>
      <c r="G213" s="2"/>
      <c r="H213" s="2"/>
      <c r="I213" s="2"/>
    </row>
    <row r="214" spans="1:18">
      <c r="A214" s="2"/>
      <c r="D214" s="2"/>
      <c r="E214" s="2"/>
      <c r="F214" s="2"/>
      <c r="G214" s="2"/>
      <c r="H214" s="2"/>
      <c r="I214" s="2"/>
    </row>
  </sheetData>
  <mergeCells count="1">
    <mergeCell ref="P36:T55"/>
  </mergeCells>
  <phoneticPr fontId="28" type="noConversion"/>
  <pageMargins left="0.23622047244094491" right="0.23622047244094491" top="0.74803149606299213" bottom="0.74803149606299213" header="0.31496062992125984" footer="0.31496062992125984"/>
  <pageSetup paperSize="9" scale="27" fitToHeight="2" orientation="landscape" r:id="rId1"/>
  <rowBreaks count="1" manualBreakCount="1">
    <brk id="70" max="20" man="1"/>
  </rowBreaks>
  <colBreaks count="1" manualBreakCount="1">
    <brk id="14" max="47" man="1"/>
  </colBreaks>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F968BB-B945-4E4F-B02F-FB9FC6383E32}">
  <sheetPr>
    <tabColor rgb="FF339088"/>
  </sheetPr>
  <dimension ref="A1:AE128"/>
  <sheetViews>
    <sheetView showGridLines="0" view="pageBreakPreview" topLeftCell="A17" zoomScale="70" zoomScaleNormal="100" zoomScaleSheetLayoutView="70" workbookViewId="0">
      <selection activeCell="D29" sqref="D29:D32"/>
    </sheetView>
  </sheetViews>
  <sheetFormatPr defaultColWidth="9.26953125" defaultRowHeight="16.5"/>
  <cols>
    <col min="1" max="1" width="21.26953125" style="1" customWidth="1"/>
    <col min="2" max="2" width="14.7265625" style="1" customWidth="1"/>
    <col min="3" max="3" width="22.7265625" style="1" customWidth="1"/>
    <col min="4" max="4" width="17" style="27" customWidth="1"/>
    <col min="5" max="5" width="17.26953125" style="27" customWidth="1"/>
    <col min="6" max="6" width="13.26953125" style="1" customWidth="1"/>
    <col min="7" max="7" width="22" style="1" customWidth="1"/>
    <col min="8" max="8" width="13" style="1" customWidth="1"/>
    <col min="9" max="9" width="12.7265625" style="1" customWidth="1"/>
    <col min="10" max="10" width="11" style="1" customWidth="1"/>
    <col min="11" max="11" width="21.26953125" style="1" customWidth="1"/>
    <col min="12" max="12" width="12.26953125" style="1" customWidth="1"/>
    <col min="13" max="13" width="12.7265625" style="1" customWidth="1"/>
    <col min="14" max="19" width="11.26953125" style="1" customWidth="1"/>
    <col min="20" max="20" width="5" style="1" customWidth="1"/>
    <col min="21" max="21" width="11.26953125" style="1" customWidth="1"/>
    <col min="22" max="22" width="11.7265625" style="27" customWidth="1"/>
    <col min="23" max="23" width="11.26953125" style="1" customWidth="1"/>
    <col min="24" max="24" width="10.7265625" style="1" customWidth="1"/>
    <col min="25" max="26" width="11.26953125" style="1" customWidth="1"/>
    <col min="27" max="27" width="10.7265625" style="1" customWidth="1"/>
    <col min="28" max="28" width="11" style="1" customWidth="1"/>
    <col min="29" max="29" width="10.7265625" style="1" customWidth="1"/>
    <col min="30" max="30" width="11.7265625" style="1" customWidth="1"/>
    <col min="31" max="31" width="12.7265625" style="1" bestFit="1" customWidth="1"/>
    <col min="32" max="35" width="9.26953125" style="1"/>
    <col min="36" max="36" width="11.26953125" style="1" bestFit="1" customWidth="1"/>
    <col min="37" max="39" width="9.26953125" style="1"/>
    <col min="40" max="40" width="10.26953125" style="1" bestFit="1" customWidth="1"/>
    <col min="41" max="16384" width="9.26953125" style="1"/>
  </cols>
  <sheetData>
    <row r="1" spans="1:26" ht="26">
      <c r="A1" s="4" t="s">
        <v>318</v>
      </c>
    </row>
    <row r="3" spans="1:26" ht="21" thickBot="1">
      <c r="A3" s="181" t="s">
        <v>319</v>
      </c>
      <c r="B3" s="48"/>
      <c r="C3" s="48"/>
      <c r="D3" s="186"/>
      <c r="E3" s="186"/>
      <c r="F3" s="48"/>
      <c r="G3" s="345" t="s">
        <v>320</v>
      </c>
      <c r="W3" s="27"/>
      <c r="X3" s="27"/>
      <c r="Y3" s="27"/>
      <c r="Z3" s="27"/>
    </row>
    <row r="4" spans="1:26" ht="90" customHeight="1">
      <c r="A4" s="336" t="s">
        <v>89</v>
      </c>
      <c r="B4" s="472" t="s">
        <v>321</v>
      </c>
      <c r="C4" s="338" t="s">
        <v>197</v>
      </c>
      <c r="D4" s="339" t="s">
        <v>322</v>
      </c>
      <c r="E4" s="340" t="s">
        <v>323</v>
      </c>
      <c r="F4" s="48"/>
      <c r="G4" s="1174" t="s">
        <v>324</v>
      </c>
      <c r="H4" s="1154"/>
      <c r="I4" s="1154"/>
      <c r="J4" s="1154"/>
      <c r="K4" s="1154"/>
      <c r="L4" s="1154"/>
      <c r="M4" s="1154"/>
      <c r="N4" s="1154"/>
      <c r="O4" s="1154"/>
      <c r="P4" s="1154"/>
      <c r="Q4" s="1154"/>
      <c r="R4" s="1154"/>
      <c r="S4" s="1154"/>
      <c r="T4" s="1154"/>
      <c r="U4" s="1155"/>
      <c r="W4" s="27"/>
      <c r="X4" s="27"/>
      <c r="Y4" s="27"/>
      <c r="Z4" s="27"/>
    </row>
    <row r="5" spans="1:26" ht="20.149999999999999" customHeight="1">
      <c r="A5" s="1171">
        <v>2019</v>
      </c>
      <c r="B5" s="1173">
        <f>SUM(D5:D8)</f>
        <v>91600.025000000009</v>
      </c>
      <c r="C5" s="189" t="s">
        <v>217</v>
      </c>
      <c r="D5" s="446">
        <f t="shared" ref="D5:D32" si="0">SUM(C61,G61,K61)</f>
        <v>24553.924999999999</v>
      </c>
      <c r="E5" s="446">
        <f>Table41214[[#This Row],[Quarterly Net Absorption
(pyeong)]]/0.3025</f>
        <v>81170</v>
      </c>
      <c r="F5" s="48"/>
      <c r="G5" s="1156"/>
      <c r="H5" s="1157"/>
      <c r="I5" s="1157"/>
      <c r="J5" s="1157"/>
      <c r="K5" s="1157"/>
      <c r="L5" s="1157"/>
      <c r="M5" s="1157"/>
      <c r="N5" s="1157"/>
      <c r="O5" s="1157"/>
      <c r="P5" s="1157"/>
      <c r="Q5" s="1157"/>
      <c r="R5" s="1157"/>
      <c r="S5" s="1157"/>
      <c r="T5" s="1157"/>
      <c r="U5" s="1158"/>
      <c r="W5" s="27"/>
      <c r="X5" s="27"/>
      <c r="Y5" s="27"/>
      <c r="Z5" s="27"/>
    </row>
    <row r="6" spans="1:26" ht="20.149999999999999" customHeight="1">
      <c r="A6" s="1172"/>
      <c r="B6" s="1172"/>
      <c r="C6" s="189" t="s">
        <v>209</v>
      </c>
      <c r="D6" s="446">
        <f t="shared" si="0"/>
        <v>9204.4700000000012</v>
      </c>
      <c r="E6" s="447">
        <f>Table41214[[#This Row],[Quarterly Net Absorption
(pyeong)]]/0.3025</f>
        <v>30428.000000000004</v>
      </c>
      <c r="F6" s="48"/>
      <c r="G6" s="1156"/>
      <c r="H6" s="1157"/>
      <c r="I6" s="1157"/>
      <c r="J6" s="1157"/>
      <c r="K6" s="1157"/>
      <c r="L6" s="1157"/>
      <c r="M6" s="1157"/>
      <c r="N6" s="1157"/>
      <c r="O6" s="1157"/>
      <c r="P6" s="1157"/>
      <c r="Q6" s="1157"/>
      <c r="R6" s="1157"/>
      <c r="S6" s="1157"/>
      <c r="T6" s="1157"/>
      <c r="U6" s="1158"/>
      <c r="W6" s="27"/>
      <c r="X6" s="27"/>
      <c r="Y6" s="27"/>
      <c r="Z6" s="27"/>
    </row>
    <row r="7" spans="1:26" ht="20.149999999999999" customHeight="1">
      <c r="A7" s="1172"/>
      <c r="B7" s="1172"/>
      <c r="C7" s="189" t="s">
        <v>232</v>
      </c>
      <c r="D7" s="446">
        <f t="shared" si="0"/>
        <v>50278.525000000001</v>
      </c>
      <c r="E7" s="446">
        <f>Table41214[[#This Row],[Quarterly Net Absorption
(pyeong)]]/0.3025</f>
        <v>166210</v>
      </c>
      <c r="F7" s="48"/>
      <c r="G7" s="1156"/>
      <c r="H7" s="1157"/>
      <c r="I7" s="1157"/>
      <c r="J7" s="1157"/>
      <c r="K7" s="1157"/>
      <c r="L7" s="1157"/>
      <c r="M7" s="1157"/>
      <c r="N7" s="1157"/>
      <c r="O7" s="1157"/>
      <c r="P7" s="1157"/>
      <c r="Q7" s="1157"/>
      <c r="R7" s="1157"/>
      <c r="S7" s="1157"/>
      <c r="T7" s="1157"/>
      <c r="U7" s="1158"/>
      <c r="W7" s="27"/>
      <c r="X7" s="27"/>
      <c r="Y7" s="27"/>
      <c r="Z7" s="27"/>
    </row>
    <row r="8" spans="1:26" ht="20.149999999999999" customHeight="1">
      <c r="A8" s="1172"/>
      <c r="B8" s="1172"/>
      <c r="C8" s="189" t="s">
        <v>213</v>
      </c>
      <c r="D8" s="446">
        <f t="shared" si="0"/>
        <v>7563.1050000000005</v>
      </c>
      <c r="E8" s="447">
        <f>Table41214[[#This Row],[Quarterly Net Absorption
(pyeong)]]/0.3025</f>
        <v>25002.000000000004</v>
      </c>
      <c r="F8" s="48"/>
      <c r="G8" s="1156"/>
      <c r="H8" s="1157"/>
      <c r="I8" s="1157"/>
      <c r="J8" s="1157"/>
      <c r="K8" s="1157"/>
      <c r="L8" s="1157"/>
      <c r="M8" s="1157"/>
      <c r="N8" s="1157"/>
      <c r="O8" s="1157"/>
      <c r="P8" s="1157"/>
      <c r="Q8" s="1157"/>
      <c r="R8" s="1157"/>
      <c r="S8" s="1157"/>
      <c r="T8" s="1157"/>
      <c r="U8" s="1158"/>
      <c r="W8" s="27"/>
      <c r="X8" s="27"/>
      <c r="Y8" s="27"/>
      <c r="Z8" s="27"/>
    </row>
    <row r="9" spans="1:26" ht="20.149999999999999" customHeight="1">
      <c r="A9" s="1171">
        <v>2020</v>
      </c>
      <c r="B9" s="1173">
        <f>SUM(D9:D12)</f>
        <v>46861.485000000001</v>
      </c>
      <c r="C9" s="189" t="s">
        <v>217</v>
      </c>
      <c r="D9" s="446">
        <f t="shared" si="0"/>
        <v>1201.5299999999997</v>
      </c>
      <c r="E9" s="446">
        <f>Table41214[[#This Row],[Quarterly Net Absorption
(pyeong)]]/0.3025</f>
        <v>3971.9999999999991</v>
      </c>
      <c r="F9" s="48"/>
      <c r="G9" s="1156"/>
      <c r="H9" s="1157"/>
      <c r="I9" s="1157"/>
      <c r="J9" s="1157"/>
      <c r="K9" s="1157"/>
      <c r="L9" s="1157"/>
      <c r="M9" s="1157"/>
      <c r="N9" s="1157"/>
      <c r="O9" s="1157"/>
      <c r="P9" s="1157"/>
      <c r="Q9" s="1157"/>
      <c r="R9" s="1157"/>
      <c r="S9" s="1157"/>
      <c r="T9" s="1157"/>
      <c r="U9" s="1158"/>
      <c r="W9" s="27"/>
      <c r="X9" s="27"/>
      <c r="Y9" s="27"/>
      <c r="Z9" s="27"/>
    </row>
    <row r="10" spans="1:26" ht="20.149999999999999" customHeight="1">
      <c r="A10" s="1172"/>
      <c r="B10" s="1172"/>
      <c r="C10" s="189" t="s">
        <v>209</v>
      </c>
      <c r="D10" s="446">
        <f t="shared" si="0"/>
        <v>12314.4725</v>
      </c>
      <c r="E10" s="447">
        <f>Table41214[[#This Row],[Quarterly Net Absorption
(pyeong)]]/0.3025</f>
        <v>40709</v>
      </c>
      <c r="F10" s="48"/>
      <c r="G10" s="1156"/>
      <c r="H10" s="1157"/>
      <c r="I10" s="1157"/>
      <c r="J10" s="1157"/>
      <c r="K10" s="1157"/>
      <c r="L10" s="1157"/>
      <c r="M10" s="1157"/>
      <c r="N10" s="1157"/>
      <c r="O10" s="1157"/>
      <c r="P10" s="1157"/>
      <c r="Q10" s="1157"/>
      <c r="R10" s="1157"/>
      <c r="S10" s="1157"/>
      <c r="T10" s="1157"/>
      <c r="U10" s="1158"/>
      <c r="W10" s="27"/>
      <c r="X10" s="27"/>
      <c r="Y10" s="27"/>
      <c r="Z10" s="27"/>
    </row>
    <row r="11" spans="1:26" ht="20.149999999999999" customHeight="1">
      <c r="A11" s="1172"/>
      <c r="B11" s="1172"/>
      <c r="C11" s="189" t="s">
        <v>232</v>
      </c>
      <c r="D11" s="446">
        <f t="shared" si="0"/>
        <v>15210.305</v>
      </c>
      <c r="E11" s="446">
        <f>Table41214[[#This Row],[Quarterly Net Absorption
(pyeong)]]/0.3025</f>
        <v>50282</v>
      </c>
      <c r="F11" s="48"/>
      <c r="G11" s="1156"/>
      <c r="H11" s="1157"/>
      <c r="I11" s="1157"/>
      <c r="J11" s="1157"/>
      <c r="K11" s="1157"/>
      <c r="L11" s="1157"/>
      <c r="M11" s="1157"/>
      <c r="N11" s="1157"/>
      <c r="O11" s="1157"/>
      <c r="P11" s="1157"/>
      <c r="Q11" s="1157"/>
      <c r="R11" s="1157"/>
      <c r="S11" s="1157"/>
      <c r="T11" s="1157"/>
      <c r="U11" s="1158"/>
      <c r="W11" s="27"/>
      <c r="X11" s="27"/>
      <c r="Y11" s="27"/>
      <c r="Z11" s="27"/>
    </row>
    <row r="12" spans="1:26" ht="20.149999999999999" customHeight="1">
      <c r="A12" s="1172"/>
      <c r="B12" s="1172"/>
      <c r="C12" s="189" t="s">
        <v>213</v>
      </c>
      <c r="D12" s="446">
        <f t="shared" si="0"/>
        <v>18135.177500000002</v>
      </c>
      <c r="E12" s="447">
        <f>Table41214[[#This Row],[Quarterly Net Absorption
(pyeong)]]/0.3025</f>
        <v>59951.000000000007</v>
      </c>
      <c r="F12" s="48"/>
      <c r="G12" s="1156"/>
      <c r="H12" s="1157"/>
      <c r="I12" s="1157"/>
      <c r="J12" s="1157"/>
      <c r="K12" s="1157"/>
      <c r="L12" s="1157"/>
      <c r="M12" s="1157"/>
      <c r="N12" s="1157"/>
      <c r="O12" s="1157"/>
      <c r="P12" s="1157"/>
      <c r="Q12" s="1157"/>
      <c r="R12" s="1157"/>
      <c r="S12" s="1157"/>
      <c r="T12" s="1157"/>
      <c r="U12" s="1158"/>
    </row>
    <row r="13" spans="1:26" ht="20.149999999999999" customHeight="1" thickBot="1">
      <c r="A13" s="1171">
        <v>2021</v>
      </c>
      <c r="B13" s="1173">
        <f>SUM(D13:D16)</f>
        <v>150786.26750000002</v>
      </c>
      <c r="C13" s="189" t="s">
        <v>217</v>
      </c>
      <c r="D13" s="446">
        <f t="shared" si="0"/>
        <v>38056.6175</v>
      </c>
      <c r="E13" s="446">
        <f>Table41214[[#This Row],[Quarterly Net Absorption
(pyeong)]]/0.3025</f>
        <v>125807</v>
      </c>
      <c r="F13" s="48"/>
      <c r="G13" s="1159"/>
      <c r="H13" s="1160"/>
      <c r="I13" s="1160"/>
      <c r="J13" s="1160"/>
      <c r="K13" s="1160"/>
      <c r="L13" s="1160"/>
      <c r="M13" s="1160"/>
      <c r="N13" s="1160"/>
      <c r="O13" s="1160"/>
      <c r="P13" s="1160"/>
      <c r="Q13" s="1160"/>
      <c r="R13" s="1160"/>
      <c r="S13" s="1160"/>
      <c r="T13" s="1160"/>
      <c r="U13" s="1161"/>
    </row>
    <row r="14" spans="1:26" ht="20.149999999999999" customHeight="1">
      <c r="A14" s="1172"/>
      <c r="B14" s="1172"/>
      <c r="C14" s="189" t="s">
        <v>209</v>
      </c>
      <c r="D14" s="446">
        <f t="shared" si="0"/>
        <v>17006.247499999998</v>
      </c>
      <c r="E14" s="447">
        <f>Table41214[[#This Row],[Quarterly Net Absorption
(pyeong)]]/0.3025</f>
        <v>56218.999999999993</v>
      </c>
      <c r="F14" s="48"/>
      <c r="G14" s="635"/>
      <c r="H14" s="635"/>
      <c r="I14" s="635"/>
      <c r="J14" s="635"/>
      <c r="K14" s="635"/>
      <c r="L14" s="635"/>
      <c r="M14" s="635"/>
      <c r="N14" s="635"/>
      <c r="O14" s="635"/>
      <c r="P14" s="635"/>
      <c r="Q14" s="635"/>
      <c r="R14" s="635"/>
      <c r="S14" s="635"/>
      <c r="T14" s="635"/>
      <c r="U14" s="635"/>
    </row>
    <row r="15" spans="1:26" ht="20.149999999999999" customHeight="1">
      <c r="A15" s="1172"/>
      <c r="B15" s="1172"/>
      <c r="C15" s="189" t="s">
        <v>232</v>
      </c>
      <c r="D15" s="446">
        <f t="shared" si="0"/>
        <v>43207.587500000001</v>
      </c>
      <c r="E15" s="446">
        <f>Table41214[[#This Row],[Quarterly Net Absorption
(pyeong)]]/0.3025</f>
        <v>142835</v>
      </c>
      <c r="F15" s="48"/>
      <c r="G15" s="635"/>
      <c r="H15" s="635"/>
      <c r="I15" s="635"/>
      <c r="J15" s="635"/>
      <c r="K15" s="635"/>
      <c r="L15" s="635"/>
      <c r="M15" s="635"/>
      <c r="N15" s="635"/>
      <c r="O15" s="635"/>
      <c r="P15" s="635"/>
      <c r="Q15" s="635"/>
      <c r="R15" s="635"/>
      <c r="S15" s="635"/>
      <c r="T15" s="635"/>
      <c r="U15" s="635"/>
    </row>
    <row r="16" spans="1:26" ht="20.149999999999999" customHeight="1" thickBot="1">
      <c r="A16" s="1172"/>
      <c r="B16" s="1172"/>
      <c r="C16" s="189" t="s">
        <v>213</v>
      </c>
      <c r="D16" s="446">
        <f t="shared" si="0"/>
        <v>52515.815000000002</v>
      </c>
      <c r="E16" s="447">
        <f>Table41214[[#This Row],[Quarterly Net Absorption
(pyeong)]]/0.3025</f>
        <v>173606</v>
      </c>
      <c r="F16" s="48"/>
      <c r="G16" s="345" t="s">
        <v>325</v>
      </c>
      <c r="H16" s="635"/>
      <c r="I16" s="635"/>
      <c r="J16" s="635"/>
      <c r="K16" s="635"/>
      <c r="L16" s="635"/>
      <c r="M16" s="635"/>
      <c r="N16" s="635"/>
      <c r="O16" s="635"/>
      <c r="P16" s="635"/>
      <c r="Q16" s="635"/>
      <c r="R16" s="635"/>
      <c r="S16" s="635"/>
      <c r="T16" s="635"/>
      <c r="U16" s="635"/>
    </row>
    <row r="17" spans="1:22" ht="20.149999999999999" customHeight="1">
      <c r="A17" s="1171">
        <v>2022</v>
      </c>
      <c r="B17" s="1173">
        <f>SUM(D17:D20)</f>
        <v>126882.71749999998</v>
      </c>
      <c r="C17" s="341" t="s">
        <v>217</v>
      </c>
      <c r="D17" s="446">
        <f t="shared" si="0"/>
        <v>63809.652499999997</v>
      </c>
      <c r="E17" s="446">
        <f>Table41214[[#This Row],[Quarterly Net Absorption
(pyeong)]]/0.3025</f>
        <v>210941</v>
      </c>
      <c r="F17" s="48"/>
      <c r="G17" s="1174" t="s">
        <v>326</v>
      </c>
      <c r="H17" s="1154"/>
      <c r="I17" s="1154"/>
      <c r="J17" s="1154"/>
      <c r="K17" s="1154"/>
      <c r="L17" s="1154"/>
      <c r="M17" s="1154"/>
      <c r="N17" s="1154"/>
      <c r="O17" s="1154"/>
      <c r="P17" s="1154"/>
      <c r="Q17" s="1154"/>
      <c r="R17" s="1154"/>
      <c r="S17" s="1154"/>
      <c r="T17" s="1154"/>
      <c r="U17" s="1155"/>
    </row>
    <row r="18" spans="1:22" ht="20.149999999999999" customHeight="1">
      <c r="A18" s="1172"/>
      <c r="B18" s="1181"/>
      <c r="C18" s="189" t="s">
        <v>209</v>
      </c>
      <c r="D18" s="446">
        <f t="shared" si="0"/>
        <v>21129.322499999998</v>
      </c>
      <c r="E18" s="447">
        <f>Table41214[[#This Row],[Quarterly Net Absorption
(pyeong)]]/0.3025</f>
        <v>69849</v>
      </c>
      <c r="F18" s="48"/>
      <c r="G18" s="1156"/>
      <c r="H18" s="1157"/>
      <c r="I18" s="1157"/>
      <c r="J18" s="1157"/>
      <c r="K18" s="1157"/>
      <c r="L18" s="1157"/>
      <c r="M18" s="1157"/>
      <c r="N18" s="1157"/>
      <c r="O18" s="1157"/>
      <c r="P18" s="1157"/>
      <c r="Q18" s="1157"/>
      <c r="R18" s="1157"/>
      <c r="S18" s="1157"/>
      <c r="T18" s="1157"/>
      <c r="U18" s="1158"/>
    </row>
    <row r="19" spans="1:22" ht="20.149999999999999" customHeight="1">
      <c r="A19" s="1172"/>
      <c r="B19" s="1181"/>
      <c r="C19" s="189" t="s">
        <v>327</v>
      </c>
      <c r="D19" s="446">
        <f t="shared" si="0"/>
        <v>25859.514999999999</v>
      </c>
      <c r="E19" s="448">
        <f>Table41214[[#This Row],[Quarterly Net Absorption
(pyeong)]]/0.3025</f>
        <v>85486</v>
      </c>
      <c r="F19" s="48"/>
      <c r="G19" s="1156"/>
      <c r="H19" s="1157"/>
      <c r="I19" s="1157"/>
      <c r="J19" s="1157"/>
      <c r="K19" s="1157"/>
      <c r="L19" s="1157"/>
      <c r="M19" s="1157"/>
      <c r="N19" s="1157"/>
      <c r="O19" s="1157"/>
      <c r="P19" s="1157"/>
      <c r="Q19" s="1157"/>
      <c r="R19" s="1157"/>
      <c r="S19" s="1157"/>
      <c r="T19" s="1157"/>
      <c r="U19" s="1158"/>
    </row>
    <row r="20" spans="1:22" ht="20.149999999999999" customHeight="1">
      <c r="A20" s="1172"/>
      <c r="B20" s="1181"/>
      <c r="C20" s="189" t="s">
        <v>213</v>
      </c>
      <c r="D20" s="446">
        <f t="shared" si="0"/>
        <v>16084.227499999997</v>
      </c>
      <c r="E20" s="448">
        <f>Table41214[[#This Row],[Quarterly Net Absorption
(pyeong)]]/0.3025</f>
        <v>53170.999999999993</v>
      </c>
      <c r="F20" s="48"/>
      <c r="G20" s="1156"/>
      <c r="H20" s="1157"/>
      <c r="I20" s="1157"/>
      <c r="J20" s="1157"/>
      <c r="K20" s="1157"/>
      <c r="L20" s="1157"/>
      <c r="M20" s="1157"/>
      <c r="N20" s="1157"/>
      <c r="O20" s="1157"/>
      <c r="P20" s="1157"/>
      <c r="Q20" s="1157"/>
      <c r="R20" s="1157"/>
      <c r="S20" s="1157"/>
      <c r="T20" s="1157"/>
      <c r="U20" s="1158"/>
    </row>
    <row r="21" spans="1:22" ht="20.149999999999999" customHeight="1">
      <c r="A21" s="1175">
        <v>2023</v>
      </c>
      <c r="B21" s="1178">
        <f>SUM(D21:D24)</f>
        <v>39036</v>
      </c>
      <c r="C21" s="341" t="s">
        <v>217</v>
      </c>
      <c r="D21" s="446">
        <f t="shared" si="0"/>
        <v>-14436</v>
      </c>
      <c r="E21" s="449">
        <f t="shared" ref="E21:E28" si="1">D21/0.3025</f>
        <v>-47722.314049586777</v>
      </c>
      <c r="F21" s="342"/>
      <c r="G21" s="1156"/>
      <c r="H21" s="1157"/>
      <c r="I21" s="1157"/>
      <c r="J21" s="1157"/>
      <c r="K21" s="1157"/>
      <c r="L21" s="1157"/>
      <c r="M21" s="1157"/>
      <c r="N21" s="1157"/>
      <c r="O21" s="1157"/>
      <c r="P21" s="1157"/>
      <c r="Q21" s="1157"/>
      <c r="R21" s="1157"/>
      <c r="S21" s="1157"/>
      <c r="T21" s="1157"/>
      <c r="U21" s="1158"/>
    </row>
    <row r="22" spans="1:22" ht="20.149999999999999" customHeight="1">
      <c r="A22" s="1176"/>
      <c r="B22" s="1179"/>
      <c r="C22" s="189" t="s">
        <v>209</v>
      </c>
      <c r="D22" s="446">
        <f t="shared" si="0"/>
        <v>21070</v>
      </c>
      <c r="E22" s="447">
        <f t="shared" si="1"/>
        <v>69652.892561983477</v>
      </c>
      <c r="F22" s="342"/>
      <c r="G22" s="1156"/>
      <c r="H22" s="1157"/>
      <c r="I22" s="1157"/>
      <c r="J22" s="1157"/>
      <c r="K22" s="1157"/>
      <c r="L22" s="1157"/>
      <c r="M22" s="1157"/>
      <c r="N22" s="1157"/>
      <c r="O22" s="1157"/>
      <c r="P22" s="1157"/>
      <c r="Q22" s="1157"/>
      <c r="R22" s="1157"/>
      <c r="S22" s="1157"/>
      <c r="T22" s="1157"/>
      <c r="U22" s="1158"/>
    </row>
    <row r="23" spans="1:22" ht="20.149999999999999" customHeight="1">
      <c r="A23" s="1176"/>
      <c r="B23" s="1179"/>
      <c r="C23" s="189" t="s">
        <v>327</v>
      </c>
      <c r="D23" s="446">
        <f t="shared" si="0"/>
        <v>45692</v>
      </c>
      <c r="E23" s="449">
        <f t="shared" si="1"/>
        <v>151047.93388429753</v>
      </c>
      <c r="F23" s="342"/>
      <c r="G23" s="1156"/>
      <c r="H23" s="1157"/>
      <c r="I23" s="1157"/>
      <c r="J23" s="1157"/>
      <c r="K23" s="1157"/>
      <c r="L23" s="1157"/>
      <c r="M23" s="1157"/>
      <c r="N23" s="1157"/>
      <c r="O23" s="1157"/>
      <c r="P23" s="1157"/>
      <c r="Q23" s="1157"/>
      <c r="R23" s="1157"/>
      <c r="S23" s="1157"/>
      <c r="T23" s="1157"/>
      <c r="U23" s="1158"/>
    </row>
    <row r="24" spans="1:22" ht="20.149999999999999" customHeight="1">
      <c r="A24" s="1176"/>
      <c r="B24" s="1179"/>
      <c r="C24" s="189" t="s">
        <v>213</v>
      </c>
      <c r="D24" s="446">
        <f t="shared" si="0"/>
        <v>-13290</v>
      </c>
      <c r="E24" s="447">
        <f t="shared" si="1"/>
        <v>-43933.884297520664</v>
      </c>
      <c r="F24" s="342"/>
      <c r="G24" s="1156"/>
      <c r="H24" s="1157"/>
      <c r="I24" s="1157"/>
      <c r="J24" s="1157"/>
      <c r="K24" s="1157"/>
      <c r="L24" s="1157"/>
      <c r="M24" s="1157"/>
      <c r="N24" s="1157"/>
      <c r="O24" s="1157"/>
      <c r="P24" s="1157"/>
      <c r="Q24" s="1157"/>
      <c r="R24" s="1157"/>
      <c r="S24" s="1157"/>
      <c r="T24" s="1157"/>
      <c r="U24" s="1158"/>
    </row>
    <row r="25" spans="1:22" ht="20.149999999999999" customHeight="1">
      <c r="A25" s="1175">
        <v>2024</v>
      </c>
      <c r="B25" s="1178">
        <f>SUM(D25:D28)</f>
        <v>-59209</v>
      </c>
      <c r="C25" s="343" t="s">
        <v>217</v>
      </c>
      <c r="D25" s="446">
        <f t="shared" si="0"/>
        <v>-12407</v>
      </c>
      <c r="E25" s="450">
        <f t="shared" si="1"/>
        <v>-41014.876033057852</v>
      </c>
      <c r="F25" s="342"/>
      <c r="G25" s="1156"/>
      <c r="H25" s="1157"/>
      <c r="I25" s="1157"/>
      <c r="J25" s="1157"/>
      <c r="K25" s="1157"/>
      <c r="L25" s="1157"/>
      <c r="M25" s="1157"/>
      <c r="N25" s="1157"/>
      <c r="O25" s="1157"/>
      <c r="P25" s="1157"/>
      <c r="Q25" s="1157"/>
      <c r="R25" s="1157"/>
      <c r="S25" s="1157"/>
      <c r="T25" s="1157"/>
      <c r="U25" s="1158"/>
    </row>
    <row r="26" spans="1:22" ht="20.149999999999999" customHeight="1">
      <c r="A26" s="1176"/>
      <c r="B26" s="1179"/>
      <c r="C26" s="343" t="s">
        <v>209</v>
      </c>
      <c r="D26" s="446">
        <f t="shared" si="0"/>
        <v>-32126</v>
      </c>
      <c r="E26" s="458">
        <f t="shared" si="1"/>
        <v>-106201.65289256199</v>
      </c>
      <c r="F26" s="342"/>
      <c r="G26" s="1156"/>
      <c r="H26" s="1157"/>
      <c r="I26" s="1157"/>
      <c r="J26" s="1157"/>
      <c r="K26" s="1157"/>
      <c r="L26" s="1157"/>
      <c r="M26" s="1157"/>
      <c r="N26" s="1157"/>
      <c r="O26" s="1157"/>
      <c r="P26" s="1157"/>
      <c r="Q26" s="1157"/>
      <c r="R26" s="1157"/>
      <c r="S26" s="1157"/>
      <c r="T26" s="1157"/>
      <c r="U26" s="1158"/>
    </row>
    <row r="27" spans="1:22" s="43" customFormat="1" ht="20.149999999999999" customHeight="1" thickBot="1">
      <c r="A27" s="1176"/>
      <c r="B27" s="1179"/>
      <c r="C27" s="189" t="s">
        <v>327</v>
      </c>
      <c r="D27" s="531">
        <f t="shared" si="0"/>
        <v>-36156</v>
      </c>
      <c r="E27" s="450">
        <f t="shared" si="1"/>
        <v>-119523.96694214876</v>
      </c>
      <c r="F27" s="342"/>
      <c r="G27" s="1159"/>
      <c r="H27" s="1160"/>
      <c r="I27" s="1160"/>
      <c r="J27" s="1160"/>
      <c r="K27" s="1160"/>
      <c r="L27" s="1160"/>
      <c r="M27" s="1160"/>
      <c r="N27" s="1160"/>
      <c r="O27" s="1160"/>
      <c r="P27" s="1160"/>
      <c r="Q27" s="1160"/>
      <c r="R27" s="1160"/>
      <c r="S27" s="1160"/>
      <c r="T27" s="1160"/>
      <c r="U27" s="1161"/>
      <c r="V27" s="660"/>
    </row>
    <row r="28" spans="1:22" ht="20.149999999999999" customHeight="1">
      <c r="A28" s="1176"/>
      <c r="B28" s="1179"/>
      <c r="C28" s="189" t="s">
        <v>213</v>
      </c>
      <c r="D28" s="624">
        <f t="shared" si="0"/>
        <v>21480</v>
      </c>
      <c r="E28" s="625">
        <f t="shared" si="1"/>
        <v>71008.264462809922</v>
      </c>
      <c r="F28" s="344"/>
    </row>
    <row r="29" spans="1:22" ht="20.149999999999999" customHeight="1">
      <c r="A29" s="1175" t="s">
        <v>328</v>
      </c>
      <c r="B29" s="1178">
        <f>SUM(D29:D32)</f>
        <v>11528</v>
      </c>
      <c r="C29" s="607" t="s">
        <v>217</v>
      </c>
      <c r="D29" s="604">
        <f t="shared" si="0"/>
        <v>-79876</v>
      </c>
      <c r="E29" s="608">
        <f t="shared" ref="E29:E32" si="2">D29/0.3025</f>
        <v>-264052.89256198349</v>
      </c>
      <c r="F29" s="344"/>
    </row>
    <row r="30" spans="1:22" ht="20.149999999999999" customHeight="1">
      <c r="A30" s="1176"/>
      <c r="B30" s="1179"/>
      <c r="C30" s="609" t="s">
        <v>209</v>
      </c>
      <c r="D30" s="446">
        <f t="shared" si="0"/>
        <v>74554</v>
      </c>
      <c r="E30" s="610">
        <f t="shared" si="2"/>
        <v>246459.50413223141</v>
      </c>
      <c r="F30" s="344"/>
    </row>
    <row r="31" spans="1:22" ht="20.149999999999999" customHeight="1">
      <c r="A31" s="1176"/>
      <c r="B31" s="1179"/>
      <c r="C31" s="613" t="s">
        <v>327</v>
      </c>
      <c r="D31" s="614">
        <f t="shared" si="0"/>
        <v>41842</v>
      </c>
      <c r="E31" s="615">
        <f t="shared" si="2"/>
        <v>138320.66115702479</v>
      </c>
      <c r="F31" s="344"/>
    </row>
    <row r="32" spans="1:22" ht="15.65" customHeight="1">
      <c r="A32" s="1177"/>
      <c r="B32" s="1180"/>
      <c r="C32" s="901" t="s">
        <v>213</v>
      </c>
      <c r="D32" s="611">
        <f t="shared" si="0"/>
        <v>-24992</v>
      </c>
      <c r="E32" s="612">
        <f t="shared" si="2"/>
        <v>-82618.181818181823</v>
      </c>
    </row>
    <row r="33" spans="1:1" ht="15.65" customHeight="1">
      <c r="A33" s="2" t="s">
        <v>135</v>
      </c>
    </row>
    <row r="34" spans="1:1" ht="15.65" customHeight="1"/>
    <row r="35" spans="1:1" ht="15.65" customHeight="1"/>
    <row r="36" spans="1:1" ht="15.65" customHeight="1"/>
    <row r="37" spans="1:1" ht="15.65" customHeight="1"/>
    <row r="38" spans="1:1" ht="15.65" customHeight="1"/>
    <row r="39" spans="1:1" ht="15.65" customHeight="1"/>
    <row r="40" spans="1:1" ht="15.65" customHeight="1"/>
    <row r="41" spans="1:1" ht="15.65" customHeight="1"/>
    <row r="42" spans="1:1" ht="15.65" customHeight="1"/>
    <row r="43" spans="1:1" ht="15.65" customHeight="1"/>
    <row r="44" spans="1:1" ht="15.65" customHeight="1"/>
    <row r="45" spans="1:1" ht="15.65" customHeight="1"/>
    <row r="46" spans="1:1" ht="15.65" customHeight="1"/>
    <row r="47" spans="1:1" ht="15.65" customHeight="1"/>
    <row r="48" spans="1:1" ht="15.65" customHeight="1"/>
    <row r="49" spans="2:15" ht="15.65" customHeight="1"/>
    <row r="50" spans="2:15" ht="15.65" customHeight="1"/>
    <row r="51" spans="2:15" ht="15.65" customHeight="1"/>
    <row r="59" spans="2:15" ht="20.5">
      <c r="B59" s="181" t="s">
        <v>329</v>
      </c>
      <c r="C59" s="48"/>
      <c r="D59" s="186"/>
    </row>
    <row r="60" spans="2:15" ht="21" customHeight="1">
      <c r="B60" s="346" t="s">
        <v>186</v>
      </c>
      <c r="C60" s="347" t="s">
        <v>330</v>
      </c>
      <c r="D60" s="186"/>
      <c r="F60" s="346" t="s">
        <v>263</v>
      </c>
      <c r="G60" s="347" t="s">
        <v>330</v>
      </c>
      <c r="H60" s="48"/>
      <c r="J60" s="346" t="s">
        <v>188</v>
      </c>
      <c r="K60" s="356" t="s">
        <v>331</v>
      </c>
      <c r="L60" s="48"/>
      <c r="O60" s="1">
        <f>(-59209-39036)/39036</f>
        <v>-2.5167793831335179</v>
      </c>
    </row>
    <row r="61" spans="2:15" ht="21" customHeight="1">
      <c r="B61" s="348" t="s">
        <v>332</v>
      </c>
      <c r="C61" s="1219">
        <v>6009.4650000000001</v>
      </c>
      <c r="D61" s="186"/>
      <c r="F61" s="348" t="s">
        <v>332</v>
      </c>
      <c r="G61" s="349">
        <v>15470.1525</v>
      </c>
      <c r="H61" s="48"/>
      <c r="J61" s="348" t="s">
        <v>332</v>
      </c>
      <c r="K61" s="349">
        <v>3074.3074999999999</v>
      </c>
      <c r="L61" s="48"/>
    </row>
    <row r="62" spans="2:15" ht="21" customHeight="1">
      <c r="B62" s="348" t="s">
        <v>333</v>
      </c>
      <c r="C62" s="1219">
        <v>-2695.88</v>
      </c>
      <c r="D62" s="186"/>
      <c r="F62" s="348" t="s">
        <v>333</v>
      </c>
      <c r="G62" s="349">
        <v>10922.065000000001</v>
      </c>
      <c r="H62" s="48"/>
      <c r="J62" s="348" t="s">
        <v>333</v>
      </c>
      <c r="K62" s="349">
        <v>978.28499999999997</v>
      </c>
      <c r="L62" s="48"/>
    </row>
    <row r="63" spans="2:15" ht="21" customHeight="1">
      <c r="B63" s="348" t="s">
        <v>334</v>
      </c>
      <c r="C63" s="1219">
        <v>34631.107499999998</v>
      </c>
      <c r="D63" s="451" t="s">
        <v>335</v>
      </c>
      <c r="F63" s="348" t="s">
        <v>334</v>
      </c>
      <c r="G63" s="349">
        <v>6069.0574999999999</v>
      </c>
      <c r="H63" s="451" t="s">
        <v>335</v>
      </c>
      <c r="J63" s="348" t="s">
        <v>334</v>
      </c>
      <c r="K63" s="349">
        <v>9578.36</v>
      </c>
      <c r="L63" s="451" t="s">
        <v>335</v>
      </c>
    </row>
    <row r="64" spans="2:15" ht="21" customHeight="1">
      <c r="B64" s="348" t="s">
        <v>336</v>
      </c>
      <c r="C64" s="1219">
        <v>28560.84</v>
      </c>
      <c r="D64" s="452">
        <f>SUM(C61:C64)</f>
        <v>66505.532500000001</v>
      </c>
      <c r="F64" s="348" t="s">
        <v>336</v>
      </c>
      <c r="G64" s="349">
        <v>-14949.247499999999</v>
      </c>
      <c r="H64" s="452">
        <f>SUM(G61:G64)</f>
        <v>17512.027499999997</v>
      </c>
      <c r="J64" s="348" t="s">
        <v>336</v>
      </c>
      <c r="K64" s="349">
        <v>-6048.4875000000002</v>
      </c>
      <c r="L64" s="452">
        <f>SUM(K61:K64)</f>
        <v>7582.4649999999992</v>
      </c>
    </row>
    <row r="65" spans="2:12" ht="21" customHeight="1">
      <c r="B65" s="348" t="s">
        <v>337</v>
      </c>
      <c r="C65" s="1219">
        <v>9336.9650000000001</v>
      </c>
      <c r="D65" s="186"/>
      <c r="F65" s="348" t="s">
        <v>337</v>
      </c>
      <c r="G65" s="349">
        <v>-2520.4299999999998</v>
      </c>
      <c r="H65" s="48"/>
      <c r="J65" s="348" t="s">
        <v>337</v>
      </c>
      <c r="K65" s="349">
        <v>-5615.0050000000001</v>
      </c>
    </row>
    <row r="66" spans="2:12" ht="21" customHeight="1">
      <c r="B66" s="348" t="s">
        <v>338</v>
      </c>
      <c r="C66" s="1219">
        <v>-2073.6374999999998</v>
      </c>
      <c r="D66" s="186"/>
      <c r="F66" s="348" t="s">
        <v>338</v>
      </c>
      <c r="G66" s="349">
        <v>-391.13249999999999</v>
      </c>
      <c r="H66" s="48"/>
      <c r="J66" s="348" t="s">
        <v>338</v>
      </c>
      <c r="K66" s="349">
        <v>14779.2425</v>
      </c>
      <c r="L66" s="48"/>
    </row>
    <row r="67" spans="2:12" ht="21" customHeight="1">
      <c r="B67" s="348" t="s">
        <v>339</v>
      </c>
      <c r="C67" s="1219">
        <v>13196.865</v>
      </c>
      <c r="D67" s="451" t="s">
        <v>340</v>
      </c>
      <c r="F67" s="348" t="s">
        <v>339</v>
      </c>
      <c r="G67" s="349">
        <v>2953.3074999999999</v>
      </c>
      <c r="H67" s="451" t="s">
        <v>340</v>
      </c>
      <c r="J67" s="348" t="s">
        <v>339</v>
      </c>
      <c r="K67" s="349">
        <v>-939.86749999999995</v>
      </c>
      <c r="L67" s="451" t="s">
        <v>340</v>
      </c>
    </row>
    <row r="68" spans="2:12" ht="21" customHeight="1">
      <c r="B68" s="348" t="s">
        <v>341</v>
      </c>
      <c r="C68" s="1219">
        <v>-12157.172499999999</v>
      </c>
      <c r="D68" s="452">
        <f>SUM(C65:C68)</f>
        <v>8303.0200000000023</v>
      </c>
      <c r="F68" s="348" t="s">
        <v>341</v>
      </c>
      <c r="G68" s="349">
        <v>7393.7049999999999</v>
      </c>
      <c r="H68" s="452">
        <f>SUM(G65:G68)</f>
        <v>7435.45</v>
      </c>
      <c r="J68" s="348" t="s">
        <v>341</v>
      </c>
      <c r="K68" s="349">
        <v>22898.645</v>
      </c>
      <c r="L68" s="452">
        <f>SUM(K65:K68)</f>
        <v>31123.014999999999</v>
      </c>
    </row>
    <row r="69" spans="2:12" ht="21" customHeight="1">
      <c r="B69" s="348" t="s">
        <v>342</v>
      </c>
      <c r="C69" s="1219">
        <v>14941.08</v>
      </c>
      <c r="D69" s="186"/>
      <c r="F69" s="348" t="s">
        <v>342</v>
      </c>
      <c r="G69" s="349">
        <v>8688.7075000000004</v>
      </c>
      <c r="H69" s="48"/>
      <c r="J69" s="348" t="s">
        <v>342</v>
      </c>
      <c r="K69" s="349">
        <v>14426.83</v>
      </c>
      <c r="L69" s="48"/>
    </row>
    <row r="70" spans="2:12" ht="21" customHeight="1">
      <c r="B70" s="348" t="s">
        <v>343</v>
      </c>
      <c r="C70" s="1219">
        <v>-2948.77</v>
      </c>
      <c r="D70" s="186"/>
      <c r="F70" s="348" t="s">
        <v>343</v>
      </c>
      <c r="G70" s="349">
        <v>10456.82</v>
      </c>
      <c r="H70" s="48"/>
      <c r="J70" s="348" t="s">
        <v>343</v>
      </c>
      <c r="K70" s="349">
        <v>9498.1975000000002</v>
      </c>
      <c r="L70" s="48"/>
    </row>
    <row r="71" spans="2:12" ht="21" customHeight="1">
      <c r="B71" s="348" t="s">
        <v>344</v>
      </c>
      <c r="C71" s="1219">
        <v>17849.6175</v>
      </c>
      <c r="D71" s="451" t="s">
        <v>345</v>
      </c>
      <c r="F71" s="348" t="s">
        <v>344</v>
      </c>
      <c r="G71" s="349">
        <v>17204.6875</v>
      </c>
      <c r="H71" s="350" t="s">
        <v>345</v>
      </c>
      <c r="J71" s="348" t="s">
        <v>344</v>
      </c>
      <c r="K71" s="349">
        <v>8153.2824999999993</v>
      </c>
      <c r="L71" s="350" t="s">
        <v>345</v>
      </c>
    </row>
    <row r="72" spans="2:12" ht="21" customHeight="1">
      <c r="B72" s="348" t="s">
        <v>346</v>
      </c>
      <c r="C72" s="1219">
        <v>12120.57</v>
      </c>
      <c r="D72" s="452">
        <f>SUM(C69:C72)</f>
        <v>41962.497499999998</v>
      </c>
      <c r="F72" s="348" t="s">
        <v>346</v>
      </c>
      <c r="G72" s="349">
        <v>19696.38</v>
      </c>
      <c r="H72" s="355">
        <v>56046.595000000001</v>
      </c>
      <c r="J72" s="348" t="s">
        <v>346</v>
      </c>
      <c r="K72" s="349">
        <v>20698.864999999998</v>
      </c>
      <c r="L72" s="355">
        <v>52777.175000000003</v>
      </c>
    </row>
    <row r="73" spans="2:12" ht="21" customHeight="1">
      <c r="B73" s="348" t="s">
        <v>347</v>
      </c>
      <c r="C73" s="1219">
        <v>29342.5</v>
      </c>
      <c r="D73" s="453"/>
      <c r="F73" s="348" t="s">
        <v>347</v>
      </c>
      <c r="G73" s="349">
        <v>5099.2425000000003</v>
      </c>
      <c r="H73" s="352"/>
      <c r="J73" s="348" t="s">
        <v>347</v>
      </c>
      <c r="K73" s="349">
        <v>29367.91</v>
      </c>
      <c r="L73" s="352"/>
    </row>
    <row r="74" spans="2:12" ht="21" customHeight="1">
      <c r="B74" s="348" t="s">
        <v>348</v>
      </c>
      <c r="C74" s="1219">
        <v>18692.987499999999</v>
      </c>
      <c r="D74" s="453"/>
      <c r="F74" s="348" t="s">
        <v>348</v>
      </c>
      <c r="G74" s="349">
        <v>-4809.4475000000002</v>
      </c>
      <c r="H74" s="352"/>
      <c r="J74" s="348" t="s">
        <v>348</v>
      </c>
      <c r="K74" s="349">
        <v>7245.7824999999993</v>
      </c>
      <c r="L74" s="352"/>
    </row>
    <row r="75" spans="2:12" ht="21" customHeight="1">
      <c r="B75" s="348" t="s">
        <v>349</v>
      </c>
      <c r="C75" s="1219">
        <v>21272.102500000001</v>
      </c>
      <c r="D75" s="454" t="s">
        <v>350</v>
      </c>
      <c r="F75" s="348" t="s">
        <v>349</v>
      </c>
      <c r="G75" s="349">
        <v>2113.2649999999999</v>
      </c>
      <c r="H75" s="353" t="s">
        <v>350</v>
      </c>
      <c r="J75" s="348" t="s">
        <v>349</v>
      </c>
      <c r="K75" s="349">
        <v>2474.1475</v>
      </c>
      <c r="L75" s="353" t="s">
        <v>350</v>
      </c>
    </row>
    <row r="76" spans="2:12" ht="21" customHeight="1">
      <c r="B76" s="348" t="s">
        <v>351</v>
      </c>
      <c r="C76" s="1219">
        <v>12731.317499999999</v>
      </c>
      <c r="D76" s="452">
        <f>SUM(C73:C76)</f>
        <v>82038.907500000001</v>
      </c>
      <c r="F76" s="348" t="s">
        <v>351</v>
      </c>
      <c r="G76" s="349">
        <v>548.13</v>
      </c>
      <c r="H76" s="355">
        <v>2951.19</v>
      </c>
      <c r="J76" s="348" t="s">
        <v>351</v>
      </c>
      <c r="K76" s="349">
        <v>2804.7799999999997</v>
      </c>
      <c r="L76" s="355">
        <v>41892.619999999995</v>
      </c>
    </row>
    <row r="77" spans="2:12" ht="21" customHeight="1">
      <c r="B77" s="348" t="s">
        <v>352</v>
      </c>
      <c r="C77" s="1219">
        <v>-6491</v>
      </c>
      <c r="D77" s="453"/>
      <c r="F77" s="348" t="s">
        <v>352</v>
      </c>
      <c r="G77" s="349">
        <v>8605</v>
      </c>
      <c r="H77" s="351"/>
      <c r="J77" s="348" t="s">
        <v>352</v>
      </c>
      <c r="K77" s="349">
        <v>-16550</v>
      </c>
      <c r="L77" s="352"/>
    </row>
    <row r="78" spans="2:12" ht="21" customHeight="1">
      <c r="B78" s="348" t="s">
        <v>353</v>
      </c>
      <c r="C78" s="1219">
        <v>-19078</v>
      </c>
      <c r="D78" s="453"/>
      <c r="F78" s="348" t="s">
        <v>353</v>
      </c>
      <c r="G78" s="349">
        <v>37929</v>
      </c>
      <c r="H78" s="352"/>
      <c r="J78" s="348" t="s">
        <v>353</v>
      </c>
      <c r="K78" s="349">
        <v>2219</v>
      </c>
      <c r="L78" s="352"/>
    </row>
    <row r="79" spans="2:12" ht="21" customHeight="1">
      <c r="B79" s="348" t="s">
        <v>354</v>
      </c>
      <c r="C79" s="1219">
        <v>36783</v>
      </c>
      <c r="D79" s="454" t="s">
        <v>355</v>
      </c>
      <c r="F79" s="348" t="s">
        <v>354</v>
      </c>
      <c r="G79" s="349">
        <v>1385</v>
      </c>
      <c r="H79" s="353" t="s">
        <v>355</v>
      </c>
      <c r="J79" s="348" t="s">
        <v>354</v>
      </c>
      <c r="K79" s="349">
        <v>7524</v>
      </c>
      <c r="L79" s="353" t="s">
        <v>355</v>
      </c>
    </row>
    <row r="80" spans="2:12" ht="21" customHeight="1">
      <c r="B80" s="348" t="s">
        <v>356</v>
      </c>
      <c r="C80" s="1219">
        <v>-4427</v>
      </c>
      <c r="D80" s="452">
        <f>SUM(C77:C80)</f>
        <v>6787</v>
      </c>
      <c r="F80" s="348" t="s">
        <v>356</v>
      </c>
      <c r="G80" s="349">
        <v>-8530</v>
      </c>
      <c r="H80" s="351">
        <f>SUM(G77:G80)</f>
        <v>39389</v>
      </c>
      <c r="J80" s="348" t="s">
        <v>356</v>
      </c>
      <c r="K80" s="349">
        <v>-333</v>
      </c>
      <c r="L80" s="351">
        <f>SUM(K77:K80)</f>
        <v>-7140</v>
      </c>
    </row>
    <row r="81" spans="1:31" ht="21" customHeight="1">
      <c r="B81" s="348" t="s">
        <v>124</v>
      </c>
      <c r="C81" s="1219">
        <v>-7720</v>
      </c>
      <c r="D81" s="452"/>
      <c r="F81" s="348" t="s">
        <v>124</v>
      </c>
      <c r="G81" s="349">
        <v>-10361</v>
      </c>
      <c r="H81" s="351"/>
      <c r="J81" s="348" t="s">
        <v>124</v>
      </c>
      <c r="K81" s="349">
        <v>5674</v>
      </c>
      <c r="L81" s="351"/>
    </row>
    <row r="82" spans="1:31" ht="21" customHeight="1">
      <c r="B82" s="348" t="s">
        <v>125</v>
      </c>
      <c r="C82" s="1220">
        <v>-12628</v>
      </c>
      <c r="D82" s="452"/>
      <c r="F82" s="348" t="s">
        <v>125</v>
      </c>
      <c r="G82" s="476">
        <v>-9839</v>
      </c>
      <c r="H82" s="351"/>
      <c r="J82" s="348" t="s">
        <v>125</v>
      </c>
      <c r="K82" s="476">
        <v>-9659</v>
      </c>
      <c r="L82" s="351"/>
    </row>
    <row r="83" spans="1:31" ht="21" customHeight="1">
      <c r="B83" s="348" t="s">
        <v>126</v>
      </c>
      <c r="C83" s="1220">
        <v>-11421</v>
      </c>
      <c r="D83" s="454" t="s">
        <v>357</v>
      </c>
      <c r="F83" s="348" t="s">
        <v>126</v>
      </c>
      <c r="G83" s="476">
        <v>-17066</v>
      </c>
      <c r="H83" s="353" t="s">
        <v>357</v>
      </c>
      <c r="J83" s="348" t="s">
        <v>126</v>
      </c>
      <c r="K83" s="476">
        <v>-7669</v>
      </c>
      <c r="L83" s="353" t="s">
        <v>357</v>
      </c>
    </row>
    <row r="84" spans="1:31" ht="21" customHeight="1">
      <c r="B84" s="348" t="s">
        <v>127</v>
      </c>
      <c r="C84" s="1221">
        <v>3740</v>
      </c>
      <c r="D84" s="455">
        <f>SUM(C81:C84)</f>
        <v>-28029</v>
      </c>
      <c r="F84" s="348" t="s">
        <v>127</v>
      </c>
      <c r="G84" s="550">
        <v>9169</v>
      </c>
      <c r="H84" s="354">
        <f>SUM(G81:G84)</f>
        <v>-28097</v>
      </c>
      <c r="J84" s="348" t="s">
        <v>127</v>
      </c>
      <c r="K84" s="550">
        <v>8571</v>
      </c>
      <c r="L84" s="354">
        <f>SUM(K81:K84)</f>
        <v>-3083</v>
      </c>
    </row>
    <row r="85" spans="1:31" ht="21" customHeight="1">
      <c r="B85" s="348" t="s">
        <v>74</v>
      </c>
      <c r="C85" s="1219">
        <v>-31426</v>
      </c>
      <c r="D85" s="452"/>
      <c r="F85" s="348" t="s">
        <v>74</v>
      </c>
      <c r="G85" s="349">
        <v>-9990</v>
      </c>
      <c r="H85" s="351"/>
      <c r="J85" s="348" t="s">
        <v>74</v>
      </c>
      <c r="K85" s="349">
        <v>-38460</v>
      </c>
      <c r="L85" s="351"/>
    </row>
    <row r="86" spans="1:31" ht="21" customHeight="1">
      <c r="B86" s="348" t="s">
        <v>75</v>
      </c>
      <c r="C86" s="1220">
        <v>26929</v>
      </c>
      <c r="D86" s="452"/>
      <c r="F86" s="348" t="s">
        <v>75</v>
      </c>
      <c r="G86" s="476">
        <v>27261</v>
      </c>
      <c r="H86" s="351"/>
      <c r="J86" s="348" t="s">
        <v>75</v>
      </c>
      <c r="K86" s="476">
        <v>20364</v>
      </c>
      <c r="L86" s="351"/>
    </row>
    <row r="87" spans="1:31" ht="21" customHeight="1">
      <c r="B87" s="348" t="s">
        <v>76</v>
      </c>
      <c r="C87" s="1220">
        <v>-9037</v>
      </c>
      <c r="D87" s="454" t="s">
        <v>358</v>
      </c>
      <c r="F87" s="348" t="s">
        <v>76</v>
      </c>
      <c r="G87" s="476">
        <v>20859</v>
      </c>
      <c r="H87" s="353" t="s">
        <v>358</v>
      </c>
      <c r="J87" s="348" t="s">
        <v>76</v>
      </c>
      <c r="K87" s="476">
        <v>30020</v>
      </c>
      <c r="L87" s="353" t="s">
        <v>358</v>
      </c>
    </row>
    <row r="88" spans="1:31" ht="21" customHeight="1">
      <c r="B88" s="348" t="s">
        <v>77</v>
      </c>
      <c r="C88" s="1221">
        <v>-3216</v>
      </c>
      <c r="D88" s="455">
        <f>SUM(C85:C88)</f>
        <v>-16750</v>
      </c>
      <c r="F88" s="348" t="s">
        <v>77</v>
      </c>
      <c r="G88" s="550">
        <v>-10474</v>
      </c>
      <c r="H88" s="354">
        <f>SUM(G85:G88)</f>
        <v>27656</v>
      </c>
      <c r="J88" s="348" t="s">
        <v>77</v>
      </c>
      <c r="K88" s="550">
        <v>-11302</v>
      </c>
      <c r="L88" s="354">
        <f>SUM(K85:K88)</f>
        <v>622</v>
      </c>
    </row>
    <row r="89" spans="1:31">
      <c r="B89" s="2" t="s">
        <v>135</v>
      </c>
      <c r="X89" s="10"/>
    </row>
    <row r="91" spans="1:31" ht="20.5">
      <c r="A91" s="181" t="s">
        <v>329</v>
      </c>
      <c r="B91" s="48"/>
      <c r="C91" s="48"/>
      <c r="D91" s="186"/>
      <c r="E91" s="186"/>
      <c r="F91" s="48"/>
      <c r="G91" s="48"/>
      <c r="H91" s="48"/>
      <c r="I91" s="48"/>
      <c r="J91" s="48"/>
      <c r="K91" s="48"/>
      <c r="L91" s="48"/>
      <c r="M91" s="48"/>
      <c r="N91" s="48"/>
      <c r="O91" s="48"/>
      <c r="P91" s="48"/>
      <c r="Q91" s="48"/>
      <c r="R91" s="48"/>
      <c r="S91" s="48"/>
      <c r="T91" s="48"/>
      <c r="U91" s="48"/>
      <c r="V91" s="186"/>
      <c r="W91" s="48"/>
      <c r="X91" s="48"/>
      <c r="Y91" s="48"/>
      <c r="Z91" s="48"/>
      <c r="AA91" s="48"/>
      <c r="AB91" s="48"/>
      <c r="AC91" s="48"/>
      <c r="AD91" s="48"/>
      <c r="AE91" s="48"/>
    </row>
    <row r="92" spans="1:31" ht="20.5">
      <c r="A92" s="436" t="s">
        <v>186</v>
      </c>
      <c r="B92" s="337" t="s">
        <v>332</v>
      </c>
      <c r="C92" s="337" t="s">
        <v>333</v>
      </c>
      <c r="D92" s="337" t="s">
        <v>334</v>
      </c>
      <c r="E92" s="337" t="s">
        <v>336</v>
      </c>
      <c r="F92" s="337" t="s">
        <v>337</v>
      </c>
      <c r="G92" s="337" t="s">
        <v>338</v>
      </c>
      <c r="H92" s="337" t="s">
        <v>339</v>
      </c>
      <c r="I92" s="337" t="s">
        <v>341</v>
      </c>
      <c r="J92" s="337" t="s">
        <v>342</v>
      </c>
      <c r="K92" s="337" t="s">
        <v>343</v>
      </c>
      <c r="L92" s="337" t="s">
        <v>344</v>
      </c>
      <c r="M92" s="337" t="s">
        <v>346</v>
      </c>
      <c r="N92" s="337" t="s">
        <v>347</v>
      </c>
      <c r="O92" s="337" t="s">
        <v>348</v>
      </c>
      <c r="P92" s="337" t="s">
        <v>349</v>
      </c>
      <c r="Q92" s="337" t="s">
        <v>351</v>
      </c>
      <c r="R92" s="48"/>
      <c r="S92" s="48"/>
      <c r="T92" s="48"/>
      <c r="U92" s="48"/>
      <c r="V92" s="186"/>
      <c r="W92" s="48"/>
      <c r="X92" s="48"/>
      <c r="Y92" s="48"/>
      <c r="Z92" s="48"/>
      <c r="AA92" s="48"/>
      <c r="AB92" s="48"/>
      <c r="AC92" s="48"/>
      <c r="AD92" s="48"/>
      <c r="AE92" s="48"/>
    </row>
    <row r="93" spans="1:31" ht="21" thickBot="1">
      <c r="A93" s="437" t="s">
        <v>331</v>
      </c>
      <c r="B93" s="357">
        <v>6009.4650000000001</v>
      </c>
      <c r="C93" s="357">
        <v>-2695.88</v>
      </c>
      <c r="D93" s="357">
        <v>34631.107499999998</v>
      </c>
      <c r="E93" s="357">
        <v>28560.84</v>
      </c>
      <c r="F93" s="357">
        <v>9336.9650000000001</v>
      </c>
      <c r="G93" s="357">
        <v>-2073.6374999999998</v>
      </c>
      <c r="H93" s="357">
        <v>13196.865</v>
      </c>
      <c r="I93" s="357">
        <v>-12157.172499999999</v>
      </c>
      <c r="J93" s="357">
        <v>14941.08</v>
      </c>
      <c r="K93" s="357">
        <v>-2948.77</v>
      </c>
      <c r="L93" s="357">
        <v>17849.6175</v>
      </c>
      <c r="M93" s="357">
        <v>12120.57</v>
      </c>
      <c r="N93" s="357">
        <v>29342.5</v>
      </c>
      <c r="O93" s="357">
        <v>18692.987499999999</v>
      </c>
      <c r="P93" s="357">
        <v>21272.102500000001</v>
      </c>
      <c r="Q93" s="357">
        <v>12731.317499999999</v>
      </c>
      <c r="R93" s="48"/>
      <c r="S93" s="48"/>
      <c r="T93" s="48"/>
      <c r="U93" s="48"/>
      <c r="V93" s="186"/>
      <c r="W93" s="48"/>
      <c r="X93" s="48"/>
      <c r="Y93" s="48"/>
      <c r="Z93" s="48"/>
      <c r="AA93" s="48"/>
      <c r="AB93" s="48"/>
      <c r="AC93" s="48"/>
      <c r="AD93" s="48"/>
      <c r="AE93" s="48"/>
    </row>
    <row r="94" spans="1:31" ht="21" thickTop="1">
      <c r="A94" s="438"/>
      <c r="B94" s="358"/>
      <c r="C94" s="358"/>
      <c r="D94" s="358"/>
      <c r="E94" s="358">
        <f>SUM(B93:E93)</f>
        <v>66505.532500000001</v>
      </c>
      <c r="F94" s="358"/>
      <c r="G94" s="358"/>
      <c r="H94" s="358"/>
      <c r="I94" s="358">
        <f>SUM(F93:I93)</f>
        <v>8303.0200000000023</v>
      </c>
      <c r="J94" s="358"/>
      <c r="K94" s="358"/>
      <c r="L94" s="358"/>
      <c r="M94" s="358">
        <v>41962.497499999998</v>
      </c>
      <c r="N94" s="358"/>
      <c r="O94" s="358"/>
      <c r="P94" s="358"/>
      <c r="Q94" s="358">
        <v>82038.907500000001</v>
      </c>
      <c r="R94" s="48"/>
      <c r="S94" s="48"/>
      <c r="T94" s="48"/>
      <c r="U94" s="48"/>
      <c r="V94" s="186"/>
      <c r="W94" s="48"/>
      <c r="X94" s="48"/>
      <c r="Y94" s="48"/>
      <c r="Z94" s="48"/>
      <c r="AA94" s="48"/>
      <c r="AB94" s="48"/>
      <c r="AC94" s="48"/>
      <c r="AD94" s="48"/>
      <c r="AE94" s="48"/>
    </row>
    <row r="95" spans="1:31" ht="20.5">
      <c r="A95" s="48"/>
      <c r="B95" s="48"/>
      <c r="C95" s="48"/>
      <c r="D95" s="186"/>
      <c r="E95" s="186"/>
      <c r="F95" s="48"/>
      <c r="G95" s="48"/>
      <c r="H95" s="48"/>
      <c r="I95" s="48"/>
      <c r="J95" s="48"/>
      <c r="K95" s="48"/>
      <c r="L95" s="48"/>
      <c r="M95" s="48"/>
      <c r="N95" s="48"/>
      <c r="O95" s="48"/>
      <c r="P95" s="48"/>
      <c r="Q95" s="48"/>
      <c r="R95" s="48"/>
      <c r="S95" s="48"/>
      <c r="T95" s="48"/>
      <c r="U95" s="48"/>
      <c r="V95" s="186"/>
      <c r="W95" s="48"/>
      <c r="X95" s="48"/>
      <c r="Y95" s="48"/>
      <c r="Z95" s="48"/>
      <c r="AA95" s="48"/>
      <c r="AB95" s="48"/>
      <c r="AC95" s="48"/>
      <c r="AD95" s="48"/>
      <c r="AE95" s="48"/>
    </row>
    <row r="96" spans="1:31" ht="20.5">
      <c r="A96" s="436" t="s">
        <v>186</v>
      </c>
      <c r="B96" s="337" t="s">
        <v>352</v>
      </c>
      <c r="C96" s="337" t="s">
        <v>353</v>
      </c>
      <c r="D96" s="337" t="s">
        <v>354</v>
      </c>
      <c r="E96" s="337" t="s">
        <v>356</v>
      </c>
      <c r="F96" s="337" t="s">
        <v>124</v>
      </c>
      <c r="G96" s="337" t="s">
        <v>125</v>
      </c>
      <c r="H96" s="337" t="s">
        <v>126</v>
      </c>
      <c r="I96" s="337" t="s">
        <v>127</v>
      </c>
      <c r="J96" s="337" t="s">
        <v>74</v>
      </c>
      <c r="K96" s="337" t="s">
        <v>75</v>
      </c>
      <c r="L96" s="337" t="s">
        <v>76</v>
      </c>
      <c r="M96" s="337" t="s">
        <v>77</v>
      </c>
      <c r="N96" s="337" t="s">
        <v>359</v>
      </c>
      <c r="O96" s="337" t="s">
        <v>360</v>
      </c>
      <c r="P96" s="337" t="s">
        <v>361</v>
      </c>
      <c r="Q96" s="337" t="s">
        <v>362</v>
      </c>
      <c r="R96" s="48"/>
      <c r="S96" s="48"/>
      <c r="T96" s="48"/>
      <c r="U96" s="48"/>
      <c r="V96" s="186"/>
      <c r="W96" s="48"/>
      <c r="X96" s="48"/>
      <c r="Y96" s="48"/>
      <c r="Z96" s="48"/>
      <c r="AA96" s="48"/>
      <c r="AB96" s="48"/>
      <c r="AC96" s="48"/>
      <c r="AD96" s="48"/>
      <c r="AE96" s="48"/>
    </row>
    <row r="97" spans="1:31" ht="21" thickBot="1">
      <c r="A97" s="437" t="s">
        <v>331</v>
      </c>
      <c r="B97" s="357">
        <v>-6491</v>
      </c>
      <c r="C97" s="357">
        <v>-19078</v>
      </c>
      <c r="D97" s="357">
        <v>36783</v>
      </c>
      <c r="E97" s="357">
        <v>-4427</v>
      </c>
      <c r="F97" s="357">
        <v>-7720</v>
      </c>
      <c r="G97" s="357">
        <v>-12628</v>
      </c>
      <c r="H97" s="357">
        <v>-11421</v>
      </c>
      <c r="I97" s="357">
        <f>C84</f>
        <v>3740</v>
      </c>
      <c r="J97" s="357">
        <f>C85</f>
        <v>-31426</v>
      </c>
      <c r="K97" s="357">
        <f>C86</f>
        <v>26929</v>
      </c>
      <c r="L97" s="357">
        <f>C87</f>
        <v>-9037</v>
      </c>
      <c r="M97" s="357">
        <f>C88</f>
        <v>-3216</v>
      </c>
      <c r="N97" s="357"/>
      <c r="O97" s="357"/>
      <c r="P97" s="357"/>
      <c r="Q97" s="357"/>
      <c r="R97" s="48"/>
      <c r="S97" s="48"/>
      <c r="T97" s="48"/>
      <c r="U97" s="48"/>
      <c r="V97" s="186"/>
      <c r="W97" s="48"/>
      <c r="X97" s="48"/>
      <c r="Y97" s="48"/>
      <c r="Z97" s="48"/>
      <c r="AA97" s="48"/>
      <c r="AB97" s="48"/>
      <c r="AC97" s="48"/>
      <c r="AD97" s="48"/>
      <c r="AE97" s="48"/>
    </row>
    <row r="98" spans="1:31" ht="21" thickTop="1">
      <c r="A98" s="438"/>
      <c r="B98" s="358"/>
      <c r="C98" s="358"/>
      <c r="D98" s="358"/>
      <c r="E98" s="358">
        <v>6787</v>
      </c>
      <c r="F98" s="358"/>
      <c r="G98" s="358"/>
      <c r="H98" s="358"/>
      <c r="I98" s="358">
        <f>SUM(F97:I97)</f>
        <v>-28029</v>
      </c>
      <c r="J98" s="358"/>
      <c r="K98" s="358"/>
      <c r="L98" s="358"/>
      <c r="M98" s="358">
        <f>SUM(J97:M97)</f>
        <v>-16750</v>
      </c>
      <c r="N98" s="358"/>
      <c r="O98" s="358"/>
      <c r="P98" s="358"/>
      <c r="Q98" s="358">
        <f>SUM(N97:Q97)</f>
        <v>0</v>
      </c>
      <c r="R98" s="48"/>
      <c r="S98" s="48"/>
      <c r="T98" s="48"/>
      <c r="U98" s="48"/>
      <c r="V98" s="186"/>
      <c r="W98" s="48"/>
      <c r="X98" s="48"/>
      <c r="Y98" s="48"/>
      <c r="Z98" s="48"/>
      <c r="AA98" s="48"/>
      <c r="AB98" s="48"/>
      <c r="AC98" s="48"/>
      <c r="AD98" s="48"/>
      <c r="AE98" s="48"/>
    </row>
    <row r="99" spans="1:31" ht="20.5">
      <c r="A99" s="605"/>
      <c r="B99" s="605"/>
      <c r="C99" s="605"/>
      <c r="D99" s="605"/>
      <c r="E99" s="605"/>
      <c r="F99" s="605"/>
      <c r="G99" s="605"/>
      <c r="H99" s="605"/>
      <c r="I99" s="605"/>
      <c r="J99" s="605"/>
      <c r="K99" s="605"/>
      <c r="L99" s="605"/>
      <c r="M99" s="605"/>
      <c r="N99" s="605"/>
      <c r="O99" s="605"/>
      <c r="P99" s="605"/>
      <c r="Q99" s="605"/>
      <c r="R99" s="48"/>
      <c r="S99" s="48"/>
      <c r="T99" s="48"/>
      <c r="U99" s="48"/>
      <c r="V99" s="186"/>
      <c r="W99" s="48"/>
      <c r="X99" s="48"/>
      <c r="Y99" s="48"/>
      <c r="Z99" s="48"/>
      <c r="AA99" s="48"/>
      <c r="AB99" s="48"/>
      <c r="AC99" s="48"/>
      <c r="AD99" s="48"/>
      <c r="AE99" s="48"/>
    </row>
    <row r="100" spans="1:31" ht="20.5">
      <c r="A100" s="436" t="s">
        <v>186</v>
      </c>
      <c r="B100" s="337" t="s">
        <v>363</v>
      </c>
      <c r="C100" s="337" t="s">
        <v>364</v>
      </c>
      <c r="D100" s="337" t="s">
        <v>365</v>
      </c>
      <c r="E100" s="337" t="s">
        <v>366</v>
      </c>
      <c r="F100" s="337" t="s">
        <v>367</v>
      </c>
      <c r="G100" s="337" t="s">
        <v>368</v>
      </c>
      <c r="H100" s="337" t="s">
        <v>369</v>
      </c>
      <c r="I100" s="337" t="s">
        <v>370</v>
      </c>
      <c r="J100" s="337" t="s">
        <v>371</v>
      </c>
      <c r="K100" s="337" t="s">
        <v>372</v>
      </c>
      <c r="L100" s="337" t="s">
        <v>373</v>
      </c>
      <c r="M100" s="337" t="s">
        <v>374</v>
      </c>
      <c r="N100" s="337" t="s">
        <v>375</v>
      </c>
      <c r="O100" s="337" t="s">
        <v>376</v>
      </c>
      <c r="P100" s="337" t="s">
        <v>377</v>
      </c>
      <c r="Q100" s="337" t="s">
        <v>378</v>
      </c>
      <c r="R100" s="48"/>
      <c r="S100" s="48"/>
      <c r="T100" s="48"/>
      <c r="U100" s="48"/>
      <c r="V100" s="186"/>
      <c r="W100" s="48"/>
      <c r="X100" s="48"/>
      <c r="Y100" s="48"/>
      <c r="Z100" s="48"/>
      <c r="AA100" s="48"/>
      <c r="AB100" s="48"/>
      <c r="AC100" s="48"/>
      <c r="AD100" s="48"/>
      <c r="AE100" s="48"/>
    </row>
    <row r="101" spans="1:31" ht="21" thickBot="1">
      <c r="A101" s="437" t="s">
        <v>331</v>
      </c>
      <c r="B101" s="357"/>
      <c r="C101" s="357"/>
      <c r="D101" s="357"/>
      <c r="E101" s="357"/>
      <c r="F101" s="357"/>
      <c r="G101" s="357"/>
      <c r="H101" s="357"/>
      <c r="I101" s="549"/>
      <c r="J101" s="357"/>
      <c r="K101" s="549"/>
      <c r="L101" s="357"/>
      <c r="M101" s="549"/>
      <c r="N101" s="357"/>
      <c r="O101" s="549"/>
      <c r="P101" s="357"/>
      <c r="Q101" s="549"/>
      <c r="R101" s="48"/>
      <c r="S101" s="48"/>
      <c r="T101" s="48"/>
      <c r="U101" s="48"/>
      <c r="V101" s="186"/>
      <c r="W101" s="48"/>
      <c r="X101" s="48"/>
      <c r="Y101" s="48"/>
      <c r="Z101" s="48"/>
      <c r="AA101" s="48"/>
      <c r="AB101" s="48"/>
      <c r="AC101" s="48"/>
      <c r="AD101" s="48"/>
      <c r="AE101" s="48"/>
    </row>
    <row r="102" spans="1:31" ht="21" thickTop="1">
      <c r="A102" s="438"/>
      <c r="B102" s="358"/>
      <c r="C102" s="358"/>
      <c r="D102" s="358"/>
      <c r="E102" s="358">
        <f>SUM(B101:E101)</f>
        <v>0</v>
      </c>
      <c r="F102" s="358"/>
      <c r="G102" s="358"/>
      <c r="H102" s="358"/>
      <c r="I102" s="358">
        <f>SUM(F101:I101)</f>
        <v>0</v>
      </c>
      <c r="J102" s="358"/>
      <c r="K102" s="358">
        <f t="shared" ref="K102" si="3">SUM(H101:K101)</f>
        <v>0</v>
      </c>
      <c r="L102" s="358"/>
      <c r="M102" s="358">
        <f t="shared" ref="M102" si="4">SUM(J101:M101)</f>
        <v>0</v>
      </c>
      <c r="N102" s="358"/>
      <c r="O102" s="358">
        <f t="shared" ref="O102" si="5">SUM(L101:O101)</f>
        <v>0</v>
      </c>
      <c r="P102" s="358"/>
      <c r="Q102" s="358">
        <f t="shared" ref="Q102" si="6">SUM(N101:Q101)</f>
        <v>0</v>
      </c>
      <c r="R102" s="48"/>
      <c r="S102" s="48"/>
      <c r="T102" s="48"/>
      <c r="U102" s="48"/>
      <c r="V102" s="186"/>
      <c r="W102" s="48"/>
      <c r="X102" s="48"/>
      <c r="Y102" s="48"/>
      <c r="Z102" s="48"/>
      <c r="AA102" s="48"/>
      <c r="AB102" s="48"/>
      <c r="AC102" s="48"/>
      <c r="AD102" s="48"/>
      <c r="AE102" s="48"/>
    </row>
    <row r="103" spans="1:31" ht="20.5">
      <c r="A103" s="48"/>
      <c r="B103" s="48"/>
      <c r="C103" s="48"/>
      <c r="D103" s="186"/>
      <c r="E103" s="186"/>
      <c r="F103" s="48"/>
      <c r="G103" s="48"/>
      <c r="H103" s="48"/>
      <c r="I103" s="48"/>
      <c r="J103" s="48"/>
      <c r="K103" s="48"/>
      <c r="L103" s="48"/>
      <c r="M103" s="48"/>
      <c r="N103" s="48"/>
      <c r="O103" s="48"/>
      <c r="P103" s="48"/>
      <c r="Q103" s="48"/>
      <c r="R103" s="48"/>
      <c r="S103" s="48"/>
      <c r="T103" s="48"/>
      <c r="U103" s="48"/>
      <c r="V103" s="186"/>
      <c r="W103" s="48"/>
      <c r="X103" s="48"/>
      <c r="Y103" s="48"/>
      <c r="Z103" s="48"/>
      <c r="AA103" s="48"/>
      <c r="AB103" s="48"/>
      <c r="AC103" s="48"/>
      <c r="AD103" s="48"/>
      <c r="AE103" s="48"/>
    </row>
    <row r="104" spans="1:31" ht="20.5">
      <c r="A104" s="436" t="s">
        <v>263</v>
      </c>
      <c r="B104" s="337" t="s">
        <v>332</v>
      </c>
      <c r="C104" s="337" t="s">
        <v>333</v>
      </c>
      <c r="D104" s="337" t="s">
        <v>334</v>
      </c>
      <c r="E104" s="337" t="s">
        <v>336</v>
      </c>
      <c r="F104" s="337" t="s">
        <v>337</v>
      </c>
      <c r="G104" s="337" t="s">
        <v>338</v>
      </c>
      <c r="H104" s="337" t="s">
        <v>339</v>
      </c>
      <c r="I104" s="337" t="s">
        <v>341</v>
      </c>
      <c r="J104" s="337" t="s">
        <v>342</v>
      </c>
      <c r="K104" s="337" t="s">
        <v>343</v>
      </c>
      <c r="L104" s="337" t="s">
        <v>344</v>
      </c>
      <c r="M104" s="337" t="s">
        <v>346</v>
      </c>
      <c r="N104" s="337" t="s">
        <v>347</v>
      </c>
      <c r="O104" s="337" t="s">
        <v>348</v>
      </c>
      <c r="P104" s="337" t="s">
        <v>349</v>
      </c>
      <c r="Q104" s="337" t="s">
        <v>351</v>
      </c>
      <c r="R104" s="48"/>
      <c r="S104" s="48"/>
      <c r="T104" s="48"/>
      <c r="U104" s="48"/>
      <c r="V104" s="186"/>
      <c r="W104" s="48"/>
      <c r="X104" s="48"/>
      <c r="Y104" s="48"/>
      <c r="Z104" s="48"/>
      <c r="AA104" s="48"/>
      <c r="AB104" s="48"/>
      <c r="AC104" s="48"/>
      <c r="AD104" s="48"/>
      <c r="AE104" s="48"/>
    </row>
    <row r="105" spans="1:31" ht="21" thickBot="1">
      <c r="A105" s="437" t="s">
        <v>331</v>
      </c>
      <c r="B105" s="357">
        <v>15470.1525</v>
      </c>
      <c r="C105" s="357">
        <v>10922.065000000001</v>
      </c>
      <c r="D105" s="357">
        <v>6069.0574999999999</v>
      </c>
      <c r="E105" s="357">
        <v>-14949.247499999999</v>
      </c>
      <c r="F105" s="357">
        <v>-2520.4299999999998</v>
      </c>
      <c r="G105" s="357">
        <v>-391.13249999999999</v>
      </c>
      <c r="H105" s="357">
        <v>2953.3074999999999</v>
      </c>
      <c r="I105" s="357">
        <v>7393.7049999999999</v>
      </c>
      <c r="J105" s="357">
        <v>8688.7075000000004</v>
      </c>
      <c r="K105" s="357">
        <v>10456.82</v>
      </c>
      <c r="L105" s="357">
        <v>17204.6875</v>
      </c>
      <c r="M105" s="357">
        <v>19696.38</v>
      </c>
      <c r="N105" s="357">
        <v>5099.2425000000003</v>
      </c>
      <c r="O105" s="357">
        <v>-4809.4475000000002</v>
      </c>
      <c r="P105" s="357">
        <v>2113.2649999999999</v>
      </c>
      <c r="Q105" s="357">
        <v>548.13</v>
      </c>
      <c r="R105" s="48"/>
      <c r="S105" s="48"/>
      <c r="T105" s="48"/>
      <c r="U105" s="48"/>
      <c r="V105" s="186"/>
      <c r="W105" s="48"/>
      <c r="X105" s="48"/>
      <c r="Y105" s="48"/>
      <c r="Z105" s="48"/>
      <c r="AA105" s="48"/>
      <c r="AB105" s="48"/>
      <c r="AC105" s="48"/>
      <c r="AD105" s="48"/>
      <c r="AE105" s="48"/>
    </row>
    <row r="106" spans="1:31" ht="21" thickTop="1">
      <c r="A106" s="438"/>
      <c r="B106" s="358"/>
      <c r="C106" s="358"/>
      <c r="D106" s="358"/>
      <c r="E106" s="358">
        <v>17512.027499999997</v>
      </c>
      <c r="F106" s="358"/>
      <c r="G106" s="358"/>
      <c r="H106" s="358"/>
      <c r="I106" s="358">
        <v>7435.45</v>
      </c>
      <c r="J106" s="358"/>
      <c r="K106" s="358"/>
      <c r="L106" s="358"/>
      <c r="M106" s="358">
        <v>56046.595000000001</v>
      </c>
      <c r="N106" s="358"/>
      <c r="O106" s="358"/>
      <c r="P106" s="358"/>
      <c r="Q106" s="358">
        <v>2951.19</v>
      </c>
      <c r="R106" s="48"/>
      <c r="S106" s="48"/>
      <c r="T106" s="48"/>
      <c r="U106" s="48"/>
      <c r="V106" s="186"/>
      <c r="W106" s="48"/>
      <c r="X106" s="48"/>
      <c r="Y106" s="48"/>
      <c r="Z106" s="48"/>
      <c r="AA106" s="48"/>
      <c r="AB106" s="48"/>
      <c r="AC106" s="48"/>
      <c r="AD106" s="48"/>
      <c r="AE106" s="48"/>
    </row>
    <row r="107" spans="1:31" ht="20.5">
      <c r="A107" s="48"/>
      <c r="B107" s="48"/>
      <c r="C107" s="48"/>
      <c r="D107" s="186"/>
      <c r="E107" s="186"/>
      <c r="F107" s="48"/>
      <c r="G107" s="48"/>
      <c r="H107" s="48"/>
      <c r="I107" s="48"/>
      <c r="J107" s="48"/>
      <c r="K107" s="48"/>
      <c r="L107" s="48"/>
      <c r="M107" s="48"/>
      <c r="N107" s="48"/>
      <c r="O107" s="48"/>
      <c r="P107" s="48"/>
      <c r="Q107" s="48"/>
      <c r="R107" s="48"/>
      <c r="S107" s="48"/>
      <c r="T107" s="48"/>
      <c r="U107" s="48"/>
      <c r="V107" s="186"/>
      <c r="W107" s="48"/>
      <c r="X107" s="48"/>
      <c r="Y107" s="48"/>
      <c r="Z107" s="48"/>
      <c r="AA107" s="48"/>
      <c r="AB107" s="48"/>
      <c r="AC107" s="48"/>
      <c r="AD107" s="48"/>
      <c r="AE107" s="48"/>
    </row>
    <row r="108" spans="1:31" ht="20.5">
      <c r="A108" s="436" t="s">
        <v>263</v>
      </c>
      <c r="B108" s="337" t="s">
        <v>352</v>
      </c>
      <c r="C108" s="337" t="s">
        <v>353</v>
      </c>
      <c r="D108" s="337" t="s">
        <v>354</v>
      </c>
      <c r="E108" s="337" t="s">
        <v>356</v>
      </c>
      <c r="F108" s="337" t="s">
        <v>124</v>
      </c>
      <c r="G108" s="337" t="s">
        <v>125</v>
      </c>
      <c r="H108" s="337" t="s">
        <v>126</v>
      </c>
      <c r="I108" s="337" t="s">
        <v>127</v>
      </c>
      <c r="J108" s="337" t="s">
        <v>74</v>
      </c>
      <c r="K108" s="337" t="s">
        <v>75</v>
      </c>
      <c r="L108" s="337" t="s">
        <v>76</v>
      </c>
      <c r="M108" s="337" t="s">
        <v>77</v>
      </c>
      <c r="N108" s="337" t="s">
        <v>359</v>
      </c>
      <c r="O108" s="337" t="s">
        <v>360</v>
      </c>
      <c r="P108" s="337" t="s">
        <v>361</v>
      </c>
      <c r="Q108" s="337" t="s">
        <v>362</v>
      </c>
      <c r="R108" s="48"/>
      <c r="S108" s="48"/>
      <c r="T108" s="48"/>
      <c r="U108" s="48"/>
      <c r="V108" s="186"/>
      <c r="W108" s="48"/>
      <c r="X108" s="48"/>
      <c r="Y108" s="48"/>
      <c r="Z108" s="48"/>
      <c r="AA108" s="48"/>
      <c r="AB108" s="48"/>
      <c r="AC108" s="48"/>
      <c r="AD108" s="48"/>
      <c r="AE108" s="48"/>
    </row>
    <row r="109" spans="1:31" ht="21" thickBot="1">
      <c r="A109" s="437" t="s">
        <v>331</v>
      </c>
      <c r="B109" s="357">
        <v>8605</v>
      </c>
      <c r="C109" s="357">
        <v>37929</v>
      </c>
      <c r="D109" s="357">
        <v>1385</v>
      </c>
      <c r="E109" s="357">
        <v>-8530</v>
      </c>
      <c r="F109" s="357">
        <v>-10361</v>
      </c>
      <c r="G109" s="357">
        <v>-9839</v>
      </c>
      <c r="H109" s="357">
        <v>-17066</v>
      </c>
      <c r="I109" s="606">
        <f>G84</f>
        <v>9169</v>
      </c>
      <c r="J109" s="357">
        <f>G85</f>
        <v>-9990</v>
      </c>
      <c r="K109" s="357">
        <f>G86</f>
        <v>27261</v>
      </c>
      <c r="L109" s="357">
        <f>G87</f>
        <v>20859</v>
      </c>
      <c r="M109" s="357">
        <f>G88</f>
        <v>-10474</v>
      </c>
      <c r="N109" s="357"/>
      <c r="O109" s="357"/>
      <c r="P109" s="357"/>
      <c r="Q109" s="357"/>
      <c r="R109" s="48"/>
      <c r="S109" s="48"/>
      <c r="T109" s="48"/>
      <c r="U109" s="48"/>
      <c r="V109" s="186"/>
      <c r="W109" s="48"/>
      <c r="X109" s="48"/>
      <c r="Y109" s="48"/>
      <c r="Z109" s="48"/>
      <c r="AA109" s="48"/>
      <c r="AB109" s="48"/>
      <c r="AC109" s="48"/>
      <c r="AD109" s="48"/>
      <c r="AE109" s="48"/>
    </row>
    <row r="110" spans="1:31" ht="21" thickTop="1">
      <c r="A110" s="438"/>
      <c r="B110" s="358"/>
      <c r="C110" s="358"/>
      <c r="D110" s="358"/>
      <c r="E110" s="358">
        <v>39389</v>
      </c>
      <c r="F110" s="358"/>
      <c r="G110" s="358"/>
      <c r="H110" s="358"/>
      <c r="I110" s="358">
        <f>SUM(F109:I109)</f>
        <v>-28097</v>
      </c>
      <c r="J110" s="358"/>
      <c r="K110" s="358"/>
      <c r="L110" s="358"/>
      <c r="M110" s="358">
        <f>SUM(J109:M109)</f>
        <v>27656</v>
      </c>
      <c r="N110" s="358"/>
      <c r="O110" s="358"/>
      <c r="P110" s="358"/>
      <c r="Q110" s="358">
        <f>SUM(N109:Q109)</f>
        <v>0</v>
      </c>
      <c r="R110" s="48"/>
      <c r="S110" s="48"/>
      <c r="T110" s="48"/>
      <c r="U110" s="48"/>
      <c r="V110" s="186"/>
      <c r="W110" s="48"/>
      <c r="X110" s="48"/>
      <c r="Y110" s="48"/>
      <c r="Z110" s="48"/>
      <c r="AA110" s="48"/>
      <c r="AB110" s="48"/>
      <c r="AC110" s="48"/>
      <c r="AD110" s="48"/>
      <c r="AE110" s="48"/>
    </row>
    <row r="111" spans="1:31" ht="20.5">
      <c r="A111" s="605"/>
      <c r="B111" s="605"/>
      <c r="C111" s="605"/>
      <c r="D111" s="605"/>
      <c r="E111" s="605"/>
      <c r="F111" s="605"/>
      <c r="G111" s="605"/>
      <c r="H111" s="605"/>
      <c r="I111" s="605"/>
      <c r="J111" s="605"/>
      <c r="K111" s="605"/>
      <c r="L111" s="605"/>
      <c r="M111" s="605"/>
      <c r="N111" s="605"/>
      <c r="O111" s="605"/>
      <c r="P111" s="605"/>
      <c r="Q111" s="605"/>
      <c r="R111" s="48"/>
      <c r="S111" s="48"/>
      <c r="T111" s="48"/>
      <c r="U111" s="48"/>
      <c r="V111" s="186"/>
      <c r="W111" s="48"/>
      <c r="X111" s="48"/>
      <c r="Y111" s="48"/>
      <c r="Z111" s="48"/>
      <c r="AA111" s="48"/>
      <c r="AB111" s="48"/>
      <c r="AC111" s="48"/>
      <c r="AD111" s="48"/>
      <c r="AE111" s="48"/>
    </row>
    <row r="112" spans="1:31" ht="20.5">
      <c r="A112" s="436" t="s">
        <v>187</v>
      </c>
      <c r="B112" s="337" t="s">
        <v>363</v>
      </c>
      <c r="C112" s="337" t="s">
        <v>364</v>
      </c>
      <c r="D112" s="337" t="s">
        <v>365</v>
      </c>
      <c r="E112" s="337" t="s">
        <v>366</v>
      </c>
      <c r="F112" s="337" t="s">
        <v>367</v>
      </c>
      <c r="G112" s="337" t="s">
        <v>368</v>
      </c>
      <c r="H112" s="337" t="s">
        <v>369</v>
      </c>
      <c r="I112" s="337" t="s">
        <v>370</v>
      </c>
      <c r="J112" s="337" t="s">
        <v>371</v>
      </c>
      <c r="K112" s="337" t="s">
        <v>372</v>
      </c>
      <c r="L112" s="337" t="s">
        <v>373</v>
      </c>
      <c r="M112" s="337" t="s">
        <v>374</v>
      </c>
      <c r="N112" s="337" t="s">
        <v>375</v>
      </c>
      <c r="O112" s="337" t="s">
        <v>376</v>
      </c>
      <c r="P112" s="337" t="s">
        <v>377</v>
      </c>
      <c r="Q112" s="337" t="s">
        <v>378</v>
      </c>
      <c r="R112" s="48"/>
      <c r="S112" s="48"/>
      <c r="T112" s="48"/>
      <c r="U112" s="48"/>
      <c r="V112" s="186"/>
      <c r="W112" s="48"/>
      <c r="X112" s="48"/>
      <c r="Y112" s="48"/>
      <c r="Z112" s="48"/>
      <c r="AA112" s="48"/>
      <c r="AB112" s="48"/>
      <c r="AC112" s="48"/>
      <c r="AD112" s="48"/>
      <c r="AE112" s="48"/>
    </row>
    <row r="113" spans="1:31" ht="21" thickBot="1">
      <c r="A113" s="437" t="s">
        <v>331</v>
      </c>
      <c r="B113" s="357"/>
      <c r="C113" s="357"/>
      <c r="D113" s="357"/>
      <c r="E113" s="357"/>
      <c r="F113" s="357"/>
      <c r="G113" s="357"/>
      <c r="H113" s="357"/>
      <c r="I113" s="549"/>
      <c r="J113" s="357"/>
      <c r="K113" s="549"/>
      <c r="L113" s="357"/>
      <c r="M113" s="549"/>
      <c r="N113" s="357"/>
      <c r="O113" s="549"/>
      <c r="P113" s="357"/>
      <c r="Q113" s="549"/>
      <c r="R113" s="48"/>
      <c r="S113" s="48"/>
      <c r="T113" s="48"/>
      <c r="U113" s="48"/>
      <c r="V113" s="186"/>
      <c r="W113" s="48"/>
      <c r="X113" s="48"/>
      <c r="Y113" s="48"/>
      <c r="Z113" s="48"/>
      <c r="AA113" s="48"/>
      <c r="AB113" s="48"/>
      <c r="AC113" s="48"/>
      <c r="AD113" s="48"/>
      <c r="AE113" s="48"/>
    </row>
    <row r="114" spans="1:31" ht="21" thickTop="1">
      <c r="A114" s="438"/>
      <c r="B114" s="358"/>
      <c r="C114" s="358"/>
      <c r="D114" s="358"/>
      <c r="E114" s="358">
        <f>SUM(B113:E113)</f>
        <v>0</v>
      </c>
      <c r="F114" s="358"/>
      <c r="G114" s="358"/>
      <c r="H114" s="358"/>
      <c r="I114" s="358">
        <f>SUM(F113:I113)</f>
        <v>0</v>
      </c>
      <c r="J114" s="358"/>
      <c r="K114" s="358">
        <f t="shared" ref="K114" si="7">SUM(H113:K113)</f>
        <v>0</v>
      </c>
      <c r="L114" s="358"/>
      <c r="M114" s="358">
        <f t="shared" ref="M114" si="8">SUM(J113:M113)</f>
        <v>0</v>
      </c>
      <c r="N114" s="358"/>
      <c r="O114" s="358">
        <f t="shared" ref="O114" si="9">SUM(L113:O113)</f>
        <v>0</v>
      </c>
      <c r="P114" s="358"/>
      <c r="Q114" s="358">
        <f t="shared" ref="Q114" si="10">SUM(N113:Q113)</f>
        <v>0</v>
      </c>
      <c r="R114" s="48"/>
      <c r="S114" s="48"/>
      <c r="T114" s="48"/>
      <c r="U114" s="48"/>
      <c r="V114" s="186"/>
      <c r="W114" s="48"/>
      <c r="X114" s="48"/>
      <c r="Y114" s="48"/>
      <c r="Z114" s="48"/>
      <c r="AA114" s="48"/>
      <c r="AB114" s="48"/>
      <c r="AC114" s="48"/>
      <c r="AD114" s="48"/>
      <c r="AE114" s="48"/>
    </row>
    <row r="115" spans="1:31" ht="20.5">
      <c r="A115" s="48"/>
      <c r="B115" s="48"/>
      <c r="C115" s="48"/>
      <c r="D115" s="186"/>
      <c r="E115" s="186"/>
      <c r="F115" s="48"/>
      <c r="G115" s="48"/>
      <c r="H115" s="48"/>
      <c r="I115" s="48"/>
      <c r="J115" s="48"/>
      <c r="K115" s="48"/>
      <c r="L115" s="48"/>
      <c r="M115" s="48"/>
      <c r="N115" s="48"/>
      <c r="O115" s="48"/>
      <c r="P115" s="48"/>
      <c r="Q115" s="48"/>
      <c r="R115" s="48"/>
      <c r="S115" s="48"/>
      <c r="T115" s="48"/>
      <c r="U115" s="48"/>
      <c r="V115" s="186"/>
      <c r="W115" s="48"/>
      <c r="X115" s="48"/>
      <c r="Y115" s="48"/>
      <c r="Z115" s="48"/>
      <c r="AA115" s="48"/>
      <c r="AB115" s="48"/>
      <c r="AC115" s="48"/>
      <c r="AD115" s="48"/>
      <c r="AE115" s="48"/>
    </row>
    <row r="116" spans="1:31" ht="20.5">
      <c r="A116" s="436" t="s">
        <v>379</v>
      </c>
      <c r="B116" s="337" t="s">
        <v>332</v>
      </c>
      <c r="C116" s="337" t="s">
        <v>333</v>
      </c>
      <c r="D116" s="337" t="s">
        <v>334</v>
      </c>
      <c r="E116" s="337" t="s">
        <v>336</v>
      </c>
      <c r="F116" s="337" t="s">
        <v>337</v>
      </c>
      <c r="G116" s="337" t="s">
        <v>338</v>
      </c>
      <c r="H116" s="337" t="s">
        <v>339</v>
      </c>
      <c r="I116" s="337" t="s">
        <v>341</v>
      </c>
      <c r="J116" s="337" t="s">
        <v>342</v>
      </c>
      <c r="K116" s="337" t="s">
        <v>343</v>
      </c>
      <c r="L116" s="337" t="s">
        <v>344</v>
      </c>
      <c r="M116" s="337" t="s">
        <v>346</v>
      </c>
      <c r="N116" s="337" t="s">
        <v>347</v>
      </c>
      <c r="O116" s="337" t="s">
        <v>348</v>
      </c>
      <c r="P116" s="337" t="s">
        <v>349</v>
      </c>
      <c r="Q116" s="337" t="s">
        <v>351</v>
      </c>
      <c r="R116" s="48"/>
      <c r="S116" s="48"/>
      <c r="T116" s="48"/>
      <c r="U116" s="48"/>
      <c r="V116" s="186"/>
      <c r="W116" s="48"/>
      <c r="X116" s="48"/>
      <c r="Y116" s="48"/>
      <c r="Z116" s="48"/>
      <c r="AA116" s="48"/>
      <c r="AB116" s="48"/>
      <c r="AC116" s="48"/>
      <c r="AD116" s="48"/>
      <c r="AE116" s="48"/>
    </row>
    <row r="117" spans="1:31" ht="21" thickBot="1">
      <c r="A117" s="437" t="s">
        <v>331</v>
      </c>
      <c r="B117" s="357">
        <v>3074.3074999999999</v>
      </c>
      <c r="C117" s="357">
        <v>978.28499999999997</v>
      </c>
      <c r="D117" s="357">
        <v>9578.36</v>
      </c>
      <c r="E117" s="357">
        <v>-6048.4875000000002</v>
      </c>
      <c r="F117" s="357">
        <v>-5615.0050000000001</v>
      </c>
      <c r="G117" s="357">
        <v>14779.2425</v>
      </c>
      <c r="H117" s="357">
        <v>-939.86749999999995</v>
      </c>
      <c r="I117" s="357">
        <v>22898.645</v>
      </c>
      <c r="J117" s="357">
        <v>14426.83</v>
      </c>
      <c r="K117" s="357">
        <v>9498.1975000000002</v>
      </c>
      <c r="L117" s="357">
        <v>8153.2824999999993</v>
      </c>
      <c r="M117" s="357">
        <v>20698.864999999998</v>
      </c>
      <c r="N117" s="357">
        <v>29367.91</v>
      </c>
      <c r="O117" s="357">
        <v>7245.7824999999993</v>
      </c>
      <c r="P117" s="357">
        <v>2474.1475</v>
      </c>
      <c r="Q117" s="357">
        <v>0</v>
      </c>
      <c r="R117" s="48"/>
      <c r="S117" s="48"/>
      <c r="T117" s="48"/>
      <c r="U117" s="48"/>
      <c r="V117" s="186"/>
      <c r="W117" s="48"/>
      <c r="X117" s="48"/>
      <c r="Y117" s="48"/>
      <c r="Z117" s="48"/>
      <c r="AA117" s="48"/>
      <c r="AB117" s="48"/>
      <c r="AC117" s="48"/>
      <c r="AD117" s="48"/>
      <c r="AE117" s="48"/>
    </row>
    <row r="118" spans="1:31" ht="21" thickTop="1">
      <c r="A118" s="438"/>
      <c r="B118" s="358"/>
      <c r="C118" s="358"/>
      <c r="D118" s="358"/>
      <c r="E118" s="358">
        <v>7582.4649999999992</v>
      </c>
      <c r="F118" s="358"/>
      <c r="G118" s="358"/>
      <c r="H118" s="358"/>
      <c r="I118" s="358">
        <v>31123.014999999999</v>
      </c>
      <c r="J118" s="358"/>
      <c r="K118" s="358"/>
      <c r="L118" s="358"/>
      <c r="M118" s="358">
        <v>52777.174999999996</v>
      </c>
      <c r="N118" s="358"/>
      <c r="O118" s="358"/>
      <c r="P118" s="358"/>
      <c r="Q118" s="358">
        <v>39087.839999999997</v>
      </c>
      <c r="R118" s="48"/>
      <c r="S118" s="48"/>
      <c r="T118" s="48"/>
      <c r="U118" s="48"/>
      <c r="V118" s="186"/>
      <c r="W118" s="48"/>
      <c r="X118" s="48"/>
      <c r="Y118" s="48"/>
      <c r="Z118" s="48"/>
      <c r="AA118" s="48"/>
      <c r="AB118" s="48"/>
      <c r="AC118" s="48"/>
      <c r="AD118" s="48"/>
      <c r="AE118" s="48"/>
    </row>
    <row r="119" spans="1:31" ht="20.5">
      <c r="A119" s="48"/>
      <c r="B119" s="48"/>
      <c r="C119" s="48"/>
      <c r="D119" s="186"/>
      <c r="E119" s="186"/>
      <c r="F119" s="48"/>
      <c r="G119" s="48"/>
      <c r="H119" s="48"/>
      <c r="I119" s="48"/>
      <c r="J119" s="48"/>
      <c r="K119" s="48"/>
      <c r="L119" s="48"/>
      <c r="M119" s="48"/>
      <c r="N119" s="48"/>
      <c r="O119" s="48"/>
      <c r="P119" s="48"/>
      <c r="Q119" s="48"/>
      <c r="R119" s="48"/>
      <c r="S119" s="48"/>
      <c r="T119" s="48"/>
      <c r="U119" s="48"/>
      <c r="V119" s="186"/>
      <c r="W119" s="48"/>
      <c r="X119" s="48"/>
      <c r="Y119" s="48"/>
      <c r="Z119" s="48"/>
      <c r="AA119" s="48"/>
      <c r="AB119" s="48"/>
      <c r="AC119" s="48"/>
      <c r="AD119" s="48"/>
      <c r="AE119" s="48"/>
    </row>
    <row r="120" spans="1:31" ht="20.5">
      <c r="A120" s="436" t="s">
        <v>379</v>
      </c>
      <c r="B120" s="337" t="s">
        <v>352</v>
      </c>
      <c r="C120" s="337" t="s">
        <v>353</v>
      </c>
      <c r="D120" s="337" t="s">
        <v>354</v>
      </c>
      <c r="E120" s="337" t="s">
        <v>356</v>
      </c>
      <c r="F120" s="337" t="s">
        <v>124</v>
      </c>
      <c r="G120" s="337" t="s">
        <v>125</v>
      </c>
      <c r="H120" s="337" t="s">
        <v>126</v>
      </c>
      <c r="I120" s="337" t="s">
        <v>127</v>
      </c>
      <c r="J120" s="337" t="s">
        <v>74</v>
      </c>
      <c r="K120" s="337" t="s">
        <v>75</v>
      </c>
      <c r="L120" s="337" t="s">
        <v>76</v>
      </c>
      <c r="M120" s="337" t="s">
        <v>77</v>
      </c>
      <c r="N120" s="337" t="s">
        <v>359</v>
      </c>
      <c r="O120" s="337" t="s">
        <v>360</v>
      </c>
      <c r="P120" s="337" t="s">
        <v>361</v>
      </c>
      <c r="Q120" s="337" t="s">
        <v>362</v>
      </c>
      <c r="R120" s="48"/>
      <c r="S120" s="48"/>
      <c r="T120" s="48"/>
      <c r="U120" s="48"/>
      <c r="V120" s="186"/>
      <c r="W120" s="48"/>
      <c r="X120" s="48"/>
      <c r="Y120" s="48"/>
      <c r="Z120" s="48"/>
      <c r="AA120" s="48"/>
      <c r="AB120" s="48"/>
      <c r="AC120" s="48"/>
      <c r="AD120" s="48"/>
      <c r="AE120" s="48"/>
    </row>
    <row r="121" spans="1:31" ht="21" thickBot="1">
      <c r="A121" s="437" t="s">
        <v>331</v>
      </c>
      <c r="B121" s="357">
        <v>-16550</v>
      </c>
      <c r="C121" s="357">
        <v>2219</v>
      </c>
      <c r="D121" s="357">
        <v>7524</v>
      </c>
      <c r="E121" s="357">
        <v>-333</v>
      </c>
      <c r="F121" s="357">
        <v>5674</v>
      </c>
      <c r="G121" s="357">
        <v>-9659</v>
      </c>
      <c r="H121" s="357">
        <v>-7669</v>
      </c>
      <c r="I121" s="549">
        <f>K84</f>
        <v>8571</v>
      </c>
      <c r="J121" s="357">
        <f>K85</f>
        <v>-38460</v>
      </c>
      <c r="K121" s="357">
        <f>K86</f>
        <v>20364</v>
      </c>
      <c r="L121" s="357">
        <f>K87</f>
        <v>30020</v>
      </c>
      <c r="M121" s="357">
        <f>K88</f>
        <v>-11302</v>
      </c>
      <c r="N121" s="357"/>
      <c r="O121" s="357"/>
      <c r="P121" s="357"/>
      <c r="Q121" s="357"/>
      <c r="R121" s="48"/>
      <c r="S121" s="48"/>
      <c r="T121" s="48"/>
      <c r="U121" s="48"/>
      <c r="V121" s="186"/>
      <c r="W121" s="48"/>
      <c r="X121" s="48"/>
      <c r="Y121" s="48"/>
      <c r="Z121" s="48"/>
      <c r="AA121" s="48"/>
      <c r="AB121" s="48"/>
      <c r="AC121" s="48"/>
      <c r="AD121" s="48"/>
      <c r="AE121" s="48"/>
    </row>
    <row r="122" spans="1:31" ht="21" thickTop="1">
      <c r="A122" s="438"/>
      <c r="B122" s="358"/>
      <c r="C122" s="358"/>
      <c r="D122" s="358"/>
      <c r="E122" s="358">
        <v>-7140</v>
      </c>
      <c r="F122" s="358"/>
      <c r="G122" s="358"/>
      <c r="H122" s="358"/>
      <c r="I122" s="358">
        <f>SUM(F121:I121)</f>
        <v>-3083</v>
      </c>
      <c r="J122" s="358"/>
      <c r="K122" s="358"/>
      <c r="L122" s="358"/>
      <c r="M122" s="358">
        <f>SUM(J121:M121)</f>
        <v>622</v>
      </c>
      <c r="N122" s="358"/>
      <c r="O122" s="358"/>
      <c r="P122" s="358"/>
      <c r="Q122" s="358">
        <f>SUM(N121:Q121)</f>
        <v>0</v>
      </c>
      <c r="R122" s="48"/>
      <c r="S122" s="48"/>
      <c r="T122" s="48"/>
      <c r="U122" s="48"/>
      <c r="V122" s="186"/>
      <c r="W122" s="48"/>
      <c r="X122" s="48"/>
      <c r="Y122" s="48"/>
      <c r="Z122" s="48"/>
      <c r="AA122" s="48"/>
      <c r="AB122" s="48"/>
      <c r="AC122" s="48"/>
      <c r="AD122" s="48"/>
      <c r="AE122" s="48"/>
    </row>
    <row r="123" spans="1:31" ht="20.5">
      <c r="A123" s="605"/>
      <c r="B123" s="605"/>
      <c r="C123" s="605"/>
      <c r="D123" s="605"/>
      <c r="E123" s="605"/>
      <c r="F123" s="605"/>
      <c r="G123" s="605"/>
      <c r="H123" s="605"/>
      <c r="I123" s="605"/>
      <c r="J123" s="605"/>
      <c r="K123" s="605"/>
      <c r="L123" s="605"/>
      <c r="M123" s="605"/>
      <c r="N123" s="605"/>
      <c r="O123" s="605"/>
      <c r="P123" s="605"/>
      <c r="Q123" s="605"/>
      <c r="R123" s="48"/>
      <c r="S123" s="48"/>
      <c r="T123" s="48"/>
      <c r="U123" s="48"/>
      <c r="V123" s="186"/>
      <c r="W123" s="48"/>
      <c r="X123" s="48"/>
      <c r="Y123" s="48"/>
      <c r="Z123" s="48"/>
      <c r="AA123" s="48"/>
      <c r="AB123" s="48"/>
      <c r="AC123" s="48"/>
      <c r="AD123" s="48"/>
      <c r="AE123" s="48"/>
    </row>
    <row r="124" spans="1:31" ht="20.5">
      <c r="A124" s="436" t="s">
        <v>188</v>
      </c>
      <c r="B124" s="337" t="s">
        <v>363</v>
      </c>
      <c r="C124" s="337" t="s">
        <v>364</v>
      </c>
      <c r="D124" s="337" t="s">
        <v>365</v>
      </c>
      <c r="E124" s="337" t="s">
        <v>366</v>
      </c>
      <c r="F124" s="337" t="s">
        <v>367</v>
      </c>
      <c r="G124" s="337" t="s">
        <v>368</v>
      </c>
      <c r="H124" s="337" t="s">
        <v>369</v>
      </c>
      <c r="I124" s="337" t="s">
        <v>370</v>
      </c>
      <c r="J124" s="337" t="s">
        <v>371</v>
      </c>
      <c r="K124" s="337" t="s">
        <v>372</v>
      </c>
      <c r="L124" s="337" t="s">
        <v>373</v>
      </c>
      <c r="M124" s="337" t="s">
        <v>374</v>
      </c>
      <c r="N124" s="337" t="s">
        <v>375</v>
      </c>
      <c r="O124" s="337" t="s">
        <v>376</v>
      </c>
      <c r="P124" s="337" t="s">
        <v>377</v>
      </c>
      <c r="Q124" s="337" t="s">
        <v>378</v>
      </c>
      <c r="R124" s="48"/>
      <c r="S124" s="48"/>
      <c r="T124" s="48"/>
      <c r="U124" s="48"/>
      <c r="V124" s="186"/>
      <c r="W124" s="48"/>
      <c r="X124" s="48"/>
      <c r="Y124" s="48"/>
      <c r="Z124" s="48"/>
      <c r="AA124" s="48"/>
      <c r="AB124" s="48"/>
      <c r="AC124" s="48"/>
      <c r="AD124" s="48"/>
      <c r="AE124" s="48"/>
    </row>
    <row r="125" spans="1:31" ht="21" thickBot="1">
      <c r="A125" s="437" t="s">
        <v>331</v>
      </c>
      <c r="B125" s="357"/>
      <c r="C125" s="357"/>
      <c r="D125" s="357"/>
      <c r="E125" s="357"/>
      <c r="F125" s="357"/>
      <c r="G125" s="357"/>
      <c r="H125" s="357"/>
      <c r="I125" s="549"/>
      <c r="J125" s="357"/>
      <c r="K125" s="549"/>
      <c r="L125" s="357"/>
      <c r="M125" s="549"/>
      <c r="N125" s="357"/>
      <c r="O125" s="549"/>
      <c r="P125" s="357"/>
      <c r="Q125" s="549"/>
      <c r="R125" s="48"/>
      <c r="S125" s="48"/>
      <c r="T125" s="48"/>
      <c r="U125" s="48"/>
      <c r="V125" s="186"/>
      <c r="W125" s="48"/>
      <c r="X125" s="48"/>
      <c r="Y125" s="48"/>
      <c r="Z125" s="48"/>
      <c r="AA125" s="48"/>
      <c r="AB125" s="48"/>
      <c r="AC125" s="48"/>
      <c r="AD125" s="48"/>
      <c r="AE125" s="48"/>
    </row>
    <row r="126" spans="1:31" ht="21" thickTop="1">
      <c r="A126" s="438"/>
      <c r="B126" s="358"/>
      <c r="C126" s="358"/>
      <c r="D126" s="358"/>
      <c r="E126" s="358">
        <f>SUM(B125:E125)</f>
        <v>0</v>
      </c>
      <c r="F126" s="358"/>
      <c r="G126" s="358"/>
      <c r="H126" s="358"/>
      <c r="I126" s="358">
        <f>SUM(F125:I125)</f>
        <v>0</v>
      </c>
      <c r="J126" s="358"/>
      <c r="K126" s="358">
        <f t="shared" ref="K126" si="11">SUM(H125:K125)</f>
        <v>0</v>
      </c>
      <c r="L126" s="358"/>
      <c r="M126" s="358">
        <f t="shared" ref="M126" si="12">SUM(J125:M125)</f>
        <v>0</v>
      </c>
      <c r="N126" s="358"/>
      <c r="O126" s="358">
        <f t="shared" ref="O126" si="13">SUM(L125:O125)</f>
        <v>0</v>
      </c>
      <c r="P126" s="358"/>
      <c r="Q126" s="358">
        <f t="shared" ref="Q126" si="14">SUM(N125:Q125)</f>
        <v>0</v>
      </c>
      <c r="R126" s="48"/>
      <c r="S126" s="48"/>
      <c r="T126" s="48"/>
      <c r="U126" s="48"/>
      <c r="V126" s="186"/>
      <c r="W126" s="48"/>
      <c r="X126" s="48"/>
      <c r="Y126" s="48"/>
      <c r="Z126" s="48"/>
      <c r="AA126" s="48"/>
      <c r="AB126" s="48"/>
      <c r="AC126" s="48"/>
      <c r="AD126" s="48"/>
      <c r="AE126" s="48"/>
    </row>
    <row r="127" spans="1:31" ht="20.5">
      <c r="A127" s="48"/>
      <c r="B127" s="48"/>
      <c r="C127" s="48"/>
      <c r="D127" s="186"/>
      <c r="E127" s="186"/>
      <c r="F127" s="48"/>
      <c r="G127" s="48"/>
      <c r="H127" s="48"/>
      <c r="I127" s="48"/>
      <c r="J127" s="48"/>
      <c r="K127" s="48"/>
      <c r="L127" s="48"/>
      <c r="M127" s="48"/>
      <c r="N127" s="48"/>
      <c r="O127" s="48"/>
      <c r="P127" s="48"/>
      <c r="Q127" s="48"/>
      <c r="R127" s="48"/>
      <c r="S127" s="48"/>
      <c r="T127" s="48"/>
      <c r="U127" s="48"/>
      <c r="V127" s="186"/>
      <c r="W127" s="48"/>
      <c r="X127" s="48"/>
      <c r="Y127" s="48"/>
      <c r="Z127" s="48"/>
      <c r="AA127" s="48"/>
      <c r="AB127" s="48"/>
      <c r="AC127" s="48"/>
      <c r="AD127" s="48"/>
      <c r="AE127" s="48"/>
    </row>
    <row r="128" spans="1:31" ht="20.5">
      <c r="C128" s="187"/>
      <c r="D128" s="187" t="s">
        <v>380</v>
      </c>
      <c r="E128" s="187"/>
      <c r="F128" s="187"/>
      <c r="G128" s="187"/>
      <c r="H128" s="187"/>
      <c r="I128" s="187"/>
      <c r="J128" s="187"/>
      <c r="K128" s="187"/>
      <c r="L128" s="187"/>
      <c r="M128" s="187"/>
      <c r="N128" s="187"/>
      <c r="O128" s="187"/>
      <c r="P128" s="187"/>
      <c r="Q128" s="187"/>
      <c r="R128" s="187"/>
      <c r="S128" s="187"/>
      <c r="T128" s="187"/>
      <c r="U128" s="187"/>
      <c r="V128" s="187"/>
      <c r="W128" s="187"/>
      <c r="X128" s="187"/>
      <c r="Y128" s="187"/>
      <c r="Z128" s="187"/>
      <c r="AA128" s="187"/>
      <c r="AB128" s="187"/>
      <c r="AC128" s="187"/>
      <c r="AD128" s="187"/>
      <c r="AE128" s="187"/>
    </row>
  </sheetData>
  <mergeCells count="16">
    <mergeCell ref="A5:A8"/>
    <mergeCell ref="B5:B8"/>
    <mergeCell ref="G17:U27"/>
    <mergeCell ref="G4:U13"/>
    <mergeCell ref="A29:A32"/>
    <mergeCell ref="B29:B32"/>
    <mergeCell ref="B25:B28"/>
    <mergeCell ref="A25:A28"/>
    <mergeCell ref="A9:A12"/>
    <mergeCell ref="A13:A16"/>
    <mergeCell ref="A21:A24"/>
    <mergeCell ref="A17:A20"/>
    <mergeCell ref="B9:B12"/>
    <mergeCell ref="B13:B16"/>
    <mergeCell ref="B21:B24"/>
    <mergeCell ref="B17:B20"/>
  </mergeCells>
  <phoneticPr fontId="23" type="noConversion"/>
  <hyperlinks>
    <hyperlink ref="V3" r:id="rId1" display="https://dealbook.co.kr/opiseusijangeseo-geumri-inhawa-hamgge-salpyeobwayahal-geosdeul/" xr:uid="{5EC4DBF5-827D-45A2-9354-603C4273AD31}"/>
  </hyperlinks>
  <pageMargins left="0.23622047244094491" right="0.23622047244094491" top="0.74803149606299213" bottom="0.74803149606299213" header="0.31496062992125984" footer="0.31496062992125984"/>
  <pageSetup paperSize="9" scale="26" fitToWidth="6" fitToHeight="6" orientation="landscape" r:id="rId2"/>
  <rowBreaks count="1" manualBreakCount="1">
    <brk id="57" max="16383" man="1"/>
  </rowBreaks>
  <drawing r:id="rId3"/>
  <tableParts count="1">
    <tablePart r:id="rId4"/>
  </tableParts>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DF9B4D-51C8-4ABD-8099-7A85E2EA8B23}">
  <sheetPr>
    <tabColor rgb="FF339088"/>
  </sheetPr>
  <dimension ref="A1:AQ70"/>
  <sheetViews>
    <sheetView showGridLines="0" view="pageBreakPreview" zoomScale="70" zoomScaleNormal="100" zoomScaleSheetLayoutView="70" workbookViewId="0">
      <pane xSplit="1" ySplit="4" topLeftCell="C7" activePane="bottomRight" state="frozen"/>
      <selection pane="topRight" activeCell="P36" sqref="P36:T55"/>
      <selection pane="bottomLeft" activeCell="P36" sqref="P36:T55"/>
      <selection pane="bottomRight" activeCell="J31" sqref="J31"/>
    </sheetView>
  </sheetViews>
  <sheetFormatPr defaultColWidth="8.7265625" defaultRowHeight="14.5"/>
  <cols>
    <col min="1" max="1" width="33.26953125" customWidth="1"/>
    <col min="2" max="20" width="12.7265625" customWidth="1"/>
    <col min="21" max="27" width="9.26953125" customWidth="1"/>
    <col min="28" max="28" width="10" bestFit="1" customWidth="1"/>
    <col min="29" max="37" width="9.26953125" customWidth="1"/>
    <col min="38" max="38" width="11" bestFit="1" customWidth="1"/>
    <col min="39" max="39" width="11.26953125" bestFit="1" customWidth="1"/>
    <col min="40" max="40" width="6.7265625" customWidth="1"/>
    <col min="41" max="41" width="11.26953125" bestFit="1" customWidth="1"/>
    <col min="42" max="42" width="10.26953125" bestFit="1" customWidth="1"/>
    <col min="43" max="46" width="11" bestFit="1" customWidth="1"/>
    <col min="47" max="49" width="11.26953125" bestFit="1" customWidth="1"/>
    <col min="50" max="50" width="11" bestFit="1" customWidth="1"/>
    <col min="51" max="53" width="11.26953125" bestFit="1" customWidth="1"/>
    <col min="54" max="54" width="11" bestFit="1" customWidth="1"/>
    <col min="55" max="57" width="11.26953125" bestFit="1" customWidth="1"/>
    <col min="58" max="58" width="10.7265625" bestFit="1" customWidth="1"/>
    <col min="59" max="61" width="11.26953125" bestFit="1" customWidth="1"/>
    <col min="62" max="62" width="11" bestFit="1" customWidth="1"/>
    <col min="63" max="65" width="11.26953125" bestFit="1" customWidth="1"/>
    <col min="66" max="66" width="10.7265625" bestFit="1" customWidth="1"/>
    <col min="67" max="69" width="11.26953125" bestFit="1" customWidth="1"/>
    <col min="70" max="70" width="11" bestFit="1" customWidth="1"/>
    <col min="71" max="73" width="11.26953125" bestFit="1" customWidth="1"/>
    <col min="74" max="74" width="11" bestFit="1" customWidth="1"/>
    <col min="75" max="78" width="11.26953125" bestFit="1" customWidth="1"/>
    <col min="79" max="81" width="12" bestFit="1" customWidth="1"/>
    <col min="82" max="82" width="11" bestFit="1" customWidth="1"/>
    <col min="83" max="85" width="11.26953125" bestFit="1" customWidth="1"/>
  </cols>
  <sheetData>
    <row r="1" spans="1:21" ht="26">
      <c r="A1" s="4" t="s">
        <v>381</v>
      </c>
    </row>
    <row r="3" spans="1:21" ht="19.5">
      <c r="A3" s="188" t="s">
        <v>382</v>
      </c>
    </row>
    <row r="4" spans="1:21">
      <c r="F4" s="659"/>
      <c r="G4" s="659"/>
      <c r="H4" s="659"/>
      <c r="I4" s="659"/>
      <c r="J4" s="659"/>
      <c r="K4" s="659"/>
      <c r="L4" s="659"/>
      <c r="M4" s="659"/>
      <c r="N4" s="659"/>
      <c r="O4" s="659"/>
      <c r="P4" s="659"/>
      <c r="Q4" s="659"/>
      <c r="R4" s="659"/>
      <c r="S4" s="659"/>
      <c r="T4" s="659"/>
      <c r="U4" s="659"/>
    </row>
    <row r="5" spans="1:21" ht="19.399999999999999" customHeight="1">
      <c r="A5" s="366" t="s">
        <v>383</v>
      </c>
      <c r="B5" s="362" t="s">
        <v>384</v>
      </c>
      <c r="C5" s="362" t="s">
        <v>385</v>
      </c>
      <c r="D5" s="362" t="s">
        <v>386</v>
      </c>
      <c r="E5" s="362" t="s">
        <v>387</v>
      </c>
      <c r="F5" s="362" t="s">
        <v>388</v>
      </c>
      <c r="G5" s="362" t="s">
        <v>389</v>
      </c>
      <c r="H5" s="362" t="s">
        <v>390</v>
      </c>
      <c r="I5" s="362" t="s">
        <v>391</v>
      </c>
      <c r="J5" s="362" t="s">
        <v>392</v>
      </c>
      <c r="K5" s="362" t="s">
        <v>393</v>
      </c>
      <c r="L5" s="362" t="s">
        <v>394</v>
      </c>
      <c r="M5" s="362" t="s">
        <v>395</v>
      </c>
      <c r="N5" s="362" t="s">
        <v>396</v>
      </c>
      <c r="O5" s="362" t="s">
        <v>397</v>
      </c>
      <c r="P5" s="362" t="s">
        <v>398</v>
      </c>
      <c r="Q5" s="362" t="s">
        <v>399</v>
      </c>
      <c r="R5" s="362" t="s">
        <v>400</v>
      </c>
      <c r="S5" s="362" t="s">
        <v>401</v>
      </c>
      <c r="T5" s="362" t="s">
        <v>402</v>
      </c>
    </row>
    <row r="6" spans="1:21" ht="19.399999999999999" customHeight="1">
      <c r="A6" s="362" t="s">
        <v>237</v>
      </c>
      <c r="B6" s="374">
        <v>106690.90909090909</v>
      </c>
      <c r="C6" s="374">
        <v>106611.57024793389</v>
      </c>
      <c r="D6" s="374">
        <v>106700.82644628099</v>
      </c>
      <c r="E6" s="374">
        <v>107150.41322314049</v>
      </c>
      <c r="F6" s="374">
        <v>107965.4756938209</v>
      </c>
      <c r="G6" s="374">
        <v>108483.67849011347</v>
      </c>
      <c r="H6" s="374">
        <v>108532.23140495869</v>
      </c>
      <c r="I6" s="374">
        <v>109347.12611975062</v>
      </c>
      <c r="J6" s="374">
        <v>110087.23188018381</v>
      </c>
      <c r="K6" s="374">
        <v>110500.32093037399</v>
      </c>
      <c r="L6" s="374">
        <v>110655.30562255325</v>
      </c>
      <c r="M6" s="374">
        <v>110819.76916818161</v>
      </c>
      <c r="N6" s="374">
        <v>111240.74941662762</v>
      </c>
      <c r="O6" s="374">
        <v>111819.62181170186</v>
      </c>
      <c r="P6" s="382">
        <f>34147/0.3025</f>
        <v>112882.64462809918</v>
      </c>
      <c r="Q6" s="382">
        <v>115064.46280991736</v>
      </c>
      <c r="R6" s="382">
        <v>117533.88429752066</v>
      </c>
      <c r="S6" s="382">
        <f>35638/0.3025</f>
        <v>117811.57024793389</v>
      </c>
      <c r="T6" s="383">
        <f>35946/0.3025</f>
        <v>118829.7520661157</v>
      </c>
    </row>
    <row r="7" spans="1:21" ht="19.399999999999999" customHeight="1">
      <c r="A7" s="362" t="s">
        <v>263</v>
      </c>
      <c r="B7" s="374">
        <v>91834.710743801654</v>
      </c>
      <c r="C7" s="374">
        <v>92148.760330578531</v>
      </c>
      <c r="D7" s="374">
        <v>92195.041322314035</v>
      </c>
      <c r="E7" s="374">
        <v>92039.669421487604</v>
      </c>
      <c r="F7" s="374">
        <v>93927.963687799769</v>
      </c>
      <c r="G7" s="374">
        <v>94540.00638815308</v>
      </c>
      <c r="H7" s="374">
        <v>95338.842975206629</v>
      </c>
      <c r="I7" s="374">
        <v>96061.323279600809</v>
      </c>
      <c r="J7" s="374">
        <v>98407.796295351465</v>
      </c>
      <c r="K7" s="374">
        <v>98709.599285064076</v>
      </c>
      <c r="L7" s="374">
        <v>98818.294448109766</v>
      </c>
      <c r="M7" s="374">
        <v>98883.511545937188</v>
      </c>
      <c r="N7" s="374">
        <v>99122.640904637679</v>
      </c>
      <c r="O7" s="374">
        <v>100450.67840672977</v>
      </c>
      <c r="P7" s="382">
        <f>30866/0.3025</f>
        <v>102036.36363636363</v>
      </c>
      <c r="Q7" s="382">
        <v>104340.49586776859</v>
      </c>
      <c r="R7" s="382">
        <v>108419.8347107438</v>
      </c>
      <c r="S7" s="382">
        <f>33795/0.3025</f>
        <v>111719.00826446281</v>
      </c>
      <c r="T7" s="383">
        <f>34656/0.3025</f>
        <v>114565.28925619835</v>
      </c>
    </row>
    <row r="8" spans="1:21" ht="19.399999999999999" customHeight="1" thickBot="1">
      <c r="A8" s="359" t="s">
        <v>379</v>
      </c>
      <c r="B8" s="375">
        <v>77887.603305785145</v>
      </c>
      <c r="C8" s="375">
        <v>77976.859504132241</v>
      </c>
      <c r="D8" s="375">
        <v>78204.958677685965</v>
      </c>
      <c r="E8" s="375">
        <v>78704.132231404961</v>
      </c>
      <c r="F8" s="375">
        <v>79204.189035694799</v>
      </c>
      <c r="G8" s="375">
        <v>79556.460177747387</v>
      </c>
      <c r="H8" s="375">
        <v>82717.355371900834</v>
      </c>
      <c r="I8" s="375">
        <v>82221.638002628984</v>
      </c>
      <c r="J8" s="375">
        <v>82521.628652671061</v>
      </c>
      <c r="K8" s="375">
        <v>83220.458841268555</v>
      </c>
      <c r="L8" s="375">
        <v>84603.810949517399</v>
      </c>
      <c r="M8" s="375">
        <v>85699.222686831257</v>
      </c>
      <c r="N8" s="375">
        <v>86362.52803529051</v>
      </c>
      <c r="O8" s="375">
        <v>87526.27279843908</v>
      </c>
      <c r="P8" s="384">
        <f>26741/0.3025</f>
        <v>88400</v>
      </c>
      <c r="Q8" s="384">
        <v>89854.545454545456</v>
      </c>
      <c r="R8" s="384">
        <f>28293/0.3025</f>
        <v>93530.578512396693</v>
      </c>
      <c r="S8" s="384">
        <f>28497/0.3025</f>
        <v>94204.958677685951</v>
      </c>
      <c r="T8" s="385">
        <f>29301/0.3025</f>
        <v>96862.809917355378</v>
      </c>
    </row>
    <row r="9" spans="1:21" ht="19.399999999999999" customHeight="1" thickTop="1">
      <c r="A9" s="360" t="s">
        <v>403</v>
      </c>
      <c r="B9" s="376">
        <v>95550.413223140495</v>
      </c>
      <c r="C9" s="376">
        <v>96000</v>
      </c>
      <c r="D9" s="376">
        <v>96102.479338842983</v>
      </c>
      <c r="E9" s="376">
        <v>96317.355371900834</v>
      </c>
      <c r="F9" s="376">
        <v>97438.56364013876</v>
      </c>
      <c r="G9" s="376">
        <v>98233.845761974284</v>
      </c>
      <c r="H9" s="376">
        <v>98449.586776859505</v>
      </c>
      <c r="I9" s="376">
        <v>98789.349411067655</v>
      </c>
      <c r="J9" s="376">
        <v>99896.33594823457</v>
      </c>
      <c r="K9" s="376">
        <v>100425.41908632897</v>
      </c>
      <c r="L9" s="376">
        <v>100885.09267324995</v>
      </c>
      <c r="M9" s="376">
        <v>101222.85023754426</v>
      </c>
      <c r="N9" s="376">
        <v>101636.40626743389</v>
      </c>
      <c r="O9" s="376">
        <v>102597.39731642161</v>
      </c>
      <c r="P9" s="367">
        <f>O9*1.012</f>
        <v>103828.56608421868</v>
      </c>
      <c r="Q9" s="367">
        <v>105857.85123966943</v>
      </c>
      <c r="R9" s="367">
        <v>109130.57851239669</v>
      </c>
      <c r="S9" s="367">
        <f>33434/0.3025</f>
        <v>110525.61983471074</v>
      </c>
      <c r="T9" s="386">
        <f>34009/0.3025</f>
        <v>112426.44628099175</v>
      </c>
    </row>
    <row r="10" spans="1:21" ht="19.399999999999999" customHeight="1">
      <c r="A10" s="2" t="s">
        <v>135</v>
      </c>
      <c r="B10" s="652"/>
      <c r="C10" s="652"/>
      <c r="D10" s="652"/>
      <c r="E10" s="652"/>
      <c r="F10" s="652"/>
      <c r="G10" s="652"/>
      <c r="H10" s="652"/>
      <c r="I10" s="652"/>
      <c r="J10" s="652"/>
      <c r="K10" s="652"/>
      <c r="L10" s="652"/>
      <c r="M10" s="361"/>
      <c r="N10" s="652"/>
      <c r="O10" s="653"/>
      <c r="P10" s="652"/>
      <c r="Q10" s="654"/>
      <c r="R10" s="652"/>
      <c r="S10" s="652"/>
      <c r="T10" s="655"/>
    </row>
    <row r="11" spans="1:21" ht="19.399999999999999" customHeight="1">
      <c r="A11" s="362" t="s">
        <v>404</v>
      </c>
      <c r="B11" s="363">
        <v>7.0204998595899681E-3</v>
      </c>
      <c r="C11" s="363">
        <v>-7.4363264547305796E-4</v>
      </c>
      <c r="D11" s="363">
        <v>8.3720930232544788E-4</v>
      </c>
      <c r="E11" s="363">
        <v>4.2135266598506416E-3</v>
      </c>
      <c r="F11" s="363">
        <v>7.6067132749459976E-3</v>
      </c>
      <c r="G11" s="363">
        <v>4.7997083601254431E-3</v>
      </c>
      <c r="H11" s="363">
        <v>4.4755962851716902E-4</v>
      </c>
      <c r="I11" s="363">
        <f t="shared" ref="I11:T11" si="0">I6/H6-1</f>
        <v>7.5083199178995752E-3</v>
      </c>
      <c r="J11" s="363">
        <f t="shared" si="0"/>
        <v>6.7684061456052547E-3</v>
      </c>
      <c r="K11" s="363">
        <f t="shared" si="0"/>
        <v>3.7523793008054085E-3</v>
      </c>
      <c r="L11" s="363">
        <f t="shared" si="0"/>
        <v>1.4025723262551804E-3</v>
      </c>
      <c r="M11" s="363">
        <f t="shared" si="0"/>
        <v>1.4862689565862119E-3</v>
      </c>
      <c r="N11" s="363">
        <f t="shared" si="0"/>
        <v>3.7987829392347461E-3</v>
      </c>
      <c r="O11" s="363">
        <f t="shared" si="0"/>
        <v>5.2037800725901473E-3</v>
      </c>
      <c r="P11" s="363">
        <f t="shared" si="0"/>
        <v>9.5065856883991273E-3</v>
      </c>
      <c r="Q11" s="363">
        <f t="shared" si="0"/>
        <v>1.93281986704541E-2</v>
      </c>
      <c r="R11" s="363">
        <f t="shared" si="0"/>
        <v>2.1461200333266373E-2</v>
      </c>
      <c r="S11" s="363">
        <f t="shared" si="0"/>
        <v>2.3626033638972643E-3</v>
      </c>
      <c r="T11" s="368">
        <f t="shared" si="0"/>
        <v>8.6424602951904461E-3</v>
      </c>
    </row>
    <row r="12" spans="1:21" ht="19.399999999999999" customHeight="1">
      <c r="A12" s="362" t="s">
        <v>405</v>
      </c>
      <c r="B12" s="363">
        <v>6.521739130434856E-3</v>
      </c>
      <c r="C12" s="363">
        <v>3.419726421886482E-3</v>
      </c>
      <c r="D12" s="363">
        <v>5.0224215246608139E-4</v>
      </c>
      <c r="E12" s="363">
        <v>-1.6852522499908318E-3</v>
      </c>
      <c r="F12" s="363">
        <v>2.0516091356922228E-2</v>
      </c>
      <c r="G12" s="363">
        <v>6.5160861188009456E-3</v>
      </c>
      <c r="H12" s="363">
        <v>8.4497200452235965E-3</v>
      </c>
      <c r="I12" s="363">
        <f t="shared" ref="I12:T12" si="1">I7/H7-1</f>
        <v>7.5780267711247351E-3</v>
      </c>
      <c r="J12" s="363">
        <f t="shared" si="1"/>
        <v>2.4426823779232221E-2</v>
      </c>
      <c r="K12" s="363">
        <f t="shared" si="1"/>
        <v>3.0668605646528846E-3</v>
      </c>
      <c r="L12" s="363">
        <f t="shared" si="1"/>
        <v>1.1011610201332456E-3</v>
      </c>
      <c r="M12" s="363">
        <f t="shared" si="1"/>
        <v>6.5996987897487536E-4</v>
      </c>
      <c r="N12" s="363">
        <f t="shared" si="1"/>
        <v>2.4182935553356266E-3</v>
      </c>
      <c r="O12" s="363">
        <f t="shared" si="1"/>
        <v>1.3397922916215999E-2</v>
      </c>
      <c r="P12" s="363">
        <f t="shared" si="1"/>
        <v>1.5785709512218027E-2</v>
      </c>
      <c r="Q12" s="363">
        <f t="shared" si="1"/>
        <v>2.2581481241495505E-2</v>
      </c>
      <c r="R12" s="363">
        <f t="shared" si="1"/>
        <v>3.9096410353895328E-2</v>
      </c>
      <c r="S12" s="363">
        <f t="shared" si="1"/>
        <v>3.0429612464554667E-2</v>
      </c>
      <c r="T12" s="368">
        <f t="shared" si="1"/>
        <v>2.5477141588992502E-2</v>
      </c>
    </row>
    <row r="13" spans="1:21" ht="19.399999999999999" customHeight="1" thickBot="1">
      <c r="A13" s="359" t="s">
        <v>406</v>
      </c>
      <c r="B13" s="364">
        <v>3.2361081541412151E-3</v>
      </c>
      <c r="C13" s="364">
        <v>1.1459615466236084E-3</v>
      </c>
      <c r="D13" s="364">
        <v>2.9252162116331082E-3</v>
      </c>
      <c r="E13" s="364">
        <v>6.3828887855601479E-3</v>
      </c>
      <c r="F13" s="364">
        <v>6.3536283307155106E-3</v>
      </c>
      <c r="G13" s="364">
        <v>4.4476327116211856E-3</v>
      </c>
      <c r="H13" s="364">
        <v>3.9731471046993372E-2</v>
      </c>
      <c r="I13" s="363">
        <f t="shared" ref="I13:T13" si="2">I8/H8-1</f>
        <v>-5.9929064105480601E-3</v>
      </c>
      <c r="J13" s="364">
        <f t="shared" si="2"/>
        <v>3.648560857331562E-3</v>
      </c>
      <c r="K13" s="364">
        <f t="shared" si="2"/>
        <v>8.4684488176891559E-3</v>
      </c>
      <c r="L13" s="364">
        <f t="shared" si="2"/>
        <v>1.6622740699944849E-2</v>
      </c>
      <c r="M13" s="364">
        <f t="shared" si="2"/>
        <v>1.2947546038647006E-2</v>
      </c>
      <c r="N13" s="364">
        <f t="shared" si="2"/>
        <v>7.7399225764642754E-3</v>
      </c>
      <c r="O13" s="364">
        <f t="shared" si="2"/>
        <v>1.3475112292602454E-2</v>
      </c>
      <c r="P13" s="364">
        <f t="shared" si="2"/>
        <v>9.9824563942416678E-3</v>
      </c>
      <c r="Q13" s="364">
        <f t="shared" si="2"/>
        <v>1.6454134101193008E-2</v>
      </c>
      <c r="R13" s="364">
        <f t="shared" si="2"/>
        <v>4.0910930429344017E-2</v>
      </c>
      <c r="S13" s="364">
        <f t="shared" si="2"/>
        <v>7.2102640229032566E-3</v>
      </c>
      <c r="T13" s="369">
        <f t="shared" si="2"/>
        <v>2.8213496157490248E-2</v>
      </c>
    </row>
    <row r="14" spans="1:21" ht="19.399999999999999" customHeight="1" thickTop="1">
      <c r="A14" s="360" t="s">
        <v>407</v>
      </c>
      <c r="B14" s="365">
        <v>6.2315056570929617E-3</v>
      </c>
      <c r="C14" s="365">
        <v>4.7052311098809696E-3</v>
      </c>
      <c r="D14" s="365">
        <v>1.0674931129477372E-3</v>
      </c>
      <c r="E14" s="365">
        <v>2.2359051976195143E-3</v>
      </c>
      <c r="F14" s="365">
        <v>1.1640770906849784E-2</v>
      </c>
      <c r="G14" s="365">
        <v>8.1618826481542062E-3</v>
      </c>
      <c r="H14" s="365">
        <v>2.1961983999687629E-3</v>
      </c>
      <c r="I14" s="363">
        <f t="shared" ref="I14:T14" si="3">I9/H9-1</f>
        <v>3.4511331670517009E-3</v>
      </c>
      <c r="J14" s="365">
        <f t="shared" si="3"/>
        <v>1.1205525127619742E-2</v>
      </c>
      <c r="K14" s="365">
        <f t="shared" si="3"/>
        <v>5.2963217626778025E-3</v>
      </c>
      <c r="L14" s="365">
        <f t="shared" si="3"/>
        <v>4.577263317425917E-3</v>
      </c>
      <c r="M14" s="365">
        <f t="shared" si="3"/>
        <v>3.3479432425982392E-3</v>
      </c>
      <c r="N14" s="365">
        <f t="shared" si="3"/>
        <v>4.0855995352742092E-3</v>
      </c>
      <c r="O14" s="365">
        <f t="shared" si="3"/>
        <v>9.4551852459154873E-3</v>
      </c>
      <c r="P14" s="365">
        <f t="shared" si="3"/>
        <v>1.2000000000000011E-2</v>
      </c>
      <c r="Q14" s="365">
        <f t="shared" si="3"/>
        <v>1.9544574600064646E-2</v>
      </c>
      <c r="R14" s="365">
        <f t="shared" si="3"/>
        <v>3.0916245081506366E-2</v>
      </c>
      <c r="S14" s="365">
        <f t="shared" si="3"/>
        <v>1.2783230340482232E-2</v>
      </c>
      <c r="T14" s="370">
        <f t="shared" si="3"/>
        <v>1.7198061853203495E-2</v>
      </c>
    </row>
    <row r="15" spans="1:21" ht="19.399999999999999" customHeight="1">
      <c r="A15" s="2" t="s">
        <v>135</v>
      </c>
      <c r="B15" s="286"/>
      <c r="C15" s="286"/>
      <c r="D15" s="286"/>
      <c r="E15" s="286"/>
      <c r="F15" s="286"/>
      <c r="G15" s="286"/>
      <c r="H15" s="286"/>
      <c r="I15" s="286"/>
      <c r="J15" s="286"/>
      <c r="K15" s="286"/>
      <c r="L15" s="286"/>
      <c r="M15" s="286"/>
      <c r="N15" s="286"/>
      <c r="O15" s="286"/>
      <c r="P15" s="286"/>
      <c r="Q15" s="286"/>
      <c r="R15" s="286"/>
      <c r="S15" s="286"/>
      <c r="T15" s="371"/>
    </row>
    <row r="16" spans="1:21" ht="19.399999999999999" customHeight="1">
      <c r="A16" s="362" t="s">
        <v>408</v>
      </c>
      <c r="B16" s="379">
        <v>3.0186218973687451E-2</v>
      </c>
      <c r="C16" s="379">
        <v>2.5209015481451047E-2</v>
      </c>
      <c r="D16" s="379">
        <v>1.1469399266710534E-2</v>
      </c>
      <c r="E16" s="379">
        <v>1.1357608661736851E-2</v>
      </c>
      <c r="F16" s="379">
        <v>1.194634682347484E-2</v>
      </c>
      <c r="G16" s="379">
        <v>1.7560085062304553E-2</v>
      </c>
      <c r="H16" s="379">
        <v>1.7163924776156581E-2</v>
      </c>
      <c r="I16" s="379">
        <f t="shared" ref="I16:T19" si="4">I6/E6-1</f>
        <v>2.0501207886482797E-2</v>
      </c>
      <c r="J16" s="379">
        <f t="shared" si="4"/>
        <v>1.9652172814761615E-2</v>
      </c>
      <c r="K16" s="379">
        <f t="shared" si="4"/>
        <v>1.8589362642642104E-2</v>
      </c>
      <c r="L16" s="379">
        <f t="shared" si="4"/>
        <v>1.9561693241824996E-2</v>
      </c>
      <c r="M16" s="379">
        <f t="shared" si="4"/>
        <v>1.3467597189689595E-2</v>
      </c>
      <c r="N16" s="379">
        <f t="shared" si="4"/>
        <v>1.0478213656051061E-2</v>
      </c>
      <c r="O16" s="379">
        <f t="shared" si="4"/>
        <v>1.1939339815665972E-2</v>
      </c>
      <c r="P16" s="379">
        <f t="shared" si="4"/>
        <v>2.012862368428503E-2</v>
      </c>
      <c r="Q16" s="379">
        <f t="shared" si="4"/>
        <v>3.8302675358346416E-2</v>
      </c>
      <c r="R16" s="379">
        <f t="shared" si="4"/>
        <v>5.6572208600676577E-2</v>
      </c>
      <c r="S16" s="379">
        <f t="shared" si="4"/>
        <v>5.3585840652565775E-2</v>
      </c>
      <c r="T16" s="379">
        <f t="shared" si="4"/>
        <v>5.2683983951738123E-2</v>
      </c>
    </row>
    <row r="17" spans="1:40" ht="19.399999999999999" customHeight="1">
      <c r="A17" s="362" t="s">
        <v>409</v>
      </c>
      <c r="B17" s="379">
        <v>3.6553299857641441E-2</v>
      </c>
      <c r="C17" s="379">
        <v>3.6014271909611484E-2</v>
      </c>
      <c r="D17" s="379">
        <v>1.28195816385821E-2</v>
      </c>
      <c r="E17" s="379">
        <v>8.7681159420289756E-3</v>
      </c>
      <c r="F17" s="379">
        <v>2.2793701064054428E-2</v>
      </c>
      <c r="G17" s="379">
        <v>2.5949845109104919E-2</v>
      </c>
      <c r="H17" s="379">
        <v>3.4099465739180657E-2</v>
      </c>
      <c r="I17" s="379">
        <f t="shared" si="4"/>
        <v>4.3694788164616138E-2</v>
      </c>
      <c r="J17" s="379">
        <f t="shared" si="4"/>
        <v>4.7694343959610253E-2</v>
      </c>
      <c r="K17" s="379">
        <f t="shared" si="4"/>
        <v>4.4104004814553122E-2</v>
      </c>
      <c r="L17" s="379">
        <f t="shared" si="4"/>
        <v>3.6495633514327164E-2</v>
      </c>
      <c r="M17" s="379">
        <f t="shared" si="4"/>
        <v>2.9379027583473771E-2</v>
      </c>
      <c r="N17" s="379">
        <f t="shared" si="4"/>
        <v>7.2641054489295254E-3</v>
      </c>
      <c r="O17" s="379">
        <f t="shared" si="4"/>
        <v>1.7638397220493429E-2</v>
      </c>
      <c r="P17" s="379">
        <f t="shared" si="4"/>
        <v>3.2565520445646756E-2</v>
      </c>
      <c r="Q17" s="379">
        <f t="shared" si="4"/>
        <v>5.5185988407140174E-2</v>
      </c>
      <c r="R17" s="379">
        <f t="shared" si="4"/>
        <v>9.3794855759045115E-2</v>
      </c>
      <c r="S17" s="379">
        <f t="shared" si="4"/>
        <v>0.11217773773619544</v>
      </c>
      <c r="T17" s="368">
        <f t="shared" si="4"/>
        <v>0.12278882913237865</v>
      </c>
    </row>
    <row r="18" spans="1:40" ht="19.399999999999999" customHeight="1" thickBot="1">
      <c r="A18" s="359" t="s">
        <v>410</v>
      </c>
      <c r="B18" s="380">
        <v>6.1861324721084188E-3</v>
      </c>
      <c r="C18" s="380">
        <v>7.3454048513836856E-3</v>
      </c>
      <c r="D18" s="380">
        <v>9.0854802934654533E-3</v>
      </c>
      <c r="E18" s="380">
        <v>1.3753459655098998E-2</v>
      </c>
      <c r="F18" s="380">
        <v>1.6903662123749941E-2</v>
      </c>
      <c r="G18" s="380">
        <v>2.0257300481964613E-2</v>
      </c>
      <c r="H18" s="380">
        <v>5.7699623789998711E-2</v>
      </c>
      <c r="I18" s="379">
        <f t="shared" si="4"/>
        <v>4.4692771160755429E-2</v>
      </c>
      <c r="J18" s="379">
        <f t="shared" si="4"/>
        <v>4.1884648493543564E-2</v>
      </c>
      <c r="K18" s="379">
        <f t="shared" si="4"/>
        <v>4.6055325429700478E-2</v>
      </c>
      <c r="L18" s="379">
        <f t="shared" si="4"/>
        <v>2.2806043171169854E-2</v>
      </c>
      <c r="M18" s="379">
        <f t="shared" si="4"/>
        <v>4.2295249385460698E-2</v>
      </c>
      <c r="N18" s="379">
        <f t="shared" si="4"/>
        <v>4.6544153882197126E-2</v>
      </c>
      <c r="O18" s="379">
        <f t="shared" si="4"/>
        <v>5.1739848795874455E-2</v>
      </c>
      <c r="P18" s="379">
        <f t="shared" si="4"/>
        <v>4.487018974532675E-2</v>
      </c>
      <c r="Q18" s="379">
        <f t="shared" si="4"/>
        <v>4.8487286552165054E-2</v>
      </c>
      <c r="R18" s="380">
        <f t="shared" si="4"/>
        <v>8.2999544364624089E-2</v>
      </c>
      <c r="S18" s="380">
        <f t="shared" si="4"/>
        <v>7.6304927260263389E-2</v>
      </c>
      <c r="T18" s="369">
        <f t="shared" si="4"/>
        <v>9.5733143861486125E-2</v>
      </c>
    </row>
    <row r="19" spans="1:40" ht="19.399999999999999" customHeight="1" thickTop="1">
      <c r="A19" s="360" t="s">
        <v>411</v>
      </c>
      <c r="B19" s="381">
        <v>6.3366138490315471E-2</v>
      </c>
      <c r="C19" s="381">
        <v>6.5297138664710319E-2</v>
      </c>
      <c r="D19" s="381">
        <v>5.2140763170911208E-2</v>
      </c>
      <c r="E19" s="381">
        <v>1.430809399477817E-2</v>
      </c>
      <c r="F19" s="381">
        <v>1.9760777094588233E-2</v>
      </c>
      <c r="G19" s="381">
        <v>2.3269226687232081E-2</v>
      </c>
      <c r="H19" s="381">
        <v>2.442296446630654E-2</v>
      </c>
      <c r="I19" s="379">
        <f t="shared" si="4"/>
        <v>2.5665094619987672E-2</v>
      </c>
      <c r="J19" s="379">
        <f t="shared" si="4"/>
        <v>2.5223815051019116E-2</v>
      </c>
      <c r="K19" s="379">
        <f t="shared" si="4"/>
        <v>2.2309757979596778E-2</v>
      </c>
      <c r="L19" s="379">
        <f t="shared" si="4"/>
        <v>2.4738609638968123E-2</v>
      </c>
      <c r="M19" s="379">
        <f t="shared" si="4"/>
        <v>2.4633230616295299E-2</v>
      </c>
      <c r="N19" s="379">
        <f t="shared" si="4"/>
        <v>1.7418760184567894E-2</v>
      </c>
      <c r="O19" s="379">
        <f t="shared" si="4"/>
        <v>2.162777362398205E-2</v>
      </c>
      <c r="P19" s="379">
        <f t="shared" si="4"/>
        <v>2.9176495089340282E-2</v>
      </c>
      <c r="Q19" s="379">
        <f t="shared" si="4"/>
        <v>4.5790066089306913E-2</v>
      </c>
      <c r="R19" s="381">
        <f t="shared" si="4"/>
        <v>7.3735116383823351E-2</v>
      </c>
      <c r="S19" s="381">
        <f t="shared" si="4"/>
        <v>7.7275084219121215E-2</v>
      </c>
      <c r="T19" s="370">
        <f t="shared" si="4"/>
        <v>8.2808426630866183E-2</v>
      </c>
    </row>
    <row r="20" spans="1:40" ht="19.399999999999999" customHeight="1">
      <c r="A20" s="2" t="s">
        <v>135</v>
      </c>
      <c r="G20" s="659"/>
      <c r="H20" s="659"/>
      <c r="I20" s="659"/>
      <c r="J20" s="659"/>
      <c r="K20" s="659"/>
      <c r="L20" s="659"/>
      <c r="M20" s="659"/>
      <c r="N20" s="659"/>
      <c r="O20" s="659"/>
      <c r="P20" s="659"/>
      <c r="Q20" s="659"/>
      <c r="R20" s="659"/>
      <c r="S20" s="659"/>
      <c r="T20" s="659"/>
      <c r="U20" s="659"/>
      <c r="AC20" s="45"/>
    </row>
    <row r="21" spans="1:40" ht="19.399999999999999" customHeight="1">
      <c r="G21" s="659"/>
      <c r="H21" s="659"/>
      <c r="I21" s="659"/>
      <c r="J21" s="659"/>
      <c r="K21" s="659"/>
      <c r="L21" s="659"/>
      <c r="M21" s="659"/>
      <c r="N21" s="659"/>
      <c r="O21" s="659"/>
      <c r="P21" s="659"/>
      <c r="Q21" s="659"/>
      <c r="R21" s="659"/>
      <c r="S21" s="659"/>
      <c r="T21" s="659"/>
      <c r="U21" s="659"/>
      <c r="AC21" s="45"/>
    </row>
    <row r="22" spans="1:40" ht="19.399999999999999" customHeight="1">
      <c r="A22" s="366" t="s">
        <v>383</v>
      </c>
      <c r="B22" s="362" t="s">
        <v>412</v>
      </c>
      <c r="C22" s="362" t="s">
        <v>413</v>
      </c>
      <c r="D22" s="362" t="s">
        <v>414</v>
      </c>
      <c r="E22" s="362" t="s">
        <v>415</v>
      </c>
      <c r="F22" s="362" t="s">
        <v>416</v>
      </c>
      <c r="G22" s="362" t="s">
        <v>417</v>
      </c>
      <c r="H22" s="362" t="s">
        <v>418</v>
      </c>
      <c r="I22" s="362" t="s">
        <v>419</v>
      </c>
      <c r="J22" s="362" t="s">
        <v>420</v>
      </c>
      <c r="K22" s="659"/>
      <c r="L22" s="659"/>
      <c r="M22" s="659"/>
      <c r="N22" s="659"/>
      <c r="O22" s="659"/>
      <c r="P22" s="659"/>
      <c r="Q22" s="659"/>
      <c r="R22" s="659"/>
      <c r="S22" s="659"/>
      <c r="T22" s="659"/>
      <c r="U22" s="659"/>
      <c r="W22" s="879"/>
      <c r="X22" s="879"/>
      <c r="Y22" s="879"/>
      <c r="Z22" s="879"/>
      <c r="AA22" s="879"/>
      <c r="AB22" s="879"/>
      <c r="AC22" s="879"/>
      <c r="AD22" s="879"/>
      <c r="AE22" s="879"/>
      <c r="AF22" s="879"/>
      <c r="AG22" s="879"/>
      <c r="AH22" s="879"/>
      <c r="AI22" s="879"/>
      <c r="AJ22" s="879"/>
      <c r="AK22" s="879"/>
      <c r="AL22" s="879"/>
      <c r="AM22" s="879"/>
      <c r="AN22" s="879"/>
    </row>
    <row r="23" spans="1:40" ht="19.399999999999999" customHeight="1">
      <c r="A23" s="362" t="s">
        <v>237</v>
      </c>
      <c r="B23" s="383">
        <f>36615/0.3025</f>
        <v>121041.3223140496</v>
      </c>
      <c r="C23" s="383">
        <f>36948/0.3025</f>
        <v>122142.14876033059</v>
      </c>
      <c r="D23" s="383">
        <v>123203.30578512397</v>
      </c>
      <c r="E23" s="383">
        <f>37465/0.3025</f>
        <v>123851.23966942148</v>
      </c>
      <c r="F23" s="383">
        <f>38088/0.3025</f>
        <v>125910.74380165289</v>
      </c>
      <c r="G23" s="383">
        <f>38796/0.3025</f>
        <v>128251.2396694215</v>
      </c>
      <c r="H23" s="383">
        <f>39507/0.3025</f>
        <v>130601.65289256199</v>
      </c>
      <c r="I23" s="383">
        <f>39921/0.3025</f>
        <v>131970.2479338843</v>
      </c>
      <c r="J23" s="473">
        <f>40367/0.3025</f>
        <v>133444.62809917357</v>
      </c>
      <c r="K23" s="659"/>
      <c r="L23" s="659"/>
      <c r="M23" s="659"/>
      <c r="N23" s="659"/>
      <c r="O23" s="659"/>
      <c r="P23" s="659"/>
      <c r="Q23" s="659"/>
      <c r="R23" s="659"/>
      <c r="S23" s="659"/>
      <c r="T23" s="659"/>
      <c r="U23" s="659"/>
      <c r="W23" s="879"/>
      <c r="X23" s="879"/>
      <c r="Y23" s="879"/>
      <c r="Z23" s="879"/>
      <c r="AA23" s="879"/>
      <c r="AB23" s="879"/>
      <c r="AC23" s="879"/>
      <c r="AD23" s="879"/>
      <c r="AE23" s="879"/>
      <c r="AF23" s="879"/>
      <c r="AG23" s="879"/>
      <c r="AH23" s="879"/>
      <c r="AI23" s="879"/>
      <c r="AJ23" s="879"/>
      <c r="AK23" s="879"/>
      <c r="AL23" s="879"/>
      <c r="AM23" s="879"/>
      <c r="AN23" s="879"/>
    </row>
    <row r="24" spans="1:40" ht="19.399999999999999" customHeight="1">
      <c r="A24" s="362" t="s">
        <v>263</v>
      </c>
      <c r="B24" s="383">
        <f>36411/0.3025</f>
        <v>120366.94214876034</v>
      </c>
      <c r="C24" s="383">
        <f>36477/0.3025</f>
        <v>120585.12396694215</v>
      </c>
      <c r="D24" s="383">
        <v>122330.57851239669</v>
      </c>
      <c r="E24" s="383">
        <f>38448/0.3025</f>
        <v>127100.82644628099</v>
      </c>
      <c r="F24" s="383">
        <f>38989/0.3025</f>
        <v>128889.25619834711</v>
      </c>
      <c r="G24" s="383">
        <f>39113/0.3025</f>
        <v>129299.17355371901</v>
      </c>
      <c r="H24" s="383">
        <f>40469/0.3025</f>
        <v>133781.81818181818</v>
      </c>
      <c r="I24" s="383">
        <f>40854/0.3025</f>
        <v>135054.54545454547</v>
      </c>
      <c r="J24" s="473">
        <f>41436/0.3025</f>
        <v>136978.51239669422</v>
      </c>
      <c r="K24" s="659"/>
      <c r="L24" s="659"/>
      <c r="M24" s="659"/>
      <c r="N24" s="659"/>
      <c r="O24" s="659"/>
      <c r="P24" s="659"/>
      <c r="Q24" s="659"/>
      <c r="R24" s="659"/>
      <c r="S24" s="659"/>
      <c r="T24" s="659"/>
      <c r="U24" s="659"/>
      <c r="W24" s="879"/>
      <c r="X24" s="879"/>
      <c r="Y24" s="879"/>
      <c r="Z24" s="879"/>
      <c r="AA24" s="879"/>
      <c r="AB24" s="879"/>
      <c r="AC24" s="879"/>
      <c r="AD24" s="879"/>
      <c r="AE24" s="879"/>
      <c r="AF24" s="879"/>
      <c r="AG24" s="879"/>
      <c r="AH24" s="879"/>
      <c r="AI24" s="879"/>
      <c r="AJ24" s="879"/>
      <c r="AK24" s="879"/>
      <c r="AL24" s="879"/>
      <c r="AM24" s="879"/>
      <c r="AN24" s="879"/>
    </row>
    <row r="25" spans="1:40" ht="19.399999999999999" customHeight="1" thickBot="1">
      <c r="A25" s="359" t="s">
        <v>379</v>
      </c>
      <c r="B25" s="385">
        <f>29841/0.3025</f>
        <v>98647.933884297527</v>
      </c>
      <c r="C25" s="385">
        <f>30692/0.3025</f>
        <v>101461.15702479339</v>
      </c>
      <c r="D25" s="385">
        <v>102294.21487603306</v>
      </c>
      <c r="E25" s="385">
        <f>31599/0.3025</f>
        <v>104459.50413223141</v>
      </c>
      <c r="F25" s="385">
        <f>31925/0.3025</f>
        <v>105537.19008264464</v>
      </c>
      <c r="G25" s="385">
        <f>32832/0.3025</f>
        <v>108535.53719008264</v>
      </c>
      <c r="H25" s="385">
        <f>32923/0.3025</f>
        <v>108836.36363636363</v>
      </c>
      <c r="I25" s="385">
        <f>33051/0.3025</f>
        <v>109259.50413223141</v>
      </c>
      <c r="J25" s="474">
        <f>33441/0.3025</f>
        <v>110548.76033057852</v>
      </c>
      <c r="K25" s="659"/>
      <c r="L25" s="659"/>
      <c r="M25" s="659"/>
      <c r="N25" s="659"/>
      <c r="O25" s="659"/>
      <c r="P25" s="659"/>
      <c r="Q25" s="659"/>
      <c r="R25" s="659"/>
      <c r="S25" s="659"/>
      <c r="T25" s="659"/>
      <c r="U25" s="659"/>
      <c r="V25" s="40" t="s">
        <v>421</v>
      </c>
      <c r="W25" s="879"/>
      <c r="X25" s="879"/>
      <c r="Y25" s="879"/>
      <c r="Z25" s="879"/>
      <c r="AA25" s="879"/>
      <c r="AB25" s="879"/>
      <c r="AC25" s="879"/>
      <c r="AD25" s="879"/>
      <c r="AE25" s="879"/>
      <c r="AF25" s="879"/>
      <c r="AG25" s="879"/>
      <c r="AH25" s="879"/>
      <c r="AI25" s="879"/>
      <c r="AJ25" s="879"/>
      <c r="AK25" s="879"/>
      <c r="AL25" s="879"/>
      <c r="AM25" s="879"/>
      <c r="AN25" s="879"/>
    </row>
    <row r="26" spans="1:40" ht="19.399999999999999" customHeight="1" thickTop="1">
      <c r="A26" s="360" t="s">
        <v>403</v>
      </c>
      <c r="B26" s="386">
        <f>35016/0.3025</f>
        <v>115755.37190082645</v>
      </c>
      <c r="C26" s="386">
        <f>35303/0.3025</f>
        <v>116704.13223140496</v>
      </c>
      <c r="D26" s="386">
        <v>117960.3305785124</v>
      </c>
      <c r="E26" s="386">
        <f>36401/0.3025</f>
        <v>120333.88429752066</v>
      </c>
      <c r="F26" s="386">
        <f>36933/0.3025</f>
        <v>122092.56198347108</v>
      </c>
      <c r="G26" s="386">
        <f>37499/0.3025</f>
        <v>123963.63636363637</v>
      </c>
      <c r="H26" s="386">
        <f>38290/0.3025</f>
        <v>126578.51239669422</v>
      </c>
      <c r="I26" s="386">
        <f>38627/0.3025</f>
        <v>127692.56198347108</v>
      </c>
      <c r="J26" s="475">
        <f>39105/0.3025</f>
        <v>129272.72727272728</v>
      </c>
      <c r="K26" s="659"/>
      <c r="L26" s="659"/>
      <c r="M26" s="659"/>
      <c r="N26" s="659"/>
      <c r="O26" s="659"/>
      <c r="P26" s="659"/>
      <c r="Q26" s="659"/>
      <c r="R26" s="659"/>
      <c r="S26" s="659"/>
      <c r="T26" s="659"/>
      <c r="U26" s="659"/>
      <c r="V26" s="1182" t="s">
        <v>422</v>
      </c>
      <c r="W26" s="1183"/>
      <c r="X26" s="1183"/>
      <c r="Y26" s="1183"/>
      <c r="Z26" s="1183"/>
      <c r="AA26" s="1183"/>
      <c r="AB26" s="1183"/>
      <c r="AC26" s="1183"/>
      <c r="AD26" s="1183"/>
      <c r="AE26" s="1183"/>
      <c r="AF26" s="1183"/>
      <c r="AG26" s="1183"/>
      <c r="AH26" s="1183"/>
      <c r="AI26" s="1183"/>
      <c r="AJ26" s="1183"/>
      <c r="AK26" s="1183"/>
      <c r="AL26" s="1183"/>
      <c r="AM26" s="1183"/>
      <c r="AN26" s="1184"/>
    </row>
    <row r="27" spans="1:40" s="659" customFormat="1" ht="19.399999999999999" customHeight="1">
      <c r="A27" s="2" t="s">
        <v>135</v>
      </c>
      <c r="B27" s="655"/>
      <c r="C27" s="656"/>
      <c r="D27" s="652"/>
      <c r="E27" s="652"/>
      <c r="F27" s="657"/>
      <c r="G27" s="657"/>
      <c r="H27" s="656"/>
      <c r="I27" s="658"/>
      <c r="J27" s="658"/>
      <c r="V27" s="1185"/>
      <c r="W27" s="1186"/>
      <c r="X27" s="1186"/>
      <c r="Y27" s="1186"/>
      <c r="Z27" s="1186"/>
      <c r="AA27" s="1186"/>
      <c r="AB27" s="1186"/>
      <c r="AC27" s="1186"/>
      <c r="AD27" s="1186"/>
      <c r="AE27" s="1186"/>
      <c r="AF27" s="1186"/>
      <c r="AG27" s="1186"/>
      <c r="AH27" s="1186"/>
      <c r="AI27" s="1186"/>
      <c r="AJ27" s="1186"/>
      <c r="AK27" s="1186"/>
      <c r="AL27" s="1186"/>
      <c r="AM27" s="1186"/>
      <c r="AN27" s="1187"/>
    </row>
    <row r="28" spans="1:40" ht="19.399999999999999" customHeight="1">
      <c r="A28" s="362" t="s">
        <v>404</v>
      </c>
      <c r="B28" s="368">
        <f>B23/T6-1</f>
        <v>1.8611250208646402E-2</v>
      </c>
      <c r="C28" s="368">
        <f>C23/B23-1</f>
        <v>9.0946333469890117E-3</v>
      </c>
      <c r="D28" s="368">
        <f t="shared" ref="C28:F31" si="5">D23/C23-1</f>
        <v>8.6878856771679391E-3</v>
      </c>
      <c r="E28" s="368">
        <f t="shared" si="5"/>
        <v>5.2590624916148965E-3</v>
      </c>
      <c r="F28" s="368">
        <f t="shared" si="5"/>
        <v>1.6628853596690307E-2</v>
      </c>
      <c r="G28" s="368">
        <f t="shared" ref="G28:G31" si="6">G23/F23-1</f>
        <v>1.8588531821046139E-2</v>
      </c>
      <c r="H28" s="533">
        <f t="shared" ref="H28:H31" si="7">H23/G23-1</f>
        <v>1.8326631611506272E-2</v>
      </c>
      <c r="I28" s="533">
        <f t="shared" ref="I28:I31" si="8">I23/H23-1</f>
        <v>1.0479155592679756E-2</v>
      </c>
      <c r="J28" s="533">
        <f t="shared" ref="J28:J31" si="9">J23/I23-1</f>
        <v>1.1172064828035566E-2</v>
      </c>
      <c r="K28" s="659"/>
      <c r="L28" s="659"/>
      <c r="M28" s="659"/>
      <c r="N28" s="659"/>
      <c r="O28" s="659"/>
      <c r="P28" s="659"/>
      <c r="Q28" s="659"/>
      <c r="R28" s="659"/>
      <c r="S28" s="659"/>
      <c r="T28" s="659"/>
      <c r="V28" s="1185"/>
      <c r="W28" s="1186"/>
      <c r="X28" s="1186"/>
      <c r="Y28" s="1186"/>
      <c r="Z28" s="1186"/>
      <c r="AA28" s="1186"/>
      <c r="AB28" s="1186"/>
      <c r="AC28" s="1186"/>
      <c r="AD28" s="1186"/>
      <c r="AE28" s="1186"/>
      <c r="AF28" s="1186"/>
      <c r="AG28" s="1186"/>
      <c r="AH28" s="1186"/>
      <c r="AI28" s="1186"/>
      <c r="AJ28" s="1186"/>
      <c r="AK28" s="1186"/>
      <c r="AL28" s="1186"/>
      <c r="AM28" s="1186"/>
      <c r="AN28" s="1187"/>
    </row>
    <row r="29" spans="1:40" ht="19.399999999999999" customHeight="1">
      <c r="A29" s="362" t="s">
        <v>405</v>
      </c>
      <c r="B29" s="368">
        <f>B24/T7-1</f>
        <v>5.064058171745156E-2</v>
      </c>
      <c r="C29" s="368">
        <f>C24/B24-1</f>
        <v>1.8126390376533852E-3</v>
      </c>
      <c r="D29" s="368">
        <f t="shared" si="5"/>
        <v>1.4474874578501495E-2</v>
      </c>
      <c r="E29" s="368">
        <f t="shared" si="5"/>
        <v>3.8994730441832104E-2</v>
      </c>
      <c r="F29" s="368">
        <f t="shared" si="5"/>
        <v>1.407095297544747E-2</v>
      </c>
      <c r="G29" s="368">
        <f t="shared" si="6"/>
        <v>3.180384210931253E-3</v>
      </c>
      <c r="H29" s="533">
        <f t="shared" si="7"/>
        <v>3.4668780200956206E-2</v>
      </c>
      <c r="I29" s="533">
        <f t="shared" si="8"/>
        <v>9.5134547431368066E-3</v>
      </c>
      <c r="J29" s="533">
        <f t="shared" si="9"/>
        <v>1.4245851079453642E-2</v>
      </c>
      <c r="K29" s="659"/>
      <c r="L29" s="659"/>
      <c r="M29" s="659"/>
      <c r="N29" s="659"/>
      <c r="O29" s="659"/>
      <c r="P29" s="659"/>
      <c r="Q29" s="659"/>
      <c r="R29" s="659"/>
      <c r="S29" s="659"/>
      <c r="T29" s="659"/>
      <c r="V29" s="1185"/>
      <c r="W29" s="1186"/>
      <c r="X29" s="1186"/>
      <c r="Y29" s="1186"/>
      <c r="Z29" s="1186"/>
      <c r="AA29" s="1186"/>
      <c r="AB29" s="1186"/>
      <c r="AC29" s="1186"/>
      <c r="AD29" s="1186"/>
      <c r="AE29" s="1186"/>
      <c r="AF29" s="1186"/>
      <c r="AG29" s="1186"/>
      <c r="AH29" s="1186"/>
      <c r="AI29" s="1186"/>
      <c r="AJ29" s="1186"/>
      <c r="AK29" s="1186"/>
      <c r="AL29" s="1186"/>
      <c r="AM29" s="1186"/>
      <c r="AN29" s="1187"/>
    </row>
    <row r="30" spans="1:40" ht="19.399999999999999" customHeight="1" thickBot="1">
      <c r="A30" s="359" t="s">
        <v>406</v>
      </c>
      <c r="B30" s="369">
        <f>B25/T8-1</f>
        <v>1.8429405139756216E-2</v>
      </c>
      <c r="C30" s="369">
        <f t="shared" si="5"/>
        <v>2.8517811065312815E-2</v>
      </c>
      <c r="D30" s="369">
        <f t="shared" si="5"/>
        <v>8.2106086276554358E-3</v>
      </c>
      <c r="E30" s="369">
        <f t="shared" si="5"/>
        <v>2.1167269906928743E-2</v>
      </c>
      <c r="F30" s="369">
        <f t="shared" si="5"/>
        <v>1.0316782176651218E-2</v>
      </c>
      <c r="G30" s="369">
        <f t="shared" si="6"/>
        <v>2.8410336726703012E-2</v>
      </c>
      <c r="H30" s="534">
        <f t="shared" si="7"/>
        <v>2.7716861598441334E-3</v>
      </c>
      <c r="I30" s="534">
        <f t="shared" si="8"/>
        <v>3.8878595510738467E-3</v>
      </c>
      <c r="J30" s="534">
        <f t="shared" si="9"/>
        <v>1.1799945538712997E-2</v>
      </c>
      <c r="K30" s="659"/>
      <c r="L30" s="659"/>
      <c r="M30" s="659"/>
      <c r="N30" s="659"/>
      <c r="O30" s="659"/>
      <c r="P30" s="659"/>
      <c r="Q30" s="659"/>
      <c r="R30" s="659"/>
      <c r="S30" s="659"/>
      <c r="T30" s="659"/>
      <c r="V30" s="1185"/>
      <c r="W30" s="1186"/>
      <c r="X30" s="1186"/>
      <c r="Y30" s="1186"/>
      <c r="Z30" s="1186"/>
      <c r="AA30" s="1186"/>
      <c r="AB30" s="1186"/>
      <c r="AC30" s="1186"/>
      <c r="AD30" s="1186"/>
      <c r="AE30" s="1186"/>
      <c r="AF30" s="1186"/>
      <c r="AG30" s="1186"/>
      <c r="AH30" s="1186"/>
      <c r="AI30" s="1186"/>
      <c r="AJ30" s="1186"/>
      <c r="AK30" s="1186"/>
      <c r="AL30" s="1186"/>
      <c r="AM30" s="1186"/>
      <c r="AN30" s="1187"/>
    </row>
    <row r="31" spans="1:40" ht="19.399999999999999" customHeight="1" thickTop="1">
      <c r="A31" s="360" t="s">
        <v>407</v>
      </c>
      <c r="B31" s="370">
        <f>B26/T9-1</f>
        <v>2.9609809168161361E-2</v>
      </c>
      <c r="C31" s="370">
        <f>C26/B26-1</f>
        <v>8.1962531414210282E-3</v>
      </c>
      <c r="D31" s="370">
        <f t="shared" si="5"/>
        <v>1.0763957737302654E-2</v>
      </c>
      <c r="E31" s="370">
        <f t="shared" si="5"/>
        <v>2.0121626544853388E-2</v>
      </c>
      <c r="F31" s="370">
        <f t="shared" si="5"/>
        <v>1.4614983104859869E-2</v>
      </c>
      <c r="G31" s="370">
        <f t="shared" si="6"/>
        <v>1.5325048060000457E-2</v>
      </c>
      <c r="H31" s="535">
        <f t="shared" si="7"/>
        <v>2.1093895837222432E-2</v>
      </c>
      <c r="I31" s="535">
        <f t="shared" si="8"/>
        <v>8.8012535910160228E-3</v>
      </c>
      <c r="J31" s="535">
        <f t="shared" si="9"/>
        <v>1.2374763766277441E-2</v>
      </c>
      <c r="K31" s="659"/>
      <c r="L31" s="659"/>
      <c r="M31" s="659"/>
      <c r="N31" s="659"/>
      <c r="O31" s="659"/>
      <c r="P31" s="659"/>
      <c r="Q31" s="659"/>
      <c r="R31" s="659"/>
      <c r="S31" s="659"/>
      <c r="T31" s="659"/>
      <c r="V31" s="1185"/>
      <c r="W31" s="1186"/>
      <c r="X31" s="1186"/>
      <c r="Y31" s="1186"/>
      <c r="Z31" s="1186"/>
      <c r="AA31" s="1186"/>
      <c r="AB31" s="1186"/>
      <c r="AC31" s="1186"/>
      <c r="AD31" s="1186"/>
      <c r="AE31" s="1186"/>
      <c r="AF31" s="1186"/>
      <c r="AG31" s="1186"/>
      <c r="AH31" s="1186"/>
      <c r="AI31" s="1186"/>
      <c r="AJ31" s="1186"/>
      <c r="AK31" s="1186"/>
      <c r="AL31" s="1186"/>
      <c r="AM31" s="1186"/>
      <c r="AN31" s="1187"/>
    </row>
    <row r="32" spans="1:40" ht="19.399999999999999" customHeight="1">
      <c r="A32" s="2" t="s">
        <v>135</v>
      </c>
      <c r="B32" s="371"/>
      <c r="C32" s="372"/>
      <c r="D32" s="373"/>
      <c r="E32" s="373"/>
      <c r="F32" s="603"/>
      <c r="G32" s="603"/>
      <c r="H32" s="372"/>
      <c r="I32" s="372"/>
      <c r="J32" s="372"/>
      <c r="K32" s="659"/>
      <c r="L32" s="659"/>
      <c r="M32" s="659"/>
      <c r="N32" s="659"/>
      <c r="O32" s="659"/>
      <c r="P32" s="659"/>
      <c r="Q32" s="659"/>
      <c r="R32" s="659"/>
      <c r="S32" s="659"/>
      <c r="T32" s="659"/>
      <c r="V32" s="1185"/>
      <c r="W32" s="1186"/>
      <c r="X32" s="1186"/>
      <c r="Y32" s="1186"/>
      <c r="Z32" s="1186"/>
      <c r="AA32" s="1186"/>
      <c r="AB32" s="1186"/>
      <c r="AC32" s="1186"/>
      <c r="AD32" s="1186"/>
      <c r="AE32" s="1186"/>
      <c r="AF32" s="1186"/>
      <c r="AG32" s="1186"/>
      <c r="AH32" s="1186"/>
      <c r="AI32" s="1186"/>
      <c r="AJ32" s="1186"/>
      <c r="AK32" s="1186"/>
      <c r="AL32" s="1186"/>
      <c r="AM32" s="1186"/>
      <c r="AN32" s="1187"/>
    </row>
    <row r="33" spans="1:43" ht="19.399999999999999" customHeight="1">
      <c r="A33" s="362" t="s">
        <v>408</v>
      </c>
      <c r="B33" s="379">
        <f t="shared" ref="B33:E36" si="10">B23/Q6-1</f>
        <v>5.1943574568334094E-2</v>
      </c>
      <c r="C33" s="379">
        <f t="shared" si="10"/>
        <v>3.9207965348484031E-2</v>
      </c>
      <c r="D33" s="387">
        <f t="shared" si="10"/>
        <v>4.5765755654077145E-2</v>
      </c>
      <c r="E33" s="387">
        <f t="shared" si="10"/>
        <v>4.2257831191231165E-2</v>
      </c>
      <c r="F33" s="387">
        <f>F23/B23-1</f>
        <v>4.022941417451853E-2</v>
      </c>
      <c r="G33" s="387">
        <f t="shared" ref="G33:G36" si="11">G23/C23-1</f>
        <v>5.0016239038648935E-2</v>
      </c>
      <c r="H33" s="536">
        <f t="shared" ref="H33:H36" si="12">H23/D23-1</f>
        <v>6.0049907429767346E-2</v>
      </c>
      <c r="I33" s="536">
        <f t="shared" ref="I33:I36" si="13">I23/E23-1</f>
        <v>6.5554517549713198E-2</v>
      </c>
      <c r="J33" s="536">
        <f t="shared" ref="J33:J36" si="14">J23/F23-1</f>
        <v>5.9835118672547871E-2</v>
      </c>
      <c r="K33" s="659"/>
      <c r="L33" s="659"/>
      <c r="M33" s="659"/>
      <c r="N33" s="659"/>
      <c r="O33" s="659"/>
      <c r="P33" s="659"/>
      <c r="Q33" s="659"/>
      <c r="R33" s="659"/>
      <c r="S33" s="659"/>
      <c r="T33" s="659"/>
      <c r="V33" s="1185"/>
      <c r="W33" s="1186"/>
      <c r="X33" s="1186"/>
      <c r="Y33" s="1186"/>
      <c r="Z33" s="1186"/>
      <c r="AA33" s="1186"/>
      <c r="AB33" s="1186"/>
      <c r="AC33" s="1186"/>
      <c r="AD33" s="1186"/>
      <c r="AE33" s="1186"/>
      <c r="AF33" s="1186"/>
      <c r="AG33" s="1186"/>
      <c r="AH33" s="1186"/>
      <c r="AI33" s="1186"/>
      <c r="AJ33" s="1186"/>
      <c r="AK33" s="1186"/>
      <c r="AL33" s="1186"/>
      <c r="AM33" s="1186"/>
      <c r="AN33" s="1187"/>
      <c r="AQ33" s="477"/>
    </row>
    <row r="34" spans="1:43" ht="19.399999999999999" customHeight="1">
      <c r="A34" s="362" t="s">
        <v>409</v>
      </c>
      <c r="B34" s="368">
        <f t="shared" si="10"/>
        <v>0.1535975667712195</v>
      </c>
      <c r="C34" s="368">
        <f t="shared" si="10"/>
        <v>0.11220538463883889</v>
      </c>
      <c r="D34" s="368">
        <f t="shared" si="10"/>
        <v>9.4984465157567755E-2</v>
      </c>
      <c r="E34" s="368">
        <f t="shared" si="10"/>
        <v>0.10941828254847641</v>
      </c>
      <c r="F34" s="368">
        <f>F24/B24-1</f>
        <v>7.0802779379857572E-2</v>
      </c>
      <c r="G34" s="368">
        <f t="shared" si="11"/>
        <v>7.2264714751761439E-2</v>
      </c>
      <c r="H34" s="533">
        <f t="shared" si="12"/>
        <v>9.3608971760572812E-2</v>
      </c>
      <c r="I34" s="533">
        <f t="shared" si="13"/>
        <v>6.2578027465667985E-2</v>
      </c>
      <c r="J34" s="533">
        <f t="shared" si="14"/>
        <v>6.2761291646361794E-2</v>
      </c>
      <c r="K34" s="659"/>
      <c r="L34" s="659"/>
      <c r="M34" s="659"/>
      <c r="N34" s="659"/>
      <c r="O34" s="659"/>
      <c r="P34" s="659"/>
      <c r="Q34" s="659"/>
      <c r="R34" s="659"/>
      <c r="S34" s="659"/>
      <c r="T34" s="659"/>
      <c r="V34" s="1185"/>
      <c r="W34" s="1186"/>
      <c r="X34" s="1186"/>
      <c r="Y34" s="1186"/>
      <c r="Z34" s="1186"/>
      <c r="AA34" s="1186"/>
      <c r="AB34" s="1186"/>
      <c r="AC34" s="1186"/>
      <c r="AD34" s="1186"/>
      <c r="AE34" s="1186"/>
      <c r="AF34" s="1186"/>
      <c r="AG34" s="1186"/>
      <c r="AH34" s="1186"/>
      <c r="AI34" s="1186"/>
      <c r="AJ34" s="1186"/>
      <c r="AK34" s="1186"/>
      <c r="AL34" s="1186"/>
      <c r="AM34" s="1186"/>
      <c r="AN34" s="1187"/>
    </row>
    <row r="35" spans="1:43" ht="19.399999999999999" customHeight="1" thickBot="1">
      <c r="A35" s="359" t="s">
        <v>410</v>
      </c>
      <c r="B35" s="369">
        <f t="shared" si="10"/>
        <v>9.7862477465876951E-2</v>
      </c>
      <c r="C35" s="369">
        <f t="shared" si="10"/>
        <v>8.4791291132082058E-2</v>
      </c>
      <c r="D35" s="369">
        <f t="shared" si="10"/>
        <v>8.5868687932063148E-2</v>
      </c>
      <c r="E35" s="369">
        <f t="shared" si="10"/>
        <v>7.8427357428074052E-2</v>
      </c>
      <c r="F35" s="369">
        <f>F25/B25-1</f>
        <v>6.9836801715760233E-2</v>
      </c>
      <c r="G35" s="369">
        <f t="shared" si="11"/>
        <v>6.9725009774534108E-2</v>
      </c>
      <c r="H35" s="534">
        <f t="shared" si="12"/>
        <v>6.3954239917269895E-2</v>
      </c>
      <c r="I35" s="534">
        <f t="shared" si="13"/>
        <v>4.5950821228519789E-2</v>
      </c>
      <c r="J35" s="534">
        <f t="shared" si="14"/>
        <v>4.7486296006264528E-2</v>
      </c>
      <c r="K35" s="659"/>
      <c r="L35" s="659"/>
      <c r="M35" s="659"/>
      <c r="N35" s="659"/>
      <c r="O35" s="659"/>
      <c r="P35" s="659"/>
      <c r="Q35" s="659"/>
      <c r="R35" s="659"/>
      <c r="S35" s="659"/>
      <c r="T35" s="659"/>
      <c r="V35" s="1185"/>
      <c r="W35" s="1186"/>
      <c r="X35" s="1186"/>
      <c r="Y35" s="1186"/>
      <c r="Z35" s="1186"/>
      <c r="AA35" s="1186"/>
      <c r="AB35" s="1186"/>
      <c r="AC35" s="1186"/>
      <c r="AD35" s="1186"/>
      <c r="AE35" s="1186"/>
      <c r="AF35" s="1186"/>
      <c r="AG35" s="1186"/>
      <c r="AH35" s="1186"/>
      <c r="AI35" s="1186"/>
      <c r="AJ35" s="1186"/>
      <c r="AK35" s="1186"/>
      <c r="AL35" s="1186"/>
      <c r="AM35" s="1186"/>
      <c r="AN35" s="1187"/>
    </row>
    <row r="36" spans="1:43" ht="19.399999999999999" customHeight="1" thickTop="1" thickBot="1">
      <c r="A36" s="360" t="s">
        <v>411</v>
      </c>
      <c r="B36" s="370">
        <f t="shared" si="10"/>
        <v>9.3498219973767949E-2</v>
      </c>
      <c r="C36" s="370">
        <f t="shared" si="10"/>
        <v>6.9399006421907217E-2</v>
      </c>
      <c r="D36" s="370">
        <f t="shared" si="10"/>
        <v>6.7266854100616058E-2</v>
      </c>
      <c r="E36" s="370">
        <f t="shared" si="10"/>
        <v>7.0334323267370324E-2</v>
      </c>
      <c r="F36" s="370">
        <f>F26/B26-1</f>
        <v>5.4746401644962361E-2</v>
      </c>
      <c r="G36" s="370">
        <f t="shared" si="11"/>
        <v>6.2204345239781356E-2</v>
      </c>
      <c r="H36" s="535">
        <f t="shared" si="12"/>
        <v>7.3060000560491112E-2</v>
      </c>
      <c r="I36" s="535">
        <f t="shared" si="13"/>
        <v>6.1152166149281539E-2</v>
      </c>
      <c r="J36" s="535">
        <f t="shared" si="14"/>
        <v>5.8809195028836081E-2</v>
      </c>
      <c r="K36" s="659"/>
      <c r="L36" s="659"/>
      <c r="M36" s="659"/>
      <c r="N36" s="659"/>
      <c r="O36" s="659"/>
      <c r="P36" s="659"/>
      <c r="Q36" s="659"/>
      <c r="R36" s="659"/>
      <c r="S36" s="659"/>
      <c r="T36" s="659"/>
      <c r="V36" s="1188"/>
      <c r="W36" s="1189"/>
      <c r="X36" s="1189"/>
      <c r="Y36" s="1189"/>
      <c r="Z36" s="1189"/>
      <c r="AA36" s="1189"/>
      <c r="AB36" s="1189"/>
      <c r="AC36" s="1189"/>
      <c r="AD36" s="1189"/>
      <c r="AE36" s="1189"/>
      <c r="AF36" s="1189"/>
      <c r="AG36" s="1189"/>
      <c r="AH36" s="1189"/>
      <c r="AI36" s="1189"/>
      <c r="AJ36" s="1189"/>
      <c r="AK36" s="1189"/>
      <c r="AL36" s="1189"/>
      <c r="AM36" s="1189"/>
      <c r="AN36" s="1190"/>
    </row>
    <row r="37" spans="1:43" ht="17.149999999999999" customHeight="1">
      <c r="A37" s="2" t="s">
        <v>135</v>
      </c>
      <c r="V37" s="879"/>
      <c r="W37" s="879"/>
      <c r="X37" s="879"/>
      <c r="Y37" s="879"/>
      <c r="Z37" s="879"/>
      <c r="AA37" s="879"/>
      <c r="AB37" s="879"/>
      <c r="AC37" s="879"/>
      <c r="AD37" s="879"/>
      <c r="AE37" s="879"/>
      <c r="AF37" s="879"/>
      <c r="AG37" s="879"/>
      <c r="AH37" s="879"/>
      <c r="AI37" s="879"/>
      <c r="AJ37" s="879"/>
      <c r="AK37" s="879"/>
      <c r="AL37" s="879"/>
      <c r="AM37" s="879"/>
      <c r="AN37" s="879"/>
    </row>
    <row r="38" spans="1:43" ht="17.149999999999999" customHeight="1" thickBot="1">
      <c r="V38" s="40" t="s">
        <v>423</v>
      </c>
      <c r="W38" s="879"/>
      <c r="X38" s="879"/>
      <c r="Y38" s="879"/>
      <c r="Z38" s="879"/>
      <c r="AA38" s="879"/>
      <c r="AB38" s="879"/>
      <c r="AC38" s="879"/>
      <c r="AD38" s="879"/>
      <c r="AE38" s="879"/>
      <c r="AF38" s="879"/>
      <c r="AG38" s="879"/>
      <c r="AH38" s="879"/>
      <c r="AI38" s="879"/>
      <c r="AJ38" s="879"/>
      <c r="AK38" s="879"/>
      <c r="AL38" s="879"/>
      <c r="AM38" s="879"/>
      <c r="AN38" s="879"/>
    </row>
    <row r="39" spans="1:43" ht="17.149999999999999" customHeight="1">
      <c r="V39" s="1182" t="s">
        <v>424</v>
      </c>
      <c r="W39" s="1183"/>
      <c r="X39" s="1183"/>
      <c r="Y39" s="1183"/>
      <c r="Z39" s="1183"/>
      <c r="AA39" s="1183"/>
      <c r="AB39" s="1183"/>
      <c r="AC39" s="1183"/>
      <c r="AD39" s="1183"/>
      <c r="AE39" s="1183"/>
      <c r="AF39" s="1183"/>
      <c r="AG39" s="1183"/>
      <c r="AH39" s="1183"/>
      <c r="AI39" s="1183"/>
      <c r="AJ39" s="1183"/>
      <c r="AK39" s="1183"/>
      <c r="AL39" s="1183"/>
      <c r="AM39" s="1183"/>
      <c r="AN39" s="1184"/>
    </row>
    <row r="40" spans="1:43" ht="17.149999999999999" customHeight="1">
      <c r="V40" s="1185"/>
      <c r="W40" s="1186"/>
      <c r="X40" s="1186"/>
      <c r="Y40" s="1186"/>
      <c r="Z40" s="1186"/>
      <c r="AA40" s="1186"/>
      <c r="AB40" s="1186"/>
      <c r="AC40" s="1186"/>
      <c r="AD40" s="1186"/>
      <c r="AE40" s="1186"/>
      <c r="AF40" s="1186"/>
      <c r="AG40" s="1186"/>
      <c r="AH40" s="1186"/>
      <c r="AI40" s="1186"/>
      <c r="AJ40" s="1186"/>
      <c r="AK40" s="1186"/>
      <c r="AL40" s="1186"/>
      <c r="AM40" s="1186"/>
      <c r="AN40" s="1187"/>
    </row>
    <row r="41" spans="1:43" ht="17.149999999999999" customHeight="1">
      <c r="V41" s="1185"/>
      <c r="W41" s="1186"/>
      <c r="X41" s="1186"/>
      <c r="Y41" s="1186"/>
      <c r="Z41" s="1186"/>
      <c r="AA41" s="1186"/>
      <c r="AB41" s="1186"/>
      <c r="AC41" s="1186"/>
      <c r="AD41" s="1186"/>
      <c r="AE41" s="1186"/>
      <c r="AF41" s="1186"/>
      <c r="AG41" s="1186"/>
      <c r="AH41" s="1186"/>
      <c r="AI41" s="1186"/>
      <c r="AJ41" s="1186"/>
      <c r="AK41" s="1186"/>
      <c r="AL41" s="1186"/>
      <c r="AM41" s="1186"/>
      <c r="AN41" s="1187"/>
    </row>
    <row r="42" spans="1:43" ht="17.149999999999999" customHeight="1">
      <c r="V42" s="1185"/>
      <c r="W42" s="1186"/>
      <c r="X42" s="1186"/>
      <c r="Y42" s="1186"/>
      <c r="Z42" s="1186"/>
      <c r="AA42" s="1186"/>
      <c r="AB42" s="1186"/>
      <c r="AC42" s="1186"/>
      <c r="AD42" s="1186"/>
      <c r="AE42" s="1186"/>
      <c r="AF42" s="1186"/>
      <c r="AG42" s="1186"/>
      <c r="AH42" s="1186"/>
      <c r="AI42" s="1186"/>
      <c r="AJ42" s="1186"/>
      <c r="AK42" s="1186"/>
      <c r="AL42" s="1186"/>
      <c r="AM42" s="1186"/>
      <c r="AN42" s="1187"/>
    </row>
    <row r="43" spans="1:43" ht="17.149999999999999" customHeight="1">
      <c r="V43" s="1185"/>
      <c r="W43" s="1186"/>
      <c r="X43" s="1186"/>
      <c r="Y43" s="1186"/>
      <c r="Z43" s="1186"/>
      <c r="AA43" s="1186"/>
      <c r="AB43" s="1186"/>
      <c r="AC43" s="1186"/>
      <c r="AD43" s="1186"/>
      <c r="AE43" s="1186"/>
      <c r="AF43" s="1186"/>
      <c r="AG43" s="1186"/>
      <c r="AH43" s="1186"/>
      <c r="AI43" s="1186"/>
      <c r="AJ43" s="1186"/>
      <c r="AK43" s="1186"/>
      <c r="AL43" s="1186"/>
      <c r="AM43" s="1186"/>
      <c r="AN43" s="1187"/>
    </row>
    <row r="44" spans="1:43" ht="17.149999999999999" customHeight="1">
      <c r="V44" s="1185"/>
      <c r="W44" s="1186"/>
      <c r="X44" s="1186"/>
      <c r="Y44" s="1186"/>
      <c r="Z44" s="1186"/>
      <c r="AA44" s="1186"/>
      <c r="AB44" s="1186"/>
      <c r="AC44" s="1186"/>
      <c r="AD44" s="1186"/>
      <c r="AE44" s="1186"/>
      <c r="AF44" s="1186"/>
      <c r="AG44" s="1186"/>
      <c r="AH44" s="1186"/>
      <c r="AI44" s="1186"/>
      <c r="AJ44" s="1186"/>
      <c r="AK44" s="1186"/>
      <c r="AL44" s="1186"/>
      <c r="AM44" s="1186"/>
      <c r="AN44" s="1187"/>
    </row>
    <row r="45" spans="1:43" ht="17.149999999999999" customHeight="1">
      <c r="V45" s="1185"/>
      <c r="W45" s="1186"/>
      <c r="X45" s="1186"/>
      <c r="Y45" s="1186"/>
      <c r="Z45" s="1186"/>
      <c r="AA45" s="1186"/>
      <c r="AB45" s="1186"/>
      <c r="AC45" s="1186"/>
      <c r="AD45" s="1186"/>
      <c r="AE45" s="1186"/>
      <c r="AF45" s="1186"/>
      <c r="AG45" s="1186"/>
      <c r="AH45" s="1186"/>
      <c r="AI45" s="1186"/>
      <c r="AJ45" s="1186"/>
      <c r="AK45" s="1186"/>
      <c r="AL45" s="1186"/>
      <c r="AM45" s="1186"/>
      <c r="AN45" s="1187"/>
    </row>
    <row r="46" spans="1:43" ht="17.149999999999999" customHeight="1">
      <c r="V46" s="1185"/>
      <c r="W46" s="1186"/>
      <c r="X46" s="1186"/>
      <c r="Y46" s="1186"/>
      <c r="Z46" s="1186"/>
      <c r="AA46" s="1186"/>
      <c r="AB46" s="1186"/>
      <c r="AC46" s="1186"/>
      <c r="AD46" s="1186"/>
      <c r="AE46" s="1186"/>
      <c r="AF46" s="1186"/>
      <c r="AG46" s="1186"/>
      <c r="AH46" s="1186"/>
      <c r="AI46" s="1186"/>
      <c r="AJ46" s="1186"/>
      <c r="AK46" s="1186"/>
      <c r="AL46" s="1186"/>
      <c r="AM46" s="1186"/>
      <c r="AN46" s="1187"/>
    </row>
    <row r="47" spans="1:43" ht="17.149999999999999" customHeight="1">
      <c r="V47" s="1185"/>
      <c r="W47" s="1186"/>
      <c r="X47" s="1186"/>
      <c r="Y47" s="1186"/>
      <c r="Z47" s="1186"/>
      <c r="AA47" s="1186"/>
      <c r="AB47" s="1186"/>
      <c r="AC47" s="1186"/>
      <c r="AD47" s="1186"/>
      <c r="AE47" s="1186"/>
      <c r="AF47" s="1186"/>
      <c r="AG47" s="1186"/>
      <c r="AH47" s="1186"/>
      <c r="AI47" s="1186"/>
      <c r="AJ47" s="1186"/>
      <c r="AK47" s="1186"/>
      <c r="AL47" s="1186"/>
      <c r="AM47" s="1186"/>
      <c r="AN47" s="1187"/>
    </row>
    <row r="48" spans="1:43" ht="17.149999999999999" customHeight="1">
      <c r="V48" s="1185"/>
      <c r="W48" s="1186"/>
      <c r="X48" s="1186"/>
      <c r="Y48" s="1186"/>
      <c r="Z48" s="1186"/>
      <c r="AA48" s="1186"/>
      <c r="AB48" s="1186"/>
      <c r="AC48" s="1186"/>
      <c r="AD48" s="1186"/>
      <c r="AE48" s="1186"/>
      <c r="AF48" s="1186"/>
      <c r="AG48" s="1186"/>
      <c r="AH48" s="1186"/>
      <c r="AI48" s="1186"/>
      <c r="AJ48" s="1186"/>
      <c r="AK48" s="1186"/>
      <c r="AL48" s="1186"/>
      <c r="AM48" s="1186"/>
      <c r="AN48" s="1187"/>
    </row>
    <row r="49" spans="1:40" ht="17.149999999999999" customHeight="1" thickBot="1">
      <c r="V49" s="1188"/>
      <c r="W49" s="1189"/>
      <c r="X49" s="1189"/>
      <c r="Y49" s="1189"/>
      <c r="Z49" s="1189"/>
      <c r="AA49" s="1189"/>
      <c r="AB49" s="1189"/>
      <c r="AC49" s="1189"/>
      <c r="AD49" s="1189"/>
      <c r="AE49" s="1189"/>
      <c r="AF49" s="1189"/>
      <c r="AG49" s="1189"/>
      <c r="AH49" s="1189"/>
      <c r="AI49" s="1189"/>
      <c r="AJ49" s="1189"/>
      <c r="AK49" s="1189"/>
      <c r="AL49" s="1189"/>
      <c r="AM49" s="1189"/>
      <c r="AN49" s="1190"/>
    </row>
    <row r="52" spans="1:40" ht="16.5">
      <c r="A52" s="84" t="s">
        <v>383</v>
      </c>
      <c r="B52" s="80" t="s">
        <v>384</v>
      </c>
      <c r="C52" s="80" t="s">
        <v>385</v>
      </c>
      <c r="D52" s="80" t="s">
        <v>386</v>
      </c>
      <c r="E52" s="80" t="s">
        <v>387</v>
      </c>
      <c r="F52" s="80" t="s">
        <v>388</v>
      </c>
      <c r="G52" s="80" t="s">
        <v>389</v>
      </c>
      <c r="H52" s="80" t="s">
        <v>390</v>
      </c>
      <c r="I52" s="80" t="s">
        <v>391</v>
      </c>
      <c r="J52" s="80" t="s">
        <v>392</v>
      </c>
      <c r="K52" s="80" t="s">
        <v>393</v>
      </c>
      <c r="L52" s="80" t="s">
        <v>394</v>
      </c>
      <c r="M52" s="80" t="s">
        <v>395</v>
      </c>
      <c r="N52" s="80" t="s">
        <v>396</v>
      </c>
      <c r="O52" s="80" t="s">
        <v>397</v>
      </c>
      <c r="P52" s="80" t="s">
        <v>398</v>
      </c>
      <c r="Q52" s="80" t="s">
        <v>399</v>
      </c>
      <c r="R52" s="80" t="s">
        <v>400</v>
      </c>
      <c r="S52" s="80" t="s">
        <v>401</v>
      </c>
      <c r="T52" s="80" t="s">
        <v>402</v>
      </c>
      <c r="U52" s="80" t="s">
        <v>412</v>
      </c>
      <c r="V52" s="80" t="s">
        <v>413</v>
      </c>
      <c r="W52" s="80" t="s">
        <v>414</v>
      </c>
      <c r="X52" s="80" t="s">
        <v>415</v>
      </c>
      <c r="Y52" s="80" t="s">
        <v>416</v>
      </c>
      <c r="Z52" s="80" t="s">
        <v>417</v>
      </c>
      <c r="AA52" s="80" t="s">
        <v>418</v>
      </c>
      <c r="AB52" s="80" t="s">
        <v>425</v>
      </c>
      <c r="AC52" s="80" t="s">
        <v>426</v>
      </c>
      <c r="AD52" s="80" t="s">
        <v>427</v>
      </c>
      <c r="AE52" s="80" t="s">
        <v>428</v>
      </c>
      <c r="AF52" s="80" t="s">
        <v>429</v>
      </c>
      <c r="AG52" s="80" t="s">
        <v>430</v>
      </c>
    </row>
    <row r="53" spans="1:40" ht="17.149999999999999" customHeight="1">
      <c r="A53" s="80" t="s">
        <v>237</v>
      </c>
      <c r="B53" s="81">
        <v>106690.90909090909</v>
      </c>
      <c r="C53" s="81">
        <v>106611.57024793389</v>
      </c>
      <c r="D53" s="81">
        <v>106700.82644628099</v>
      </c>
      <c r="E53" s="81">
        <v>107150.41322314049</v>
      </c>
      <c r="F53" s="81">
        <v>107965.4756938209</v>
      </c>
      <c r="G53" s="81">
        <v>108483.67849011347</v>
      </c>
      <c r="H53" s="81">
        <v>108532.23140495869</v>
      </c>
      <c r="I53" s="81">
        <v>109347.12611975062</v>
      </c>
      <c r="J53" s="81">
        <v>110087.23188018381</v>
      </c>
      <c r="K53" s="81">
        <v>110500.32093037399</v>
      </c>
      <c r="L53" s="81">
        <v>110655.30562255325</v>
      </c>
      <c r="M53" s="81">
        <v>110819.76916818161</v>
      </c>
      <c r="N53" s="81">
        <v>111240.74941662762</v>
      </c>
      <c r="O53" s="81">
        <v>111819.62181170186</v>
      </c>
      <c r="P53" s="82">
        <f>34147/0.3025</f>
        <v>112882.64462809918</v>
      </c>
      <c r="Q53" s="82">
        <v>115064.46280991736</v>
      </c>
      <c r="R53" s="82">
        <v>117533.88429752066</v>
      </c>
      <c r="S53" s="82">
        <f>35638/0.3025</f>
        <v>117811.57024793389</v>
      </c>
      <c r="T53" s="83">
        <f>35946/0.3025</f>
        <v>118829.7520661157</v>
      </c>
      <c r="U53" s="106">
        <f>36615/0.3025</f>
        <v>121041.3223140496</v>
      </c>
      <c r="V53" s="83">
        <f>36948/0.3025</f>
        <v>122142.14876033059</v>
      </c>
      <c r="W53" s="83">
        <f t="shared" ref="W53:AC56" si="15">D23</f>
        <v>123203.30578512397</v>
      </c>
      <c r="X53" s="83">
        <f t="shared" si="15"/>
        <v>123851.23966942148</v>
      </c>
      <c r="Y53" s="83">
        <f t="shared" si="15"/>
        <v>125910.74380165289</v>
      </c>
      <c r="Z53" s="83">
        <f t="shared" si="15"/>
        <v>128251.2396694215</v>
      </c>
      <c r="AA53" s="83">
        <f t="shared" si="15"/>
        <v>130601.65289256199</v>
      </c>
      <c r="AB53" s="83">
        <f t="shared" si="15"/>
        <v>131970.2479338843</v>
      </c>
      <c r="AC53" s="83">
        <f t="shared" si="15"/>
        <v>133444.62809917357</v>
      </c>
      <c r="AD53" s="83">
        <f t="shared" ref="AD53:AD56" si="16">K23</f>
        <v>0</v>
      </c>
      <c r="AE53" s="83">
        <f t="shared" ref="AE53:AE56" si="17">L23</f>
        <v>0</v>
      </c>
      <c r="AF53" s="83">
        <f t="shared" ref="AF53:AF56" si="18">M23</f>
        <v>0</v>
      </c>
      <c r="AG53" s="83">
        <f t="shared" ref="AG53:AG56" si="19">N23</f>
        <v>0</v>
      </c>
    </row>
    <row r="54" spans="1:40" ht="17.149999999999999" customHeight="1">
      <c r="A54" s="80" t="s">
        <v>263</v>
      </c>
      <c r="B54" s="81">
        <v>91834.710743801654</v>
      </c>
      <c r="C54" s="81">
        <v>92148.760330578531</v>
      </c>
      <c r="D54" s="81">
        <v>92195.041322314035</v>
      </c>
      <c r="E54" s="81">
        <v>92039.669421487604</v>
      </c>
      <c r="F54" s="81">
        <v>93927.963687799769</v>
      </c>
      <c r="G54" s="81">
        <v>94540.00638815308</v>
      </c>
      <c r="H54" s="81">
        <v>95338.842975206629</v>
      </c>
      <c r="I54" s="81">
        <v>96061.323279600809</v>
      </c>
      <c r="J54" s="81">
        <v>98407.796295351465</v>
      </c>
      <c r="K54" s="81">
        <v>98709.599285064076</v>
      </c>
      <c r="L54" s="81">
        <v>98818.294448109766</v>
      </c>
      <c r="M54" s="81">
        <v>98883.511545937188</v>
      </c>
      <c r="N54" s="81">
        <v>99122.640904637679</v>
      </c>
      <c r="O54" s="81">
        <v>100450.67840672977</v>
      </c>
      <c r="P54" s="82">
        <f>30866/0.3025</f>
        <v>102036.36363636363</v>
      </c>
      <c r="Q54" s="82">
        <v>104340.49586776859</v>
      </c>
      <c r="R54" s="82">
        <v>108419.8347107438</v>
      </c>
      <c r="S54" s="82">
        <f>33795/0.3025</f>
        <v>111719.00826446281</v>
      </c>
      <c r="T54" s="83">
        <f>34656/0.3025</f>
        <v>114565.28925619835</v>
      </c>
      <c r="U54" s="106">
        <f>36411/0.3025</f>
        <v>120366.94214876034</v>
      </c>
      <c r="V54" s="83">
        <f>36477/0.3025</f>
        <v>120585.12396694215</v>
      </c>
      <c r="W54" s="83">
        <f t="shared" si="15"/>
        <v>122330.57851239669</v>
      </c>
      <c r="X54" s="83">
        <f t="shared" si="15"/>
        <v>127100.82644628099</v>
      </c>
      <c r="Y54" s="83">
        <f t="shared" si="15"/>
        <v>128889.25619834711</v>
      </c>
      <c r="Z54" s="83">
        <f t="shared" si="15"/>
        <v>129299.17355371901</v>
      </c>
      <c r="AA54" s="83">
        <f t="shared" si="15"/>
        <v>133781.81818181818</v>
      </c>
      <c r="AB54" s="83">
        <f t="shared" si="15"/>
        <v>135054.54545454547</v>
      </c>
      <c r="AC54" s="83">
        <f t="shared" si="15"/>
        <v>136978.51239669422</v>
      </c>
      <c r="AD54" s="83">
        <f t="shared" si="16"/>
        <v>0</v>
      </c>
      <c r="AE54" s="83">
        <f t="shared" si="17"/>
        <v>0</v>
      </c>
      <c r="AF54" s="83">
        <f t="shared" si="18"/>
        <v>0</v>
      </c>
      <c r="AG54" s="83">
        <f t="shared" si="19"/>
        <v>0</v>
      </c>
    </row>
    <row r="55" spans="1:40" ht="17.149999999999999" customHeight="1" thickBot="1">
      <c r="A55" s="142" t="s">
        <v>379</v>
      </c>
      <c r="B55" s="149">
        <v>77887.603305785145</v>
      </c>
      <c r="C55" s="149">
        <v>77976.859504132241</v>
      </c>
      <c r="D55" s="149">
        <v>78204.958677685965</v>
      </c>
      <c r="E55" s="149">
        <v>78704.132231404961</v>
      </c>
      <c r="F55" s="149">
        <v>79204.189035694799</v>
      </c>
      <c r="G55" s="149">
        <v>79556.460177747387</v>
      </c>
      <c r="H55" s="149">
        <v>82717.355371900834</v>
      </c>
      <c r="I55" s="149">
        <v>82221.638002628984</v>
      </c>
      <c r="J55" s="149">
        <v>82521.628652671061</v>
      </c>
      <c r="K55" s="149">
        <v>83220.458841268555</v>
      </c>
      <c r="L55" s="149">
        <v>84603.810949517399</v>
      </c>
      <c r="M55" s="149">
        <v>85699.222686831257</v>
      </c>
      <c r="N55" s="149">
        <v>86362.52803529051</v>
      </c>
      <c r="O55" s="149">
        <v>87526.27279843908</v>
      </c>
      <c r="P55" s="150">
        <f>26741/0.3025</f>
        <v>88400</v>
      </c>
      <c r="Q55" s="150">
        <v>89854.545454545456</v>
      </c>
      <c r="R55" s="150">
        <f>28293/0.3025</f>
        <v>93530.578512396693</v>
      </c>
      <c r="S55" s="150">
        <f>28497/0.3025</f>
        <v>94204.958677685951</v>
      </c>
      <c r="T55" s="151">
        <f>29301/0.3025</f>
        <v>96862.809917355378</v>
      </c>
      <c r="U55" s="152">
        <f>29841/0.3025</f>
        <v>98647.933884297527</v>
      </c>
      <c r="V55" s="151">
        <f>30692/0.3025</f>
        <v>101461.15702479339</v>
      </c>
      <c r="W55" s="151">
        <f t="shared" si="15"/>
        <v>102294.21487603306</v>
      </c>
      <c r="X55" s="151">
        <f t="shared" si="15"/>
        <v>104459.50413223141</v>
      </c>
      <c r="Y55" s="151">
        <f t="shared" si="15"/>
        <v>105537.19008264464</v>
      </c>
      <c r="Z55" s="151">
        <f t="shared" si="15"/>
        <v>108535.53719008264</v>
      </c>
      <c r="AA55" s="151">
        <f t="shared" si="15"/>
        <v>108836.36363636363</v>
      </c>
      <c r="AB55" s="151">
        <f t="shared" si="15"/>
        <v>109259.50413223141</v>
      </c>
      <c r="AC55" s="151">
        <f t="shared" si="15"/>
        <v>110548.76033057852</v>
      </c>
      <c r="AD55" s="151">
        <f t="shared" si="16"/>
        <v>0</v>
      </c>
      <c r="AE55" s="151">
        <f t="shared" si="17"/>
        <v>0</v>
      </c>
      <c r="AF55" s="151">
        <f t="shared" si="18"/>
        <v>0</v>
      </c>
      <c r="AG55" s="151">
        <f t="shared" si="19"/>
        <v>0</v>
      </c>
    </row>
    <row r="56" spans="1:40" ht="17.149999999999999" customHeight="1" thickTop="1">
      <c r="A56" s="139" t="s">
        <v>403</v>
      </c>
      <c r="B56" s="145">
        <v>95550.413223140495</v>
      </c>
      <c r="C56" s="145">
        <v>96000</v>
      </c>
      <c r="D56" s="145">
        <v>96102.479338842983</v>
      </c>
      <c r="E56" s="145">
        <v>96317.355371900834</v>
      </c>
      <c r="F56" s="145">
        <v>97438.56364013876</v>
      </c>
      <c r="G56" s="145">
        <v>98233.845761974284</v>
      </c>
      <c r="H56" s="145">
        <v>98449.586776859505</v>
      </c>
      <c r="I56" s="145">
        <v>98789.349411067655</v>
      </c>
      <c r="J56" s="145">
        <v>99896.33594823457</v>
      </c>
      <c r="K56" s="145">
        <v>100425.41908632897</v>
      </c>
      <c r="L56" s="145">
        <v>100885.09267324995</v>
      </c>
      <c r="M56" s="145">
        <v>101222.85023754426</v>
      </c>
      <c r="N56" s="145">
        <v>101636.40626743389</v>
      </c>
      <c r="O56" s="145">
        <v>102597.39731642161</v>
      </c>
      <c r="P56" s="145">
        <f>O56*1.012</f>
        <v>103828.56608421868</v>
      </c>
      <c r="Q56" s="146">
        <v>105857.85123966943</v>
      </c>
      <c r="R56" s="146">
        <v>109130.57851239669</v>
      </c>
      <c r="S56" s="146">
        <f>33434/0.3025</f>
        <v>110525.61983471074</v>
      </c>
      <c r="T56" s="147">
        <f>34009/0.3025</f>
        <v>112426.44628099175</v>
      </c>
      <c r="U56" s="148">
        <f>35016/0.3025</f>
        <v>115755.37190082645</v>
      </c>
      <c r="V56" s="147">
        <f>35303/0.3025</f>
        <v>116704.13223140496</v>
      </c>
      <c r="W56" s="147">
        <f t="shared" si="15"/>
        <v>117960.3305785124</v>
      </c>
      <c r="X56" s="147">
        <f t="shared" si="15"/>
        <v>120333.88429752066</v>
      </c>
      <c r="Y56" s="147">
        <f t="shared" si="15"/>
        <v>122092.56198347108</v>
      </c>
      <c r="Z56" s="147">
        <f t="shared" si="15"/>
        <v>123963.63636363637</v>
      </c>
      <c r="AA56" s="147">
        <f t="shared" si="15"/>
        <v>126578.51239669422</v>
      </c>
      <c r="AB56" s="147">
        <f t="shared" si="15"/>
        <v>127692.56198347108</v>
      </c>
      <c r="AC56" s="147">
        <f t="shared" si="15"/>
        <v>129272.72727272728</v>
      </c>
      <c r="AD56" s="147">
        <f t="shared" si="16"/>
        <v>0</v>
      </c>
      <c r="AE56" s="147">
        <f t="shared" si="17"/>
        <v>0</v>
      </c>
      <c r="AF56" s="147">
        <f t="shared" si="18"/>
        <v>0</v>
      </c>
      <c r="AG56" s="147">
        <f t="shared" si="19"/>
        <v>0</v>
      </c>
    </row>
    <row r="57" spans="1:40" ht="17.149999999999999" customHeight="1">
      <c r="A57" s="24" t="s">
        <v>135</v>
      </c>
      <c r="B57" s="22"/>
      <c r="C57" s="22"/>
      <c r="D57" s="22"/>
      <c r="E57" s="22"/>
      <c r="F57" s="22"/>
      <c r="G57" s="22"/>
      <c r="H57" s="22"/>
      <c r="I57" s="22"/>
      <c r="J57" s="22"/>
      <c r="K57" s="22"/>
      <c r="L57" s="22"/>
      <c r="M57" s="22"/>
      <c r="N57" s="22"/>
      <c r="O57" s="35"/>
      <c r="P57" s="22"/>
      <c r="Q57" s="44"/>
      <c r="R57" s="22"/>
      <c r="S57" s="22"/>
      <c r="T57" s="71"/>
      <c r="U57" s="71"/>
      <c r="V57" s="156"/>
      <c r="W57" s="75"/>
      <c r="X57" s="156"/>
      <c r="Y57" s="156"/>
      <c r="Z57" s="156"/>
      <c r="AA57" s="156"/>
      <c r="AB57" s="156"/>
      <c r="AC57" s="156"/>
      <c r="AD57" s="156"/>
      <c r="AE57" s="156"/>
      <c r="AF57" s="156"/>
      <c r="AG57" s="156"/>
    </row>
    <row r="58" spans="1:40" ht="17.149999999999999" customHeight="1">
      <c r="A58" s="80" t="s">
        <v>404</v>
      </c>
      <c r="B58" s="79">
        <v>7.0204998595899681E-3</v>
      </c>
      <c r="C58" s="79">
        <v>-7.4363264547305796E-4</v>
      </c>
      <c r="D58" s="79">
        <v>8.3720930232544788E-4</v>
      </c>
      <c r="E58" s="79">
        <v>4.2135266598506416E-3</v>
      </c>
      <c r="F58" s="79">
        <v>7.6067132749459976E-3</v>
      </c>
      <c r="G58" s="79">
        <f t="shared" ref="G58:H58" si="20">G53/F53-1</f>
        <v>4.7997083601254431E-3</v>
      </c>
      <c r="H58" s="79">
        <f t="shared" si="20"/>
        <v>4.4755962851716902E-4</v>
      </c>
      <c r="I58" s="79">
        <f>I53/H53-1</f>
        <v>7.5083199178995752E-3</v>
      </c>
      <c r="J58" s="79">
        <f>J53/I53-1</f>
        <v>6.7684061456052547E-3</v>
      </c>
      <c r="K58" s="79">
        <f>K53/J53-1</f>
        <v>3.7523793008054085E-3</v>
      </c>
      <c r="L58" s="79">
        <f t="shared" ref="L58:U58" si="21">L53/K53-1</f>
        <v>1.4025723262551804E-3</v>
      </c>
      <c r="M58" s="79">
        <f t="shared" si="21"/>
        <v>1.4862689565862119E-3</v>
      </c>
      <c r="N58" s="79">
        <f t="shared" si="21"/>
        <v>3.7987829392347461E-3</v>
      </c>
      <c r="O58" s="79">
        <f t="shared" si="21"/>
        <v>5.2037800725901473E-3</v>
      </c>
      <c r="P58" s="79">
        <f t="shared" si="21"/>
        <v>9.5065856883991273E-3</v>
      </c>
      <c r="Q58" s="79">
        <f t="shared" si="21"/>
        <v>1.93281986704541E-2</v>
      </c>
      <c r="R58" s="79">
        <f t="shared" si="21"/>
        <v>2.1461200333266373E-2</v>
      </c>
      <c r="S58" s="79">
        <f t="shared" si="21"/>
        <v>2.3626033638972643E-3</v>
      </c>
      <c r="T58" s="78">
        <f t="shared" si="21"/>
        <v>8.6424602951904461E-3</v>
      </c>
      <c r="U58" s="78">
        <f t="shared" si="21"/>
        <v>1.8611250208646402E-2</v>
      </c>
      <c r="V58" s="78">
        <f t="shared" ref="V58:Z61" si="22">V53/U53-1</f>
        <v>9.0946333469890117E-3</v>
      </c>
      <c r="W58" s="78">
        <f t="shared" si="22"/>
        <v>8.6878856771679391E-3</v>
      </c>
      <c r="X58" s="78">
        <f t="shared" si="22"/>
        <v>5.2590624916148965E-3</v>
      </c>
      <c r="Y58" s="78">
        <f t="shared" si="22"/>
        <v>1.6628853596690307E-2</v>
      </c>
      <c r="Z58" s="78">
        <f t="shared" si="22"/>
        <v>1.8588531821046139E-2</v>
      </c>
      <c r="AA58" s="78">
        <f t="shared" ref="AA58:AA61" si="23">AA53/Z53-1</f>
        <v>1.8326631611506272E-2</v>
      </c>
      <c r="AB58" s="78">
        <f t="shared" ref="AB58:AB61" si="24">AB53/AA53-1</f>
        <v>1.0479155592679756E-2</v>
      </c>
      <c r="AC58" s="78">
        <f t="shared" ref="AC58:AC61" si="25">AC53/AB53-1</f>
        <v>1.1172064828035566E-2</v>
      </c>
      <c r="AD58" s="78">
        <f t="shared" ref="AD58:AD61" si="26">AD53/AC53-1</f>
        <v>-1</v>
      </c>
      <c r="AE58" s="78" t="e">
        <f t="shared" ref="AE58:AE61" si="27">AE53/AD53-1</f>
        <v>#DIV/0!</v>
      </c>
      <c r="AF58" s="78" t="e">
        <f t="shared" ref="AF58:AF61" si="28">AF53/AE53-1</f>
        <v>#DIV/0!</v>
      </c>
      <c r="AG58" s="78" t="e">
        <f t="shared" ref="AG58:AG61" si="29">AG53/AF53-1</f>
        <v>#DIV/0!</v>
      </c>
    </row>
    <row r="59" spans="1:40" ht="17.149999999999999" customHeight="1">
      <c r="A59" s="80" t="s">
        <v>405</v>
      </c>
      <c r="B59" s="79">
        <v>6.521739130434856E-3</v>
      </c>
      <c r="C59" s="79">
        <v>3.419726421886482E-3</v>
      </c>
      <c r="D59" s="79">
        <v>5.0224215246608139E-4</v>
      </c>
      <c r="E59" s="79">
        <v>-1.6852522499908318E-3</v>
      </c>
      <c r="F59" s="79">
        <v>2.0516091356922228E-2</v>
      </c>
      <c r="G59" s="79">
        <f t="shared" ref="G59:I59" si="30">G54/F54-1</f>
        <v>6.5160861188009456E-3</v>
      </c>
      <c r="H59" s="79">
        <f t="shared" si="30"/>
        <v>8.4497200452235965E-3</v>
      </c>
      <c r="I59" s="79">
        <f t="shared" si="30"/>
        <v>7.5780267711247351E-3</v>
      </c>
      <c r="J59" s="79">
        <f t="shared" ref="J59:U59" si="31">J54/I54-1</f>
        <v>2.4426823779232221E-2</v>
      </c>
      <c r="K59" s="79">
        <f t="shared" si="31"/>
        <v>3.0668605646528846E-3</v>
      </c>
      <c r="L59" s="79">
        <f t="shared" si="31"/>
        <v>1.1011610201332456E-3</v>
      </c>
      <c r="M59" s="79">
        <f t="shared" si="31"/>
        <v>6.5996987897487536E-4</v>
      </c>
      <c r="N59" s="79">
        <f t="shared" si="31"/>
        <v>2.4182935553356266E-3</v>
      </c>
      <c r="O59" s="79">
        <f t="shared" si="31"/>
        <v>1.3397922916215999E-2</v>
      </c>
      <c r="P59" s="79">
        <f t="shared" si="31"/>
        <v>1.5785709512218027E-2</v>
      </c>
      <c r="Q59" s="79">
        <f t="shared" si="31"/>
        <v>2.2581481241495505E-2</v>
      </c>
      <c r="R59" s="79">
        <f t="shared" si="31"/>
        <v>3.9096410353895328E-2</v>
      </c>
      <c r="S59" s="79">
        <f t="shared" si="31"/>
        <v>3.0429612464554667E-2</v>
      </c>
      <c r="T59" s="78">
        <f t="shared" si="31"/>
        <v>2.5477141588992502E-2</v>
      </c>
      <c r="U59" s="78">
        <f t="shared" si="31"/>
        <v>5.064058171745156E-2</v>
      </c>
      <c r="V59" s="78">
        <f t="shared" si="22"/>
        <v>1.8126390376533852E-3</v>
      </c>
      <c r="W59" s="78">
        <f t="shared" si="22"/>
        <v>1.4474874578501495E-2</v>
      </c>
      <c r="X59" s="78">
        <f t="shared" si="22"/>
        <v>3.8994730441832104E-2</v>
      </c>
      <c r="Y59" s="78">
        <f t="shared" si="22"/>
        <v>1.407095297544747E-2</v>
      </c>
      <c r="Z59" s="78">
        <f t="shared" si="22"/>
        <v>3.180384210931253E-3</v>
      </c>
      <c r="AA59" s="78">
        <f t="shared" si="23"/>
        <v>3.4668780200956206E-2</v>
      </c>
      <c r="AB59" s="78">
        <f t="shared" si="24"/>
        <v>9.5134547431368066E-3</v>
      </c>
      <c r="AC59" s="78">
        <f t="shared" si="25"/>
        <v>1.4245851079453642E-2</v>
      </c>
      <c r="AD59" s="78">
        <f t="shared" si="26"/>
        <v>-1</v>
      </c>
      <c r="AE59" s="78" t="e">
        <f t="shared" si="27"/>
        <v>#DIV/0!</v>
      </c>
      <c r="AF59" s="78" t="e">
        <f t="shared" si="28"/>
        <v>#DIV/0!</v>
      </c>
      <c r="AG59" s="78" t="e">
        <f t="shared" si="29"/>
        <v>#DIV/0!</v>
      </c>
    </row>
    <row r="60" spans="1:40" ht="17.149999999999999" customHeight="1" thickBot="1">
      <c r="A60" s="142" t="s">
        <v>406</v>
      </c>
      <c r="B60" s="143">
        <v>3.2361081541412151E-3</v>
      </c>
      <c r="C60" s="143">
        <v>1.1459615466236084E-3</v>
      </c>
      <c r="D60" s="143">
        <v>2.9252162116331082E-3</v>
      </c>
      <c r="E60" s="143">
        <v>6.3828887855601479E-3</v>
      </c>
      <c r="F60" s="143">
        <v>6.3536283307155106E-3</v>
      </c>
      <c r="G60" s="143">
        <f t="shared" ref="G60:I61" si="32">G55/F55-1</f>
        <v>4.4476327116211856E-3</v>
      </c>
      <c r="H60" s="143">
        <f t="shared" si="32"/>
        <v>3.9731471046993372E-2</v>
      </c>
      <c r="I60" s="143">
        <f t="shared" si="32"/>
        <v>-5.9929064105480601E-3</v>
      </c>
      <c r="J60" s="143">
        <f t="shared" ref="J60:U60" si="33">J55/I55-1</f>
        <v>3.648560857331562E-3</v>
      </c>
      <c r="K60" s="143">
        <f t="shared" si="33"/>
        <v>8.4684488176891559E-3</v>
      </c>
      <c r="L60" s="143">
        <f t="shared" si="33"/>
        <v>1.6622740699944849E-2</v>
      </c>
      <c r="M60" s="143">
        <f t="shared" si="33"/>
        <v>1.2947546038647006E-2</v>
      </c>
      <c r="N60" s="143">
        <f t="shared" si="33"/>
        <v>7.7399225764642754E-3</v>
      </c>
      <c r="O60" s="143">
        <f t="shared" si="33"/>
        <v>1.3475112292602454E-2</v>
      </c>
      <c r="P60" s="143">
        <f t="shared" si="33"/>
        <v>9.9824563942416678E-3</v>
      </c>
      <c r="Q60" s="143">
        <f t="shared" si="33"/>
        <v>1.6454134101193008E-2</v>
      </c>
      <c r="R60" s="143">
        <f t="shared" si="33"/>
        <v>4.0910930429344017E-2</v>
      </c>
      <c r="S60" s="143">
        <f t="shared" si="33"/>
        <v>7.2102640229032566E-3</v>
      </c>
      <c r="T60" s="144">
        <f t="shared" si="33"/>
        <v>2.8213496157490248E-2</v>
      </c>
      <c r="U60" s="144">
        <f t="shared" si="33"/>
        <v>1.8429405139756216E-2</v>
      </c>
      <c r="V60" s="144">
        <f t="shared" si="22"/>
        <v>2.8517811065312815E-2</v>
      </c>
      <c r="W60" s="144">
        <f t="shared" si="22"/>
        <v>8.2106086276554358E-3</v>
      </c>
      <c r="X60" s="144">
        <f t="shared" si="22"/>
        <v>2.1167269906928743E-2</v>
      </c>
      <c r="Y60" s="144">
        <f t="shared" si="22"/>
        <v>1.0316782176651218E-2</v>
      </c>
      <c r="Z60" s="144">
        <f t="shared" si="22"/>
        <v>2.8410336726703012E-2</v>
      </c>
      <c r="AA60" s="144">
        <f t="shared" si="23"/>
        <v>2.7716861598441334E-3</v>
      </c>
      <c r="AB60" s="144">
        <f t="shared" si="24"/>
        <v>3.8878595510738467E-3</v>
      </c>
      <c r="AC60" s="144">
        <f t="shared" si="25"/>
        <v>1.1799945538712997E-2</v>
      </c>
      <c r="AD60" s="144">
        <f t="shared" si="26"/>
        <v>-1</v>
      </c>
      <c r="AE60" s="144" t="e">
        <f t="shared" si="27"/>
        <v>#DIV/0!</v>
      </c>
      <c r="AF60" s="144" t="e">
        <f t="shared" si="28"/>
        <v>#DIV/0!</v>
      </c>
      <c r="AG60" s="144" t="e">
        <f t="shared" si="29"/>
        <v>#DIV/0!</v>
      </c>
    </row>
    <row r="61" spans="1:40" ht="17.149999999999999" customHeight="1" thickTop="1">
      <c r="A61" s="139" t="s">
        <v>407</v>
      </c>
      <c r="B61" s="140">
        <v>6.2315056570929617E-3</v>
      </c>
      <c r="C61" s="140">
        <v>4.7052311098809696E-3</v>
      </c>
      <c r="D61" s="140">
        <v>1.0674931129477372E-3</v>
      </c>
      <c r="E61" s="140">
        <v>2.2359051976195143E-3</v>
      </c>
      <c r="F61" s="140">
        <v>1.1640770906849784E-2</v>
      </c>
      <c r="G61" s="140">
        <f t="shared" si="32"/>
        <v>8.1618826481542062E-3</v>
      </c>
      <c r="H61" s="140">
        <f t="shared" si="32"/>
        <v>2.1961983999687629E-3</v>
      </c>
      <c r="I61" s="140">
        <f t="shared" si="32"/>
        <v>3.4511331670517009E-3</v>
      </c>
      <c r="J61" s="140">
        <f t="shared" ref="J61:U61" si="34">J56/I56-1</f>
        <v>1.1205525127619742E-2</v>
      </c>
      <c r="K61" s="140">
        <f t="shared" si="34"/>
        <v>5.2963217626778025E-3</v>
      </c>
      <c r="L61" s="140">
        <f t="shared" si="34"/>
        <v>4.577263317425917E-3</v>
      </c>
      <c r="M61" s="140">
        <f t="shared" si="34"/>
        <v>3.3479432425982392E-3</v>
      </c>
      <c r="N61" s="140">
        <f t="shared" si="34"/>
        <v>4.0855995352742092E-3</v>
      </c>
      <c r="O61" s="140">
        <f t="shared" si="34"/>
        <v>9.4551852459154873E-3</v>
      </c>
      <c r="P61" s="140">
        <f t="shared" si="34"/>
        <v>1.2000000000000011E-2</v>
      </c>
      <c r="Q61" s="140">
        <f t="shared" si="34"/>
        <v>1.9544574600064646E-2</v>
      </c>
      <c r="R61" s="140">
        <f t="shared" si="34"/>
        <v>3.0916245081506366E-2</v>
      </c>
      <c r="S61" s="140">
        <f t="shared" si="34"/>
        <v>1.2783230340482232E-2</v>
      </c>
      <c r="T61" s="141">
        <f t="shared" si="34"/>
        <v>1.7198061853203495E-2</v>
      </c>
      <c r="U61" s="141">
        <f t="shared" si="34"/>
        <v>2.9609809168161361E-2</v>
      </c>
      <c r="V61" s="141">
        <f t="shared" si="22"/>
        <v>8.1962531414210282E-3</v>
      </c>
      <c r="W61" s="141">
        <f t="shared" si="22"/>
        <v>1.0763957737302654E-2</v>
      </c>
      <c r="X61" s="141">
        <f t="shared" si="22"/>
        <v>2.0121626544853388E-2</v>
      </c>
      <c r="Y61" s="141">
        <f t="shared" si="22"/>
        <v>1.4614983104859869E-2</v>
      </c>
      <c r="Z61" s="141">
        <f t="shared" si="22"/>
        <v>1.5325048060000457E-2</v>
      </c>
      <c r="AA61" s="141">
        <f t="shared" si="23"/>
        <v>2.1093895837222432E-2</v>
      </c>
      <c r="AB61" s="141">
        <f t="shared" si="24"/>
        <v>8.8012535910160228E-3</v>
      </c>
      <c r="AC61" s="141">
        <f t="shared" si="25"/>
        <v>1.2374763766277441E-2</v>
      </c>
      <c r="AD61" s="141">
        <f t="shared" si="26"/>
        <v>-1</v>
      </c>
      <c r="AE61" s="141" t="e">
        <f t="shared" si="27"/>
        <v>#DIV/0!</v>
      </c>
      <c r="AF61" s="141" t="e">
        <f t="shared" si="28"/>
        <v>#DIV/0!</v>
      </c>
      <c r="AG61" s="141" t="e">
        <f t="shared" si="29"/>
        <v>#DIV/0!</v>
      </c>
    </row>
    <row r="62" spans="1:40" ht="17.149999999999999" customHeight="1">
      <c r="A62" s="24" t="s">
        <v>135</v>
      </c>
      <c r="T62" s="72"/>
      <c r="U62" s="72"/>
      <c r="V62" s="76"/>
      <c r="W62" s="76"/>
      <c r="X62" s="76"/>
      <c r="Y62" s="76"/>
      <c r="Z62" s="76"/>
      <c r="AA62" s="76"/>
      <c r="AB62" s="76"/>
      <c r="AC62" s="76"/>
      <c r="AD62" s="76"/>
      <c r="AE62" s="76"/>
      <c r="AF62" s="76"/>
      <c r="AG62" s="76"/>
    </row>
    <row r="63" spans="1:40" ht="17.149999999999999" customHeight="1">
      <c r="A63" s="80" t="s">
        <v>408</v>
      </c>
      <c r="B63" s="77">
        <v>3.0186218973687451E-2</v>
      </c>
      <c r="C63" s="77">
        <v>2.5209015481451047E-2</v>
      </c>
      <c r="D63" s="77">
        <v>1.1469399266710534E-2</v>
      </c>
      <c r="E63" s="77">
        <v>1.1357608661736851E-2</v>
      </c>
      <c r="F63" s="77">
        <v>1.194634682347484E-2</v>
      </c>
      <c r="G63" s="77">
        <f t="shared" ref="G63:H63" si="35">G53/C53-1</f>
        <v>1.7560085062304553E-2</v>
      </c>
      <c r="H63" s="77">
        <f t="shared" si="35"/>
        <v>1.7163924776156581E-2</v>
      </c>
      <c r="I63" s="77">
        <f>I53/E53-1</f>
        <v>2.0501207886482797E-2</v>
      </c>
      <c r="J63" s="77">
        <f>J53/F53-1</f>
        <v>1.9652172814761615E-2</v>
      </c>
      <c r="K63" s="77">
        <f t="shared" ref="K63:U63" si="36">K53/G53-1</f>
        <v>1.8589362642642104E-2</v>
      </c>
      <c r="L63" s="77">
        <f t="shared" si="36"/>
        <v>1.9561693241824996E-2</v>
      </c>
      <c r="M63" s="77">
        <f>M53/I53-1</f>
        <v>1.3467597189689595E-2</v>
      </c>
      <c r="N63" s="77">
        <f>N53/J53-1</f>
        <v>1.0478213656051061E-2</v>
      </c>
      <c r="O63" s="77">
        <f t="shared" si="36"/>
        <v>1.1939339815665972E-2</v>
      </c>
      <c r="P63" s="77">
        <f t="shared" si="36"/>
        <v>2.012862368428503E-2</v>
      </c>
      <c r="Q63" s="77">
        <f t="shared" si="36"/>
        <v>3.8302675358346416E-2</v>
      </c>
      <c r="R63" s="77">
        <f t="shared" si="36"/>
        <v>5.6572208600676577E-2</v>
      </c>
      <c r="S63" s="77">
        <f t="shared" si="36"/>
        <v>5.3585840652565775E-2</v>
      </c>
      <c r="T63" s="78">
        <f t="shared" si="36"/>
        <v>5.2683983951738123E-2</v>
      </c>
      <c r="U63" s="78">
        <f t="shared" si="36"/>
        <v>5.1943574568334094E-2</v>
      </c>
      <c r="V63" s="78">
        <f t="shared" ref="V63:Z65" si="37">V53/R53-1</f>
        <v>3.9207965348484031E-2</v>
      </c>
      <c r="W63" s="78">
        <f t="shared" si="37"/>
        <v>4.5765755654077145E-2</v>
      </c>
      <c r="X63" s="78">
        <f t="shared" si="37"/>
        <v>4.2257831191231165E-2</v>
      </c>
      <c r="Y63" s="78">
        <f t="shared" si="37"/>
        <v>4.022941417451853E-2</v>
      </c>
      <c r="Z63" s="78">
        <f t="shared" si="37"/>
        <v>5.0016239038648935E-2</v>
      </c>
      <c r="AA63" s="78">
        <f t="shared" ref="AA63:AA66" si="38">AA53/W53-1</f>
        <v>6.0049907429767346E-2</v>
      </c>
      <c r="AB63" s="78">
        <f t="shared" ref="AB63:AB66" si="39">AB53/X53-1</f>
        <v>6.5554517549713198E-2</v>
      </c>
      <c r="AC63" s="78">
        <f t="shared" ref="AC63:AC66" si="40">AC53/Y53-1</f>
        <v>5.9835118672547871E-2</v>
      </c>
      <c r="AD63" s="78">
        <f t="shared" ref="AD63:AD66" si="41">AD53/Z53-1</f>
        <v>-1</v>
      </c>
      <c r="AE63" s="78">
        <f t="shared" ref="AE63:AE66" si="42">AE53/AA53-1</f>
        <v>-1</v>
      </c>
      <c r="AF63" s="78">
        <f t="shared" ref="AF63:AF66" si="43">AF53/AB53-1</f>
        <v>-1</v>
      </c>
      <c r="AG63" s="78">
        <f t="shared" ref="AG63:AG66" si="44">AG53/AC53-1</f>
        <v>-1</v>
      </c>
    </row>
    <row r="64" spans="1:40" ht="17.149999999999999" customHeight="1">
      <c r="A64" s="80" t="s">
        <v>409</v>
      </c>
      <c r="B64" s="77">
        <v>3.6553299857641441E-2</v>
      </c>
      <c r="C64" s="77">
        <v>3.6014271909611484E-2</v>
      </c>
      <c r="D64" s="77">
        <v>1.28195816385821E-2</v>
      </c>
      <c r="E64" s="77">
        <v>8.7681159420289756E-3</v>
      </c>
      <c r="F64" s="77">
        <v>2.2793701064054428E-2</v>
      </c>
      <c r="G64" s="77">
        <f t="shared" ref="G64:I66" si="45">G54/C54-1</f>
        <v>2.5949845109104919E-2</v>
      </c>
      <c r="H64" s="77">
        <f t="shared" si="45"/>
        <v>3.4099465739180657E-2</v>
      </c>
      <c r="I64" s="77">
        <f t="shared" si="45"/>
        <v>4.3694788164616138E-2</v>
      </c>
      <c r="J64" s="77">
        <f t="shared" ref="J64:Q66" si="46">J54/F54-1</f>
        <v>4.7694343959610253E-2</v>
      </c>
      <c r="K64" s="77">
        <f t="shared" si="46"/>
        <v>4.4104004814553122E-2</v>
      </c>
      <c r="L64" s="77">
        <f t="shared" si="46"/>
        <v>3.6495633514327164E-2</v>
      </c>
      <c r="M64" s="77">
        <f t="shared" si="46"/>
        <v>2.9379027583473771E-2</v>
      </c>
      <c r="N64" s="77">
        <f t="shared" si="46"/>
        <v>7.2641054489295254E-3</v>
      </c>
      <c r="O64" s="77">
        <f t="shared" si="46"/>
        <v>1.7638397220493429E-2</v>
      </c>
      <c r="P64" s="77">
        <f t="shared" si="46"/>
        <v>3.2565520445646756E-2</v>
      </c>
      <c r="Q64" s="77">
        <f t="shared" si="46"/>
        <v>5.5185988407140174E-2</v>
      </c>
      <c r="R64" s="77">
        <f t="shared" ref="R64:U66" si="47">R54/N54-1</f>
        <v>9.3794855759045115E-2</v>
      </c>
      <c r="S64" s="77">
        <f t="shared" si="47"/>
        <v>0.11217773773619544</v>
      </c>
      <c r="T64" s="78">
        <f t="shared" si="47"/>
        <v>0.12278882913237865</v>
      </c>
      <c r="U64" s="78">
        <f t="shared" si="47"/>
        <v>0.1535975667712195</v>
      </c>
      <c r="V64" s="78">
        <f t="shared" si="37"/>
        <v>0.11220538463883889</v>
      </c>
      <c r="W64" s="78">
        <f t="shared" si="37"/>
        <v>9.4984465157567755E-2</v>
      </c>
      <c r="X64" s="78">
        <f t="shared" si="37"/>
        <v>0.10941828254847641</v>
      </c>
      <c r="Y64" s="78">
        <f t="shared" si="37"/>
        <v>7.0802779379857572E-2</v>
      </c>
      <c r="Z64" s="78">
        <f t="shared" si="37"/>
        <v>7.2264714751761439E-2</v>
      </c>
      <c r="AA64" s="78">
        <f t="shared" si="38"/>
        <v>9.3608971760572812E-2</v>
      </c>
      <c r="AB64" s="78">
        <f t="shared" si="39"/>
        <v>6.2578027465667985E-2</v>
      </c>
      <c r="AC64" s="78">
        <f t="shared" si="40"/>
        <v>6.2761291646361794E-2</v>
      </c>
      <c r="AD64" s="78">
        <f t="shared" si="41"/>
        <v>-1</v>
      </c>
      <c r="AE64" s="78">
        <f t="shared" si="42"/>
        <v>-1</v>
      </c>
      <c r="AF64" s="78">
        <f t="shared" si="43"/>
        <v>-1</v>
      </c>
      <c r="AG64" s="78">
        <f t="shared" si="44"/>
        <v>-1</v>
      </c>
    </row>
    <row r="65" spans="1:33" ht="17.149999999999999" customHeight="1" thickBot="1">
      <c r="A65" s="142" t="s">
        <v>410</v>
      </c>
      <c r="B65" s="154">
        <v>6.1861324721084188E-3</v>
      </c>
      <c r="C65" s="154">
        <v>7.3454048513836856E-3</v>
      </c>
      <c r="D65" s="154">
        <v>9.0854802934654533E-3</v>
      </c>
      <c r="E65" s="154">
        <v>1.3753459655098998E-2</v>
      </c>
      <c r="F65" s="154">
        <v>1.6903662123749941E-2</v>
      </c>
      <c r="G65" s="154">
        <f t="shared" si="45"/>
        <v>2.0257300481964613E-2</v>
      </c>
      <c r="H65" s="154">
        <f t="shared" si="45"/>
        <v>5.7699623789998711E-2</v>
      </c>
      <c r="I65" s="154">
        <f t="shared" si="45"/>
        <v>4.4692771160755429E-2</v>
      </c>
      <c r="J65" s="154">
        <f t="shared" si="46"/>
        <v>4.1884648493543564E-2</v>
      </c>
      <c r="K65" s="154">
        <f t="shared" si="46"/>
        <v>4.6055325429700478E-2</v>
      </c>
      <c r="L65" s="154">
        <f t="shared" si="46"/>
        <v>2.2806043171169854E-2</v>
      </c>
      <c r="M65" s="154">
        <f t="shared" si="46"/>
        <v>4.2295249385460698E-2</v>
      </c>
      <c r="N65" s="154">
        <f t="shared" si="46"/>
        <v>4.6544153882197126E-2</v>
      </c>
      <c r="O65" s="154">
        <f t="shared" si="46"/>
        <v>5.1739848795874455E-2</v>
      </c>
      <c r="P65" s="154">
        <f t="shared" si="46"/>
        <v>4.487018974532675E-2</v>
      </c>
      <c r="Q65" s="154">
        <f t="shared" si="46"/>
        <v>4.8487286552165054E-2</v>
      </c>
      <c r="R65" s="154">
        <f t="shared" si="47"/>
        <v>8.2999544364624089E-2</v>
      </c>
      <c r="S65" s="154">
        <f t="shared" si="47"/>
        <v>7.6304927260263389E-2</v>
      </c>
      <c r="T65" s="144">
        <f t="shared" si="47"/>
        <v>9.5733143861486125E-2</v>
      </c>
      <c r="U65" s="144">
        <f t="shared" si="47"/>
        <v>9.7862477465876951E-2</v>
      </c>
      <c r="V65" s="144">
        <f t="shared" si="37"/>
        <v>8.4791291132082058E-2</v>
      </c>
      <c r="W65" s="144">
        <f t="shared" si="37"/>
        <v>8.5868687932063148E-2</v>
      </c>
      <c r="X65" s="144">
        <f t="shared" si="37"/>
        <v>7.8427357428074052E-2</v>
      </c>
      <c r="Y65" s="144">
        <f t="shared" si="37"/>
        <v>6.9836801715760233E-2</v>
      </c>
      <c r="Z65" s="144">
        <f t="shared" si="37"/>
        <v>6.9725009774534108E-2</v>
      </c>
      <c r="AA65" s="144">
        <f t="shared" si="38"/>
        <v>6.3954239917269895E-2</v>
      </c>
      <c r="AB65" s="144">
        <f t="shared" si="39"/>
        <v>4.5950821228519789E-2</v>
      </c>
      <c r="AC65" s="144">
        <f t="shared" si="40"/>
        <v>4.7486296006264528E-2</v>
      </c>
      <c r="AD65" s="144">
        <f t="shared" si="41"/>
        <v>-1</v>
      </c>
      <c r="AE65" s="144">
        <f t="shared" si="42"/>
        <v>-1</v>
      </c>
      <c r="AF65" s="144">
        <f t="shared" si="43"/>
        <v>-1</v>
      </c>
      <c r="AG65" s="144">
        <f t="shared" si="44"/>
        <v>-1</v>
      </c>
    </row>
    <row r="66" spans="1:33" ht="17.149999999999999" customHeight="1" thickTop="1">
      <c r="A66" s="139" t="s">
        <v>411</v>
      </c>
      <c r="B66" s="153">
        <v>6.3366138490315471E-2</v>
      </c>
      <c r="C66" s="153">
        <v>6.5297138664710319E-2</v>
      </c>
      <c r="D66" s="153">
        <v>5.2140763170911208E-2</v>
      </c>
      <c r="E66" s="153">
        <v>1.430809399477817E-2</v>
      </c>
      <c r="F66" s="153">
        <v>1.9760777094588233E-2</v>
      </c>
      <c r="G66" s="153">
        <f t="shared" si="45"/>
        <v>2.3269226687232081E-2</v>
      </c>
      <c r="H66" s="153">
        <f t="shared" si="45"/>
        <v>2.442296446630654E-2</v>
      </c>
      <c r="I66" s="153">
        <f t="shared" si="45"/>
        <v>2.5665094619987672E-2</v>
      </c>
      <c r="J66" s="153">
        <f t="shared" si="46"/>
        <v>2.5223815051019116E-2</v>
      </c>
      <c r="K66" s="153">
        <f t="shared" si="46"/>
        <v>2.2309757979596778E-2</v>
      </c>
      <c r="L66" s="153">
        <f t="shared" si="46"/>
        <v>2.4738609638968123E-2</v>
      </c>
      <c r="M66" s="153">
        <f t="shared" si="46"/>
        <v>2.4633230616295299E-2</v>
      </c>
      <c r="N66" s="153">
        <f t="shared" si="46"/>
        <v>1.7418760184567894E-2</v>
      </c>
      <c r="O66" s="153">
        <f t="shared" si="46"/>
        <v>2.162777362398205E-2</v>
      </c>
      <c r="P66" s="153">
        <f t="shared" si="46"/>
        <v>2.9176495089340282E-2</v>
      </c>
      <c r="Q66" s="153">
        <f t="shared" si="46"/>
        <v>4.5790066089306913E-2</v>
      </c>
      <c r="R66" s="153">
        <f t="shared" si="47"/>
        <v>7.3735116383823351E-2</v>
      </c>
      <c r="S66" s="153">
        <f t="shared" si="47"/>
        <v>7.7275084219121215E-2</v>
      </c>
      <c r="T66" s="141">
        <f t="shared" si="47"/>
        <v>8.2808426630866183E-2</v>
      </c>
      <c r="U66" s="141">
        <f t="shared" si="47"/>
        <v>9.3498219973767949E-2</v>
      </c>
      <c r="V66" s="141">
        <f>V56/R56-1</f>
        <v>6.9399006421907217E-2</v>
      </c>
      <c r="W66" s="141">
        <f>W56/S56-1</f>
        <v>6.7266854100616058E-2</v>
      </c>
      <c r="X66" s="141">
        <f>X56/T56-1</f>
        <v>7.0334323267370324E-2</v>
      </c>
      <c r="Y66" s="141">
        <f>Y56/U56-1</f>
        <v>5.4746401644962361E-2</v>
      </c>
      <c r="Z66" s="141">
        <f>Z56/V56-1</f>
        <v>6.2204345239781356E-2</v>
      </c>
      <c r="AA66" s="141">
        <f t="shared" si="38"/>
        <v>7.3060000560491112E-2</v>
      </c>
      <c r="AB66" s="141">
        <f t="shared" si="39"/>
        <v>6.1152166149281539E-2</v>
      </c>
      <c r="AC66" s="141">
        <f t="shared" si="40"/>
        <v>5.8809195028836081E-2</v>
      </c>
      <c r="AD66" s="141">
        <f t="shared" si="41"/>
        <v>-1</v>
      </c>
      <c r="AE66" s="141">
        <f t="shared" si="42"/>
        <v>-1</v>
      </c>
      <c r="AF66" s="141">
        <f t="shared" si="43"/>
        <v>-1</v>
      </c>
      <c r="AG66" s="141">
        <f t="shared" si="44"/>
        <v>-1</v>
      </c>
    </row>
    <row r="67" spans="1:33" ht="16.5">
      <c r="A67" s="24" t="s">
        <v>135</v>
      </c>
      <c r="AE67" s="66"/>
    </row>
    <row r="69" spans="1:33">
      <c r="M69">
        <f>E23/D6-1</f>
        <v>0.16073364934783285</v>
      </c>
    </row>
    <row r="70" spans="1:33">
      <c r="M70">
        <f>_xlfn.RRI(2024-2019,D6,E23)</f>
        <v>3.0259232184236096E-2</v>
      </c>
    </row>
  </sheetData>
  <mergeCells count="2">
    <mergeCell ref="V39:AN49"/>
    <mergeCell ref="V26:AN36"/>
  </mergeCells>
  <phoneticPr fontId="23" type="noConversion"/>
  <hyperlinks>
    <hyperlink ref="F2" r:id="rId1" display="https://www.newstof.com/news/articleList.html?page=1&amp;total=35&amp;box_idxno=&amp;sc_section_code=S1N43&amp;view_type=sm" xr:uid="{26DD6102-50F9-46B7-BEE6-2D18EEF2FC4D}"/>
  </hyperlinks>
  <pageMargins left="0.25" right="0.25" top="0.75" bottom="0.75" header="0.3" footer="0.3"/>
  <pageSetup paperSize="9" scale="47" fitToWidth="2" fitToHeight="2" orientation="landscape" r:id="rId2"/>
  <colBreaks count="1" manualBreakCount="1">
    <brk id="20" max="45" man="1"/>
  </colBreaks>
  <customProperties>
    <customPr name="EpmWorksheetKeyString_GUID" r:id="rId3"/>
  </customProperties>
  <drawing r:id="rId4"/>
  <legacyDrawing r:id="rId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75CA4B-4465-4415-B42D-D8E47E7EE7E3}">
  <sheetPr>
    <tabColor rgb="FF339088"/>
  </sheetPr>
  <dimension ref="A1:BN67"/>
  <sheetViews>
    <sheetView showGridLines="0" view="pageBreakPreview" topLeftCell="J3" zoomScale="70" zoomScaleNormal="100" zoomScaleSheetLayoutView="70" workbookViewId="0">
      <selection activeCell="E27" sqref="E27"/>
    </sheetView>
  </sheetViews>
  <sheetFormatPr defaultColWidth="8.7265625" defaultRowHeight="16.5" outlineLevelCol="1"/>
  <cols>
    <col min="1" max="1" width="29.7265625" style="1" customWidth="1"/>
    <col min="2" max="2" width="13.7265625" style="1" customWidth="1" outlineLevel="1"/>
    <col min="3" max="5" width="12" style="1" customWidth="1" outlineLevel="1"/>
    <col min="6" max="6" width="11.26953125" style="1" customWidth="1" outlineLevel="1"/>
    <col min="7" max="9" width="12" style="1" customWidth="1" outlineLevel="1"/>
    <col min="10" max="10" width="11.26953125" style="1" customWidth="1" outlineLevel="1"/>
    <col min="11" max="13" width="12" style="1" customWidth="1" outlineLevel="1"/>
    <col min="14" max="14" width="11.26953125" style="1" customWidth="1" outlineLevel="1"/>
    <col min="15" max="17" width="11.7265625" style="1" customWidth="1" outlineLevel="1"/>
    <col min="18" max="18" width="11.26953125" style="1" customWidth="1" outlineLevel="1"/>
    <col min="19" max="21" width="12" style="1" customWidth="1" outlineLevel="1"/>
    <col min="22" max="22" width="11.26953125" style="1" bestFit="1" customWidth="1"/>
    <col min="23" max="25" width="11.7265625" style="1" bestFit="1" customWidth="1"/>
    <col min="26" max="26" width="11.26953125" style="1" bestFit="1" customWidth="1"/>
    <col min="27" max="29" width="12" style="1" bestFit="1" customWidth="1"/>
    <col min="30" max="30" width="11.26953125" style="1" bestFit="1" customWidth="1"/>
    <col min="31" max="33" width="12" style="1" bestFit="1" customWidth="1"/>
    <col min="34" max="34" width="11" style="1" bestFit="1" customWidth="1"/>
    <col min="35" max="37" width="11.26953125" style="1" bestFit="1" customWidth="1"/>
    <col min="38" max="38" width="10.26953125" style="1" bestFit="1" customWidth="1"/>
    <col min="39" max="42" width="11" style="1" bestFit="1" customWidth="1"/>
    <col min="43" max="45" width="11.26953125" style="1" bestFit="1" customWidth="1"/>
    <col min="46" max="46" width="11" style="1" bestFit="1" customWidth="1"/>
    <col min="47" max="48" width="11.26953125" style="1" bestFit="1" customWidth="1"/>
    <col min="49" max="49" width="10.26953125" style="1" customWidth="1"/>
    <col min="50" max="52" width="11.26953125" style="1" customWidth="1"/>
    <col min="53" max="54" width="10" style="1" customWidth="1"/>
    <col min="55" max="57" width="11.26953125" style="1" bestFit="1" customWidth="1"/>
    <col min="58" max="58" width="11.26953125" style="1" customWidth="1"/>
    <col min="59" max="61" width="11.26953125" style="1" bestFit="1" customWidth="1"/>
    <col min="62" max="62" width="11" style="1" bestFit="1" customWidth="1"/>
    <col min="63" max="65" width="11.26953125" style="1" bestFit="1" customWidth="1"/>
    <col min="66" max="66" width="10.7265625" style="1" bestFit="1" customWidth="1"/>
    <col min="67" max="69" width="11.26953125" style="1" bestFit="1" customWidth="1"/>
    <col min="70" max="70" width="11" style="1" bestFit="1" customWidth="1"/>
    <col min="71" max="73" width="11.26953125" style="1" bestFit="1" customWidth="1"/>
    <col min="74" max="74" width="11" style="1" bestFit="1" customWidth="1"/>
    <col min="75" max="78" width="11.26953125" style="1" bestFit="1" customWidth="1"/>
    <col min="79" max="81" width="12" style="1" bestFit="1" customWidth="1"/>
    <col min="82" max="82" width="11" style="1" bestFit="1" customWidth="1"/>
    <col min="83" max="85" width="11.26953125" style="1" bestFit="1" customWidth="1"/>
    <col min="86" max="16384" width="8.7265625" style="1"/>
  </cols>
  <sheetData>
    <row r="1" spans="1:60" ht="26">
      <c r="A1" s="4" t="s">
        <v>431</v>
      </c>
    </row>
    <row r="2" spans="1:60">
      <c r="R2" s="1047" t="s">
        <v>432</v>
      </c>
    </row>
    <row r="3" spans="1:60" ht="19.5">
      <c r="A3" s="188" t="s">
        <v>433</v>
      </c>
      <c r="B3" s="286"/>
      <c r="C3" s="286"/>
      <c r="D3" s="286"/>
      <c r="E3" s="286"/>
      <c r="F3" s="286"/>
      <c r="G3" s="286"/>
      <c r="H3" s="286"/>
      <c r="I3" s="286"/>
      <c r="J3" s="286"/>
      <c r="K3" s="286"/>
      <c r="L3" s="286"/>
      <c r="M3" s="286"/>
      <c r="N3" s="286"/>
      <c r="O3" s="286"/>
      <c r="P3" s="286"/>
      <c r="Q3" s="286"/>
      <c r="R3" s="286"/>
      <c r="S3" s="286"/>
      <c r="T3" s="286"/>
      <c r="U3" s="286"/>
      <c r="V3" s="286"/>
      <c r="W3" s="286"/>
      <c r="X3" s="286"/>
      <c r="Y3" s="286"/>
      <c r="Z3" s="286"/>
      <c r="AA3" s="286"/>
      <c r="AB3" s="286"/>
      <c r="AC3" s="286"/>
    </row>
    <row r="4" spans="1:60" ht="19.5" hidden="1" customHeight="1">
      <c r="A4" s="362" t="s">
        <v>434</v>
      </c>
      <c r="B4" s="362" t="s">
        <v>435</v>
      </c>
      <c r="C4" s="362" t="s">
        <v>436</v>
      </c>
      <c r="D4" s="362" t="s">
        <v>437</v>
      </c>
      <c r="E4" s="362" t="s">
        <v>438</v>
      </c>
      <c r="F4" s="362" t="s">
        <v>439</v>
      </c>
      <c r="G4" s="640" t="s">
        <v>440</v>
      </c>
      <c r="H4" s="640" t="s">
        <v>441</v>
      </c>
      <c r="I4" s="640" t="s">
        <v>442</v>
      </c>
      <c r="J4" s="640" t="s">
        <v>443</v>
      </c>
      <c r="K4" s="640" t="s">
        <v>444</v>
      </c>
      <c r="L4" s="640" t="s">
        <v>445</v>
      </c>
      <c r="M4" s="640" t="s">
        <v>446</v>
      </c>
      <c r="N4" s="640" t="s">
        <v>447</v>
      </c>
      <c r="O4" s="640" t="s">
        <v>448</v>
      </c>
      <c r="P4" s="640" t="s">
        <v>449</v>
      </c>
      <c r="Q4" s="640" t="s">
        <v>450</v>
      </c>
      <c r="R4" s="640" t="s">
        <v>451</v>
      </c>
      <c r="S4" s="640" t="s">
        <v>452</v>
      </c>
      <c r="T4" s="640" t="s">
        <v>453</v>
      </c>
      <c r="U4" s="640" t="s">
        <v>454</v>
      </c>
      <c r="V4" s="661"/>
      <c r="W4" s="661"/>
      <c r="X4" s="661"/>
      <c r="Y4" s="661"/>
      <c r="Z4" s="661"/>
      <c r="AA4" s="661"/>
      <c r="AB4" s="661"/>
      <c r="AC4" s="661"/>
    </row>
    <row r="5" spans="1:60" ht="19.5" hidden="1" customHeight="1">
      <c r="A5" s="388" t="s">
        <v>186</v>
      </c>
      <c r="B5" s="389">
        <v>0.14799999999999999</v>
      </c>
      <c r="C5" s="389">
        <v>0.184</v>
      </c>
      <c r="D5" s="389">
        <v>0.26600000000000001</v>
      </c>
      <c r="E5" s="389">
        <v>0.19</v>
      </c>
      <c r="F5" s="389">
        <v>0.18099999999999999</v>
      </c>
      <c r="G5" s="638">
        <v>0.15</v>
      </c>
      <c r="H5" s="638">
        <v>0.127</v>
      </c>
      <c r="I5" s="638">
        <v>0.127</v>
      </c>
      <c r="J5" s="638">
        <v>0.13500000000000001</v>
      </c>
      <c r="K5" s="638">
        <v>0.16300000000000001</v>
      </c>
      <c r="L5" s="638">
        <v>0.14000000000000001</v>
      </c>
      <c r="M5" s="638">
        <v>9.2999999999999999E-2</v>
      </c>
      <c r="N5" s="638">
        <v>9.7000000000000003E-2</v>
      </c>
      <c r="O5" s="638">
        <v>8.7999999999999995E-2</v>
      </c>
      <c r="P5" s="641">
        <v>9.0999999999999998E-2</v>
      </c>
      <c r="Q5" s="638">
        <v>0.107</v>
      </c>
      <c r="R5" s="638">
        <v>0.13700000000000001</v>
      </c>
      <c r="S5" s="638">
        <v>0.14699999999999999</v>
      </c>
      <c r="T5" s="638">
        <v>0.15</v>
      </c>
      <c r="U5" s="638">
        <v>0.14899999999999999</v>
      </c>
      <c r="V5" s="662"/>
      <c r="W5" s="662"/>
      <c r="X5" s="662"/>
      <c r="Y5" s="662"/>
      <c r="Z5" s="662"/>
      <c r="AA5" s="662"/>
      <c r="AB5" s="662"/>
      <c r="AC5" s="662"/>
    </row>
    <row r="6" spans="1:60" ht="19.5" hidden="1" customHeight="1">
      <c r="A6" s="388" t="s">
        <v>187</v>
      </c>
      <c r="B6" s="389">
        <v>2.1999999999999999E-2</v>
      </c>
      <c r="C6" s="389">
        <v>2.3E-2</v>
      </c>
      <c r="D6" s="389">
        <v>2.3E-2</v>
      </c>
      <c r="E6" s="389">
        <v>2.5999999999999999E-2</v>
      </c>
      <c r="F6" s="389">
        <v>1.0999999999999999E-2</v>
      </c>
      <c r="G6" s="638">
        <v>4.3999999999999997E-2</v>
      </c>
      <c r="H6" s="638">
        <v>4.2999999999999997E-2</v>
      </c>
      <c r="I6" s="638">
        <v>0.04</v>
      </c>
      <c r="J6" s="638">
        <v>7.5999999999999998E-2</v>
      </c>
      <c r="K6" s="638">
        <v>7.4999999999999997E-2</v>
      </c>
      <c r="L6" s="638">
        <v>6.3E-2</v>
      </c>
      <c r="M6" s="638">
        <v>7.0999999999999994E-2</v>
      </c>
      <c r="N6" s="638">
        <v>0.08</v>
      </c>
      <c r="O6" s="638">
        <v>8.8999999999999996E-2</v>
      </c>
      <c r="P6" s="638">
        <v>9.0999999999999998E-2</v>
      </c>
      <c r="Q6" s="638">
        <v>8.3000000000000004E-2</v>
      </c>
      <c r="R6" s="638">
        <v>8.5999999999999993E-2</v>
      </c>
      <c r="S6" s="638">
        <v>0.09</v>
      </c>
      <c r="T6" s="638">
        <v>8.5999999999999993E-2</v>
      </c>
      <c r="U6" s="638">
        <v>8.2000000000000003E-2</v>
      </c>
      <c r="V6" s="662"/>
      <c r="W6" s="662"/>
      <c r="X6" s="662"/>
      <c r="Y6" s="662"/>
      <c r="Z6" s="662"/>
      <c r="AA6" s="662"/>
      <c r="AB6" s="662"/>
      <c r="AC6" s="662"/>
    </row>
    <row r="7" spans="1:60" ht="19.5" hidden="1" customHeight="1" thickBot="1">
      <c r="A7" s="390" t="s">
        <v>188</v>
      </c>
      <c r="B7" s="391">
        <v>3.9E-2</v>
      </c>
      <c r="C7" s="391">
        <v>0.02</v>
      </c>
      <c r="D7" s="391">
        <v>0.05</v>
      </c>
      <c r="E7" s="391">
        <v>0.08</v>
      </c>
      <c r="F7" s="391">
        <v>5.0999999999999997E-2</v>
      </c>
      <c r="G7" s="642">
        <v>4.8000000000000001E-2</v>
      </c>
      <c r="H7" s="642">
        <v>4.2999999999999997E-2</v>
      </c>
      <c r="I7" s="642">
        <v>0.22600000000000001</v>
      </c>
      <c r="J7" s="642">
        <v>0.214</v>
      </c>
      <c r="K7" s="642">
        <v>0.219</v>
      </c>
      <c r="L7" s="642">
        <v>0.23599999999999999</v>
      </c>
      <c r="M7" s="642">
        <v>0.222</v>
      </c>
      <c r="N7" s="642">
        <v>0.22900000000000001</v>
      </c>
      <c r="O7" s="642">
        <v>0.20899999999999999</v>
      </c>
      <c r="P7" s="642">
        <v>0.21</v>
      </c>
      <c r="Q7" s="642">
        <v>0.16700000000000001</v>
      </c>
      <c r="R7" s="642">
        <v>0.16500000000000001</v>
      </c>
      <c r="S7" s="642">
        <v>0.17799999999999999</v>
      </c>
      <c r="T7" s="642">
        <v>0.155</v>
      </c>
      <c r="U7" s="642">
        <v>0.14199999999999999</v>
      </c>
      <c r="V7" s="662"/>
      <c r="W7" s="662"/>
      <c r="X7" s="662"/>
      <c r="Y7" s="662"/>
      <c r="Z7" s="662"/>
      <c r="AA7" s="662"/>
      <c r="AB7" s="662"/>
      <c r="AC7" s="662"/>
    </row>
    <row r="8" spans="1:60" ht="19.5" hidden="1" customHeight="1" thickTop="1">
      <c r="A8" s="392" t="s">
        <v>455</v>
      </c>
      <c r="B8" s="393">
        <v>7.5999999999999998E-2</v>
      </c>
      <c r="C8" s="393">
        <v>8.7999999999999995E-2</v>
      </c>
      <c r="D8" s="393">
        <v>0.13600000000000001</v>
      </c>
      <c r="E8" s="393">
        <v>0.104</v>
      </c>
      <c r="F8" s="393">
        <v>9.1999999999999998E-2</v>
      </c>
      <c r="G8" s="643">
        <v>9.0999999999999998E-2</v>
      </c>
      <c r="H8" s="643">
        <v>7.9000000000000001E-2</v>
      </c>
      <c r="I8" s="643">
        <v>0.122</v>
      </c>
      <c r="J8" s="643">
        <v>0.13200000000000001</v>
      </c>
      <c r="K8" s="643">
        <v>0.14499999999999999</v>
      </c>
      <c r="L8" s="643">
        <v>0.13800000000000001</v>
      </c>
      <c r="M8" s="643">
        <v>0.11799999999999999</v>
      </c>
      <c r="N8" s="643">
        <v>0.124</v>
      </c>
      <c r="O8" s="643">
        <v>0.11799999999999999</v>
      </c>
      <c r="P8" s="643">
        <v>0.12</v>
      </c>
      <c r="Q8" s="643">
        <v>0.114</v>
      </c>
      <c r="R8" s="643">
        <v>0.126</v>
      </c>
      <c r="S8" s="643">
        <v>0.13400000000000001</v>
      </c>
      <c r="T8" s="643">
        <v>0.129</v>
      </c>
      <c r="U8" s="643">
        <v>0.125</v>
      </c>
      <c r="V8" s="663"/>
      <c r="W8" s="663"/>
      <c r="X8" s="663"/>
      <c r="Y8" s="663"/>
      <c r="Z8" s="663"/>
      <c r="AA8" s="663"/>
      <c r="AB8" s="663"/>
      <c r="AC8" s="663"/>
    </row>
    <row r="9" spans="1:60" ht="19.5" hidden="1" customHeight="1">
      <c r="A9" s="286" t="s">
        <v>135</v>
      </c>
      <c r="B9" s="394"/>
      <c r="C9" s="394"/>
      <c r="D9" s="394"/>
      <c r="E9" s="394"/>
      <c r="F9" s="394"/>
      <c r="G9" s="644"/>
      <c r="H9" s="644"/>
      <c r="I9" s="644"/>
      <c r="J9" s="644"/>
      <c r="K9" s="644"/>
      <c r="L9" s="644"/>
      <c r="M9" s="644"/>
      <c r="N9" s="644"/>
      <c r="O9" s="644"/>
      <c r="P9" s="644"/>
      <c r="Q9" s="644"/>
      <c r="R9" s="644"/>
      <c r="S9" s="644"/>
      <c r="T9" s="644"/>
      <c r="U9" s="644"/>
      <c r="V9" s="644"/>
      <c r="W9" s="644"/>
      <c r="X9" s="644"/>
      <c r="Y9" s="644"/>
      <c r="Z9" s="644"/>
      <c r="AA9" s="644"/>
      <c r="AB9" s="644"/>
      <c r="AC9" s="644"/>
    </row>
    <row r="10" spans="1:60" s="27" customFormat="1" ht="19.5" hidden="1" customHeight="1">
      <c r="A10" s="388" t="s">
        <v>456</v>
      </c>
      <c r="B10" s="388" t="s">
        <v>435</v>
      </c>
      <c r="C10" s="388" t="s">
        <v>436</v>
      </c>
      <c r="D10" s="388" t="s">
        <v>437</v>
      </c>
      <c r="E10" s="388" t="s">
        <v>438</v>
      </c>
      <c r="F10" s="388" t="s">
        <v>439</v>
      </c>
      <c r="G10" s="637" t="s">
        <v>457</v>
      </c>
      <c r="H10" s="637" t="s">
        <v>441</v>
      </c>
      <c r="I10" s="637" t="s">
        <v>442</v>
      </c>
      <c r="J10" s="637" t="s">
        <v>443</v>
      </c>
      <c r="K10" s="637" t="s">
        <v>444</v>
      </c>
      <c r="L10" s="637" t="s">
        <v>445</v>
      </c>
      <c r="M10" s="637" t="s">
        <v>446</v>
      </c>
      <c r="N10" s="637" t="s">
        <v>447</v>
      </c>
      <c r="O10" s="637" t="s">
        <v>448</v>
      </c>
      <c r="P10" s="637" t="s">
        <v>449</v>
      </c>
      <c r="Q10" s="637" t="s">
        <v>450</v>
      </c>
      <c r="R10" s="637" t="s">
        <v>451</v>
      </c>
      <c r="S10" s="637" t="s">
        <v>452</v>
      </c>
      <c r="T10" s="637" t="s">
        <v>453</v>
      </c>
      <c r="U10" s="637" t="s">
        <v>454</v>
      </c>
      <c r="V10" s="664"/>
      <c r="W10" s="664"/>
      <c r="X10" s="664"/>
      <c r="Y10" s="664"/>
      <c r="Z10" s="664"/>
      <c r="AA10" s="664"/>
      <c r="AB10" s="664"/>
      <c r="AC10" s="664"/>
    </row>
    <row r="11" spans="1:60" ht="19.5" hidden="1" customHeight="1">
      <c r="A11" s="388" t="s">
        <v>186</v>
      </c>
      <c r="B11" s="377"/>
      <c r="C11" s="395">
        <f t="shared" ref="C11:C14" si="0">C5-B5</f>
        <v>3.6000000000000004E-2</v>
      </c>
      <c r="D11" s="395">
        <f t="shared" ref="D11:D14" si="1">D5-C5</f>
        <v>8.2000000000000017E-2</v>
      </c>
      <c r="E11" s="395">
        <f t="shared" ref="E11:E14" si="2">E5-D5</f>
        <v>-7.6000000000000012E-2</v>
      </c>
      <c r="F11" s="395">
        <f t="shared" ref="F11:F14" si="3">F5-E5</f>
        <v>-9.000000000000008E-3</v>
      </c>
      <c r="G11" s="645">
        <f t="shared" ref="G11:G14" si="4">G5-F5</f>
        <v>-3.1E-2</v>
      </c>
      <c r="H11" s="645">
        <f t="shared" ref="H11:H14" si="5">H5-G5</f>
        <v>-2.2999999999999993E-2</v>
      </c>
      <c r="I11" s="645">
        <f t="shared" ref="I11:I14" si="6">I5-H5</f>
        <v>0</v>
      </c>
      <c r="J11" s="645">
        <f t="shared" ref="J11:J14" si="7">J5-I5</f>
        <v>8.0000000000000071E-3</v>
      </c>
      <c r="K11" s="645">
        <f t="shared" ref="K11:K14" si="8">K5-J5</f>
        <v>2.7999999999999997E-2</v>
      </c>
      <c r="L11" s="645">
        <f t="shared" ref="L11:L14" si="9">L5-K5</f>
        <v>-2.2999999999999993E-2</v>
      </c>
      <c r="M11" s="645">
        <f t="shared" ref="M11:M14" si="10">M5-L5</f>
        <v>-4.7000000000000014E-2</v>
      </c>
      <c r="N11" s="645">
        <f t="shared" ref="N11:N14" si="11">N5-M5</f>
        <v>4.0000000000000036E-3</v>
      </c>
      <c r="O11" s="645">
        <f t="shared" ref="O11:O14" si="12">O5-N5</f>
        <v>-9.000000000000008E-3</v>
      </c>
      <c r="P11" s="645">
        <f t="shared" ref="P11:P14" si="13">P5-O5</f>
        <v>3.0000000000000027E-3</v>
      </c>
      <c r="Q11" s="645">
        <f t="shared" ref="Q11:Q14" si="14">Q5-P5</f>
        <v>1.6E-2</v>
      </c>
      <c r="R11" s="645">
        <f t="shared" ref="R11:R14" si="15">R5-Q5</f>
        <v>3.0000000000000013E-2</v>
      </c>
      <c r="S11" s="645">
        <f t="shared" ref="S11:S14" si="16">S5-R5</f>
        <v>9.9999999999999811E-3</v>
      </c>
      <c r="T11" s="645">
        <f t="shared" ref="T11:T14" si="17">T5-S5</f>
        <v>3.0000000000000027E-3</v>
      </c>
      <c r="U11" s="645">
        <f t="shared" ref="U11:U14" si="18">U5-T5</f>
        <v>-1.0000000000000009E-3</v>
      </c>
      <c r="V11" s="665"/>
      <c r="W11" s="665"/>
      <c r="X11" s="665"/>
      <c r="Y11" s="665"/>
      <c r="Z11" s="665"/>
      <c r="AA11" s="665"/>
      <c r="AB11" s="665"/>
      <c r="AC11" s="665"/>
    </row>
    <row r="12" spans="1:60" ht="19.5" hidden="1" customHeight="1">
      <c r="A12" s="388" t="s">
        <v>187</v>
      </c>
      <c r="B12" s="377"/>
      <c r="C12" s="395">
        <f t="shared" si="0"/>
        <v>1.0000000000000009E-3</v>
      </c>
      <c r="D12" s="395">
        <f t="shared" si="1"/>
        <v>0</v>
      </c>
      <c r="E12" s="395">
        <f t="shared" si="2"/>
        <v>2.9999999999999992E-3</v>
      </c>
      <c r="F12" s="395">
        <f t="shared" si="3"/>
        <v>-1.4999999999999999E-2</v>
      </c>
      <c r="G12" s="645">
        <f t="shared" si="4"/>
        <v>3.3000000000000002E-2</v>
      </c>
      <c r="H12" s="645">
        <f t="shared" si="5"/>
        <v>-1.0000000000000009E-3</v>
      </c>
      <c r="I12" s="645">
        <f t="shared" si="6"/>
        <v>-2.9999999999999957E-3</v>
      </c>
      <c r="J12" s="645">
        <f t="shared" si="7"/>
        <v>3.5999999999999997E-2</v>
      </c>
      <c r="K12" s="645">
        <f t="shared" si="8"/>
        <v>-1.0000000000000009E-3</v>
      </c>
      <c r="L12" s="645">
        <f t="shared" si="9"/>
        <v>-1.1999999999999997E-2</v>
      </c>
      <c r="M12" s="645">
        <f t="shared" si="10"/>
        <v>7.9999999999999932E-3</v>
      </c>
      <c r="N12" s="645">
        <f t="shared" si="11"/>
        <v>9.000000000000008E-3</v>
      </c>
      <c r="O12" s="645">
        <f t="shared" si="12"/>
        <v>8.9999999999999941E-3</v>
      </c>
      <c r="P12" s="645">
        <f t="shared" si="13"/>
        <v>2.0000000000000018E-3</v>
      </c>
      <c r="Q12" s="645">
        <f t="shared" si="14"/>
        <v>-7.9999999999999932E-3</v>
      </c>
      <c r="R12" s="645">
        <f t="shared" si="15"/>
        <v>2.9999999999999888E-3</v>
      </c>
      <c r="S12" s="645">
        <f t="shared" si="16"/>
        <v>4.0000000000000036E-3</v>
      </c>
      <c r="T12" s="645">
        <f t="shared" si="17"/>
        <v>-4.0000000000000036E-3</v>
      </c>
      <c r="U12" s="645">
        <f t="shared" si="18"/>
        <v>-3.9999999999999897E-3</v>
      </c>
      <c r="V12" s="665"/>
      <c r="W12" s="665"/>
      <c r="X12" s="665"/>
      <c r="Y12" s="665"/>
      <c r="Z12" s="665"/>
      <c r="AA12" s="665"/>
      <c r="AB12" s="665"/>
      <c r="AC12" s="665"/>
    </row>
    <row r="13" spans="1:60" ht="19.5" hidden="1" customHeight="1" thickBot="1">
      <c r="A13" s="390" t="s">
        <v>188</v>
      </c>
      <c r="B13" s="378"/>
      <c r="C13" s="396">
        <f t="shared" si="0"/>
        <v>-1.9E-2</v>
      </c>
      <c r="D13" s="396">
        <f t="shared" si="1"/>
        <v>3.0000000000000002E-2</v>
      </c>
      <c r="E13" s="396">
        <f t="shared" si="2"/>
        <v>0.03</v>
      </c>
      <c r="F13" s="396">
        <f t="shared" si="3"/>
        <v>-2.9000000000000005E-2</v>
      </c>
      <c r="G13" s="646">
        <f t="shared" si="4"/>
        <v>-2.9999999999999957E-3</v>
      </c>
      <c r="H13" s="646">
        <f t="shared" si="5"/>
        <v>-5.0000000000000044E-3</v>
      </c>
      <c r="I13" s="646">
        <f t="shared" si="6"/>
        <v>0.183</v>
      </c>
      <c r="J13" s="646">
        <f t="shared" si="7"/>
        <v>-1.2000000000000011E-2</v>
      </c>
      <c r="K13" s="646">
        <f t="shared" si="8"/>
        <v>5.0000000000000044E-3</v>
      </c>
      <c r="L13" s="646">
        <f t="shared" si="9"/>
        <v>1.6999999999999987E-2</v>
      </c>
      <c r="M13" s="646">
        <f t="shared" si="10"/>
        <v>-1.3999999999999985E-2</v>
      </c>
      <c r="N13" s="646">
        <f t="shared" si="11"/>
        <v>7.0000000000000062E-3</v>
      </c>
      <c r="O13" s="646">
        <f t="shared" si="12"/>
        <v>-2.0000000000000018E-2</v>
      </c>
      <c r="P13" s="646">
        <f t="shared" si="13"/>
        <v>1.0000000000000009E-3</v>
      </c>
      <c r="Q13" s="646">
        <f t="shared" si="14"/>
        <v>-4.2999999999999983E-2</v>
      </c>
      <c r="R13" s="646">
        <f t="shared" si="15"/>
        <v>-2.0000000000000018E-3</v>
      </c>
      <c r="S13" s="646">
        <f t="shared" si="16"/>
        <v>1.2999999999999984E-2</v>
      </c>
      <c r="T13" s="646">
        <f t="shared" si="17"/>
        <v>-2.2999999999999993E-2</v>
      </c>
      <c r="U13" s="646">
        <f t="shared" si="18"/>
        <v>-1.3000000000000012E-2</v>
      </c>
      <c r="V13" s="665"/>
      <c r="W13" s="665"/>
      <c r="X13" s="665"/>
      <c r="Y13" s="665"/>
      <c r="Z13" s="665"/>
      <c r="AA13" s="665"/>
      <c r="AB13" s="665"/>
      <c r="AC13" s="665"/>
    </row>
    <row r="14" spans="1:60" ht="19.5" hidden="1" customHeight="1" thickTop="1">
      <c r="A14" s="392" t="s">
        <v>455</v>
      </c>
      <c r="B14" s="397"/>
      <c r="C14" s="398">
        <f t="shared" si="0"/>
        <v>1.1999999999999997E-2</v>
      </c>
      <c r="D14" s="398">
        <f t="shared" si="1"/>
        <v>4.8000000000000015E-2</v>
      </c>
      <c r="E14" s="398">
        <f t="shared" si="2"/>
        <v>-3.2000000000000015E-2</v>
      </c>
      <c r="F14" s="398">
        <f t="shared" si="3"/>
        <v>-1.1999999999999997E-2</v>
      </c>
      <c r="G14" s="398">
        <f t="shared" si="4"/>
        <v>-1.0000000000000009E-3</v>
      </c>
      <c r="H14" s="398">
        <f t="shared" si="5"/>
        <v>-1.1999999999999997E-2</v>
      </c>
      <c r="I14" s="398">
        <f t="shared" si="6"/>
        <v>4.2999999999999997E-2</v>
      </c>
      <c r="J14" s="398">
        <f t="shared" si="7"/>
        <v>1.0000000000000009E-2</v>
      </c>
      <c r="K14" s="398">
        <f t="shared" si="8"/>
        <v>1.2999999999999984E-2</v>
      </c>
      <c r="L14" s="398">
        <f t="shared" si="9"/>
        <v>-6.9999999999999785E-3</v>
      </c>
      <c r="M14" s="398">
        <f t="shared" si="10"/>
        <v>-2.0000000000000018E-2</v>
      </c>
      <c r="N14" s="398">
        <f t="shared" si="11"/>
        <v>6.0000000000000053E-3</v>
      </c>
      <c r="O14" s="398">
        <f t="shared" si="12"/>
        <v>-6.0000000000000053E-3</v>
      </c>
      <c r="P14" s="398">
        <f t="shared" si="13"/>
        <v>2.0000000000000018E-3</v>
      </c>
      <c r="Q14" s="398">
        <f t="shared" si="14"/>
        <v>-5.9999999999999915E-3</v>
      </c>
      <c r="R14" s="398">
        <f t="shared" si="15"/>
        <v>1.1999999999999997E-2</v>
      </c>
      <c r="S14" s="398">
        <f t="shared" si="16"/>
        <v>8.0000000000000071E-3</v>
      </c>
      <c r="T14" s="398">
        <f t="shared" si="17"/>
        <v>-5.0000000000000044E-3</v>
      </c>
      <c r="U14" s="398">
        <f t="shared" si="18"/>
        <v>-4.0000000000000036E-3</v>
      </c>
      <c r="V14" s="666"/>
      <c r="W14" s="666"/>
      <c r="X14" s="666"/>
      <c r="Y14" s="666"/>
      <c r="Z14" s="666"/>
      <c r="AA14" s="666"/>
      <c r="AB14" s="666"/>
      <c r="AC14" s="666"/>
    </row>
    <row r="15" spans="1:60" ht="19.5" hidden="1" customHeight="1">
      <c r="A15" s="286" t="s">
        <v>135</v>
      </c>
      <c r="B15" s="286"/>
      <c r="C15" s="286"/>
      <c r="D15" s="286"/>
      <c r="E15" s="286"/>
      <c r="F15" s="286"/>
      <c r="G15" s="286"/>
      <c r="H15" s="286"/>
      <c r="I15" s="286"/>
      <c r="J15" s="286"/>
      <c r="K15" s="286"/>
      <c r="L15" s="286"/>
      <c r="M15" s="286"/>
      <c r="N15" s="286"/>
      <c r="O15" s="286"/>
      <c r="P15" s="286"/>
      <c r="Q15" s="286"/>
      <c r="R15" s="286"/>
      <c r="S15" s="286"/>
      <c r="T15" s="286"/>
      <c r="U15" s="286"/>
      <c r="V15" s="286"/>
      <c r="W15" s="286"/>
      <c r="X15" s="286"/>
      <c r="Y15" s="286"/>
      <c r="Z15" s="286"/>
      <c r="AA15" s="286"/>
      <c r="AB15" s="286"/>
      <c r="AC15" s="286"/>
    </row>
    <row r="16" spans="1:60" s="27" customFormat="1" ht="19.5" hidden="1" customHeight="1">
      <c r="A16" s="388" t="s">
        <v>458</v>
      </c>
      <c r="B16" s="388" t="s">
        <v>435</v>
      </c>
      <c r="C16" s="388" t="s">
        <v>436</v>
      </c>
      <c r="D16" s="388" t="s">
        <v>437</v>
      </c>
      <c r="E16" s="388" t="s">
        <v>438</v>
      </c>
      <c r="F16" s="388" t="s">
        <v>439</v>
      </c>
      <c r="G16" s="388" t="s">
        <v>457</v>
      </c>
      <c r="H16" s="388" t="s">
        <v>441</v>
      </c>
      <c r="I16" s="388" t="s">
        <v>442</v>
      </c>
      <c r="J16" s="388" t="s">
        <v>443</v>
      </c>
      <c r="K16" s="388" t="s">
        <v>444</v>
      </c>
      <c r="L16" s="388" t="s">
        <v>445</v>
      </c>
      <c r="M16" s="388" t="s">
        <v>446</v>
      </c>
      <c r="N16" s="388" t="s">
        <v>447</v>
      </c>
      <c r="O16" s="388" t="s">
        <v>448</v>
      </c>
      <c r="P16" s="388" t="s">
        <v>449</v>
      </c>
      <c r="Q16" s="388" t="s">
        <v>450</v>
      </c>
      <c r="R16" s="388" t="s">
        <v>451</v>
      </c>
      <c r="S16" s="388" t="s">
        <v>452</v>
      </c>
      <c r="T16" s="388" t="s">
        <v>453</v>
      </c>
      <c r="U16" s="388" t="s">
        <v>454</v>
      </c>
      <c r="V16" s="667"/>
      <c r="W16" s="667"/>
      <c r="X16" s="667"/>
      <c r="Y16" s="667"/>
      <c r="Z16" s="667"/>
      <c r="AA16" s="667"/>
      <c r="AB16" s="667"/>
      <c r="AC16" s="667"/>
      <c r="AY16" s="1"/>
      <c r="AZ16" s="1"/>
      <c r="BA16" s="1"/>
      <c r="BB16" s="1"/>
      <c r="BC16" s="1"/>
      <c r="BD16" s="1"/>
      <c r="BE16" s="1"/>
      <c r="BF16" s="1"/>
      <c r="BG16" s="1"/>
      <c r="BH16" s="1"/>
    </row>
    <row r="17" spans="1:30" ht="19.5" hidden="1" customHeight="1">
      <c r="A17" s="388" t="s">
        <v>186</v>
      </c>
      <c r="B17" s="377"/>
      <c r="C17" s="377"/>
      <c r="D17" s="377"/>
      <c r="E17" s="377"/>
      <c r="F17" s="399">
        <f t="shared" ref="F17:F20" si="19">F5/B5-1</f>
        <v>0.22297297297297303</v>
      </c>
      <c r="G17" s="647" t="s">
        <v>459</v>
      </c>
      <c r="H17" s="647">
        <f t="shared" ref="H17:H20" si="20">H5/D5-1</f>
        <v>-0.52255639097744355</v>
      </c>
      <c r="I17" s="647">
        <f t="shared" ref="I17:I20" si="21">I5/E5-1</f>
        <v>-0.33157894736842108</v>
      </c>
      <c r="J17" s="647">
        <f t="shared" ref="J17:J20" si="22">J5/F5-1</f>
        <v>-0.25414364640883969</v>
      </c>
      <c r="K17" s="647">
        <f t="shared" ref="K17:K20" si="23">K5/G5-1</f>
        <v>8.666666666666667E-2</v>
      </c>
      <c r="L17" s="647">
        <f t="shared" ref="L17:L20" si="24">L5/H5-1</f>
        <v>0.10236220472440949</v>
      </c>
      <c r="M17" s="647">
        <f t="shared" ref="M17:M20" si="25">M5/I5-1</f>
        <v>-0.26771653543307083</v>
      </c>
      <c r="N17" s="647">
        <f t="shared" ref="N17:N20" si="26">N5/J5-1</f>
        <v>-0.28148148148148155</v>
      </c>
      <c r="O17" s="647">
        <f t="shared" ref="O17:O20" si="27">O5/K5-1</f>
        <v>-0.46012269938650308</v>
      </c>
      <c r="P17" s="647">
        <f t="shared" ref="P17:P20" si="28">P5/L5-1</f>
        <v>-0.35000000000000009</v>
      </c>
      <c r="Q17" s="647">
        <f t="shared" ref="Q17:Q20" si="29">Q5/M5-1</f>
        <v>0.15053763440860224</v>
      </c>
      <c r="R17" s="647">
        <f t="shared" ref="R17:R20" si="30">R5/N5-1</f>
        <v>0.41237113402061865</v>
      </c>
      <c r="S17" s="647">
        <f t="shared" ref="S17:S20" si="31">S5/O5-1</f>
        <v>0.67045454545454541</v>
      </c>
      <c r="T17" s="647">
        <f t="shared" ref="T17:T20" si="32">T5/P5-1</f>
        <v>0.64835164835164827</v>
      </c>
      <c r="U17" s="647">
        <f t="shared" ref="U17:U20" si="33">U5/Q5-1</f>
        <v>0.39252336448598135</v>
      </c>
      <c r="V17" s="668"/>
      <c r="W17" s="668"/>
      <c r="X17" s="668"/>
      <c r="Y17" s="668"/>
      <c r="Z17" s="668"/>
      <c r="AA17" s="668"/>
      <c r="AB17" s="668"/>
      <c r="AC17" s="668"/>
    </row>
    <row r="18" spans="1:30" ht="19.5" hidden="1" customHeight="1">
      <c r="A18" s="388" t="s">
        <v>187</v>
      </c>
      <c r="B18" s="377"/>
      <c r="C18" s="377"/>
      <c r="D18" s="377"/>
      <c r="E18" s="377"/>
      <c r="F18" s="399">
        <f t="shared" si="19"/>
        <v>-0.5</v>
      </c>
      <c r="G18" s="647">
        <f t="shared" ref="G18:G20" si="34">G6/C6-1</f>
        <v>0.9130434782608694</v>
      </c>
      <c r="H18" s="647">
        <f t="shared" si="20"/>
        <v>0.86956521739130421</v>
      </c>
      <c r="I18" s="647">
        <f t="shared" si="21"/>
        <v>0.53846153846153855</v>
      </c>
      <c r="J18" s="647">
        <f t="shared" si="22"/>
        <v>5.9090909090909092</v>
      </c>
      <c r="K18" s="647">
        <f t="shared" si="23"/>
        <v>0.70454545454545459</v>
      </c>
      <c r="L18" s="647">
        <f t="shared" si="24"/>
        <v>0.4651162790697676</v>
      </c>
      <c r="M18" s="647">
        <f t="shared" si="25"/>
        <v>0.77499999999999991</v>
      </c>
      <c r="N18" s="647">
        <f t="shared" si="26"/>
        <v>5.2631578947368363E-2</v>
      </c>
      <c r="O18" s="647">
        <f t="shared" si="27"/>
        <v>0.18666666666666676</v>
      </c>
      <c r="P18" s="647">
        <f t="shared" si="28"/>
        <v>0.44444444444444442</v>
      </c>
      <c r="Q18" s="647">
        <f t="shared" si="29"/>
        <v>0.16901408450704247</v>
      </c>
      <c r="R18" s="647">
        <f t="shared" si="30"/>
        <v>7.4999999999999956E-2</v>
      </c>
      <c r="S18" s="647">
        <f t="shared" si="31"/>
        <v>1.1235955056179803E-2</v>
      </c>
      <c r="T18" s="647">
        <f t="shared" si="32"/>
        <v>-5.4945054945054972E-2</v>
      </c>
      <c r="U18" s="647">
        <f t="shared" si="33"/>
        <v>-1.2048192771084376E-2</v>
      </c>
      <c r="V18" s="668"/>
      <c r="W18" s="668"/>
      <c r="X18" s="668"/>
      <c r="Y18" s="668"/>
      <c r="Z18" s="668"/>
      <c r="AA18" s="668"/>
      <c r="AB18" s="668"/>
      <c r="AC18" s="668"/>
    </row>
    <row r="19" spans="1:30" ht="19.5" hidden="1" customHeight="1" thickBot="1">
      <c r="A19" s="390" t="s">
        <v>188</v>
      </c>
      <c r="B19" s="378"/>
      <c r="C19" s="378"/>
      <c r="D19" s="378"/>
      <c r="E19" s="378"/>
      <c r="F19" s="400">
        <f t="shared" si="19"/>
        <v>0.30769230769230771</v>
      </c>
      <c r="G19" s="648">
        <f t="shared" si="34"/>
        <v>1.4</v>
      </c>
      <c r="H19" s="648">
        <f t="shared" si="20"/>
        <v>-0.14000000000000012</v>
      </c>
      <c r="I19" s="648">
        <f t="shared" si="21"/>
        <v>1.8250000000000002</v>
      </c>
      <c r="J19" s="648">
        <f t="shared" si="22"/>
        <v>3.1960784313725492</v>
      </c>
      <c r="K19" s="648">
        <f t="shared" si="23"/>
        <v>3.5625</v>
      </c>
      <c r="L19" s="648">
        <f t="shared" si="24"/>
        <v>4.4883720930232558</v>
      </c>
      <c r="M19" s="648">
        <f t="shared" si="25"/>
        <v>-1.7699115044247815E-2</v>
      </c>
      <c r="N19" s="648">
        <f t="shared" si="26"/>
        <v>7.0093457943925408E-2</v>
      </c>
      <c r="O19" s="648">
        <f t="shared" si="27"/>
        <v>-4.5662100456621002E-2</v>
      </c>
      <c r="P19" s="648">
        <f t="shared" si="28"/>
        <v>-0.11016949152542377</v>
      </c>
      <c r="Q19" s="648">
        <f t="shared" si="29"/>
        <v>-0.24774774774774766</v>
      </c>
      <c r="R19" s="648">
        <f t="shared" si="30"/>
        <v>-0.27947598253275108</v>
      </c>
      <c r="S19" s="648">
        <f t="shared" si="31"/>
        <v>-0.14832535885167464</v>
      </c>
      <c r="T19" s="648">
        <f t="shared" si="32"/>
        <v>-0.26190476190476186</v>
      </c>
      <c r="U19" s="648">
        <f t="shared" si="33"/>
        <v>-0.14970059880239528</v>
      </c>
      <c r="V19" s="668"/>
      <c r="W19" s="668"/>
      <c r="X19" s="668"/>
      <c r="Y19" s="668"/>
      <c r="Z19" s="668"/>
      <c r="AA19" s="668"/>
      <c r="AB19" s="668"/>
      <c r="AC19" s="668"/>
    </row>
    <row r="20" spans="1:30" ht="19.5" hidden="1" customHeight="1" thickTop="1">
      <c r="A20" s="392" t="s">
        <v>455</v>
      </c>
      <c r="B20" s="397"/>
      <c r="C20" s="397"/>
      <c r="D20" s="397"/>
      <c r="E20" s="397"/>
      <c r="F20" s="401">
        <f t="shared" si="19"/>
        <v>0.21052631578947367</v>
      </c>
      <c r="G20" s="649">
        <f t="shared" si="34"/>
        <v>3.4090909090909172E-2</v>
      </c>
      <c r="H20" s="649">
        <f t="shared" si="20"/>
        <v>-0.41911764705882359</v>
      </c>
      <c r="I20" s="649">
        <f t="shared" si="21"/>
        <v>0.17307692307692313</v>
      </c>
      <c r="J20" s="649">
        <f t="shared" si="22"/>
        <v>0.43478260869565233</v>
      </c>
      <c r="K20" s="649">
        <f t="shared" si="23"/>
        <v>0.5934065934065933</v>
      </c>
      <c r="L20" s="649">
        <f t="shared" si="24"/>
        <v>0.74683544303797489</v>
      </c>
      <c r="M20" s="649">
        <f t="shared" si="25"/>
        <v>-3.2786885245901676E-2</v>
      </c>
      <c r="N20" s="649">
        <f t="shared" si="26"/>
        <v>-6.0606060606060663E-2</v>
      </c>
      <c r="O20" s="649">
        <f t="shared" si="27"/>
        <v>-0.18620689655172418</v>
      </c>
      <c r="P20" s="649">
        <f t="shared" si="28"/>
        <v>-0.13043478260869579</v>
      </c>
      <c r="Q20" s="649">
        <f t="shared" si="29"/>
        <v>-3.3898305084745672E-2</v>
      </c>
      <c r="R20" s="649">
        <f t="shared" si="30"/>
        <v>1.6129032258064502E-2</v>
      </c>
      <c r="S20" s="649">
        <f t="shared" si="31"/>
        <v>0.13559322033898313</v>
      </c>
      <c r="T20" s="649">
        <f t="shared" si="32"/>
        <v>7.5000000000000178E-2</v>
      </c>
      <c r="U20" s="649">
        <f t="shared" si="33"/>
        <v>9.6491228070175294E-2</v>
      </c>
      <c r="V20" s="669"/>
      <c r="W20" s="669"/>
      <c r="X20" s="669"/>
      <c r="Y20" s="669"/>
      <c r="Z20" s="669"/>
      <c r="AA20" s="669"/>
      <c r="AB20" s="669"/>
      <c r="AC20" s="669"/>
    </row>
    <row r="21" spans="1:30" ht="19.5" hidden="1" customHeight="1">
      <c r="A21" s="286"/>
      <c r="B21" s="286"/>
      <c r="C21" s="286"/>
      <c r="D21" s="286"/>
      <c r="E21" s="286"/>
      <c r="F21" s="286"/>
      <c r="G21" s="639"/>
      <c r="H21" s="639"/>
      <c r="I21" s="639"/>
      <c r="J21" s="639"/>
      <c r="K21" s="639"/>
      <c r="L21" s="639"/>
      <c r="M21" s="639"/>
      <c r="N21" s="639"/>
      <c r="O21" s="639"/>
      <c r="P21" s="639"/>
      <c r="Q21" s="639"/>
      <c r="R21" s="639"/>
      <c r="S21" s="639"/>
      <c r="T21" s="639"/>
      <c r="U21" s="639"/>
      <c r="V21" s="639"/>
      <c r="W21" s="639"/>
      <c r="X21" s="639"/>
      <c r="Y21" s="639"/>
      <c r="Z21" s="639"/>
      <c r="AA21" s="639"/>
      <c r="AB21" s="639"/>
      <c r="AC21" s="639"/>
    </row>
    <row r="22" spans="1:30" ht="19.5" customHeight="1">
      <c r="A22" s="362" t="s">
        <v>434</v>
      </c>
      <c r="B22" s="362" t="s">
        <v>384</v>
      </c>
      <c r="C22" s="362" t="s">
        <v>385</v>
      </c>
      <c r="D22" s="362" t="s">
        <v>386</v>
      </c>
      <c r="E22" s="362" t="s">
        <v>387</v>
      </c>
      <c r="F22" s="362" t="s">
        <v>388</v>
      </c>
      <c r="G22" s="362" t="s">
        <v>389</v>
      </c>
      <c r="H22" s="362" t="s">
        <v>390</v>
      </c>
      <c r="I22" s="362" t="s">
        <v>391</v>
      </c>
      <c r="J22" s="362" t="s">
        <v>392</v>
      </c>
      <c r="K22" s="362" t="s">
        <v>393</v>
      </c>
      <c r="L22" s="362" t="s">
        <v>394</v>
      </c>
      <c r="M22" s="362" t="s">
        <v>395</v>
      </c>
      <c r="N22" s="362" t="s">
        <v>396</v>
      </c>
      <c r="O22" s="362" t="s">
        <v>397</v>
      </c>
      <c r="P22" s="362" t="s">
        <v>398</v>
      </c>
      <c r="Q22" s="362" t="s">
        <v>399</v>
      </c>
      <c r="R22" s="362" t="s">
        <v>460</v>
      </c>
      <c r="S22" s="362" t="s">
        <v>461</v>
      </c>
      <c r="T22" s="362" t="s">
        <v>402</v>
      </c>
      <c r="U22" s="362" t="s">
        <v>412</v>
      </c>
      <c r="V22" s="362" t="s">
        <v>413</v>
      </c>
      <c r="W22" s="362" t="s">
        <v>414</v>
      </c>
      <c r="X22" s="362" t="s">
        <v>415</v>
      </c>
      <c r="Y22" s="362" t="s">
        <v>416</v>
      </c>
      <c r="Z22" s="362" t="s">
        <v>417</v>
      </c>
      <c r="AA22" s="362" t="s">
        <v>418</v>
      </c>
      <c r="AB22" s="362" t="s">
        <v>425</v>
      </c>
      <c r="AC22" s="362" t="s">
        <v>426</v>
      </c>
    </row>
    <row r="23" spans="1:30" ht="19.5" customHeight="1">
      <c r="A23" s="388" t="s">
        <v>186</v>
      </c>
      <c r="B23" s="389">
        <v>0.13000897797930977</v>
      </c>
      <c r="C23" s="389">
        <v>0.13333138703525635</v>
      </c>
      <c r="D23" s="389">
        <v>0.10099495693635595</v>
      </c>
      <c r="E23" s="389">
        <v>7.865045667831741E-2</v>
      </c>
      <c r="F23" s="389">
        <v>7.0088157771135126E-2</v>
      </c>
      <c r="G23" s="389">
        <v>0.11380211134784511</v>
      </c>
      <c r="H23" s="389">
        <v>0.10100000000000001</v>
      </c>
      <c r="I23" s="389">
        <v>0.11250483746812884</v>
      </c>
      <c r="J23" s="389">
        <v>9.9699515011065692E-2</v>
      </c>
      <c r="K23" s="389">
        <v>0.10222697398854762</v>
      </c>
      <c r="L23" s="389">
        <v>8.9969874120457025E-2</v>
      </c>
      <c r="M23" s="389">
        <v>9.4827900275667801E-2</v>
      </c>
      <c r="N23" s="389">
        <v>7.0000000000000007E-2</v>
      </c>
      <c r="O23" s="389">
        <v>5.3175237933290313E-2</v>
      </c>
      <c r="P23" s="389">
        <v>3.5000000000000003E-2</v>
      </c>
      <c r="Q23" s="402">
        <v>2.4E-2</v>
      </c>
      <c r="R23" s="389">
        <v>2.5999999999999999E-2</v>
      </c>
      <c r="S23" s="402">
        <v>3.1E-2</v>
      </c>
      <c r="T23" s="403">
        <v>0.02</v>
      </c>
      <c r="U23" s="403">
        <v>2.1000000000000001E-2</v>
      </c>
      <c r="V23" s="403">
        <v>2.1999999999999999E-2</v>
      </c>
      <c r="W23" s="403">
        <v>2.5999999999999999E-2</v>
      </c>
      <c r="X23" s="403">
        <v>2.9000000000000001E-2</v>
      </c>
      <c r="Y23" s="403">
        <f t="shared" ref="Y23:AA26" si="35">Y42</f>
        <v>2.8000000000000001E-2</v>
      </c>
      <c r="Z23" s="403">
        <f t="shared" si="35"/>
        <v>4.4999999999999998E-2</v>
      </c>
      <c r="AA23" s="403">
        <f t="shared" si="35"/>
        <v>4.3999999999999997E-2</v>
      </c>
      <c r="AB23" s="403">
        <f t="shared" ref="AB23" si="36">AB42</f>
        <v>4.5999999999999999E-2</v>
      </c>
      <c r="AC23" s="540">
        <v>4.8000000000000001E-2</v>
      </c>
    </row>
    <row r="24" spans="1:30" ht="19.5" customHeight="1">
      <c r="A24" s="388" t="s">
        <v>187</v>
      </c>
      <c r="B24" s="389">
        <v>3.9566450505035107E-2</v>
      </c>
      <c r="C24" s="389">
        <v>2.8736048138347674E-2</v>
      </c>
      <c r="D24" s="389">
        <v>2.1080038488155588E-2</v>
      </c>
      <c r="E24" s="389">
        <v>3.8848163078909939E-2</v>
      </c>
      <c r="F24" s="389">
        <v>4.1940748117810206E-2</v>
      </c>
      <c r="G24" s="389">
        <v>4.2420610315700033E-2</v>
      </c>
      <c r="H24" s="389">
        <v>3.9E-2</v>
      </c>
      <c r="I24" s="389">
        <v>4.027498544852412E-2</v>
      </c>
      <c r="J24" s="389">
        <v>8.4243728368115556E-2</v>
      </c>
      <c r="K24" s="389">
        <v>3.3085516653527207E-2</v>
      </c>
      <c r="L24" s="389">
        <v>1.3967713556367597E-2</v>
      </c>
      <c r="M24" s="389">
        <v>1.1198919543877715E-2</v>
      </c>
      <c r="N24" s="389">
        <v>6.0000000000000001E-3</v>
      </c>
      <c r="O24" s="389">
        <v>1.0876781982034315E-2</v>
      </c>
      <c r="P24" s="389">
        <v>8.9999999999999993E-3</v>
      </c>
      <c r="Q24" s="389">
        <v>8.0000000000000002E-3</v>
      </c>
      <c r="R24" s="389">
        <v>2.1000000000000001E-2</v>
      </c>
      <c r="S24" s="402">
        <v>8.9999999999999993E-3</v>
      </c>
      <c r="T24" s="403">
        <v>8.0000000000000002E-3</v>
      </c>
      <c r="U24" s="403">
        <v>1.0999999999999999E-2</v>
      </c>
      <c r="V24" s="403">
        <v>1.4999999999999999E-2</v>
      </c>
      <c r="W24" s="403">
        <v>1.7999999999999999E-2</v>
      </c>
      <c r="X24" s="403">
        <v>2.3E-2</v>
      </c>
      <c r="Y24" s="403">
        <f t="shared" si="35"/>
        <v>0.02</v>
      </c>
      <c r="Z24" s="403">
        <f t="shared" si="35"/>
        <v>2.3E-2</v>
      </c>
      <c r="AA24" s="403">
        <f t="shared" si="35"/>
        <v>2.1000000000000001E-2</v>
      </c>
      <c r="AB24" s="403">
        <f t="shared" ref="AB24" si="37">AB43</f>
        <v>1.4E-2</v>
      </c>
      <c r="AC24" s="540">
        <v>1.7999999999999999E-2</v>
      </c>
    </row>
    <row r="25" spans="1:30" ht="19.5" customHeight="1" thickBot="1">
      <c r="A25" s="390" t="s">
        <v>188</v>
      </c>
      <c r="B25" s="391">
        <v>8.8249456526826572E-2</v>
      </c>
      <c r="C25" s="391">
        <v>8.6179824880220551E-2</v>
      </c>
      <c r="D25" s="391">
        <v>6.5911671581424316E-2</v>
      </c>
      <c r="E25" s="391">
        <v>7.8710711623391022E-2</v>
      </c>
      <c r="F25" s="391">
        <v>9.059239821931489E-2</v>
      </c>
      <c r="G25" s="391">
        <v>5.9318733282770875E-2</v>
      </c>
      <c r="H25" s="391">
        <v>0.20799999999999999</v>
      </c>
      <c r="I25" s="391">
        <v>0.15309332099656367</v>
      </c>
      <c r="J25" s="391">
        <v>0.12933476796105961</v>
      </c>
      <c r="K25" s="391">
        <v>0.11632951286907764</v>
      </c>
      <c r="L25" s="391">
        <v>0.10259083503038152</v>
      </c>
      <c r="M25" s="391">
        <v>8.145122156270837E-2</v>
      </c>
      <c r="N25" s="391">
        <v>3.2000000000000001E-2</v>
      </c>
      <c r="O25" s="391">
        <v>1.9756245423093233E-2</v>
      </c>
      <c r="P25" s="391">
        <v>1.6E-2</v>
      </c>
      <c r="Q25" s="391">
        <v>1.0999999999999999E-2</v>
      </c>
      <c r="R25" s="391">
        <v>1.9E-2</v>
      </c>
      <c r="S25" s="404">
        <v>1.7999999999999999E-2</v>
      </c>
      <c r="T25" s="405">
        <v>2.4E-2</v>
      </c>
      <c r="U25" s="405">
        <v>2.4E-2</v>
      </c>
      <c r="V25" s="405">
        <v>2.3E-2</v>
      </c>
      <c r="W25" s="405">
        <v>2.8000000000000001E-2</v>
      </c>
      <c r="X25" s="405">
        <v>3.1E-2</v>
      </c>
      <c r="Y25" s="405">
        <f t="shared" si="35"/>
        <v>2.7E-2</v>
      </c>
      <c r="Z25" s="405">
        <f t="shared" si="35"/>
        <v>4.4999999999999998E-2</v>
      </c>
      <c r="AA25" s="405">
        <f t="shared" si="35"/>
        <v>3.5999999999999997E-2</v>
      </c>
      <c r="AB25" s="405">
        <f t="shared" ref="AB25" si="38">AB44</f>
        <v>2.1999999999999999E-2</v>
      </c>
      <c r="AC25" s="541">
        <v>2.7E-2</v>
      </c>
    </row>
    <row r="26" spans="1:30" ht="19.5" customHeight="1" thickTop="1">
      <c r="A26" s="392" t="s">
        <v>455</v>
      </c>
      <c r="B26" s="393">
        <v>8.9881494127018402E-2</v>
      </c>
      <c r="C26" s="393">
        <v>8.7999999999999995E-2</v>
      </c>
      <c r="D26" s="393">
        <v>6.7064116860087161E-2</v>
      </c>
      <c r="E26" s="393">
        <v>6.5021288054436771E-2</v>
      </c>
      <c r="F26" s="393">
        <v>6.4516362950559056E-2</v>
      </c>
      <c r="G26" s="393">
        <v>7.9441765577845727E-2</v>
      </c>
      <c r="H26" s="393">
        <v>0.106</v>
      </c>
      <c r="I26" s="393">
        <v>9.9001354090857294E-2</v>
      </c>
      <c r="J26" s="393">
        <v>0.10122766791383617</v>
      </c>
      <c r="K26" s="393">
        <v>8.1982242238625949E-2</v>
      </c>
      <c r="L26" s="393">
        <v>6.7181595040195677E-2</v>
      </c>
      <c r="M26" s="393">
        <v>6.3698979724226418E-2</v>
      </c>
      <c r="N26" s="393">
        <v>0.04</v>
      </c>
      <c r="O26" s="393">
        <v>3.1512445434853716E-2</v>
      </c>
      <c r="P26" s="393">
        <v>2.1999999999999999E-2</v>
      </c>
      <c r="Q26" s="406">
        <v>1.6E-2</v>
      </c>
      <c r="R26" s="393">
        <v>2.3E-2</v>
      </c>
      <c r="S26" s="406">
        <v>2.1000000000000001E-2</v>
      </c>
      <c r="T26" s="407">
        <v>1.7000000000000001E-2</v>
      </c>
      <c r="U26" s="407">
        <v>1.7999999999999999E-2</v>
      </c>
      <c r="V26" s="407">
        <v>0.02</v>
      </c>
      <c r="W26" s="407">
        <v>2.4E-2</v>
      </c>
      <c r="X26" s="407">
        <v>2.8000000000000001E-2</v>
      </c>
      <c r="Y26" s="407">
        <f t="shared" si="35"/>
        <v>2.5000000000000001E-2</v>
      </c>
      <c r="Z26" s="407">
        <f t="shared" si="35"/>
        <v>3.7999999999999999E-2</v>
      </c>
      <c r="AA26" s="407">
        <f t="shared" si="35"/>
        <v>3.4000000000000002E-2</v>
      </c>
      <c r="AB26" s="407">
        <f t="shared" ref="AB26" si="39">AB45</f>
        <v>0.03</v>
      </c>
      <c r="AC26" s="408">
        <v>3.3000000000000002E-2</v>
      </c>
    </row>
    <row r="27" spans="1:30" s="43" customFormat="1" ht="19.5" customHeight="1">
      <c r="A27" s="286" t="s">
        <v>135</v>
      </c>
      <c r="B27" s="651"/>
      <c r="C27" s="651"/>
      <c r="D27" s="651"/>
      <c r="E27" s="651"/>
      <c r="F27" s="651"/>
      <c r="G27" s="651"/>
      <c r="H27" s="651"/>
      <c r="I27" s="651"/>
      <c r="J27" s="394"/>
      <c r="K27" s="394"/>
      <c r="L27" s="394"/>
      <c r="M27" s="394"/>
      <c r="N27" s="394"/>
      <c r="O27" s="394"/>
      <c r="P27" s="394"/>
      <c r="Q27" s="394"/>
      <c r="R27" s="394"/>
      <c r="S27" s="394"/>
      <c r="T27" s="394"/>
      <c r="U27" s="394"/>
      <c r="V27" s="286"/>
      <c r="W27" s="286"/>
      <c r="X27" s="286"/>
      <c r="Y27" s="286"/>
      <c r="Z27" s="286"/>
      <c r="AA27" s="286"/>
      <c r="AB27" s="286"/>
      <c r="AC27" s="286"/>
    </row>
    <row r="28" spans="1:30" ht="19.5" customHeight="1">
      <c r="A28" s="388" t="s">
        <v>456</v>
      </c>
      <c r="B28" s="388" t="s">
        <v>384</v>
      </c>
      <c r="C28" s="388" t="s">
        <v>385</v>
      </c>
      <c r="D28" s="388" t="s">
        <v>386</v>
      </c>
      <c r="E28" s="388" t="s">
        <v>387</v>
      </c>
      <c r="F28" s="388" t="s">
        <v>388</v>
      </c>
      <c r="G28" s="388" t="s">
        <v>389</v>
      </c>
      <c r="H28" s="388" t="s">
        <v>390</v>
      </c>
      <c r="I28" s="388" t="s">
        <v>391</v>
      </c>
      <c r="J28" s="388" t="s">
        <v>392</v>
      </c>
      <c r="K28" s="388" t="s">
        <v>393</v>
      </c>
      <c r="L28" s="388" t="s">
        <v>394</v>
      </c>
      <c r="M28" s="388" t="s">
        <v>395</v>
      </c>
      <c r="N28" s="388" t="s">
        <v>396</v>
      </c>
      <c r="O28" s="388" t="s">
        <v>397</v>
      </c>
      <c r="P28" s="388" t="s">
        <v>398</v>
      </c>
      <c r="Q28" s="388" t="s">
        <v>399</v>
      </c>
      <c r="R28" s="388" t="s">
        <v>460</v>
      </c>
      <c r="S28" s="388" t="s">
        <v>461</v>
      </c>
      <c r="T28" s="388" t="s">
        <v>402</v>
      </c>
      <c r="U28" s="362" t="s">
        <v>412</v>
      </c>
      <c r="V28" s="362" t="s">
        <v>413</v>
      </c>
      <c r="W28" s="362" t="s">
        <v>414</v>
      </c>
      <c r="X28" s="362" t="s">
        <v>415</v>
      </c>
      <c r="Y28" s="362" t="s">
        <v>416</v>
      </c>
      <c r="Z28" s="362" t="s">
        <v>417</v>
      </c>
      <c r="AA28" s="362" t="s">
        <v>418</v>
      </c>
      <c r="AB28" s="362" t="s">
        <v>425</v>
      </c>
      <c r="AC28" s="362" t="s">
        <v>426</v>
      </c>
    </row>
    <row r="29" spans="1:30" ht="19.5" customHeight="1">
      <c r="A29" s="388" t="s">
        <v>186</v>
      </c>
      <c r="B29" s="395">
        <v>1.2037419582776709E-2</v>
      </c>
      <c r="C29" s="395">
        <v>3.3224090559465791E-3</v>
      </c>
      <c r="D29" s="395">
        <v>-3.2336430098900401E-2</v>
      </c>
      <c r="E29" s="395">
        <v>-2.2344500258038538E-2</v>
      </c>
      <c r="F29" s="395">
        <v>-8.5622989071822836E-3</v>
      </c>
      <c r="G29" s="395">
        <v>4.3713953576709985E-2</v>
      </c>
      <c r="H29" s="395">
        <v>-1.2802111347845105E-2</v>
      </c>
      <c r="I29" s="395">
        <v>1.1504837468128831E-2</v>
      </c>
      <c r="J29" s="395">
        <f>J23-I29</f>
        <v>8.8194677542936861E-2</v>
      </c>
      <c r="K29" s="395">
        <f t="shared" ref="K29:AA29" si="40">K23-J23</f>
        <v>2.5274589774819251E-3</v>
      </c>
      <c r="L29" s="395">
        <f t="shared" si="40"/>
        <v>-1.2257099868090593E-2</v>
      </c>
      <c r="M29" s="395">
        <f t="shared" si="40"/>
        <v>4.8580261552107762E-3</v>
      </c>
      <c r="N29" s="395">
        <f t="shared" si="40"/>
        <v>-2.4827900275667794E-2</v>
      </c>
      <c r="O29" s="395">
        <f t="shared" si="40"/>
        <v>-1.6824762066709693E-2</v>
      </c>
      <c r="P29" s="395">
        <f t="shared" si="40"/>
        <v>-1.817523793329031E-2</v>
      </c>
      <c r="Q29" s="395">
        <f t="shared" si="40"/>
        <v>-1.1000000000000003E-2</v>
      </c>
      <c r="R29" s="395">
        <f t="shared" si="40"/>
        <v>1.9999999999999983E-3</v>
      </c>
      <c r="S29" s="395">
        <f t="shared" si="40"/>
        <v>5.000000000000001E-3</v>
      </c>
      <c r="T29" s="409">
        <f t="shared" si="40"/>
        <v>-1.0999999999999999E-2</v>
      </c>
      <c r="U29" s="409">
        <f t="shared" si="40"/>
        <v>1.0000000000000009E-3</v>
      </c>
      <c r="V29" s="409">
        <f t="shared" si="40"/>
        <v>9.9999999999999742E-4</v>
      </c>
      <c r="W29" s="409">
        <f t="shared" si="40"/>
        <v>4.0000000000000001E-3</v>
      </c>
      <c r="X29" s="409">
        <f t="shared" si="40"/>
        <v>3.0000000000000027E-3</v>
      </c>
      <c r="Y29" s="409">
        <f t="shared" si="40"/>
        <v>-1.0000000000000009E-3</v>
      </c>
      <c r="Z29" s="409">
        <f t="shared" si="40"/>
        <v>1.6999999999999998E-2</v>
      </c>
      <c r="AA29" s="409">
        <f t="shared" si="40"/>
        <v>-1.0000000000000009E-3</v>
      </c>
      <c r="AB29" s="409">
        <f t="shared" ref="AB29:AC29" si="41">AB23-AA23</f>
        <v>2.0000000000000018E-3</v>
      </c>
      <c r="AC29" s="537">
        <f t="shared" si="41"/>
        <v>2.0000000000000018E-3</v>
      </c>
      <c r="AD29" s="435"/>
    </row>
    <row r="30" spans="1:30" ht="19.5" customHeight="1">
      <c r="A30" s="388" t="s">
        <v>187</v>
      </c>
      <c r="B30" s="395">
        <v>-2.0063773826068936E-2</v>
      </c>
      <c r="C30" s="395" t="s">
        <v>462</v>
      </c>
      <c r="D30" s="395">
        <v>-7.656009650192086E-3</v>
      </c>
      <c r="E30" s="395">
        <v>1.7768124590754351E-2</v>
      </c>
      <c r="F30" s="395">
        <v>3.0925850389002668E-3</v>
      </c>
      <c r="G30" s="395">
        <v>4.7986219788982709E-4</v>
      </c>
      <c r="H30" s="395">
        <v>-3.4206103157000331E-3</v>
      </c>
      <c r="I30" s="395">
        <v>1.2749854485241199E-3</v>
      </c>
      <c r="J30" s="395">
        <f>J24-I30</f>
        <v>8.2968742919591443E-2</v>
      </c>
      <c r="K30" s="395">
        <f t="shared" ref="K30:AA30" si="42">K24-J24</f>
        <v>-5.1158211714588349E-2</v>
      </c>
      <c r="L30" s="395">
        <f t="shared" si="42"/>
        <v>-1.9117803097159609E-2</v>
      </c>
      <c r="M30" s="395">
        <f t="shared" si="42"/>
        <v>-2.7687940124898822E-3</v>
      </c>
      <c r="N30" s="395">
        <f t="shared" si="42"/>
        <v>-5.1989195438777152E-3</v>
      </c>
      <c r="O30" s="395">
        <f t="shared" si="42"/>
        <v>4.8767819820343151E-3</v>
      </c>
      <c r="P30" s="395">
        <f t="shared" si="42"/>
        <v>-1.876781982034316E-3</v>
      </c>
      <c r="Q30" s="395">
        <f t="shared" si="42"/>
        <v>-9.9999999999999915E-4</v>
      </c>
      <c r="R30" s="395">
        <f t="shared" si="42"/>
        <v>1.3000000000000001E-2</v>
      </c>
      <c r="S30" s="395">
        <f t="shared" si="42"/>
        <v>-1.2000000000000002E-2</v>
      </c>
      <c r="T30" s="409">
        <f t="shared" si="42"/>
        <v>-9.9999999999999915E-4</v>
      </c>
      <c r="U30" s="409">
        <f t="shared" si="42"/>
        <v>2.9999999999999992E-3</v>
      </c>
      <c r="V30" s="409">
        <f t="shared" si="42"/>
        <v>4.0000000000000001E-3</v>
      </c>
      <c r="W30" s="409">
        <f t="shared" si="42"/>
        <v>2.9999999999999992E-3</v>
      </c>
      <c r="X30" s="409">
        <f t="shared" si="42"/>
        <v>5.000000000000001E-3</v>
      </c>
      <c r="Y30" s="409">
        <f t="shared" si="42"/>
        <v>-2.9999999999999992E-3</v>
      </c>
      <c r="Z30" s="409">
        <f t="shared" si="42"/>
        <v>2.9999999999999992E-3</v>
      </c>
      <c r="AA30" s="409">
        <f t="shared" si="42"/>
        <v>-1.9999999999999983E-3</v>
      </c>
      <c r="AB30" s="409">
        <f t="shared" ref="AB30:AC30" si="43">AB24-AA24</f>
        <v>-7.000000000000001E-3</v>
      </c>
      <c r="AC30" s="537">
        <f t="shared" si="43"/>
        <v>3.9999999999999983E-3</v>
      </c>
      <c r="AD30" s="435"/>
    </row>
    <row r="31" spans="1:30" ht="19.5" customHeight="1" thickBot="1">
      <c r="A31" s="390" t="s">
        <v>188</v>
      </c>
      <c r="B31" s="396">
        <v>-6.5052700174448447E-3</v>
      </c>
      <c r="C31" s="396">
        <v>-2.0696316466060211E-3</v>
      </c>
      <c r="D31" s="396">
        <v>-2.0268153298796235E-2</v>
      </c>
      <c r="E31" s="396">
        <v>1.2799040041966706E-2</v>
      </c>
      <c r="F31" s="396">
        <v>1.1881686595923868E-2</v>
      </c>
      <c r="G31" s="396">
        <v>-3.1273664936544016E-2</v>
      </c>
      <c r="H31" s="396">
        <v>0.14868126671722912</v>
      </c>
      <c r="I31" s="396">
        <v>-5.4906679003436321E-2</v>
      </c>
      <c r="J31" s="396">
        <f>J25-I31</f>
        <v>0.18424144696449593</v>
      </c>
      <c r="K31" s="396">
        <f t="shared" ref="K31:AA31" si="44">K25-J25</f>
        <v>-1.3005255091981971E-2</v>
      </c>
      <c r="L31" s="396">
        <f t="shared" si="44"/>
        <v>-1.3738677838696117E-2</v>
      </c>
      <c r="M31" s="396">
        <f t="shared" si="44"/>
        <v>-2.1139613467673152E-2</v>
      </c>
      <c r="N31" s="396">
        <f t="shared" si="44"/>
        <v>-4.945122156270837E-2</v>
      </c>
      <c r="O31" s="396">
        <f t="shared" si="44"/>
        <v>-1.2243754576906768E-2</v>
      </c>
      <c r="P31" s="396">
        <f t="shared" si="44"/>
        <v>-3.7562454230932324E-3</v>
      </c>
      <c r="Q31" s="396">
        <f t="shared" si="44"/>
        <v>-5.000000000000001E-3</v>
      </c>
      <c r="R31" s="396">
        <f t="shared" si="44"/>
        <v>8.0000000000000002E-3</v>
      </c>
      <c r="S31" s="396">
        <f t="shared" si="44"/>
        <v>-1.0000000000000009E-3</v>
      </c>
      <c r="T31" s="410">
        <f t="shared" si="44"/>
        <v>6.0000000000000019E-3</v>
      </c>
      <c r="U31" s="410">
        <f t="shared" si="44"/>
        <v>0</v>
      </c>
      <c r="V31" s="410">
        <f t="shared" si="44"/>
        <v>-1.0000000000000009E-3</v>
      </c>
      <c r="W31" s="410">
        <f t="shared" si="44"/>
        <v>5.000000000000001E-3</v>
      </c>
      <c r="X31" s="410">
        <f t="shared" si="44"/>
        <v>2.9999999999999992E-3</v>
      </c>
      <c r="Y31" s="410">
        <f t="shared" si="44"/>
        <v>-4.0000000000000001E-3</v>
      </c>
      <c r="Z31" s="410">
        <f t="shared" si="44"/>
        <v>1.7999999999999999E-2</v>
      </c>
      <c r="AA31" s="410">
        <f t="shared" si="44"/>
        <v>-9.0000000000000011E-3</v>
      </c>
      <c r="AB31" s="410">
        <f t="shared" ref="AB31:AC31" si="45">AB25-AA25</f>
        <v>-1.3999999999999999E-2</v>
      </c>
      <c r="AC31" s="538">
        <f t="shared" si="45"/>
        <v>5.000000000000001E-3</v>
      </c>
      <c r="AD31" s="435"/>
    </row>
    <row r="32" spans="1:30" ht="19.5" customHeight="1" thickTop="1">
      <c r="A32" s="392" t="s">
        <v>455</v>
      </c>
      <c r="B32" s="398">
        <v>-5.1185058729815991E-3</v>
      </c>
      <c r="C32" s="398">
        <v>-1.8814941270184071E-3</v>
      </c>
      <c r="D32" s="398">
        <v>-2.0935883139912834E-2</v>
      </c>
      <c r="E32" s="398">
        <v>-2.0428288056503902E-3</v>
      </c>
      <c r="F32" s="398">
        <v>-5.0492510387771528E-4</v>
      </c>
      <c r="G32" s="398">
        <v>1.4925402627286671E-2</v>
      </c>
      <c r="H32" s="398">
        <v>2.655823442215427E-2</v>
      </c>
      <c r="I32" s="398">
        <v>-6.9986459091427033E-3</v>
      </c>
      <c r="J32" s="398">
        <f>J26-I32</f>
        <v>0.10822631382297887</v>
      </c>
      <c r="K32" s="398">
        <f t="shared" ref="K32:AA32" si="46">K26-J26</f>
        <v>-1.9245425675210218E-2</v>
      </c>
      <c r="L32" s="398">
        <f t="shared" si="46"/>
        <v>-1.4800647198430272E-2</v>
      </c>
      <c r="M32" s="398">
        <f t="shared" si="46"/>
        <v>-3.4826153159692591E-3</v>
      </c>
      <c r="N32" s="398">
        <f t="shared" si="46"/>
        <v>-2.3698979724226417E-2</v>
      </c>
      <c r="O32" s="398">
        <f t="shared" si="46"/>
        <v>-8.4875545651462853E-3</v>
      </c>
      <c r="P32" s="398">
        <f t="shared" si="46"/>
        <v>-9.5124454348537169E-3</v>
      </c>
      <c r="Q32" s="398">
        <f t="shared" si="46"/>
        <v>-5.9999999999999984E-3</v>
      </c>
      <c r="R32" s="398">
        <f t="shared" si="46"/>
        <v>6.9999999999999993E-3</v>
      </c>
      <c r="S32" s="398">
        <f t="shared" si="46"/>
        <v>-1.9999999999999983E-3</v>
      </c>
      <c r="T32" s="411">
        <f t="shared" si="46"/>
        <v>-4.0000000000000001E-3</v>
      </c>
      <c r="U32" s="411">
        <f t="shared" si="46"/>
        <v>9.9999999999999742E-4</v>
      </c>
      <c r="V32" s="411">
        <f t="shared" si="46"/>
        <v>2.0000000000000018E-3</v>
      </c>
      <c r="W32" s="411">
        <f t="shared" si="46"/>
        <v>4.0000000000000001E-3</v>
      </c>
      <c r="X32" s="411">
        <f t="shared" si="46"/>
        <v>4.0000000000000001E-3</v>
      </c>
      <c r="Y32" s="411">
        <f t="shared" si="46"/>
        <v>-2.9999999999999992E-3</v>
      </c>
      <c r="Z32" s="411">
        <f t="shared" si="46"/>
        <v>1.2999999999999998E-2</v>
      </c>
      <c r="AA32" s="411">
        <f t="shared" si="46"/>
        <v>-3.9999999999999966E-3</v>
      </c>
      <c r="AB32" s="411">
        <f t="shared" ref="AB32:AC32" si="47">AB26-AA26</f>
        <v>-4.0000000000000036E-3</v>
      </c>
      <c r="AC32" s="539">
        <f t="shared" si="47"/>
        <v>3.0000000000000027E-3</v>
      </c>
      <c r="AD32" s="435"/>
    </row>
    <row r="33" spans="1:45" ht="19.5" customHeight="1">
      <c r="A33" s="286" t="s">
        <v>135</v>
      </c>
      <c r="B33" s="286"/>
      <c r="C33" s="286"/>
      <c r="D33" s="286"/>
      <c r="E33" s="286"/>
      <c r="F33" s="286"/>
      <c r="G33" s="286"/>
      <c r="H33" s="286"/>
      <c r="I33" s="286"/>
      <c r="J33" s="286"/>
      <c r="K33" s="286"/>
      <c r="L33" s="286"/>
      <c r="M33" s="286"/>
      <c r="N33" s="286"/>
      <c r="O33" s="286"/>
      <c r="P33" s="286"/>
      <c r="Q33" s="286"/>
      <c r="R33" s="286"/>
      <c r="S33" s="286"/>
      <c r="T33" s="286"/>
      <c r="U33" s="204"/>
      <c r="V33" s="286"/>
      <c r="W33" s="286"/>
      <c r="X33" s="286"/>
      <c r="Y33" s="286"/>
      <c r="Z33" s="286"/>
      <c r="AA33" s="286"/>
      <c r="AB33" s="286"/>
      <c r="AC33" s="286"/>
      <c r="AD33" s="435"/>
    </row>
    <row r="34" spans="1:45" ht="19.5" customHeight="1">
      <c r="A34" s="388" t="s">
        <v>458</v>
      </c>
      <c r="B34" s="388" t="s">
        <v>384</v>
      </c>
      <c r="C34" s="388" t="s">
        <v>385</v>
      </c>
      <c r="D34" s="388" t="s">
        <v>386</v>
      </c>
      <c r="E34" s="388" t="s">
        <v>387</v>
      </c>
      <c r="F34" s="388" t="s">
        <v>388</v>
      </c>
      <c r="G34" s="388" t="s">
        <v>389</v>
      </c>
      <c r="H34" s="388" t="s">
        <v>390</v>
      </c>
      <c r="I34" s="388" t="s">
        <v>391</v>
      </c>
      <c r="J34" s="388" t="s">
        <v>392</v>
      </c>
      <c r="K34" s="388" t="s">
        <v>393</v>
      </c>
      <c r="L34" s="388" t="s">
        <v>394</v>
      </c>
      <c r="M34" s="388" t="s">
        <v>395</v>
      </c>
      <c r="N34" s="388" t="s">
        <v>396</v>
      </c>
      <c r="O34" s="388" t="s">
        <v>397</v>
      </c>
      <c r="P34" s="388" t="s">
        <v>398</v>
      </c>
      <c r="Q34" s="388" t="s">
        <v>399</v>
      </c>
      <c r="R34" s="388" t="s">
        <v>460</v>
      </c>
      <c r="S34" s="388" t="s">
        <v>461</v>
      </c>
      <c r="T34" s="388" t="s">
        <v>402</v>
      </c>
      <c r="U34" s="362" t="s">
        <v>412</v>
      </c>
      <c r="V34" s="362" t="s">
        <v>413</v>
      </c>
      <c r="W34" s="362" t="s">
        <v>414</v>
      </c>
      <c r="X34" s="362" t="s">
        <v>415</v>
      </c>
      <c r="Y34" s="362" t="s">
        <v>416</v>
      </c>
      <c r="Z34" s="362" t="s">
        <v>417</v>
      </c>
      <c r="AA34" s="362" t="s">
        <v>418</v>
      </c>
      <c r="AB34" s="362" t="s">
        <v>425</v>
      </c>
      <c r="AC34" s="362" t="s">
        <v>426</v>
      </c>
    </row>
    <row r="35" spans="1:45" ht="19.5" customHeight="1">
      <c r="A35" s="388" t="s">
        <v>186</v>
      </c>
      <c r="B35" s="395">
        <v>1.7008977979309767E-2</v>
      </c>
      <c r="C35" s="395">
        <v>1.8331387035256344E-2</v>
      </c>
      <c r="D35" s="395">
        <v>-3.1005043063644058E-2</v>
      </c>
      <c r="E35" s="395">
        <v>-3.9321101718215651E-2</v>
      </c>
      <c r="F35" s="395">
        <v>-5.9920820208174644E-2</v>
      </c>
      <c r="G35" s="395">
        <v>-1.9529275687411238E-2</v>
      </c>
      <c r="H35" s="395">
        <v>5.0430636440584875E-6</v>
      </c>
      <c r="I35" s="395">
        <v>3.3854380789811428E-2</v>
      </c>
      <c r="J35" s="395">
        <f t="shared" ref="J35:S38" si="48">J23-F23</f>
        <v>2.9611357239930566E-2</v>
      </c>
      <c r="K35" s="395">
        <f t="shared" si="48"/>
        <v>-1.1575137359297494E-2</v>
      </c>
      <c r="L35" s="395">
        <f t="shared" si="48"/>
        <v>-1.1030125879542982E-2</v>
      </c>
      <c r="M35" s="395">
        <f t="shared" si="48"/>
        <v>-1.7676937192461037E-2</v>
      </c>
      <c r="N35" s="395">
        <f t="shared" si="48"/>
        <v>-2.9699515011065686E-2</v>
      </c>
      <c r="O35" s="395">
        <f t="shared" si="48"/>
        <v>-4.9051736055257304E-2</v>
      </c>
      <c r="P35" s="395">
        <f t="shared" si="48"/>
        <v>-5.4969874120457021E-2</v>
      </c>
      <c r="Q35" s="395">
        <f t="shared" si="48"/>
        <v>-7.0827900275667793E-2</v>
      </c>
      <c r="R35" s="395">
        <f t="shared" si="48"/>
        <v>-4.4000000000000011E-2</v>
      </c>
      <c r="S35" s="395">
        <f t="shared" si="48"/>
        <v>-2.2175237933290314E-2</v>
      </c>
      <c r="T35" s="395">
        <f t="shared" ref="T35:Z38" si="49">T23-P23</f>
        <v>-1.5000000000000003E-2</v>
      </c>
      <c r="U35" s="395">
        <f t="shared" si="49"/>
        <v>-2.9999999999999992E-3</v>
      </c>
      <c r="V35" s="395">
        <f t="shared" si="49"/>
        <v>-4.0000000000000001E-3</v>
      </c>
      <c r="W35" s="395">
        <f t="shared" si="49"/>
        <v>-5.000000000000001E-3</v>
      </c>
      <c r="X35" s="395">
        <f t="shared" si="49"/>
        <v>9.0000000000000011E-3</v>
      </c>
      <c r="Y35" s="395">
        <f t="shared" si="49"/>
        <v>6.9999999999999993E-3</v>
      </c>
      <c r="Z35" s="409">
        <f t="shared" si="49"/>
        <v>2.3E-2</v>
      </c>
      <c r="AA35" s="409">
        <f t="shared" ref="AA35:AC35" si="50">AA23-W23</f>
        <v>1.7999999999999999E-2</v>
      </c>
      <c r="AB35" s="409">
        <f t="shared" si="50"/>
        <v>1.6999999999999998E-2</v>
      </c>
      <c r="AC35" s="537">
        <f t="shared" si="50"/>
        <v>0.02</v>
      </c>
    </row>
    <row r="36" spans="1:45" ht="19.5" customHeight="1" thickBot="1">
      <c r="A36" s="388" t="s">
        <v>187</v>
      </c>
      <c r="B36" s="395">
        <v>-1.993354949496489E-2</v>
      </c>
      <c r="C36" s="395">
        <v>-2.3263951861652324E-2</v>
      </c>
      <c r="D36" s="395">
        <v>-4.8919961511844419E-2</v>
      </c>
      <c r="E36" s="395">
        <v>-2.0782061252194103E-2</v>
      </c>
      <c r="F36" s="395">
        <v>2.3742976127750989E-3</v>
      </c>
      <c r="G36" s="395">
        <v>1.3684562177352359E-2</v>
      </c>
      <c r="H36" s="395">
        <v>1.7919961511844412E-2</v>
      </c>
      <c r="I36" s="395">
        <v>1.4268223696141807E-3</v>
      </c>
      <c r="J36" s="395">
        <f t="shared" si="48"/>
        <v>4.230298025030535E-2</v>
      </c>
      <c r="K36" s="395">
        <f t="shared" si="48"/>
        <v>-9.3350936621728262E-3</v>
      </c>
      <c r="L36" s="395">
        <f t="shared" si="48"/>
        <v>-2.5032286443632402E-2</v>
      </c>
      <c r="M36" s="395">
        <f t="shared" si="48"/>
        <v>-2.9076065904646405E-2</v>
      </c>
      <c r="N36" s="395">
        <f t="shared" si="48"/>
        <v>-7.824372836811555E-2</v>
      </c>
      <c r="O36" s="395">
        <f t="shared" si="48"/>
        <v>-2.220873467149289E-2</v>
      </c>
      <c r="P36" s="395">
        <f t="shared" si="48"/>
        <v>-4.9677135563675982E-3</v>
      </c>
      <c r="Q36" s="395">
        <f t="shared" si="48"/>
        <v>-3.1989195438777152E-3</v>
      </c>
      <c r="R36" s="395">
        <f t="shared" si="48"/>
        <v>1.5000000000000001E-2</v>
      </c>
      <c r="S36" s="395">
        <f t="shared" si="48"/>
        <v>-1.876781982034316E-3</v>
      </c>
      <c r="T36" s="395">
        <f t="shared" si="49"/>
        <v>-9.9999999999999915E-4</v>
      </c>
      <c r="U36" s="395">
        <f t="shared" si="49"/>
        <v>2.9999999999999992E-3</v>
      </c>
      <c r="V36" s="395">
        <f t="shared" si="49"/>
        <v>-6.0000000000000019E-3</v>
      </c>
      <c r="W36" s="395">
        <f t="shared" si="49"/>
        <v>8.9999999999999993E-3</v>
      </c>
      <c r="X36" s="395">
        <f t="shared" si="49"/>
        <v>1.4999999999999999E-2</v>
      </c>
      <c r="Y36" s="395">
        <f t="shared" si="49"/>
        <v>9.0000000000000011E-3</v>
      </c>
      <c r="Z36" s="409">
        <f t="shared" si="49"/>
        <v>8.0000000000000002E-3</v>
      </c>
      <c r="AA36" s="409">
        <f t="shared" ref="AA36:AC36" si="51">AA24-W24</f>
        <v>3.0000000000000027E-3</v>
      </c>
      <c r="AB36" s="409">
        <f t="shared" si="51"/>
        <v>-8.9999999999999993E-3</v>
      </c>
      <c r="AC36" s="537">
        <f t="shared" si="51"/>
        <v>-2.0000000000000018E-3</v>
      </c>
      <c r="AE36" s="40" t="s">
        <v>421</v>
      </c>
      <c r="AF36" s="435"/>
      <c r="AG36" s="435"/>
      <c r="AH36" s="435"/>
      <c r="AI36" s="435"/>
      <c r="AJ36" s="435"/>
      <c r="AK36" s="435"/>
      <c r="AL36" s="435"/>
      <c r="AM36" s="435"/>
      <c r="AN36" s="435"/>
      <c r="AO36" s="435"/>
      <c r="AP36" s="435"/>
    </row>
    <row r="37" spans="1:45" ht="19.5" customHeight="1" thickBot="1">
      <c r="A37" s="390" t="s">
        <v>188</v>
      </c>
      <c r="B37" s="396">
        <v>-0.13475054347317345</v>
      </c>
      <c r="C37" s="396">
        <v>-7.3820175119779452E-2</v>
      </c>
      <c r="D37" s="396">
        <v>-6.1088328418575685E-2</v>
      </c>
      <c r="E37" s="396">
        <v>-1.6044014920880395E-2</v>
      </c>
      <c r="F37" s="396">
        <v>2.3429416924883179E-3</v>
      </c>
      <c r="G37" s="396">
        <v>-2.6861091597449677E-2</v>
      </c>
      <c r="H37" s="396">
        <v>0.14208832841857566</v>
      </c>
      <c r="I37" s="396">
        <v>7.4382609373172648E-2</v>
      </c>
      <c r="J37" s="395">
        <f t="shared" si="48"/>
        <v>3.874236974174472E-2</v>
      </c>
      <c r="K37" s="396">
        <f t="shared" si="48"/>
        <v>5.7010779586306765E-2</v>
      </c>
      <c r="L37" s="396">
        <f t="shared" si="48"/>
        <v>-0.10540916496961847</v>
      </c>
      <c r="M37" s="396">
        <f t="shared" si="48"/>
        <v>-7.16420994338553E-2</v>
      </c>
      <c r="N37" s="396">
        <f t="shared" si="48"/>
        <v>-9.7334767961059609E-2</v>
      </c>
      <c r="O37" s="396">
        <f t="shared" si="48"/>
        <v>-9.6573267445984406E-2</v>
      </c>
      <c r="P37" s="396">
        <f t="shared" si="48"/>
        <v>-8.6590835030381522E-2</v>
      </c>
      <c r="Q37" s="396">
        <f t="shared" si="48"/>
        <v>-7.0451221562708374E-2</v>
      </c>
      <c r="R37" s="396">
        <f t="shared" si="48"/>
        <v>-1.3000000000000001E-2</v>
      </c>
      <c r="S37" s="396">
        <f t="shared" si="48"/>
        <v>-1.7562454230932341E-3</v>
      </c>
      <c r="T37" s="396">
        <f t="shared" si="49"/>
        <v>8.0000000000000002E-3</v>
      </c>
      <c r="U37" s="396">
        <f t="shared" si="49"/>
        <v>1.3000000000000001E-2</v>
      </c>
      <c r="V37" s="396">
        <f t="shared" si="49"/>
        <v>4.0000000000000001E-3</v>
      </c>
      <c r="W37" s="396">
        <f t="shared" si="49"/>
        <v>1.0000000000000002E-2</v>
      </c>
      <c r="X37" s="396">
        <f t="shared" si="49"/>
        <v>6.9999999999999993E-3</v>
      </c>
      <c r="Y37" s="396">
        <f t="shared" si="49"/>
        <v>2.9999999999999992E-3</v>
      </c>
      <c r="Z37" s="410">
        <f t="shared" si="49"/>
        <v>2.1999999999999999E-2</v>
      </c>
      <c r="AA37" s="410">
        <f t="shared" ref="AA37:AC37" si="52">AA25-W25</f>
        <v>7.9999999999999967E-3</v>
      </c>
      <c r="AB37" s="410">
        <f t="shared" si="52"/>
        <v>-9.0000000000000011E-3</v>
      </c>
      <c r="AC37" s="538">
        <f t="shared" si="52"/>
        <v>0</v>
      </c>
      <c r="AE37" s="1191" t="s">
        <v>463</v>
      </c>
      <c r="AF37" s="1192"/>
      <c r="AG37" s="1192"/>
      <c r="AH37" s="1192"/>
      <c r="AI37" s="1192"/>
      <c r="AJ37" s="1192"/>
      <c r="AK37" s="1192"/>
      <c r="AL37" s="1192"/>
      <c r="AM37" s="1192"/>
      <c r="AN37" s="1192"/>
      <c r="AO37" s="1192"/>
      <c r="AP37" s="1192"/>
      <c r="AQ37" s="1192"/>
      <c r="AR37" s="1192"/>
      <c r="AS37" s="1193"/>
    </row>
    <row r="38" spans="1:45" ht="19.5" customHeight="1" thickTop="1">
      <c r="A38" s="392" t="s">
        <v>455</v>
      </c>
      <c r="B38" s="398">
        <v>-2.7901923527384145E-2</v>
      </c>
      <c r="C38" s="398">
        <v>-1.3999999999999999E-2</v>
      </c>
      <c r="D38" s="398">
        <v>-4.1851994374194207E-2</v>
      </c>
      <c r="E38" s="398">
        <v>-2.997871194556323E-2</v>
      </c>
      <c r="F38" s="398">
        <v>-2.5365131176459346E-2</v>
      </c>
      <c r="G38" s="398">
        <v>-8.5582344221542678E-3</v>
      </c>
      <c r="H38" s="398">
        <v>3.8935883139912836E-2</v>
      </c>
      <c r="I38" s="398">
        <v>3.3980066036420523E-2</v>
      </c>
      <c r="J38" s="398">
        <f t="shared" si="48"/>
        <v>3.6711304963277111E-2</v>
      </c>
      <c r="K38" s="398">
        <f t="shared" si="48"/>
        <v>2.5404766607802221E-3</v>
      </c>
      <c r="L38" s="398">
        <f t="shared" si="48"/>
        <v>-3.881840495980432E-2</v>
      </c>
      <c r="M38" s="398">
        <f t="shared" si="48"/>
        <v>-3.5302374366630876E-2</v>
      </c>
      <c r="N38" s="398">
        <f t="shared" si="48"/>
        <v>-6.1227667913836166E-2</v>
      </c>
      <c r="O38" s="398">
        <f t="shared" si="48"/>
        <v>-5.0469796803772234E-2</v>
      </c>
      <c r="P38" s="398">
        <f t="shared" si="48"/>
        <v>-4.5181595040195678E-2</v>
      </c>
      <c r="Q38" s="398">
        <f t="shared" si="48"/>
        <v>-4.7698979724226417E-2</v>
      </c>
      <c r="R38" s="398">
        <f t="shared" si="48"/>
        <v>-1.7000000000000001E-2</v>
      </c>
      <c r="S38" s="398">
        <f t="shared" si="48"/>
        <v>-1.0512445434853714E-2</v>
      </c>
      <c r="T38" s="398">
        <f t="shared" si="49"/>
        <v>-4.9999999999999975E-3</v>
      </c>
      <c r="U38" s="398">
        <f t="shared" si="49"/>
        <v>1.9999999999999983E-3</v>
      </c>
      <c r="V38" s="398">
        <f t="shared" si="49"/>
        <v>-2.9999999999999992E-3</v>
      </c>
      <c r="W38" s="398">
        <f t="shared" si="49"/>
        <v>2.9999999999999992E-3</v>
      </c>
      <c r="X38" s="398">
        <f t="shared" si="49"/>
        <v>1.0999999999999999E-2</v>
      </c>
      <c r="Y38" s="398">
        <f t="shared" si="49"/>
        <v>7.0000000000000027E-3</v>
      </c>
      <c r="Z38" s="411">
        <f t="shared" si="49"/>
        <v>1.7999999999999999E-2</v>
      </c>
      <c r="AA38" s="411">
        <f t="shared" ref="AA38:AC38" si="53">AA26-W26</f>
        <v>1.0000000000000002E-2</v>
      </c>
      <c r="AB38" s="411">
        <f t="shared" si="53"/>
        <v>1.9999999999999983E-3</v>
      </c>
      <c r="AC38" s="539">
        <f t="shared" si="53"/>
        <v>8.0000000000000002E-3</v>
      </c>
      <c r="AE38" s="1194"/>
      <c r="AF38" s="1195"/>
      <c r="AG38" s="1195"/>
      <c r="AH38" s="1195"/>
      <c r="AI38" s="1195"/>
      <c r="AJ38" s="1195"/>
      <c r="AK38" s="1195"/>
      <c r="AL38" s="1195"/>
      <c r="AM38" s="1195"/>
      <c r="AN38" s="1195"/>
      <c r="AO38" s="1195"/>
      <c r="AP38" s="1195"/>
      <c r="AQ38" s="1195"/>
      <c r="AR38" s="1195"/>
      <c r="AS38" s="1196"/>
    </row>
    <row r="39" spans="1:45" ht="19.5" customHeight="1">
      <c r="AE39" s="1194"/>
      <c r="AF39" s="1195"/>
      <c r="AG39" s="1195"/>
      <c r="AH39" s="1195"/>
      <c r="AI39" s="1195"/>
      <c r="AJ39" s="1195"/>
      <c r="AK39" s="1195"/>
      <c r="AL39" s="1195"/>
      <c r="AM39" s="1195"/>
      <c r="AN39" s="1195"/>
      <c r="AO39" s="1195"/>
      <c r="AP39" s="1195"/>
      <c r="AQ39" s="1195"/>
      <c r="AR39" s="1195"/>
      <c r="AS39" s="1196"/>
    </row>
    <row r="40" spans="1:45" ht="19.5" customHeight="1">
      <c r="AE40" s="1194"/>
      <c r="AF40" s="1195"/>
      <c r="AG40" s="1195"/>
      <c r="AH40" s="1195"/>
      <c r="AI40" s="1195"/>
      <c r="AJ40" s="1195"/>
      <c r="AK40" s="1195"/>
      <c r="AL40" s="1195"/>
      <c r="AM40" s="1195"/>
      <c r="AN40" s="1195"/>
      <c r="AO40" s="1195"/>
      <c r="AP40" s="1195"/>
      <c r="AQ40" s="1195"/>
      <c r="AR40" s="1195"/>
      <c r="AS40" s="1196"/>
    </row>
    <row r="41" spans="1:45" ht="19.5" customHeight="1">
      <c r="A41" s="80" t="s">
        <v>434</v>
      </c>
      <c r="B41" s="85" t="s">
        <v>384</v>
      </c>
      <c r="C41" s="85" t="s">
        <v>385</v>
      </c>
      <c r="D41" s="85" t="s">
        <v>386</v>
      </c>
      <c r="E41" s="85" t="s">
        <v>387</v>
      </c>
      <c r="F41" s="85" t="s">
        <v>388</v>
      </c>
      <c r="G41" s="85" t="s">
        <v>389</v>
      </c>
      <c r="H41" s="85" t="s">
        <v>390</v>
      </c>
      <c r="I41" s="85" t="s">
        <v>391</v>
      </c>
      <c r="J41" s="85" t="s">
        <v>392</v>
      </c>
      <c r="K41" s="85" t="s">
        <v>393</v>
      </c>
      <c r="L41" s="85" t="s">
        <v>394</v>
      </c>
      <c r="M41" s="85" t="s">
        <v>395</v>
      </c>
      <c r="N41" s="85" t="s">
        <v>396</v>
      </c>
      <c r="O41" s="85" t="s">
        <v>397</v>
      </c>
      <c r="P41" s="85" t="s">
        <v>398</v>
      </c>
      <c r="Q41" s="85" t="s">
        <v>399</v>
      </c>
      <c r="R41" s="85" t="s">
        <v>460</v>
      </c>
      <c r="S41" s="85" t="s">
        <v>461</v>
      </c>
      <c r="T41" s="85" t="s">
        <v>402</v>
      </c>
      <c r="U41" s="85" t="s">
        <v>412</v>
      </c>
      <c r="V41" s="85" t="s">
        <v>413</v>
      </c>
      <c r="W41" s="85" t="s">
        <v>414</v>
      </c>
      <c r="X41" s="85" t="s">
        <v>415</v>
      </c>
      <c r="Y41" s="85" t="s">
        <v>416</v>
      </c>
      <c r="Z41" s="85" t="s">
        <v>417</v>
      </c>
      <c r="AA41" s="85" t="s">
        <v>418</v>
      </c>
      <c r="AB41" s="85" t="s">
        <v>425</v>
      </c>
      <c r="AC41" s="85" t="s">
        <v>426</v>
      </c>
      <c r="AE41" s="1194"/>
      <c r="AF41" s="1195"/>
      <c r="AG41" s="1195"/>
      <c r="AH41" s="1195"/>
      <c r="AI41" s="1195"/>
      <c r="AJ41" s="1195"/>
      <c r="AK41" s="1195"/>
      <c r="AL41" s="1195"/>
      <c r="AM41" s="1195"/>
      <c r="AN41" s="1195"/>
      <c r="AO41" s="1195"/>
      <c r="AP41" s="1195"/>
      <c r="AQ41" s="1195"/>
      <c r="AR41" s="1195"/>
      <c r="AS41" s="1196"/>
    </row>
    <row r="42" spans="1:45" ht="19.5" customHeight="1">
      <c r="A42" s="85" t="s">
        <v>186</v>
      </c>
      <c r="B42" s="86">
        <v>0.13000897797930977</v>
      </c>
      <c r="C42" s="86">
        <v>0.13333138703525635</v>
      </c>
      <c r="D42" s="86">
        <v>0.10099495693635595</v>
      </c>
      <c r="E42" s="86">
        <v>7.865045667831741E-2</v>
      </c>
      <c r="F42" s="86">
        <v>7.0088157771135126E-2</v>
      </c>
      <c r="G42" s="86">
        <f>G23</f>
        <v>0.11380211134784511</v>
      </c>
      <c r="H42" s="86">
        <v>0.10100000000000001</v>
      </c>
      <c r="I42" s="86">
        <v>0.11250483746812884</v>
      </c>
      <c r="J42" s="86">
        <v>9.9699515011065692E-2</v>
      </c>
      <c r="K42" s="86">
        <v>0.10222697398854762</v>
      </c>
      <c r="L42" s="86">
        <v>8.9969874120457025E-2</v>
      </c>
      <c r="M42" s="86">
        <v>9.4827900275667801E-2</v>
      </c>
      <c r="N42" s="86">
        <v>7.0000000000000007E-2</v>
      </c>
      <c r="O42" s="86">
        <v>5.3175237933290313E-2</v>
      </c>
      <c r="P42" s="86">
        <v>3.5000000000000003E-2</v>
      </c>
      <c r="Q42" s="87">
        <v>2.4E-2</v>
      </c>
      <c r="R42" s="86">
        <v>2.5999999999999999E-2</v>
      </c>
      <c r="S42" s="87">
        <v>3.1E-2</v>
      </c>
      <c r="T42" s="88">
        <v>0.02</v>
      </c>
      <c r="U42" s="88">
        <v>2.1000000000000001E-2</v>
      </c>
      <c r="V42" s="88">
        <v>2.1999999999999999E-2</v>
      </c>
      <c r="W42" s="88">
        <v>2.5999999999999999E-2</v>
      </c>
      <c r="X42" s="88">
        <f>X23</f>
        <v>2.9000000000000001E-2</v>
      </c>
      <c r="Y42" s="88">
        <v>2.8000000000000001E-2</v>
      </c>
      <c r="Z42" s="88">
        <v>4.4999999999999998E-2</v>
      </c>
      <c r="AA42" s="88">
        <v>4.3999999999999997E-2</v>
      </c>
      <c r="AB42" s="88">
        <v>4.5999999999999999E-2</v>
      </c>
      <c r="AC42" s="88">
        <v>4.8000000000000001E-2</v>
      </c>
      <c r="AE42" s="1194"/>
      <c r="AF42" s="1195"/>
      <c r="AG42" s="1195"/>
      <c r="AH42" s="1195"/>
      <c r="AI42" s="1195"/>
      <c r="AJ42" s="1195"/>
      <c r="AK42" s="1195"/>
      <c r="AL42" s="1195"/>
      <c r="AM42" s="1195"/>
      <c r="AN42" s="1195"/>
      <c r="AO42" s="1195"/>
      <c r="AP42" s="1195"/>
      <c r="AQ42" s="1195"/>
      <c r="AR42" s="1195"/>
      <c r="AS42" s="1196"/>
    </row>
    <row r="43" spans="1:45" ht="19.5" customHeight="1">
      <c r="A43" s="85" t="s">
        <v>187</v>
      </c>
      <c r="B43" s="86">
        <v>3.9566450505035107E-2</v>
      </c>
      <c r="C43" s="86">
        <v>2.8736048138347674E-2</v>
      </c>
      <c r="D43" s="86">
        <v>2.1080038488155588E-2</v>
      </c>
      <c r="E43" s="86">
        <v>3.8848163078909939E-2</v>
      </c>
      <c r="F43" s="86">
        <v>4.1940748117810206E-2</v>
      </c>
      <c r="G43" s="86">
        <v>4.2420610315700033E-2</v>
      </c>
      <c r="H43" s="86">
        <v>3.9E-2</v>
      </c>
      <c r="I43" s="86">
        <v>4.027498544852412E-2</v>
      </c>
      <c r="J43" s="86">
        <v>8.4243728368115556E-2</v>
      </c>
      <c r="K43" s="86">
        <v>3.3085516653527207E-2</v>
      </c>
      <c r="L43" s="86">
        <v>1.3967713556367597E-2</v>
      </c>
      <c r="M43" s="86">
        <v>1.1198919543877715E-2</v>
      </c>
      <c r="N43" s="86">
        <v>6.0000000000000001E-3</v>
      </c>
      <c r="O43" s="86">
        <v>1.0876781982034315E-2</v>
      </c>
      <c r="P43" s="86">
        <v>8.9999999999999993E-3</v>
      </c>
      <c r="Q43" s="86">
        <v>8.0000000000000002E-3</v>
      </c>
      <c r="R43" s="86">
        <v>2.1000000000000001E-2</v>
      </c>
      <c r="S43" s="87">
        <v>8.9999999999999993E-3</v>
      </c>
      <c r="T43" s="88">
        <v>8.0000000000000002E-3</v>
      </c>
      <c r="U43" s="88">
        <v>1.0999999999999999E-2</v>
      </c>
      <c r="V43" s="88">
        <v>1.4999999999999999E-2</v>
      </c>
      <c r="W43" s="88">
        <v>1.7999999999999999E-2</v>
      </c>
      <c r="X43" s="88">
        <f>X24</f>
        <v>2.3E-2</v>
      </c>
      <c r="Y43" s="88">
        <v>0.02</v>
      </c>
      <c r="Z43" s="88">
        <v>2.3E-2</v>
      </c>
      <c r="AA43" s="88">
        <v>2.1000000000000001E-2</v>
      </c>
      <c r="AB43" s="88">
        <v>1.4E-2</v>
      </c>
      <c r="AC43" s="88">
        <v>1.7999999999999999E-2</v>
      </c>
      <c r="AE43" s="1194"/>
      <c r="AF43" s="1195"/>
      <c r="AG43" s="1195"/>
      <c r="AH43" s="1195"/>
      <c r="AI43" s="1195"/>
      <c r="AJ43" s="1195"/>
      <c r="AK43" s="1195"/>
      <c r="AL43" s="1195"/>
      <c r="AM43" s="1195"/>
      <c r="AN43" s="1195"/>
      <c r="AO43" s="1195"/>
      <c r="AP43" s="1195"/>
      <c r="AQ43" s="1195"/>
      <c r="AR43" s="1195"/>
      <c r="AS43" s="1196"/>
    </row>
    <row r="44" spans="1:45" ht="19.5" customHeight="1" thickBot="1">
      <c r="A44" s="128" t="s">
        <v>188</v>
      </c>
      <c r="B44" s="131">
        <v>8.8249456526826572E-2</v>
      </c>
      <c r="C44" s="131">
        <v>8.6179824880220551E-2</v>
      </c>
      <c r="D44" s="131">
        <v>6.5911671581424316E-2</v>
      </c>
      <c r="E44" s="131">
        <v>7.8710711623391022E-2</v>
      </c>
      <c r="F44" s="131">
        <v>9.059239821931489E-2</v>
      </c>
      <c r="G44" s="131">
        <v>5.9318733282770875E-2</v>
      </c>
      <c r="H44" s="131">
        <v>0.20799999999999999</v>
      </c>
      <c r="I44" s="131">
        <v>0.15309332099656367</v>
      </c>
      <c r="J44" s="131">
        <v>0.12933476796105961</v>
      </c>
      <c r="K44" s="131">
        <v>0.11632951286907764</v>
      </c>
      <c r="L44" s="131">
        <v>0.10259083503038152</v>
      </c>
      <c r="M44" s="131">
        <v>8.145122156270837E-2</v>
      </c>
      <c r="N44" s="131">
        <v>3.2000000000000001E-2</v>
      </c>
      <c r="O44" s="131">
        <v>1.9756245423093233E-2</v>
      </c>
      <c r="P44" s="131">
        <v>1.6E-2</v>
      </c>
      <c r="Q44" s="131">
        <v>1.0999999999999999E-2</v>
      </c>
      <c r="R44" s="131">
        <v>1.9E-2</v>
      </c>
      <c r="S44" s="132">
        <v>1.7999999999999999E-2</v>
      </c>
      <c r="T44" s="133">
        <v>2.4E-2</v>
      </c>
      <c r="U44" s="133">
        <v>2.4E-2</v>
      </c>
      <c r="V44" s="133">
        <v>2.3E-2</v>
      </c>
      <c r="W44" s="133">
        <v>2.8000000000000001E-2</v>
      </c>
      <c r="X44" s="133">
        <f>X25</f>
        <v>3.1E-2</v>
      </c>
      <c r="Y44" s="133">
        <v>2.7E-2</v>
      </c>
      <c r="Z44" s="133">
        <v>4.4999999999999998E-2</v>
      </c>
      <c r="AA44" s="133">
        <v>3.5999999999999997E-2</v>
      </c>
      <c r="AB44" s="133">
        <v>2.1999999999999999E-2</v>
      </c>
      <c r="AC44" s="133">
        <v>2.7E-2</v>
      </c>
      <c r="AE44" s="1194"/>
      <c r="AF44" s="1195"/>
      <c r="AG44" s="1195"/>
      <c r="AH44" s="1195"/>
      <c r="AI44" s="1195"/>
      <c r="AJ44" s="1195"/>
      <c r="AK44" s="1195"/>
      <c r="AL44" s="1195"/>
      <c r="AM44" s="1195"/>
      <c r="AN44" s="1195"/>
      <c r="AO44" s="1195"/>
      <c r="AP44" s="1195"/>
      <c r="AQ44" s="1195"/>
      <c r="AR44" s="1195"/>
      <c r="AS44" s="1196"/>
    </row>
    <row r="45" spans="1:45" ht="19.5" customHeight="1" thickTop="1">
      <c r="A45" s="127" t="s">
        <v>455</v>
      </c>
      <c r="B45" s="136">
        <v>8.9881494127018402E-2</v>
      </c>
      <c r="C45" s="136">
        <v>8.7999999999999995E-2</v>
      </c>
      <c r="D45" s="136">
        <v>6.7064116860087161E-2</v>
      </c>
      <c r="E45" s="136">
        <v>6.5021288054436771E-2</v>
      </c>
      <c r="F45" s="136">
        <v>6.4516362950559056E-2</v>
      </c>
      <c r="G45" s="136">
        <v>7.9441765577845727E-2</v>
      </c>
      <c r="H45" s="136">
        <v>0.106</v>
      </c>
      <c r="I45" s="136">
        <v>9.9001354090857294E-2</v>
      </c>
      <c r="J45" s="136">
        <v>0.10122766791383617</v>
      </c>
      <c r="K45" s="136">
        <v>8.1982242238625949E-2</v>
      </c>
      <c r="L45" s="136">
        <v>6.7181595040195677E-2</v>
      </c>
      <c r="M45" s="136">
        <v>6.3698979724226418E-2</v>
      </c>
      <c r="N45" s="136">
        <v>0.04</v>
      </c>
      <c r="O45" s="136">
        <v>3.1512445434853716E-2</v>
      </c>
      <c r="P45" s="136">
        <v>2.1999999999999999E-2</v>
      </c>
      <c r="Q45" s="137">
        <v>1.6E-2</v>
      </c>
      <c r="R45" s="136">
        <v>2.3E-2</v>
      </c>
      <c r="S45" s="137">
        <v>2.1000000000000001E-2</v>
      </c>
      <c r="T45" s="138">
        <v>1.7000000000000001E-2</v>
      </c>
      <c r="U45" s="138">
        <v>1.7999999999999999E-2</v>
      </c>
      <c r="V45" s="138">
        <v>0.02</v>
      </c>
      <c r="W45" s="138">
        <v>2.4E-2</v>
      </c>
      <c r="X45" s="138">
        <f>X26</f>
        <v>2.8000000000000001E-2</v>
      </c>
      <c r="Y45" s="138">
        <v>2.5000000000000001E-2</v>
      </c>
      <c r="Z45" s="138">
        <v>3.7999999999999999E-2</v>
      </c>
      <c r="AA45" s="138">
        <v>3.4000000000000002E-2</v>
      </c>
      <c r="AB45" s="138">
        <v>0.03</v>
      </c>
      <c r="AC45" s="138">
        <v>3.3000000000000002E-2</v>
      </c>
      <c r="AE45" s="1194"/>
      <c r="AF45" s="1195"/>
      <c r="AG45" s="1195"/>
      <c r="AH45" s="1195"/>
      <c r="AI45" s="1195"/>
      <c r="AJ45" s="1195"/>
      <c r="AK45" s="1195"/>
      <c r="AL45" s="1195"/>
      <c r="AM45" s="1195"/>
      <c r="AN45" s="1195"/>
      <c r="AO45" s="1195"/>
      <c r="AP45" s="1195"/>
      <c r="AQ45" s="1195"/>
      <c r="AR45" s="1195"/>
      <c r="AS45" s="1196"/>
    </row>
    <row r="46" spans="1:45" ht="19.5" customHeight="1">
      <c r="A46" s="24" t="s">
        <v>135</v>
      </c>
      <c r="B46" s="15"/>
      <c r="C46" s="15"/>
      <c r="D46" s="15"/>
      <c r="E46" s="15"/>
      <c r="F46" s="15"/>
      <c r="G46" s="15"/>
      <c r="H46" s="15"/>
      <c r="I46" s="15"/>
      <c r="J46" s="15"/>
      <c r="K46" s="15"/>
      <c r="L46" s="15"/>
      <c r="M46" s="15"/>
      <c r="N46" s="15"/>
      <c r="O46" s="15"/>
      <c r="P46" s="15"/>
      <c r="Q46" s="15"/>
      <c r="R46" s="15"/>
      <c r="S46" s="15"/>
      <c r="T46" s="15"/>
      <c r="U46" s="15"/>
      <c r="Y46" s="582"/>
      <c r="Z46" s="582"/>
      <c r="AA46" s="582"/>
      <c r="AB46" s="582"/>
      <c r="AC46" s="582"/>
      <c r="AE46" s="1194"/>
      <c r="AF46" s="1195"/>
      <c r="AG46" s="1195"/>
      <c r="AH46" s="1195"/>
      <c r="AI46" s="1195"/>
      <c r="AJ46" s="1195"/>
      <c r="AK46" s="1195"/>
      <c r="AL46" s="1195"/>
      <c r="AM46" s="1195"/>
      <c r="AN46" s="1195"/>
      <c r="AO46" s="1195"/>
      <c r="AP46" s="1195"/>
      <c r="AQ46" s="1195"/>
      <c r="AR46" s="1195"/>
      <c r="AS46" s="1196"/>
    </row>
    <row r="47" spans="1:45" ht="19.5" customHeight="1" thickBot="1">
      <c r="A47" s="85" t="s">
        <v>456</v>
      </c>
      <c r="B47" s="85" t="s">
        <v>384</v>
      </c>
      <c r="C47" s="85" t="s">
        <v>385</v>
      </c>
      <c r="D47" s="85" t="s">
        <v>386</v>
      </c>
      <c r="E47" s="85" t="s">
        <v>387</v>
      </c>
      <c r="F47" s="85" t="s">
        <v>388</v>
      </c>
      <c r="G47" s="85" t="s">
        <v>389</v>
      </c>
      <c r="H47" s="85" t="s">
        <v>390</v>
      </c>
      <c r="I47" s="85" t="s">
        <v>391</v>
      </c>
      <c r="J47" s="85" t="s">
        <v>392</v>
      </c>
      <c r="K47" s="85" t="s">
        <v>393</v>
      </c>
      <c r="L47" s="85" t="s">
        <v>394</v>
      </c>
      <c r="M47" s="85" t="s">
        <v>395</v>
      </c>
      <c r="N47" s="85" t="s">
        <v>396</v>
      </c>
      <c r="O47" s="85" t="s">
        <v>397</v>
      </c>
      <c r="P47" s="85" t="s">
        <v>398</v>
      </c>
      <c r="Q47" s="85" t="s">
        <v>399</v>
      </c>
      <c r="R47" s="85" t="s">
        <v>460</v>
      </c>
      <c r="S47" s="85" t="s">
        <v>461</v>
      </c>
      <c r="T47" s="85" t="s">
        <v>402</v>
      </c>
      <c r="U47" s="80" t="s">
        <v>412</v>
      </c>
      <c r="V47" s="80" t="s">
        <v>413</v>
      </c>
      <c r="W47" s="80" t="s">
        <v>414</v>
      </c>
      <c r="X47" s="80" t="s">
        <v>415</v>
      </c>
      <c r="Y47" s="80" t="s">
        <v>416</v>
      </c>
      <c r="Z47" s="80" t="str">
        <f>Z41</f>
        <v>Q1 2025</v>
      </c>
      <c r="AA47" s="80" t="str">
        <f>AA41</f>
        <v>Q2 2025</v>
      </c>
      <c r="AB47" s="80" t="str">
        <f>AB41</f>
        <v>Q3 2025</v>
      </c>
      <c r="AC47" s="80" t="str">
        <f>AC41</f>
        <v>Q4 2025</v>
      </c>
      <c r="AE47" s="1197"/>
      <c r="AF47" s="1198"/>
      <c r="AG47" s="1198"/>
      <c r="AH47" s="1198"/>
      <c r="AI47" s="1198"/>
      <c r="AJ47" s="1198"/>
      <c r="AK47" s="1198"/>
      <c r="AL47" s="1198"/>
      <c r="AM47" s="1198"/>
      <c r="AN47" s="1198"/>
      <c r="AO47" s="1198"/>
      <c r="AP47" s="1198"/>
      <c r="AQ47" s="1198"/>
      <c r="AR47" s="1198"/>
      <c r="AS47" s="1199"/>
    </row>
    <row r="48" spans="1:45" ht="19.5" customHeight="1">
      <c r="A48" s="85" t="s">
        <v>186</v>
      </c>
      <c r="B48" s="89">
        <v>1.2037419582776709E-2</v>
      </c>
      <c r="C48" s="89">
        <v>3.3224090559465791E-3</v>
      </c>
      <c r="D48" s="89">
        <v>-3.2336430098900401E-2</v>
      </c>
      <c r="E48" s="89">
        <v>-2.2344500258038538E-2</v>
      </c>
      <c r="F48" s="89">
        <v>-8.5622989071822836E-3</v>
      </c>
      <c r="G48" s="89">
        <v>4.3713953576709985E-2</v>
      </c>
      <c r="H48" s="89">
        <v>-1.2802111347845105E-2</v>
      </c>
      <c r="I48" s="89">
        <v>1.1504837468128831E-2</v>
      </c>
      <c r="J48" s="89">
        <v>-1.2805322457063145E-2</v>
      </c>
      <c r="K48" s="89">
        <v>2.5274589774819251E-3</v>
      </c>
      <c r="L48" s="89">
        <v>-1.2257099868090593E-2</v>
      </c>
      <c r="M48" s="89">
        <v>4.8580261552107762E-3</v>
      </c>
      <c r="N48" s="89">
        <v>-2.4827900275667794E-2</v>
      </c>
      <c r="O48" s="89">
        <v>-1.6824762066709693E-2</v>
      </c>
      <c r="P48" s="89">
        <v>-1.817523793329031E-2</v>
      </c>
      <c r="Q48" s="89">
        <v>-1.1000000000000003E-2</v>
      </c>
      <c r="R48" s="89">
        <v>1.9999999999999983E-3</v>
      </c>
      <c r="S48" s="89">
        <v>5.000000000000001E-3</v>
      </c>
      <c r="T48" s="90">
        <v>-1.0999999999999999E-2</v>
      </c>
      <c r="U48" s="90">
        <v>1.0000000000000009E-3</v>
      </c>
      <c r="V48" s="90">
        <v>9.9999999999999742E-4</v>
      </c>
      <c r="W48" s="90">
        <v>4.0000000000000001E-3</v>
      </c>
      <c r="X48" s="90">
        <v>3.0000000000000027E-3</v>
      </c>
      <c r="Y48" s="90">
        <v>-1.0000000000000009E-3</v>
      </c>
      <c r="Z48" s="90">
        <v>1.6999999999999998E-2</v>
      </c>
      <c r="AA48" s="90">
        <f>AA42-Z42</f>
        <v>-1.0000000000000009E-3</v>
      </c>
      <c r="AB48" s="90">
        <f t="shared" ref="AB48:AC48" si="54">AB42-AA42</f>
        <v>2.0000000000000018E-3</v>
      </c>
      <c r="AC48" s="90">
        <f t="shared" si="54"/>
        <v>2.0000000000000018E-3</v>
      </c>
    </row>
    <row r="49" spans="1:66" ht="19.5" customHeight="1">
      <c r="A49" s="85" t="s">
        <v>187</v>
      </c>
      <c r="B49" s="89">
        <v>-2.0063773826068936E-2</v>
      </c>
      <c r="C49" s="89">
        <v>-1.0830402366687433E-2</v>
      </c>
      <c r="D49" s="89">
        <v>-7.656009650192086E-3</v>
      </c>
      <c r="E49" s="89">
        <v>1.7768124590754351E-2</v>
      </c>
      <c r="F49" s="89">
        <v>3.0925850389002668E-3</v>
      </c>
      <c r="G49" s="89">
        <v>4.7986219788982709E-4</v>
      </c>
      <c r="H49" s="89">
        <v>-3.4206103157000331E-3</v>
      </c>
      <c r="I49" s="89">
        <v>1.2749854485241199E-3</v>
      </c>
      <c r="J49" s="89">
        <v>4.3968742919591436E-2</v>
      </c>
      <c r="K49" s="89">
        <v>-5.1158211714588349E-2</v>
      </c>
      <c r="L49" s="89">
        <v>-1.9117803097159609E-2</v>
      </c>
      <c r="M49" s="89">
        <v>-2.7687940124898822E-3</v>
      </c>
      <c r="N49" s="89">
        <v>-5.1989195438777152E-3</v>
      </c>
      <c r="O49" s="89">
        <v>4.8767819820343151E-3</v>
      </c>
      <c r="P49" s="89">
        <v>-1.876781982034316E-3</v>
      </c>
      <c r="Q49" s="89">
        <v>-9.9999999999999915E-4</v>
      </c>
      <c r="R49" s="89">
        <v>1.3000000000000001E-2</v>
      </c>
      <c r="S49" s="89">
        <v>-1.2000000000000002E-2</v>
      </c>
      <c r="T49" s="90">
        <v>-9.9999999999999915E-4</v>
      </c>
      <c r="U49" s="90">
        <v>2.9999999999999992E-3</v>
      </c>
      <c r="V49" s="90">
        <v>4.0000000000000001E-3</v>
      </c>
      <c r="W49" s="90">
        <v>2.9999999999999992E-3</v>
      </c>
      <c r="X49" s="90">
        <v>5.000000000000001E-3</v>
      </c>
      <c r="Y49" s="90">
        <v>-2.9999999999999992E-3</v>
      </c>
      <c r="Z49" s="90">
        <v>2.9999999999999992E-3</v>
      </c>
      <c r="AA49" s="90">
        <f t="shared" ref="AA49:AC49" si="55">AA43-Z43</f>
        <v>-1.9999999999999983E-3</v>
      </c>
      <c r="AB49" s="90">
        <f t="shared" si="55"/>
        <v>-7.000000000000001E-3</v>
      </c>
      <c r="AC49" s="90">
        <f t="shared" si="55"/>
        <v>3.9999999999999983E-3</v>
      </c>
    </row>
    <row r="50" spans="1:66" ht="19.5" customHeight="1" thickBot="1">
      <c r="A50" s="128" t="s">
        <v>188</v>
      </c>
      <c r="B50" s="129">
        <v>-6.5052700174448447E-3</v>
      </c>
      <c r="C50" s="129">
        <v>-2.0696316466060211E-3</v>
      </c>
      <c r="D50" s="129">
        <v>-2.0268153298796235E-2</v>
      </c>
      <c r="E50" s="129">
        <v>1.2799040041966706E-2</v>
      </c>
      <c r="F50" s="129">
        <v>1.1881686595923868E-2</v>
      </c>
      <c r="G50" s="129">
        <v>-3.1273664936544016E-2</v>
      </c>
      <c r="H50" s="129">
        <v>0.14868126671722912</v>
      </c>
      <c r="I50" s="129">
        <v>-5.4906679003436321E-2</v>
      </c>
      <c r="J50" s="129">
        <v>-2.375855303550406E-2</v>
      </c>
      <c r="K50" s="129">
        <v>-1.3005255091981971E-2</v>
      </c>
      <c r="L50" s="129">
        <v>-1.3738677838696117E-2</v>
      </c>
      <c r="M50" s="129">
        <v>-2.1139613467673152E-2</v>
      </c>
      <c r="N50" s="129">
        <v>-4.945122156270837E-2</v>
      </c>
      <c r="O50" s="129">
        <v>-1.2243754576906768E-2</v>
      </c>
      <c r="P50" s="129">
        <v>-3.7562454230932324E-3</v>
      </c>
      <c r="Q50" s="129">
        <v>-5.000000000000001E-3</v>
      </c>
      <c r="R50" s="129">
        <v>8.0000000000000002E-3</v>
      </c>
      <c r="S50" s="129">
        <v>-1.0000000000000009E-3</v>
      </c>
      <c r="T50" s="130">
        <v>6.0000000000000019E-3</v>
      </c>
      <c r="U50" s="130">
        <v>0</v>
      </c>
      <c r="V50" s="130">
        <v>-1.0000000000000009E-3</v>
      </c>
      <c r="W50" s="130">
        <v>5.000000000000001E-3</v>
      </c>
      <c r="X50" s="130">
        <v>2.9999999999999992E-3</v>
      </c>
      <c r="Y50" s="130">
        <v>-4.0000000000000001E-3</v>
      </c>
      <c r="Z50" s="130">
        <v>1.7999999999999999E-2</v>
      </c>
      <c r="AA50" s="130">
        <f t="shared" ref="AA50:AC50" si="56">AA44-Z44</f>
        <v>-9.0000000000000011E-3</v>
      </c>
      <c r="AB50" s="130">
        <f t="shared" si="56"/>
        <v>-1.3999999999999999E-2</v>
      </c>
      <c r="AC50" s="130">
        <f t="shared" si="56"/>
        <v>5.000000000000001E-3</v>
      </c>
    </row>
    <row r="51" spans="1:66" ht="19.5" customHeight="1" thickTop="1" thickBot="1">
      <c r="A51" s="127" t="s">
        <v>455</v>
      </c>
      <c r="B51" s="134">
        <v>-5.1185058729815991E-3</v>
      </c>
      <c r="C51" s="134">
        <v>-1.8814941270184071E-3</v>
      </c>
      <c r="D51" s="134">
        <v>-2.0935883139912834E-2</v>
      </c>
      <c r="E51" s="134">
        <v>-2.0428288056503902E-3</v>
      </c>
      <c r="F51" s="134">
        <v>-5.0492510387771528E-4</v>
      </c>
      <c r="G51" s="134">
        <v>1.4925402627286671E-2</v>
      </c>
      <c r="H51" s="134">
        <v>2.655823442215427E-2</v>
      </c>
      <c r="I51" s="134">
        <v>-6.9986459091427033E-3</v>
      </c>
      <c r="J51" s="134">
        <v>2.2263138229788731E-3</v>
      </c>
      <c r="K51" s="134">
        <v>-1.9245425675210218E-2</v>
      </c>
      <c r="L51" s="134">
        <v>-1.4800647198430272E-2</v>
      </c>
      <c r="M51" s="134">
        <v>-3.4826153159692591E-3</v>
      </c>
      <c r="N51" s="134">
        <v>-2.3698979724226417E-2</v>
      </c>
      <c r="O51" s="134">
        <v>-8.4875545651462853E-3</v>
      </c>
      <c r="P51" s="134">
        <v>-9.5124454348537169E-3</v>
      </c>
      <c r="Q51" s="134">
        <v>-5.9999999999999984E-3</v>
      </c>
      <c r="R51" s="134">
        <v>6.9999999999999993E-3</v>
      </c>
      <c r="S51" s="134">
        <v>-1.9999999999999983E-3</v>
      </c>
      <c r="T51" s="135">
        <v>-4.0000000000000001E-3</v>
      </c>
      <c r="U51" s="135">
        <v>9.9999999999999742E-4</v>
      </c>
      <c r="V51" s="135">
        <v>2.0000000000000018E-3</v>
      </c>
      <c r="W51" s="135">
        <v>4.0000000000000001E-3</v>
      </c>
      <c r="X51" s="135">
        <v>4.0000000000000001E-3</v>
      </c>
      <c r="Y51" s="135">
        <v>-2.9999999999999992E-3</v>
      </c>
      <c r="Z51" s="135">
        <v>1.2999999999999998E-2</v>
      </c>
      <c r="AA51" s="135">
        <f t="shared" ref="AA51:AC51" si="57">AA45-Z45</f>
        <v>-3.9999999999999966E-3</v>
      </c>
      <c r="AB51" s="135">
        <f t="shared" si="57"/>
        <v>-4.0000000000000036E-3</v>
      </c>
      <c r="AC51" s="135">
        <f t="shared" si="57"/>
        <v>3.0000000000000027E-3</v>
      </c>
      <c r="AE51" s="40" t="s">
        <v>423</v>
      </c>
      <c r="AF51" s="435"/>
      <c r="AG51" s="435"/>
      <c r="AH51" s="435"/>
      <c r="AI51" s="435"/>
      <c r="AJ51" s="435"/>
      <c r="AK51" s="435"/>
      <c r="AL51" s="435"/>
      <c r="AM51" s="435"/>
      <c r="AN51" s="435"/>
      <c r="AO51" s="435"/>
      <c r="AP51" s="435"/>
    </row>
    <row r="52" spans="1:66" ht="19.5" customHeight="1">
      <c r="A52" s="24" t="s">
        <v>135</v>
      </c>
      <c r="U52" s="10"/>
      <c r="AE52" s="1191" t="s">
        <v>464</v>
      </c>
      <c r="AF52" s="1192"/>
      <c r="AG52" s="1192"/>
      <c r="AH52" s="1192"/>
      <c r="AI52" s="1192"/>
      <c r="AJ52" s="1192"/>
      <c r="AK52" s="1192"/>
      <c r="AL52" s="1192"/>
      <c r="AM52" s="1192"/>
      <c r="AN52" s="1192"/>
      <c r="AO52" s="1192"/>
      <c r="AP52" s="1192"/>
      <c r="AQ52" s="1192"/>
      <c r="AR52" s="1192"/>
      <c r="AS52" s="1193"/>
    </row>
    <row r="53" spans="1:66" ht="19.5" customHeight="1">
      <c r="A53" s="85" t="s">
        <v>458</v>
      </c>
      <c r="B53" s="85" t="s">
        <v>384</v>
      </c>
      <c r="C53" s="85" t="s">
        <v>385</v>
      </c>
      <c r="D53" s="85" t="s">
        <v>386</v>
      </c>
      <c r="E53" s="85" t="s">
        <v>387</v>
      </c>
      <c r="F53" s="85" t="s">
        <v>388</v>
      </c>
      <c r="G53" s="85" t="s">
        <v>389</v>
      </c>
      <c r="H53" s="85" t="s">
        <v>390</v>
      </c>
      <c r="I53" s="85" t="s">
        <v>391</v>
      </c>
      <c r="J53" s="85" t="s">
        <v>392</v>
      </c>
      <c r="K53" s="85" t="s">
        <v>393</v>
      </c>
      <c r="L53" s="85" t="s">
        <v>394</v>
      </c>
      <c r="M53" s="85" t="s">
        <v>395</v>
      </c>
      <c r="N53" s="85" t="s">
        <v>396</v>
      </c>
      <c r="O53" s="85" t="s">
        <v>397</v>
      </c>
      <c r="P53" s="85" t="s">
        <v>398</v>
      </c>
      <c r="Q53" s="85" t="s">
        <v>399</v>
      </c>
      <c r="R53" s="85" t="s">
        <v>460</v>
      </c>
      <c r="S53" s="85" t="s">
        <v>461</v>
      </c>
      <c r="T53" s="85" t="s">
        <v>402</v>
      </c>
      <c r="U53" s="80" t="s">
        <v>412</v>
      </c>
      <c r="V53" s="80" t="s">
        <v>413</v>
      </c>
      <c r="W53" s="80" t="s">
        <v>414</v>
      </c>
      <c r="X53" s="80" t="s">
        <v>415</v>
      </c>
      <c r="Y53" s="80" t="s">
        <v>416</v>
      </c>
      <c r="Z53" s="80" t="str">
        <f>Z41</f>
        <v>Q1 2025</v>
      </c>
      <c r="AA53" s="80" t="str">
        <f>AA41</f>
        <v>Q2 2025</v>
      </c>
      <c r="AB53" s="80" t="str">
        <f>AB41</f>
        <v>Q3 2025</v>
      </c>
      <c r="AC53" s="80" t="str">
        <f>AC41</f>
        <v>Q4 2025</v>
      </c>
      <c r="AE53" s="1194"/>
      <c r="AF53" s="1195"/>
      <c r="AG53" s="1195"/>
      <c r="AH53" s="1195"/>
      <c r="AI53" s="1195"/>
      <c r="AJ53" s="1195"/>
      <c r="AK53" s="1195"/>
      <c r="AL53" s="1195"/>
      <c r="AM53" s="1195"/>
      <c r="AN53" s="1195"/>
      <c r="AO53" s="1195"/>
      <c r="AP53" s="1195"/>
      <c r="AQ53" s="1195"/>
      <c r="AR53" s="1195"/>
      <c r="AS53" s="1196"/>
    </row>
    <row r="54" spans="1:66" ht="19.5" customHeight="1">
      <c r="A54" s="85" t="s">
        <v>186</v>
      </c>
      <c r="B54" s="89">
        <v>1.7008977979309767E-2</v>
      </c>
      <c r="C54" s="89">
        <v>1.8331387035256344E-2</v>
      </c>
      <c r="D54" s="89">
        <v>-3.1005043063644058E-2</v>
      </c>
      <c r="E54" s="89">
        <v>-3.9321101718215651E-2</v>
      </c>
      <c r="F54" s="89">
        <v>-5.9920820208174644E-2</v>
      </c>
      <c r="G54" s="89">
        <v>-1.9529275687411238E-2</v>
      </c>
      <c r="H54" s="89">
        <v>5.0430636440584875E-6</v>
      </c>
      <c r="I54" s="89">
        <v>3.3854380789811428E-2</v>
      </c>
      <c r="J54" s="89">
        <v>2.9611357239930566E-2</v>
      </c>
      <c r="K54" s="89">
        <v>-1.1575137359297494E-2</v>
      </c>
      <c r="L54" s="89">
        <v>-1.1030125879542982E-2</v>
      </c>
      <c r="M54" s="89">
        <v>-1.7676937192461037E-2</v>
      </c>
      <c r="N54" s="89">
        <v>-2.9699515011065686E-2</v>
      </c>
      <c r="O54" s="89">
        <v>-4.9051736055257304E-2</v>
      </c>
      <c r="P54" s="89">
        <v>-5.4969874120457021E-2</v>
      </c>
      <c r="Q54" s="89">
        <v>-7.0827900275667793E-2</v>
      </c>
      <c r="R54" s="89">
        <v>-4.4000000000000011E-2</v>
      </c>
      <c r="S54" s="89">
        <v>-2.2175237933290314E-2</v>
      </c>
      <c r="T54" s="90">
        <v>-1.5000000000000003E-2</v>
      </c>
      <c r="U54" s="90">
        <v>-2.9999999999999992E-3</v>
      </c>
      <c r="V54" s="90">
        <v>-4.0000000000000001E-3</v>
      </c>
      <c r="W54" s="90">
        <v>-5.000000000000001E-3</v>
      </c>
      <c r="X54" s="90">
        <v>9.0000000000000011E-3</v>
      </c>
      <c r="Y54" s="90">
        <v>6.9999999999999993E-3</v>
      </c>
      <c r="Z54" s="90">
        <v>2.3E-2</v>
      </c>
      <c r="AA54" s="90">
        <f>AA42-W42</f>
        <v>1.7999999999999999E-2</v>
      </c>
      <c r="AB54" s="90">
        <f t="shared" ref="AB54:AC54" si="58">AB42-X42</f>
        <v>1.6999999999999998E-2</v>
      </c>
      <c r="AC54" s="90">
        <f t="shared" si="58"/>
        <v>0.02</v>
      </c>
      <c r="AE54" s="1194"/>
      <c r="AF54" s="1195"/>
      <c r="AG54" s="1195"/>
      <c r="AH54" s="1195"/>
      <c r="AI54" s="1195"/>
      <c r="AJ54" s="1195"/>
      <c r="AK54" s="1195"/>
      <c r="AL54" s="1195"/>
      <c r="AM54" s="1195"/>
      <c r="AN54" s="1195"/>
      <c r="AO54" s="1195"/>
      <c r="AP54" s="1195"/>
      <c r="AQ54" s="1195"/>
      <c r="AR54" s="1195"/>
      <c r="AS54" s="1196"/>
    </row>
    <row r="55" spans="1:66" ht="19.5" customHeight="1">
      <c r="A55" s="85" t="s">
        <v>187</v>
      </c>
      <c r="B55" s="89">
        <v>-1.993354949496489E-2</v>
      </c>
      <c r="C55" s="89">
        <v>-2.3263951861652324E-2</v>
      </c>
      <c r="D55" s="89">
        <v>-4.8919961511844419E-2</v>
      </c>
      <c r="E55" s="89">
        <v>-2.0782061252194103E-2</v>
      </c>
      <c r="F55" s="89">
        <v>2.3742976127750989E-3</v>
      </c>
      <c r="G55" s="89">
        <v>1.3684562177352359E-2</v>
      </c>
      <c r="H55" s="89">
        <v>1.7919961511844412E-2</v>
      </c>
      <c r="I55" s="89">
        <v>1.4268223696141807E-3</v>
      </c>
      <c r="J55" s="89">
        <v>4.230298025030535E-2</v>
      </c>
      <c r="K55" s="89">
        <v>-9.3350936621728262E-3</v>
      </c>
      <c r="L55" s="89">
        <v>-2.5032286443632402E-2</v>
      </c>
      <c r="M55" s="89">
        <v>-2.9076065904646405E-2</v>
      </c>
      <c r="N55" s="89">
        <v>-7.824372836811555E-2</v>
      </c>
      <c r="O55" s="89">
        <v>-2.220873467149289E-2</v>
      </c>
      <c r="P55" s="89">
        <v>-4.9677135563675982E-3</v>
      </c>
      <c r="Q55" s="89">
        <v>-3.1989195438777152E-3</v>
      </c>
      <c r="R55" s="89">
        <v>1.5000000000000001E-2</v>
      </c>
      <c r="S55" s="89">
        <v>-1.876781982034316E-3</v>
      </c>
      <c r="T55" s="90">
        <v>-9.9999999999999915E-4</v>
      </c>
      <c r="U55" s="90">
        <v>2.9999999999999992E-3</v>
      </c>
      <c r="V55" s="90">
        <v>-6.0000000000000019E-3</v>
      </c>
      <c r="W55" s="90">
        <v>8.9999999999999993E-3</v>
      </c>
      <c r="X55" s="90">
        <v>1.4999999999999999E-2</v>
      </c>
      <c r="Y55" s="90">
        <v>9.0000000000000011E-3</v>
      </c>
      <c r="Z55" s="90">
        <v>8.0000000000000002E-3</v>
      </c>
      <c r="AA55" s="90">
        <f t="shared" ref="AA55:AC55" si="59">AA43-W43</f>
        <v>3.0000000000000027E-3</v>
      </c>
      <c r="AB55" s="90">
        <f t="shared" si="59"/>
        <v>-8.9999999999999993E-3</v>
      </c>
      <c r="AC55" s="90">
        <f t="shared" si="59"/>
        <v>-2.0000000000000018E-3</v>
      </c>
      <c r="AE55" s="1194"/>
      <c r="AF55" s="1195"/>
      <c r="AG55" s="1195"/>
      <c r="AH55" s="1195"/>
      <c r="AI55" s="1195"/>
      <c r="AJ55" s="1195"/>
      <c r="AK55" s="1195"/>
      <c r="AL55" s="1195"/>
      <c r="AM55" s="1195"/>
      <c r="AN55" s="1195"/>
      <c r="AO55" s="1195"/>
      <c r="AP55" s="1195"/>
      <c r="AQ55" s="1195"/>
      <c r="AR55" s="1195"/>
      <c r="AS55" s="1196"/>
    </row>
    <row r="56" spans="1:66" ht="19.5" customHeight="1" thickBot="1">
      <c r="A56" s="128" t="s">
        <v>188</v>
      </c>
      <c r="B56" s="129">
        <v>-0.13475054347317345</v>
      </c>
      <c r="C56" s="129">
        <v>-7.3820175119779452E-2</v>
      </c>
      <c r="D56" s="129">
        <v>-6.1088328418575685E-2</v>
      </c>
      <c r="E56" s="129">
        <v>-1.6044014920880395E-2</v>
      </c>
      <c r="F56" s="129">
        <v>2.3429416924883179E-3</v>
      </c>
      <c r="G56" s="129">
        <v>-2.6861091597449677E-2</v>
      </c>
      <c r="H56" s="129">
        <v>0.14208832841857566</v>
      </c>
      <c r="I56" s="129">
        <v>7.4382609373172648E-2</v>
      </c>
      <c r="J56" s="129">
        <v>3.874236974174472E-2</v>
      </c>
      <c r="K56" s="129">
        <v>5.7010779586306765E-2</v>
      </c>
      <c r="L56" s="129">
        <v>-0.10540916496961847</v>
      </c>
      <c r="M56" s="129">
        <v>-7.16420994338553E-2</v>
      </c>
      <c r="N56" s="129">
        <v>-9.7334767961059609E-2</v>
      </c>
      <c r="O56" s="129">
        <v>-9.6573267445984406E-2</v>
      </c>
      <c r="P56" s="129">
        <v>-8.6590835030381522E-2</v>
      </c>
      <c r="Q56" s="129">
        <v>-7.0451221562708374E-2</v>
      </c>
      <c r="R56" s="129">
        <v>-1.3000000000000001E-2</v>
      </c>
      <c r="S56" s="129">
        <v>-1.7562454230932341E-3</v>
      </c>
      <c r="T56" s="130">
        <v>8.0000000000000002E-3</v>
      </c>
      <c r="U56" s="130">
        <v>1.3000000000000001E-2</v>
      </c>
      <c r="V56" s="130">
        <v>4.0000000000000001E-3</v>
      </c>
      <c r="W56" s="130">
        <v>1.0000000000000002E-2</v>
      </c>
      <c r="X56" s="130">
        <v>6.9999999999999993E-3</v>
      </c>
      <c r="Y56" s="130">
        <v>2.9999999999999992E-3</v>
      </c>
      <c r="Z56" s="130">
        <v>2.1999999999999999E-2</v>
      </c>
      <c r="AA56" s="130">
        <f t="shared" ref="AA56:AC56" si="60">AA44-W44</f>
        <v>7.9999999999999967E-3</v>
      </c>
      <c r="AB56" s="130">
        <f t="shared" si="60"/>
        <v>-9.0000000000000011E-3</v>
      </c>
      <c r="AC56" s="130">
        <f t="shared" si="60"/>
        <v>0</v>
      </c>
      <c r="AE56" s="1194"/>
      <c r="AF56" s="1195"/>
      <c r="AG56" s="1195"/>
      <c r="AH56" s="1195"/>
      <c r="AI56" s="1195"/>
      <c r="AJ56" s="1195"/>
      <c r="AK56" s="1195"/>
      <c r="AL56" s="1195"/>
      <c r="AM56" s="1195"/>
      <c r="AN56" s="1195"/>
      <c r="AO56" s="1195"/>
      <c r="AP56" s="1195"/>
      <c r="AQ56" s="1195"/>
      <c r="AR56" s="1195"/>
      <c r="AS56" s="1196"/>
    </row>
    <row r="57" spans="1:66" ht="16.399999999999999" customHeight="1" thickTop="1">
      <c r="A57" s="127" t="s">
        <v>455</v>
      </c>
      <c r="B57" s="134">
        <v>-2.7901923527384145E-2</v>
      </c>
      <c r="C57" s="134">
        <v>-1.3999999999999999E-2</v>
      </c>
      <c r="D57" s="134">
        <v>-4.1851994374194207E-2</v>
      </c>
      <c r="E57" s="134">
        <v>-2.997871194556323E-2</v>
      </c>
      <c r="F57" s="134">
        <v>-2.5365131176459346E-2</v>
      </c>
      <c r="G57" s="134">
        <v>-8.5582344221542678E-3</v>
      </c>
      <c r="H57" s="134">
        <v>3.8935883139912836E-2</v>
      </c>
      <c r="I57" s="134">
        <v>3.3980066036420523E-2</v>
      </c>
      <c r="J57" s="134">
        <v>3.6711304963277111E-2</v>
      </c>
      <c r="K57" s="134">
        <v>2.5404766607802221E-3</v>
      </c>
      <c r="L57" s="134">
        <v>-3.881840495980432E-2</v>
      </c>
      <c r="M57" s="134">
        <v>-3.5302374366630876E-2</v>
      </c>
      <c r="N57" s="134">
        <v>-6.1227667913836166E-2</v>
      </c>
      <c r="O57" s="134">
        <v>-5.0469796803772234E-2</v>
      </c>
      <c r="P57" s="134">
        <v>-4.5181595040195678E-2</v>
      </c>
      <c r="Q57" s="134">
        <v>-4.7698979724226417E-2</v>
      </c>
      <c r="R57" s="134">
        <v>-1.7000000000000001E-2</v>
      </c>
      <c r="S57" s="134">
        <v>-1.0512445434853714E-2</v>
      </c>
      <c r="T57" s="135">
        <v>-4.9999999999999975E-3</v>
      </c>
      <c r="U57" s="135">
        <v>1.9999999999999983E-3</v>
      </c>
      <c r="V57" s="135">
        <v>-2.9999999999999992E-3</v>
      </c>
      <c r="W57" s="135">
        <v>2.9999999999999992E-3</v>
      </c>
      <c r="X57" s="135">
        <v>1.0999999999999999E-2</v>
      </c>
      <c r="Y57" s="135">
        <v>7.0000000000000027E-3</v>
      </c>
      <c r="Z57" s="135">
        <v>1.7999999999999999E-2</v>
      </c>
      <c r="AA57" s="135">
        <f t="shared" ref="AA57:AC57" si="61">AA45-W45</f>
        <v>1.0000000000000002E-2</v>
      </c>
      <c r="AB57" s="135">
        <f t="shared" si="61"/>
        <v>1.9999999999999983E-3</v>
      </c>
      <c r="AC57" s="135">
        <f t="shared" si="61"/>
        <v>8.0000000000000002E-3</v>
      </c>
      <c r="AE57" s="1194"/>
      <c r="AF57" s="1195"/>
      <c r="AG57" s="1195"/>
      <c r="AH57" s="1195"/>
      <c r="AI57" s="1195"/>
      <c r="AJ57" s="1195"/>
      <c r="AK57" s="1195"/>
      <c r="AL57" s="1195"/>
      <c r="AM57" s="1195"/>
      <c r="AN57" s="1195"/>
      <c r="AO57" s="1195"/>
      <c r="AP57" s="1195"/>
      <c r="AQ57" s="1195"/>
      <c r="AR57" s="1195"/>
      <c r="AS57" s="1196"/>
      <c r="BM57" s="582"/>
      <c r="BN57" s="582"/>
    </row>
    <row r="58" spans="1:66" ht="17.649999999999999" customHeight="1">
      <c r="AE58" s="1194"/>
      <c r="AF58" s="1195"/>
      <c r="AG58" s="1195"/>
      <c r="AH58" s="1195"/>
      <c r="AI58" s="1195"/>
      <c r="AJ58" s="1195"/>
      <c r="AK58" s="1195"/>
      <c r="AL58" s="1195"/>
      <c r="AM58" s="1195"/>
      <c r="AN58" s="1195"/>
      <c r="AO58" s="1195"/>
      <c r="AP58" s="1195"/>
      <c r="AQ58" s="1195"/>
      <c r="AR58" s="1195"/>
      <c r="AS58" s="1196"/>
    </row>
    <row r="59" spans="1:66" ht="15.65" customHeight="1">
      <c r="AE59" s="1194"/>
      <c r="AF59" s="1195"/>
      <c r="AG59" s="1195"/>
      <c r="AH59" s="1195"/>
      <c r="AI59" s="1195"/>
      <c r="AJ59" s="1195"/>
      <c r="AK59" s="1195"/>
      <c r="AL59" s="1195"/>
      <c r="AM59" s="1195"/>
      <c r="AN59" s="1195"/>
      <c r="AO59" s="1195"/>
      <c r="AP59" s="1195"/>
      <c r="AQ59" s="1195"/>
      <c r="AR59" s="1195"/>
      <c r="AS59" s="1196"/>
    </row>
    <row r="60" spans="1:66" ht="15.65" customHeight="1">
      <c r="AE60" s="1194"/>
      <c r="AF60" s="1195"/>
      <c r="AG60" s="1195"/>
      <c r="AH60" s="1195"/>
      <c r="AI60" s="1195"/>
      <c r="AJ60" s="1195"/>
      <c r="AK60" s="1195"/>
      <c r="AL60" s="1195"/>
      <c r="AM60" s="1195"/>
      <c r="AN60" s="1195"/>
      <c r="AO60" s="1195"/>
      <c r="AP60" s="1195"/>
      <c r="AQ60" s="1195"/>
      <c r="AR60" s="1195"/>
      <c r="AS60" s="1196"/>
    </row>
    <row r="61" spans="1:66" ht="15.65" customHeight="1">
      <c r="AE61" s="1194"/>
      <c r="AF61" s="1195"/>
      <c r="AG61" s="1195"/>
      <c r="AH61" s="1195"/>
      <c r="AI61" s="1195"/>
      <c r="AJ61" s="1195"/>
      <c r="AK61" s="1195"/>
      <c r="AL61" s="1195"/>
      <c r="AM61" s="1195"/>
      <c r="AN61" s="1195"/>
      <c r="AO61" s="1195"/>
      <c r="AP61" s="1195"/>
      <c r="AQ61" s="1195"/>
      <c r="AR61" s="1195"/>
      <c r="AS61" s="1196"/>
    </row>
    <row r="62" spans="1:66" ht="15.65" customHeight="1" thickBot="1">
      <c r="AE62" s="1197"/>
      <c r="AF62" s="1198"/>
      <c r="AG62" s="1198"/>
      <c r="AH62" s="1198"/>
      <c r="AI62" s="1198"/>
      <c r="AJ62" s="1198"/>
      <c r="AK62" s="1198"/>
      <c r="AL62" s="1198"/>
      <c r="AM62" s="1198"/>
      <c r="AN62" s="1198"/>
      <c r="AO62" s="1198"/>
      <c r="AP62" s="1198"/>
      <c r="AQ62" s="1198"/>
      <c r="AR62" s="1198"/>
      <c r="AS62" s="1199"/>
    </row>
    <row r="63" spans="1:66" ht="15.65" customHeight="1">
      <c r="O63" s="845"/>
    </row>
    <row r="64" spans="1:66" ht="15.65" customHeight="1"/>
    <row r="65" ht="15.65" customHeight="1"/>
    <row r="66" ht="15.65" customHeight="1"/>
    <row r="67" ht="16.399999999999999" customHeight="1"/>
  </sheetData>
  <mergeCells count="2">
    <mergeCell ref="AE37:AS47"/>
    <mergeCell ref="AE52:AS62"/>
  </mergeCells>
  <phoneticPr fontId="23" type="noConversion"/>
  <pageMargins left="0.23622047244094491" right="0.23622047244094491" top="0.74803149606299213" bottom="0.74803149606299213" header="0.31496062992125984" footer="0.31496062992125984"/>
  <pageSetup paperSize="9" scale="45" fitToWidth="0" orientation="landscape" r:id="rId1"/>
  <colBreaks count="1" manualBreakCount="1">
    <brk id="21" max="1048575" man="1"/>
  </colBreaks>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C0E12F-9595-4C9C-8F49-2DDE901F3E5A}">
  <sheetPr>
    <tabColor rgb="FF339088"/>
  </sheetPr>
  <dimension ref="A1:AL102"/>
  <sheetViews>
    <sheetView showGridLines="0" view="pageBreakPreview" zoomScale="70" zoomScaleNormal="100" zoomScaleSheetLayoutView="70" workbookViewId="0">
      <pane xSplit="2" ySplit="5" topLeftCell="J104" activePane="bottomRight" state="frozen"/>
      <selection pane="topRight" activeCell="P36" sqref="P36:T55"/>
      <selection pane="bottomLeft" activeCell="P36" sqref="P36:T55"/>
      <selection pane="bottomRight" activeCell="N44" sqref="N44"/>
    </sheetView>
  </sheetViews>
  <sheetFormatPr defaultColWidth="8.7265625" defaultRowHeight="16.5"/>
  <cols>
    <col min="1" max="1" width="42.7265625" style="1" customWidth="1"/>
    <col min="2" max="2" width="14.26953125" style="1" customWidth="1"/>
    <col min="3" max="17" width="18.26953125" style="1" bestFit="1" customWidth="1"/>
    <col min="18" max="18" width="21.26953125" style="1" bestFit="1" customWidth="1"/>
    <col min="19" max="29" width="14.7265625" style="1" customWidth="1"/>
    <col min="30" max="30" width="12.7265625" style="1" bestFit="1" customWidth="1"/>
    <col min="31" max="38" width="14.7265625" style="1" customWidth="1"/>
    <col min="39" max="40" width="8.7265625" style="1"/>
    <col min="41" max="41" width="18.26953125" style="1" bestFit="1" customWidth="1"/>
    <col min="42" max="16384" width="8.7265625" style="1"/>
  </cols>
  <sheetData>
    <row r="1" spans="1:33" ht="26">
      <c r="A1" s="4" t="s">
        <v>465</v>
      </c>
      <c r="B1" s="4"/>
    </row>
    <row r="2" spans="1:33">
      <c r="C2" s="1">
        <v>0.30249999999999999</v>
      </c>
      <c r="F2" s="34"/>
      <c r="I2" s="34"/>
      <c r="K2" s="34"/>
      <c r="M2" s="32"/>
      <c r="O2" s="34"/>
      <c r="W2" s="33"/>
    </row>
    <row r="3" spans="1:33" ht="19.5">
      <c r="A3" s="188" t="s">
        <v>466</v>
      </c>
      <c r="C3" s="1">
        <v>10.7639</v>
      </c>
      <c r="S3" s="43"/>
      <c r="AA3" s="15"/>
      <c r="AD3" s="15"/>
      <c r="AE3" s="15"/>
    </row>
    <row r="4" spans="1:33">
      <c r="G4" s="43"/>
      <c r="H4" s="43"/>
      <c r="I4" s="43"/>
      <c r="J4" s="43"/>
      <c r="K4" s="43"/>
      <c r="L4" s="43"/>
      <c r="M4" s="43"/>
      <c r="N4" s="43"/>
      <c r="O4" s="43"/>
      <c r="P4" s="43"/>
      <c r="Q4" s="43"/>
      <c r="R4" s="43"/>
      <c r="S4" s="43"/>
      <c r="T4" s="43"/>
      <c r="U4" s="43"/>
    </row>
    <row r="5" spans="1:33">
      <c r="G5" s="43"/>
      <c r="H5" s="43"/>
      <c r="I5" s="43"/>
      <c r="J5" s="43"/>
      <c r="K5" s="43"/>
      <c r="L5" s="43"/>
      <c r="M5" s="43"/>
      <c r="N5" s="43"/>
      <c r="O5" s="43"/>
      <c r="P5" s="43"/>
      <c r="Q5" s="43"/>
      <c r="R5" s="43"/>
      <c r="S5" s="43"/>
      <c r="T5" s="43"/>
      <c r="U5" s="43"/>
    </row>
    <row r="6" spans="1:33" ht="17.149999999999999" customHeight="1" thickBot="1">
      <c r="A6" s="1206" t="s">
        <v>467</v>
      </c>
      <c r="B6" s="412"/>
      <c r="C6" s="1200">
        <v>2019</v>
      </c>
      <c r="D6" s="1200"/>
      <c r="E6" s="1200"/>
      <c r="F6" s="1200"/>
      <c r="G6" s="1200">
        <v>2020</v>
      </c>
      <c r="H6" s="1200"/>
      <c r="I6" s="1200"/>
      <c r="J6" s="1200"/>
      <c r="K6" s="1200">
        <v>2021</v>
      </c>
      <c r="L6" s="1200"/>
      <c r="M6" s="1200"/>
      <c r="N6" s="1200"/>
      <c r="O6" s="1200">
        <v>2022</v>
      </c>
      <c r="P6" s="1200"/>
      <c r="Q6" s="1200"/>
      <c r="R6" s="1200"/>
      <c r="S6" s="43"/>
      <c r="T6" s="674" t="s">
        <v>421</v>
      </c>
      <c r="U6" s="73"/>
      <c r="V6" s="73"/>
      <c r="W6" s="73"/>
      <c r="X6" s="73"/>
      <c r="Y6" s="73"/>
      <c r="Z6" s="73"/>
      <c r="AB6" s="47"/>
    </row>
    <row r="7" spans="1:33" ht="17.149999999999999" customHeight="1">
      <c r="A7" s="1206"/>
      <c r="B7" s="412"/>
      <c r="C7" s="388" t="s">
        <v>468</v>
      </c>
      <c r="D7" s="388" t="s">
        <v>469</v>
      </c>
      <c r="E7" s="388" t="s">
        <v>470</v>
      </c>
      <c r="F7" s="388" t="s">
        <v>471</v>
      </c>
      <c r="G7" s="388" t="s">
        <v>468</v>
      </c>
      <c r="H7" s="413" t="s">
        <v>469</v>
      </c>
      <c r="I7" s="388" t="s">
        <v>470</v>
      </c>
      <c r="J7" s="388" t="s">
        <v>472</v>
      </c>
      <c r="K7" s="388" t="s">
        <v>468</v>
      </c>
      <c r="L7" s="388" t="s">
        <v>469</v>
      </c>
      <c r="M7" s="388" t="s">
        <v>470</v>
      </c>
      <c r="N7" s="388" t="s">
        <v>472</v>
      </c>
      <c r="O7" s="388" t="s">
        <v>468</v>
      </c>
      <c r="P7" s="388" t="s">
        <v>469</v>
      </c>
      <c r="Q7" s="388" t="s">
        <v>470</v>
      </c>
      <c r="R7" s="388" t="s">
        <v>472</v>
      </c>
      <c r="S7" s="43"/>
      <c r="T7" s="1182" t="s">
        <v>473</v>
      </c>
      <c r="U7" s="1183"/>
      <c r="V7" s="1183"/>
      <c r="W7" s="1183"/>
      <c r="X7" s="1183"/>
      <c r="Y7" s="1183"/>
      <c r="Z7" s="1183"/>
      <c r="AA7" s="1183"/>
      <c r="AB7" s="1183"/>
      <c r="AC7" s="1183"/>
      <c r="AD7" s="1184"/>
    </row>
    <row r="8" spans="1:33" ht="17.149999999999999" customHeight="1">
      <c r="A8" s="1200" t="s">
        <v>474</v>
      </c>
      <c r="B8" s="388" t="s">
        <v>475</v>
      </c>
      <c r="C8" s="414">
        <v>18882714.396740168</v>
      </c>
      <c r="D8" s="414">
        <v>18764157.176463008</v>
      </c>
      <c r="E8" s="414">
        <v>19602884.5402257</v>
      </c>
      <c r="F8" s="414">
        <v>19804626.096106999</v>
      </c>
      <c r="G8" s="414">
        <v>21500772.367970601</v>
      </c>
      <c r="H8" s="414">
        <v>21678067.141636498</v>
      </c>
      <c r="I8" s="414">
        <v>21958241.838232499</v>
      </c>
      <c r="J8" s="414">
        <v>21931407.265570499</v>
      </c>
      <c r="K8" s="414">
        <v>23260222.639071502</v>
      </c>
      <c r="L8" s="414">
        <v>23273725.064804401</v>
      </c>
      <c r="M8" s="414">
        <v>23286133.453490399</v>
      </c>
      <c r="N8" s="414">
        <v>23277282.030150998</v>
      </c>
      <c r="O8" s="414">
        <v>23842852.002178162</v>
      </c>
      <c r="P8" s="414">
        <v>20514501.748021401</v>
      </c>
      <c r="Q8" s="414">
        <f>7376807/0.3025</f>
        <v>24386138.842975207</v>
      </c>
      <c r="R8" s="414">
        <v>26783054</v>
      </c>
      <c r="S8" s="43"/>
      <c r="T8" s="1185"/>
      <c r="U8" s="1186"/>
      <c r="V8" s="1186"/>
      <c r="W8" s="1186"/>
      <c r="X8" s="1186"/>
      <c r="Y8" s="1186"/>
      <c r="Z8" s="1186"/>
      <c r="AA8" s="1186"/>
      <c r="AB8" s="1186"/>
      <c r="AC8" s="1186"/>
      <c r="AD8" s="1187"/>
    </row>
    <row r="9" spans="1:33" ht="17.149999999999999" customHeight="1">
      <c r="A9" s="1200"/>
      <c r="B9" s="388" t="s">
        <v>476</v>
      </c>
      <c r="C9" s="1205">
        <f>((AVERAGE(C8:F8)))</f>
        <v>19263595.552383967</v>
      </c>
      <c r="D9" s="1205">
        <v>0</v>
      </c>
      <c r="E9" s="1205">
        <v>0</v>
      </c>
      <c r="F9" s="1205">
        <v>0</v>
      </c>
      <c r="G9" s="1205">
        <f>((AVERAGE(G8:J8)))</f>
        <v>21767122.153352521</v>
      </c>
      <c r="H9" s="1205">
        <v>0</v>
      </c>
      <c r="I9" s="1205">
        <v>0</v>
      </c>
      <c r="J9" s="1205">
        <v>0</v>
      </c>
      <c r="K9" s="1205">
        <f>((AVERAGE(K8:N8)))</f>
        <v>23274340.796879325</v>
      </c>
      <c r="L9" s="1205">
        <v>0</v>
      </c>
      <c r="M9" s="1205">
        <v>0</v>
      </c>
      <c r="N9" s="1205">
        <v>0</v>
      </c>
      <c r="O9" s="1205" t="s">
        <v>459</v>
      </c>
      <c r="P9" s="1205">
        <v>0</v>
      </c>
      <c r="Q9" s="1205">
        <v>0</v>
      </c>
      <c r="R9" s="1205">
        <v>0</v>
      </c>
      <c r="S9" s="43"/>
      <c r="T9" s="1185"/>
      <c r="U9" s="1186"/>
      <c r="V9" s="1186"/>
      <c r="W9" s="1186"/>
      <c r="X9" s="1186"/>
      <c r="Y9" s="1186"/>
      <c r="Z9" s="1186"/>
      <c r="AA9" s="1186"/>
      <c r="AB9" s="1186"/>
      <c r="AC9" s="1186"/>
      <c r="AD9" s="1187"/>
    </row>
    <row r="10" spans="1:33" ht="17.149999999999999" customHeight="1">
      <c r="A10" s="1200" t="s">
        <v>477</v>
      </c>
      <c r="B10" s="388" t="s">
        <v>475</v>
      </c>
      <c r="C10" s="389">
        <v>0.04</v>
      </c>
      <c r="D10" s="389">
        <v>4.2999999999999997E-2</v>
      </c>
      <c r="E10" s="389">
        <v>0.04</v>
      </c>
      <c r="F10" s="389">
        <v>4.2000000000000003E-2</v>
      </c>
      <c r="G10" s="389">
        <v>4.2000000000000003E-2</v>
      </c>
      <c r="H10" s="389">
        <v>3.9E-2</v>
      </c>
      <c r="I10" s="389">
        <v>3.9E-2</v>
      </c>
      <c r="J10" s="389">
        <v>3.7999999999999999E-2</v>
      </c>
      <c r="K10" s="389">
        <v>3.6999999999999998E-2</v>
      </c>
      <c r="L10" s="389">
        <v>3.5000000000000003E-2</v>
      </c>
      <c r="M10" s="389">
        <v>3.3000000000000002E-2</v>
      </c>
      <c r="N10" s="389">
        <v>3.3000000000000002E-2</v>
      </c>
      <c r="O10" s="389">
        <v>3.2000000000000001E-2</v>
      </c>
      <c r="P10" s="389">
        <v>3.3000000000000002E-2</v>
      </c>
      <c r="Q10" s="389">
        <v>3.5000000000000003E-2</v>
      </c>
      <c r="R10" s="389">
        <v>0.04</v>
      </c>
      <c r="S10" s="43"/>
      <c r="T10" s="1185"/>
      <c r="U10" s="1186"/>
      <c r="V10" s="1186"/>
      <c r="W10" s="1186"/>
      <c r="X10" s="1186"/>
      <c r="Y10" s="1186"/>
      <c r="Z10" s="1186"/>
      <c r="AA10" s="1186"/>
      <c r="AB10" s="1186"/>
      <c r="AC10" s="1186"/>
      <c r="AD10" s="1187"/>
    </row>
    <row r="11" spans="1:33" ht="17.149999999999999" customHeight="1">
      <c r="A11" s="1200"/>
      <c r="B11" s="388" t="s">
        <v>476</v>
      </c>
      <c r="C11" s="1201">
        <v>4.1250000000000002E-2</v>
      </c>
      <c r="D11" s="1201"/>
      <c r="E11" s="1201"/>
      <c r="F11" s="1201"/>
      <c r="G11" s="1201">
        <v>3.95E-2</v>
      </c>
      <c r="H11" s="1201"/>
      <c r="I11" s="1201"/>
      <c r="J11" s="1201"/>
      <c r="K11" s="1201">
        <f>AVERAGE(K10:N10)</f>
        <v>3.4500000000000003E-2</v>
      </c>
      <c r="L11" s="1201"/>
      <c r="M11" s="1201"/>
      <c r="N11" s="1201"/>
      <c r="O11" s="1201">
        <f>AVERAGE(O10:R10)</f>
        <v>3.5000000000000003E-2</v>
      </c>
      <c r="P11" s="1201"/>
      <c r="Q11" s="1201"/>
      <c r="R11" s="1201"/>
      <c r="S11" s="43"/>
      <c r="T11" s="1185"/>
      <c r="U11" s="1186"/>
      <c r="V11" s="1186"/>
      <c r="W11" s="1186"/>
      <c r="X11" s="1186"/>
      <c r="Y11" s="1186"/>
      <c r="Z11" s="1186"/>
      <c r="AA11" s="1186"/>
      <c r="AB11" s="1186"/>
      <c r="AC11" s="1186"/>
      <c r="AD11" s="1187"/>
    </row>
    <row r="12" spans="1:33" ht="17.149999999999999" customHeight="1">
      <c r="A12" s="17" t="s">
        <v>135</v>
      </c>
      <c r="B12" s="415"/>
      <c r="C12" s="415"/>
      <c r="D12" s="415"/>
      <c r="E12" s="415"/>
      <c r="F12" s="415"/>
      <c r="G12" s="675"/>
      <c r="H12" s="675"/>
      <c r="I12" s="675"/>
      <c r="J12" s="675"/>
      <c r="K12" s="675"/>
      <c r="L12" s="675"/>
      <c r="M12" s="675"/>
      <c r="N12" s="675"/>
      <c r="O12" s="675"/>
      <c r="P12" s="675"/>
      <c r="Q12" s="675"/>
      <c r="R12" s="675"/>
      <c r="S12" s="43"/>
      <c r="T12" s="1185"/>
      <c r="U12" s="1186"/>
      <c r="V12" s="1186"/>
      <c r="W12" s="1186"/>
      <c r="X12" s="1186"/>
      <c r="Y12" s="1186"/>
      <c r="Z12" s="1186"/>
      <c r="AA12" s="1186"/>
      <c r="AB12" s="1186"/>
      <c r="AC12" s="1186"/>
      <c r="AD12" s="1187"/>
      <c r="AE12" s="56"/>
      <c r="AF12" s="56"/>
      <c r="AG12" s="56"/>
    </row>
    <row r="13" spans="1:33" ht="17.149999999999999" customHeight="1">
      <c r="A13" s="286"/>
      <c r="B13" s="286"/>
      <c r="C13" s="286"/>
      <c r="D13" s="286"/>
      <c r="E13" s="286"/>
      <c r="F13" s="286"/>
      <c r="G13" s="671"/>
      <c r="H13" s="671"/>
      <c r="I13" s="671"/>
      <c r="J13" s="671"/>
      <c r="K13" s="671"/>
      <c r="L13" s="651"/>
      <c r="M13" s="651"/>
      <c r="N13" s="671"/>
      <c r="O13" s="671"/>
      <c r="P13" s="671"/>
      <c r="Q13" s="671"/>
      <c r="R13" s="671"/>
      <c r="S13" s="43"/>
      <c r="T13" s="1185"/>
      <c r="U13" s="1186"/>
      <c r="V13" s="1186"/>
      <c r="W13" s="1186"/>
      <c r="X13" s="1186"/>
      <c r="Y13" s="1186"/>
      <c r="Z13" s="1186"/>
      <c r="AA13" s="1186"/>
      <c r="AB13" s="1186"/>
      <c r="AC13" s="1186"/>
      <c r="AD13" s="1187"/>
      <c r="AE13" s="56"/>
      <c r="AF13" s="56"/>
      <c r="AG13" s="56"/>
    </row>
    <row r="14" spans="1:33" ht="17.149999999999999" customHeight="1">
      <c r="A14" s="1206" t="s">
        <v>467</v>
      </c>
      <c r="B14" s="412"/>
      <c r="C14" s="1200">
        <v>2023</v>
      </c>
      <c r="D14" s="1200"/>
      <c r="E14" s="1200"/>
      <c r="F14" s="1200"/>
      <c r="G14" s="1200">
        <v>2024</v>
      </c>
      <c r="H14" s="1200"/>
      <c r="I14" s="1200"/>
      <c r="J14" s="1200"/>
      <c r="K14" s="1200">
        <v>2025</v>
      </c>
      <c r="L14" s="1200"/>
      <c r="M14" s="1200"/>
      <c r="N14" s="1200"/>
      <c r="O14" s="1200">
        <v>2026</v>
      </c>
      <c r="P14" s="1200"/>
      <c r="Q14" s="1200"/>
      <c r="R14" s="1200"/>
      <c r="S14" s="43"/>
      <c r="T14" s="1185"/>
      <c r="U14" s="1186"/>
      <c r="V14" s="1186"/>
      <c r="W14" s="1186"/>
      <c r="X14" s="1186"/>
      <c r="Y14" s="1186"/>
      <c r="Z14" s="1186"/>
      <c r="AA14" s="1186"/>
      <c r="AB14" s="1186"/>
      <c r="AC14" s="1186"/>
      <c r="AD14" s="1187"/>
      <c r="AE14" s="56"/>
      <c r="AF14" s="56"/>
      <c r="AG14" s="56"/>
    </row>
    <row r="15" spans="1:33" ht="17.149999999999999" customHeight="1">
      <c r="A15" s="1206"/>
      <c r="B15" s="412"/>
      <c r="C15" s="388" t="s">
        <v>468</v>
      </c>
      <c r="D15" s="388" t="s">
        <v>469</v>
      </c>
      <c r="E15" s="388" t="s">
        <v>470</v>
      </c>
      <c r="F15" s="388" t="s">
        <v>472</v>
      </c>
      <c r="G15" s="388" t="s">
        <v>468</v>
      </c>
      <c r="H15" s="388" t="s">
        <v>469</v>
      </c>
      <c r="I15" s="388" t="s">
        <v>470</v>
      </c>
      <c r="J15" s="388" t="s">
        <v>472</v>
      </c>
      <c r="K15" s="388" t="s">
        <v>468</v>
      </c>
      <c r="L15" s="388" t="s">
        <v>469</v>
      </c>
      <c r="M15" s="388" t="s">
        <v>470</v>
      </c>
      <c r="N15" s="388" t="s">
        <v>472</v>
      </c>
      <c r="O15" s="388" t="s">
        <v>468</v>
      </c>
      <c r="P15" s="388" t="s">
        <v>469</v>
      </c>
      <c r="Q15" s="388" t="s">
        <v>470</v>
      </c>
      <c r="R15" s="388" t="s">
        <v>472</v>
      </c>
      <c r="S15" s="43"/>
      <c r="T15" s="1185"/>
      <c r="U15" s="1186"/>
      <c r="V15" s="1186"/>
      <c r="W15" s="1186"/>
      <c r="X15" s="1186"/>
      <c r="Y15" s="1186"/>
      <c r="Z15" s="1186"/>
      <c r="AA15" s="1186"/>
      <c r="AB15" s="1186"/>
      <c r="AC15" s="1186"/>
      <c r="AD15" s="1187"/>
      <c r="AE15" s="56"/>
      <c r="AF15" s="56"/>
      <c r="AG15" s="602">
        <f>_xlfn.RRI(2024-2018,G9,P16)</f>
        <v>-1</v>
      </c>
    </row>
    <row r="16" spans="1:33" ht="17.149999999999999" customHeight="1">
      <c r="A16" s="1200" t="s">
        <v>474</v>
      </c>
      <c r="B16" s="388" t="s">
        <v>475</v>
      </c>
      <c r="C16" s="414">
        <v>29417256.198347107</v>
      </c>
      <c r="D16" s="414">
        <v>27132560</v>
      </c>
      <c r="E16" s="414">
        <v>27338125</v>
      </c>
      <c r="F16" s="414">
        <v>28349369.184601001</v>
      </c>
      <c r="G16" s="420">
        <v>33546273.081265658</v>
      </c>
      <c r="H16" s="420">
        <f>X98</f>
        <v>20514501.748021401</v>
      </c>
      <c r="I16" s="420">
        <v>35179119.633838251</v>
      </c>
      <c r="J16" s="420">
        <v>31003046</v>
      </c>
      <c r="K16" s="420">
        <v>32679428.174688678</v>
      </c>
      <c r="L16" s="420">
        <v>33496413.879055891</v>
      </c>
      <c r="M16" s="420">
        <v>33831378.01784645</v>
      </c>
      <c r="N16" s="416">
        <v>32398889.809814796</v>
      </c>
      <c r="O16" s="414"/>
      <c r="P16" s="414"/>
      <c r="Q16" s="414"/>
      <c r="R16" s="414"/>
      <c r="S16" s="672"/>
      <c r="T16" s="1185"/>
      <c r="U16" s="1186"/>
      <c r="V16" s="1186"/>
      <c r="W16" s="1186"/>
      <c r="X16" s="1186"/>
      <c r="Y16" s="1186"/>
      <c r="Z16" s="1186"/>
      <c r="AA16" s="1186"/>
      <c r="AB16" s="1186"/>
      <c r="AC16" s="1186"/>
      <c r="AD16" s="1187"/>
      <c r="AE16" s="56"/>
      <c r="AF16" s="56"/>
      <c r="AG16" s="56"/>
    </row>
    <row r="17" spans="1:33" ht="17.149999999999999" customHeight="1">
      <c r="A17" s="1200"/>
      <c r="B17" s="388" t="s">
        <v>476</v>
      </c>
      <c r="C17" s="1205">
        <f>AVERAGE(C16:F16)</f>
        <v>28059327.595737025</v>
      </c>
      <c r="D17" s="1205">
        <v>0</v>
      </c>
      <c r="E17" s="1205">
        <v>0</v>
      </c>
      <c r="F17" s="1205">
        <v>0</v>
      </c>
      <c r="G17" s="1205">
        <f>AVERAGE(G16:J16)</f>
        <v>30060735.11578133</v>
      </c>
      <c r="H17" s="1205">
        <v>0</v>
      </c>
      <c r="I17" s="1205">
        <v>0</v>
      </c>
      <c r="J17" s="1205">
        <v>0</v>
      </c>
      <c r="K17" s="1205">
        <f>((AVERAGE(K16:N16)))</f>
        <v>33101527.470351454</v>
      </c>
      <c r="L17" s="1205">
        <v>0</v>
      </c>
      <c r="M17" s="1205">
        <v>0</v>
      </c>
      <c r="N17" s="1205">
        <v>0</v>
      </c>
      <c r="O17" s="1205" t="e">
        <f>AVERAGE(O16:R16)</f>
        <v>#DIV/0!</v>
      </c>
      <c r="P17" s="1205">
        <v>0</v>
      </c>
      <c r="Q17" s="1205">
        <v>0</v>
      </c>
      <c r="R17" s="1205">
        <v>0</v>
      </c>
      <c r="S17" s="672"/>
      <c r="T17" s="1185"/>
      <c r="U17" s="1186"/>
      <c r="V17" s="1186"/>
      <c r="W17" s="1186"/>
      <c r="X17" s="1186"/>
      <c r="Y17" s="1186"/>
      <c r="Z17" s="1186"/>
      <c r="AA17" s="1186"/>
      <c r="AB17" s="1186"/>
      <c r="AC17" s="1186"/>
      <c r="AD17" s="1187"/>
      <c r="AE17" s="56"/>
      <c r="AF17" s="56"/>
      <c r="AG17" s="56"/>
    </row>
    <row r="18" spans="1:33" ht="17.149999999999999" customHeight="1" thickBot="1">
      <c r="A18" s="1200" t="s">
        <v>477</v>
      </c>
      <c r="B18" s="388" t="s">
        <v>475</v>
      </c>
      <c r="C18" s="389">
        <v>0.04</v>
      </c>
      <c r="D18" s="389">
        <v>4.2999999999999997E-2</v>
      </c>
      <c r="E18" s="389">
        <v>4.2000000000000003E-2</v>
      </c>
      <c r="F18" s="389">
        <v>4.2999999999999997E-2</v>
      </c>
      <c r="G18" s="542">
        <v>4.3999999999999997E-2</v>
      </c>
      <c r="H18" s="542">
        <v>4.3999999999999997E-2</v>
      </c>
      <c r="I18" s="542">
        <v>4.2999999999999997E-2</v>
      </c>
      <c r="J18" s="542">
        <v>4.5999999999999999E-2</v>
      </c>
      <c r="K18" s="542">
        <v>4.2000000000000003E-2</v>
      </c>
      <c r="L18" s="542">
        <v>0.04</v>
      </c>
      <c r="M18" s="542">
        <v>0.04</v>
      </c>
      <c r="N18" s="417">
        <v>4.2999999999999997E-2</v>
      </c>
      <c r="O18" s="389"/>
      <c r="P18" s="389"/>
      <c r="Q18" s="389"/>
      <c r="R18" s="389"/>
      <c r="S18" s="43"/>
      <c r="T18" s="1188"/>
      <c r="U18" s="1189"/>
      <c r="V18" s="1189"/>
      <c r="W18" s="1189"/>
      <c r="X18" s="1189"/>
      <c r="Y18" s="1189"/>
      <c r="Z18" s="1189"/>
      <c r="AA18" s="1189"/>
      <c r="AB18" s="1189"/>
      <c r="AC18" s="1189"/>
      <c r="AD18" s="1190"/>
      <c r="AE18" s="56"/>
      <c r="AF18" s="56"/>
      <c r="AG18" s="56"/>
    </row>
    <row r="19" spans="1:33" ht="17.149999999999999" customHeight="1">
      <c r="A19" s="1200"/>
      <c r="B19" s="388" t="s">
        <v>476</v>
      </c>
      <c r="C19" s="1201">
        <f>AVERAGE(C18:F18)</f>
        <v>4.1999999999999996E-2</v>
      </c>
      <c r="D19" s="1201"/>
      <c r="E19" s="1201"/>
      <c r="F19" s="1201"/>
      <c r="G19" s="1201">
        <f>AVERAGE(G18:J18)</f>
        <v>4.4249999999999998E-2</v>
      </c>
      <c r="H19" s="1201"/>
      <c r="I19" s="1201"/>
      <c r="J19" s="1201"/>
      <c r="K19" s="1201">
        <f>AVERAGE(K18:N18)</f>
        <v>4.1249999999999995E-2</v>
      </c>
      <c r="L19" s="1201"/>
      <c r="M19" s="1201"/>
      <c r="N19" s="1201"/>
      <c r="O19" s="1201" t="e">
        <f>AVERAGE(O18:R18)</f>
        <v>#DIV/0!</v>
      </c>
      <c r="P19" s="1201"/>
      <c r="Q19" s="1201"/>
      <c r="R19" s="1201"/>
      <c r="S19" s="43"/>
      <c r="T19" s="673"/>
      <c r="U19" s="673"/>
      <c r="V19" s="673"/>
      <c r="W19" s="532"/>
      <c r="X19" s="532"/>
      <c r="Y19" s="532"/>
      <c r="Z19" s="532"/>
      <c r="AA19" s="532"/>
      <c r="AB19" s="532"/>
      <c r="AC19" s="532"/>
      <c r="AD19" s="56"/>
      <c r="AE19" s="56"/>
      <c r="AF19" s="56" t="s">
        <v>478</v>
      </c>
      <c r="AG19" s="56"/>
    </row>
    <row r="20" spans="1:33" ht="16.5" customHeight="1" thickBot="1">
      <c r="A20" s="17" t="s">
        <v>135</v>
      </c>
      <c r="B20" s="415"/>
      <c r="C20" s="286"/>
      <c r="D20" s="286"/>
      <c r="E20" s="286"/>
      <c r="F20" s="286"/>
      <c r="G20" s="671"/>
      <c r="H20" s="671"/>
      <c r="I20" s="671"/>
      <c r="J20" s="671"/>
      <c r="K20" s="671"/>
      <c r="L20" s="671"/>
      <c r="M20" s="671"/>
      <c r="N20" s="878"/>
      <c r="O20" s="671"/>
      <c r="P20" s="671"/>
      <c r="Q20" s="671"/>
      <c r="R20" s="671"/>
      <c r="S20" s="43"/>
      <c r="T20" s="674" t="s">
        <v>423</v>
      </c>
      <c r="U20" s="673"/>
      <c r="V20" s="673"/>
      <c r="W20" s="532"/>
      <c r="X20" s="532"/>
      <c r="Y20" s="532"/>
      <c r="Z20" s="532"/>
      <c r="AA20" s="532"/>
      <c r="AB20" s="532"/>
      <c r="AC20" s="532"/>
    </row>
    <row r="21" spans="1:33" ht="16.5" customHeight="1">
      <c r="A21" s="286"/>
      <c r="B21" s="286"/>
      <c r="C21" s="286"/>
      <c r="D21" s="286"/>
      <c r="E21" s="286"/>
      <c r="F21" s="286"/>
      <c r="G21" s="671"/>
      <c r="H21" s="671"/>
      <c r="I21" s="671"/>
      <c r="J21" s="671"/>
      <c r="K21" s="671"/>
      <c r="L21" s="671"/>
      <c r="M21" s="671"/>
      <c r="N21" s="671"/>
      <c r="O21" s="671"/>
      <c r="P21" s="671"/>
      <c r="Q21" s="671"/>
      <c r="R21" s="671"/>
      <c r="S21" s="43"/>
      <c r="T21" s="1182" t="s">
        <v>479</v>
      </c>
      <c r="U21" s="1183"/>
      <c r="V21" s="1183"/>
      <c r="W21" s="1183"/>
      <c r="X21" s="1183"/>
      <c r="Y21" s="1183"/>
      <c r="Z21" s="1183"/>
      <c r="AA21" s="1183"/>
      <c r="AB21" s="1183"/>
      <c r="AC21" s="1183"/>
      <c r="AD21" s="1184"/>
    </row>
    <row r="22" spans="1:33" ht="16.5" customHeight="1">
      <c r="A22" s="1206" t="s">
        <v>467</v>
      </c>
      <c r="B22" s="412"/>
      <c r="C22" s="1200">
        <v>2027</v>
      </c>
      <c r="D22" s="1200"/>
      <c r="E22" s="1200"/>
      <c r="F22" s="1200"/>
      <c r="G22" s="1200">
        <v>2028</v>
      </c>
      <c r="H22" s="1200"/>
      <c r="I22" s="1200"/>
      <c r="J22" s="1200"/>
      <c r="K22" s="1200">
        <v>2029</v>
      </c>
      <c r="L22" s="1200"/>
      <c r="M22" s="1200"/>
      <c r="N22" s="1200"/>
      <c r="O22" s="1200">
        <v>2030</v>
      </c>
      <c r="P22" s="1200"/>
      <c r="Q22" s="1200"/>
      <c r="R22" s="1200"/>
      <c r="S22" s="43"/>
      <c r="T22" s="1185"/>
      <c r="U22" s="1186"/>
      <c r="V22" s="1186"/>
      <c r="W22" s="1186"/>
      <c r="X22" s="1186"/>
      <c r="Y22" s="1186"/>
      <c r="Z22" s="1186"/>
      <c r="AA22" s="1186"/>
      <c r="AB22" s="1186"/>
      <c r="AC22" s="1186"/>
      <c r="AD22" s="1187"/>
    </row>
    <row r="23" spans="1:33" ht="16.5" customHeight="1">
      <c r="A23" s="1206"/>
      <c r="B23" s="412"/>
      <c r="C23" s="388" t="s">
        <v>468</v>
      </c>
      <c r="D23" s="388" t="s">
        <v>469</v>
      </c>
      <c r="E23" s="388" t="s">
        <v>470</v>
      </c>
      <c r="F23" s="388" t="s">
        <v>472</v>
      </c>
      <c r="G23" s="388" t="s">
        <v>468</v>
      </c>
      <c r="H23" s="388" t="s">
        <v>469</v>
      </c>
      <c r="I23" s="388" t="s">
        <v>470</v>
      </c>
      <c r="J23" s="388" t="s">
        <v>472</v>
      </c>
      <c r="K23" s="388" t="s">
        <v>468</v>
      </c>
      <c r="L23" s="388" t="s">
        <v>469</v>
      </c>
      <c r="M23" s="388" t="s">
        <v>470</v>
      </c>
      <c r="N23" s="388" t="s">
        <v>472</v>
      </c>
      <c r="O23" s="388" t="s">
        <v>468</v>
      </c>
      <c r="P23" s="388" t="s">
        <v>469</v>
      </c>
      <c r="Q23" s="388" t="s">
        <v>470</v>
      </c>
      <c r="R23" s="388" t="s">
        <v>472</v>
      </c>
      <c r="S23" s="43"/>
      <c r="T23" s="1185"/>
      <c r="U23" s="1186"/>
      <c r="V23" s="1186"/>
      <c r="W23" s="1186"/>
      <c r="X23" s="1186"/>
      <c r="Y23" s="1186"/>
      <c r="Z23" s="1186"/>
      <c r="AA23" s="1186"/>
      <c r="AB23" s="1186"/>
      <c r="AC23" s="1186"/>
      <c r="AD23" s="1187"/>
    </row>
    <row r="24" spans="1:33" ht="16.5" customHeight="1">
      <c r="A24" s="1200" t="s">
        <v>474</v>
      </c>
      <c r="B24" s="388" t="s">
        <v>475</v>
      </c>
      <c r="C24" s="414"/>
      <c r="D24" s="414"/>
      <c r="E24" s="414"/>
      <c r="F24" s="414"/>
      <c r="G24" s="420"/>
      <c r="H24" s="420"/>
      <c r="I24" s="420"/>
      <c r="J24" s="416"/>
      <c r="K24" s="414"/>
      <c r="L24" s="414"/>
      <c r="M24" s="414"/>
      <c r="N24" s="414"/>
      <c r="O24" s="420"/>
      <c r="P24" s="420"/>
      <c r="Q24" s="420"/>
      <c r="R24" s="416"/>
      <c r="S24" s="43"/>
      <c r="T24" s="1185"/>
      <c r="U24" s="1186"/>
      <c r="V24" s="1186"/>
      <c r="W24" s="1186"/>
      <c r="X24" s="1186"/>
      <c r="Y24" s="1186"/>
      <c r="Z24" s="1186"/>
      <c r="AA24" s="1186"/>
      <c r="AB24" s="1186"/>
      <c r="AC24" s="1186"/>
      <c r="AD24" s="1187"/>
    </row>
    <row r="25" spans="1:33" ht="16.5" customHeight="1">
      <c r="A25" s="1200"/>
      <c r="B25" s="388" t="s">
        <v>476</v>
      </c>
      <c r="C25" s="1205" t="e">
        <f>AVERAGE(C24:F24)</f>
        <v>#DIV/0!</v>
      </c>
      <c r="D25" s="1205">
        <v>0</v>
      </c>
      <c r="E25" s="1205">
        <v>0</v>
      </c>
      <c r="F25" s="1205">
        <v>0</v>
      </c>
      <c r="G25" s="1205" t="e">
        <f>AVERAGE(G24:J24)</f>
        <v>#DIV/0!</v>
      </c>
      <c r="H25" s="1205">
        <v>0</v>
      </c>
      <c r="I25" s="1205">
        <v>0</v>
      </c>
      <c r="J25" s="1205">
        <v>0</v>
      </c>
      <c r="K25" s="1205" t="e">
        <f>AVERAGE(K24:N24)</f>
        <v>#DIV/0!</v>
      </c>
      <c r="L25" s="1205">
        <v>0</v>
      </c>
      <c r="M25" s="1205">
        <v>0</v>
      </c>
      <c r="N25" s="1205">
        <v>0</v>
      </c>
      <c r="O25" s="1205" t="e">
        <f>AVERAGE(O24:R24)</f>
        <v>#DIV/0!</v>
      </c>
      <c r="P25" s="1205">
        <v>0</v>
      </c>
      <c r="Q25" s="1205">
        <v>0</v>
      </c>
      <c r="R25" s="1205">
        <v>0</v>
      </c>
      <c r="S25" s="43"/>
      <c r="T25" s="1185"/>
      <c r="U25" s="1186"/>
      <c r="V25" s="1186"/>
      <c r="W25" s="1186"/>
      <c r="X25" s="1186"/>
      <c r="Y25" s="1186"/>
      <c r="Z25" s="1186"/>
      <c r="AA25" s="1186"/>
      <c r="AB25" s="1186"/>
      <c r="AC25" s="1186"/>
      <c r="AD25" s="1187"/>
    </row>
    <row r="26" spans="1:33" ht="16.5" customHeight="1">
      <c r="A26" s="1200" t="s">
        <v>477</v>
      </c>
      <c r="B26" s="388" t="s">
        <v>475</v>
      </c>
      <c r="C26" s="389"/>
      <c r="D26" s="389"/>
      <c r="E26" s="389"/>
      <c r="F26" s="389"/>
      <c r="G26" s="542"/>
      <c r="H26" s="542"/>
      <c r="I26" s="542"/>
      <c r="J26" s="417"/>
      <c r="K26" s="389"/>
      <c r="L26" s="389"/>
      <c r="M26" s="389"/>
      <c r="N26" s="389"/>
      <c r="O26" s="542"/>
      <c r="P26" s="542"/>
      <c r="Q26" s="542"/>
      <c r="R26" s="417"/>
      <c r="S26" s="43"/>
      <c r="T26" s="1185"/>
      <c r="U26" s="1186"/>
      <c r="V26" s="1186"/>
      <c r="W26" s="1186"/>
      <c r="X26" s="1186"/>
      <c r="Y26" s="1186"/>
      <c r="Z26" s="1186"/>
      <c r="AA26" s="1186"/>
      <c r="AB26" s="1186"/>
      <c r="AC26" s="1186"/>
      <c r="AD26" s="1187"/>
    </row>
    <row r="27" spans="1:33" s="43" customFormat="1" ht="16.5" customHeight="1">
      <c r="A27" s="1200"/>
      <c r="B27" s="388" t="s">
        <v>476</v>
      </c>
      <c r="C27" s="1201" t="e">
        <f>AVERAGE(C26:F26)</f>
        <v>#DIV/0!</v>
      </c>
      <c r="D27" s="1201"/>
      <c r="E27" s="1201"/>
      <c r="F27" s="1201"/>
      <c r="G27" s="1201" t="e">
        <f>AVERAGE(G26:J26)</f>
        <v>#DIV/0!</v>
      </c>
      <c r="H27" s="1201"/>
      <c r="I27" s="1201"/>
      <c r="J27" s="1201"/>
      <c r="K27" s="1201" t="e">
        <f>AVERAGE(K26:N26)</f>
        <v>#DIV/0!</v>
      </c>
      <c r="L27" s="1201"/>
      <c r="M27" s="1201"/>
      <c r="N27" s="1201"/>
      <c r="O27" s="1201" t="e">
        <f>AVERAGE(O26:R26)</f>
        <v>#DIV/0!</v>
      </c>
      <c r="P27" s="1201"/>
      <c r="Q27" s="1201"/>
      <c r="R27" s="1201"/>
      <c r="T27" s="1185"/>
      <c r="U27" s="1186"/>
      <c r="V27" s="1186"/>
      <c r="W27" s="1186"/>
      <c r="X27" s="1186"/>
      <c r="Y27" s="1186"/>
      <c r="Z27" s="1186"/>
      <c r="AA27" s="1186"/>
      <c r="AB27" s="1186"/>
      <c r="AC27" s="1186"/>
      <c r="AD27" s="1187"/>
    </row>
    <row r="28" spans="1:33" ht="16.5" customHeight="1">
      <c r="A28" s="17" t="s">
        <v>135</v>
      </c>
      <c r="B28" s="415"/>
      <c r="C28" s="286"/>
      <c r="D28" s="286"/>
      <c r="E28" s="286"/>
      <c r="F28" s="286"/>
      <c r="G28" s="286"/>
      <c r="H28" s="286"/>
      <c r="I28" s="286"/>
      <c r="J28" s="286"/>
      <c r="K28" s="286"/>
      <c r="L28" s="286"/>
      <c r="M28" s="286"/>
      <c r="N28" s="286"/>
      <c r="O28" s="286"/>
      <c r="P28" s="286"/>
      <c r="Q28" s="286"/>
      <c r="R28" s="286"/>
      <c r="S28" s="43"/>
      <c r="T28" s="1185"/>
      <c r="U28" s="1186"/>
      <c r="V28" s="1186"/>
      <c r="W28" s="1186"/>
      <c r="X28" s="1186"/>
      <c r="Y28" s="1186"/>
      <c r="Z28" s="1186"/>
      <c r="AA28" s="1186"/>
      <c r="AB28" s="1186"/>
      <c r="AC28" s="1186"/>
      <c r="AD28" s="1187"/>
    </row>
    <row r="29" spans="1:33" ht="16.5" customHeight="1">
      <c r="A29" s="286"/>
      <c r="B29" s="286"/>
      <c r="C29" s="286"/>
      <c r="D29" s="286"/>
      <c r="E29" s="286"/>
      <c r="F29" s="286"/>
      <c r="G29" s="286"/>
      <c r="H29" s="286"/>
      <c r="I29" s="286"/>
      <c r="J29" s="286"/>
      <c r="K29" s="286"/>
      <c r="L29" s="286"/>
      <c r="M29" s="286"/>
      <c r="N29" s="286"/>
      <c r="O29" s="286"/>
      <c r="P29" s="286"/>
      <c r="Q29" s="286"/>
      <c r="R29" s="286"/>
      <c r="T29" s="1185"/>
      <c r="U29" s="1186"/>
      <c r="V29" s="1186"/>
      <c r="W29" s="1186"/>
      <c r="X29" s="1186"/>
      <c r="Y29" s="1186"/>
      <c r="Z29" s="1186"/>
      <c r="AA29" s="1186"/>
      <c r="AB29" s="1186"/>
      <c r="AC29" s="1186"/>
      <c r="AD29" s="1187"/>
    </row>
    <row r="30" spans="1:33" s="27" customFormat="1" ht="20.149999999999999" customHeight="1">
      <c r="A30" s="418" t="s">
        <v>480</v>
      </c>
      <c r="B30" s="415"/>
      <c r="C30" s="415" t="s">
        <v>462</v>
      </c>
      <c r="D30" s="415"/>
      <c r="E30" s="415"/>
      <c r="F30" s="415"/>
      <c r="G30" s="415"/>
      <c r="H30" s="415"/>
      <c r="I30" s="415"/>
      <c r="J30" s="415"/>
      <c r="K30" s="415"/>
      <c r="L30" s="415"/>
      <c r="M30" s="415"/>
      <c r="N30" s="415"/>
      <c r="O30" s="415"/>
      <c r="P30" s="415"/>
      <c r="Q30" s="415"/>
      <c r="R30" s="286"/>
      <c r="T30" s="1185"/>
      <c r="U30" s="1186"/>
      <c r="V30" s="1186"/>
      <c r="W30" s="1186"/>
      <c r="X30" s="1186"/>
      <c r="Y30" s="1186"/>
      <c r="Z30" s="1186"/>
      <c r="AA30" s="1186"/>
      <c r="AB30" s="1186"/>
      <c r="AC30" s="1186"/>
      <c r="AD30" s="1187"/>
    </row>
    <row r="31" spans="1:33" s="27" customFormat="1" ht="17.149999999999999" customHeight="1">
      <c r="A31" s="1206" t="s">
        <v>481</v>
      </c>
      <c r="B31" s="412"/>
      <c r="C31" s="1200">
        <v>2019</v>
      </c>
      <c r="D31" s="1200"/>
      <c r="E31" s="1200"/>
      <c r="F31" s="1200"/>
      <c r="G31" s="1200">
        <v>2020</v>
      </c>
      <c r="H31" s="1200"/>
      <c r="I31" s="1200"/>
      <c r="J31" s="1200"/>
      <c r="K31" s="1200">
        <v>2021</v>
      </c>
      <c r="L31" s="1200"/>
      <c r="M31" s="1200"/>
      <c r="N31" s="1200"/>
      <c r="O31" s="1200">
        <v>2022</v>
      </c>
      <c r="P31" s="1200"/>
      <c r="Q31" s="1200"/>
      <c r="R31" s="1200"/>
      <c r="T31" s="1185"/>
      <c r="U31" s="1186"/>
      <c r="V31" s="1186"/>
      <c r="W31" s="1186"/>
      <c r="X31" s="1186"/>
      <c r="Y31" s="1186"/>
      <c r="Z31" s="1186"/>
      <c r="AA31" s="1186"/>
      <c r="AB31" s="1186"/>
      <c r="AC31" s="1186"/>
      <c r="AD31" s="1187"/>
    </row>
    <row r="32" spans="1:33" s="27" customFormat="1" ht="17.149999999999999" customHeight="1">
      <c r="A32" s="1206"/>
      <c r="B32" s="412"/>
      <c r="C32" s="388" t="s">
        <v>468</v>
      </c>
      <c r="D32" s="388" t="s">
        <v>469</v>
      </c>
      <c r="E32" s="388" t="s">
        <v>470</v>
      </c>
      <c r="F32" s="388" t="s">
        <v>472</v>
      </c>
      <c r="G32" s="388" t="s">
        <v>468</v>
      </c>
      <c r="H32" s="388" t="s">
        <v>469</v>
      </c>
      <c r="I32" s="388" t="s">
        <v>470</v>
      </c>
      <c r="J32" s="388" t="s">
        <v>472</v>
      </c>
      <c r="K32" s="388" t="s">
        <v>468</v>
      </c>
      <c r="L32" s="388" t="s">
        <v>469</v>
      </c>
      <c r="M32" s="388" t="s">
        <v>470</v>
      </c>
      <c r="N32" s="388" t="s">
        <v>472</v>
      </c>
      <c r="O32" s="388" t="s">
        <v>468</v>
      </c>
      <c r="P32" s="388" t="s">
        <v>469</v>
      </c>
      <c r="Q32" s="388" t="s">
        <v>470</v>
      </c>
      <c r="R32" s="388" t="s">
        <v>472</v>
      </c>
      <c r="T32" s="1185"/>
      <c r="U32" s="1186"/>
      <c r="V32" s="1186"/>
      <c r="W32" s="1186"/>
      <c r="X32" s="1186"/>
      <c r="Y32" s="1186"/>
      <c r="Z32" s="1186"/>
      <c r="AA32" s="1186"/>
      <c r="AB32" s="1186"/>
      <c r="AC32" s="1186"/>
      <c r="AD32" s="1187"/>
    </row>
    <row r="33" spans="1:30" s="32" customFormat="1" ht="17.149999999999999" customHeight="1" thickBot="1">
      <c r="A33" s="1204" t="s">
        <v>237</v>
      </c>
      <c r="B33" s="419" t="s">
        <v>475</v>
      </c>
      <c r="C33" s="414">
        <v>24614657.048095953</v>
      </c>
      <c r="D33" s="414">
        <v>22813804.19736341</v>
      </c>
      <c r="E33" s="414">
        <v>24976828.565854382</v>
      </c>
      <c r="F33" s="414">
        <v>21289082.117076524</v>
      </c>
      <c r="G33" s="414">
        <v>23584169.027954552</v>
      </c>
      <c r="H33" s="414">
        <v>23869304.062653873</v>
      </c>
      <c r="I33" s="414">
        <v>24176449.521084365</v>
      </c>
      <c r="J33" s="414">
        <v>23343054.840717584</v>
      </c>
      <c r="K33" s="414">
        <v>25033855.572794247</v>
      </c>
      <c r="L33" s="414">
        <v>25550100.056670912</v>
      </c>
      <c r="M33" s="414">
        <v>12996154.739453172</v>
      </c>
      <c r="N33" s="414">
        <v>20889893.068497479</v>
      </c>
      <c r="O33" s="414">
        <v>25422039.40950771</v>
      </c>
      <c r="P33" s="414">
        <v>32185242.337814361</v>
      </c>
      <c r="Q33" s="414">
        <v>33794504.454705082</v>
      </c>
      <c r="R33" s="414">
        <v>35484229.677440338</v>
      </c>
      <c r="S33" s="583"/>
      <c r="T33" s="1188"/>
      <c r="U33" s="1189"/>
      <c r="V33" s="1189"/>
      <c r="W33" s="1189"/>
      <c r="X33" s="1189"/>
      <c r="Y33" s="1189"/>
      <c r="Z33" s="1189"/>
      <c r="AA33" s="1189"/>
      <c r="AB33" s="1189"/>
      <c r="AC33" s="1189"/>
      <c r="AD33" s="1190"/>
    </row>
    <row r="34" spans="1:30" s="32" customFormat="1" ht="17.149999999999999" customHeight="1">
      <c r="A34" s="1204"/>
      <c r="B34" s="419" t="s">
        <v>476</v>
      </c>
      <c r="C34" s="1207">
        <v>23423592.982097566</v>
      </c>
      <c r="D34" s="1207"/>
      <c r="E34" s="1207"/>
      <c r="F34" s="1207"/>
      <c r="G34" s="1207">
        <v>23743244.363102593</v>
      </c>
      <c r="H34" s="1207"/>
      <c r="I34" s="1207"/>
      <c r="J34" s="1207"/>
      <c r="K34" s="1207">
        <v>21117500.859353952</v>
      </c>
      <c r="L34" s="1207"/>
      <c r="M34" s="1207"/>
      <c r="N34" s="1207"/>
      <c r="O34" s="1207">
        <f>AVERAGE(O33:R33)</f>
        <v>31721503.969866872</v>
      </c>
      <c r="P34" s="1207">
        <v>0</v>
      </c>
      <c r="Q34" s="1207">
        <v>0</v>
      </c>
      <c r="R34" s="1207">
        <v>0</v>
      </c>
      <c r="S34" s="583"/>
      <c r="T34" s="677"/>
      <c r="U34" s="677"/>
      <c r="V34" s="677"/>
      <c r="W34" s="677"/>
      <c r="X34" s="677"/>
      <c r="Y34" s="677"/>
      <c r="Z34" s="677"/>
      <c r="AA34" s="677"/>
      <c r="AB34" s="677"/>
      <c r="AC34" s="677"/>
    </row>
    <row r="35" spans="1:30" s="32" customFormat="1" ht="17.149999999999999" customHeight="1">
      <c r="A35" s="1204" t="s">
        <v>263</v>
      </c>
      <c r="B35" s="419" t="s">
        <v>475</v>
      </c>
      <c r="C35" s="414">
        <v>23245008.407733258</v>
      </c>
      <c r="D35" s="414">
        <v>24498602.086604297</v>
      </c>
      <c r="E35" s="414">
        <v>24059394.085786752</v>
      </c>
      <c r="F35" s="414">
        <v>22816805.618781295</v>
      </c>
      <c r="G35" s="414">
        <v>24007369.447876696</v>
      </c>
      <c r="H35" s="414">
        <v>23804273.265266307</v>
      </c>
      <c r="I35" s="414">
        <v>27693114.949042637</v>
      </c>
      <c r="J35" s="414">
        <v>27867197.391280115</v>
      </c>
      <c r="K35" s="414">
        <v>27905215.395906687</v>
      </c>
      <c r="L35" s="414">
        <v>34799480.39279443</v>
      </c>
      <c r="M35" s="414">
        <v>22250537.444606509</v>
      </c>
      <c r="N35" s="414">
        <v>24581641.412499186</v>
      </c>
      <c r="O35" s="414">
        <v>34566369.99600517</v>
      </c>
      <c r="P35" s="414">
        <v>38038014.102695115</v>
      </c>
      <c r="Q35" s="414">
        <v>39939914.807829872</v>
      </c>
      <c r="R35" s="414">
        <v>41936910.548221365</v>
      </c>
      <c r="S35" s="583"/>
      <c r="T35" s="677"/>
      <c r="U35" s="677"/>
      <c r="V35" s="677"/>
      <c r="W35" s="677"/>
      <c r="X35" s="677"/>
      <c r="Y35" s="677"/>
      <c r="Z35" s="677"/>
      <c r="AA35" s="677"/>
      <c r="AB35" s="677"/>
      <c r="AC35" s="677"/>
    </row>
    <row r="36" spans="1:30" s="32" customFormat="1" ht="17.149999999999999" customHeight="1">
      <c r="A36" s="1204"/>
      <c r="B36" s="419" t="s">
        <v>476</v>
      </c>
      <c r="C36" s="1207">
        <v>23654952.549726404</v>
      </c>
      <c r="D36" s="1207"/>
      <c r="E36" s="1207"/>
      <c r="F36" s="1207"/>
      <c r="G36" s="1207">
        <v>25842988.763366438</v>
      </c>
      <c r="H36" s="1207"/>
      <c r="I36" s="1207"/>
      <c r="J36" s="1207"/>
      <c r="K36" s="1207">
        <v>27384218.661451705</v>
      </c>
      <c r="L36" s="1207"/>
      <c r="M36" s="1207"/>
      <c r="N36" s="1207"/>
      <c r="O36" s="1207">
        <f>AVERAGE(O35:R35)</f>
        <v>38620302.36368788</v>
      </c>
      <c r="P36" s="1207">
        <v>0</v>
      </c>
      <c r="Q36" s="1207">
        <v>0</v>
      </c>
      <c r="R36" s="1207">
        <v>0</v>
      </c>
      <c r="S36" s="583"/>
      <c r="T36" s="677"/>
      <c r="U36" s="677"/>
      <c r="V36" s="677"/>
      <c r="W36" s="677"/>
      <c r="X36" s="677"/>
      <c r="Y36" s="677"/>
      <c r="Z36" s="677"/>
      <c r="AA36" s="677"/>
      <c r="AB36" s="677"/>
      <c r="AC36" s="677"/>
    </row>
    <row r="37" spans="1:30" s="32" customFormat="1" ht="17.149999999999999" customHeight="1">
      <c r="A37" s="1204" t="s">
        <v>379</v>
      </c>
      <c r="B37" s="419" t="s">
        <v>475</v>
      </c>
      <c r="C37" s="414">
        <v>16549837.698232053</v>
      </c>
      <c r="D37" s="414">
        <v>17092094.501063742</v>
      </c>
      <c r="E37" s="414">
        <v>17092094.501063742</v>
      </c>
      <c r="F37" s="414">
        <v>20263596.465964939</v>
      </c>
      <c r="G37" s="414">
        <v>22247536.023188621</v>
      </c>
      <c r="H37" s="414">
        <v>22247536.023188621</v>
      </c>
      <c r="I37" s="414">
        <v>17968509.555086911</v>
      </c>
      <c r="J37" s="414">
        <v>21496000</v>
      </c>
      <c r="K37" s="414">
        <v>21506184.932970393</v>
      </c>
      <c r="L37" s="414">
        <v>21780314.755804125</v>
      </c>
      <c r="M37" s="414">
        <v>18838921.766274307</v>
      </c>
      <c r="N37" s="414">
        <v>19819386.096117578</v>
      </c>
      <c r="O37" s="414">
        <v>21180030.472226609</v>
      </c>
      <c r="P37" s="414">
        <v>19819386.096117578</v>
      </c>
      <c r="Q37" s="414">
        <v>20810355.400923457</v>
      </c>
      <c r="R37" s="414">
        <v>20810355.400923457</v>
      </c>
      <c r="S37" s="583"/>
      <c r="T37" s="677"/>
      <c r="U37" s="677"/>
      <c r="V37" s="677"/>
      <c r="W37" s="677"/>
      <c r="X37" s="677"/>
      <c r="Y37" s="677"/>
      <c r="Z37" s="677"/>
      <c r="AA37" s="677"/>
      <c r="AB37" s="677"/>
      <c r="AC37" s="677"/>
    </row>
    <row r="38" spans="1:30" s="32" customFormat="1" ht="17.149999999999999" customHeight="1">
      <c r="A38" s="1204"/>
      <c r="B38" s="419" t="s">
        <v>476</v>
      </c>
      <c r="C38" s="1207">
        <v>17749405.79158112</v>
      </c>
      <c r="D38" s="1207"/>
      <c r="E38" s="1207"/>
      <c r="F38" s="1207"/>
      <c r="G38" s="1207">
        <v>20989895.400366038</v>
      </c>
      <c r="H38" s="1207"/>
      <c r="I38" s="1207"/>
      <c r="J38" s="1207"/>
      <c r="K38" s="1207">
        <v>20486201.887791604</v>
      </c>
      <c r="L38" s="1207"/>
      <c r="M38" s="1207"/>
      <c r="N38" s="1207"/>
      <c r="O38" s="1207">
        <f>AVERAGE(O37:R37)</f>
        <v>20655031.842547778</v>
      </c>
      <c r="P38" s="1207">
        <v>0</v>
      </c>
      <c r="Q38" s="1207">
        <v>0</v>
      </c>
      <c r="R38" s="1207">
        <v>0</v>
      </c>
      <c r="T38" s="677"/>
      <c r="U38" s="677"/>
      <c r="V38" s="677"/>
      <c r="W38" s="677"/>
      <c r="X38" s="677"/>
      <c r="Y38" s="677"/>
      <c r="Z38" s="677"/>
      <c r="AA38" s="677"/>
      <c r="AB38" s="677"/>
      <c r="AC38" s="677"/>
    </row>
    <row r="39" spans="1:30" s="27" customFormat="1" ht="17.149999999999999" customHeight="1">
      <c r="A39" s="17" t="s">
        <v>135</v>
      </c>
      <c r="B39" s="415"/>
      <c r="C39" s="415"/>
      <c r="D39" s="415"/>
      <c r="E39" s="415"/>
      <c r="F39" s="415"/>
      <c r="G39" s="415"/>
      <c r="H39" s="415"/>
      <c r="I39" s="415"/>
      <c r="J39" s="415"/>
      <c r="K39" s="415"/>
      <c r="L39" s="415"/>
      <c r="M39" s="415"/>
      <c r="N39" s="415"/>
      <c r="O39" s="415"/>
      <c r="P39" s="415"/>
      <c r="Q39" s="415"/>
      <c r="R39" s="415"/>
      <c r="T39" s="677"/>
      <c r="U39" s="677"/>
      <c r="V39" s="677"/>
      <c r="W39" s="677"/>
      <c r="X39" s="677"/>
      <c r="Y39" s="677"/>
      <c r="Z39" s="677"/>
      <c r="AA39" s="677"/>
      <c r="AB39" s="677"/>
      <c r="AC39" s="677"/>
      <c r="AD39" s="101"/>
    </row>
    <row r="40" spans="1:30" ht="17.149999999999999" customHeight="1">
      <c r="A40" s="286"/>
      <c r="B40" s="286"/>
      <c r="C40" s="286"/>
      <c r="D40" s="286"/>
      <c r="E40" s="286"/>
      <c r="F40" s="286"/>
      <c r="G40" s="286"/>
      <c r="H40" s="286"/>
      <c r="I40" s="286"/>
      <c r="J40" s="286"/>
      <c r="K40" s="286"/>
      <c r="L40" s="286"/>
      <c r="M40" s="286"/>
      <c r="N40" s="286"/>
      <c r="O40" s="286"/>
      <c r="P40" s="286"/>
      <c r="Q40" s="286"/>
      <c r="R40" s="286"/>
      <c r="T40" s="677"/>
      <c r="U40" s="677"/>
      <c r="V40" s="677"/>
      <c r="W40" s="677"/>
      <c r="X40" s="677"/>
      <c r="Y40" s="677"/>
      <c r="Z40" s="677"/>
      <c r="AA40" s="677"/>
      <c r="AB40" s="677"/>
      <c r="AC40" s="677"/>
    </row>
    <row r="41" spans="1:30" ht="17.149999999999999" customHeight="1">
      <c r="A41" s="418" t="s">
        <v>480</v>
      </c>
      <c r="B41" s="415"/>
      <c r="C41" s="286"/>
      <c r="D41" s="286"/>
      <c r="E41" s="286"/>
      <c r="F41" s="286"/>
      <c r="G41" s="286"/>
      <c r="H41" s="286"/>
      <c r="I41" s="286"/>
      <c r="J41" s="286"/>
      <c r="K41" s="286"/>
      <c r="L41" s="286"/>
      <c r="M41" s="286"/>
      <c r="N41" s="286"/>
      <c r="O41" s="286"/>
      <c r="P41" s="286"/>
      <c r="Q41" s="286"/>
      <c r="R41" s="286"/>
    </row>
    <row r="42" spans="1:30" ht="17.149999999999999" customHeight="1">
      <c r="A42" s="1206" t="s">
        <v>481</v>
      </c>
      <c r="B42" s="412"/>
      <c r="C42" s="1200">
        <v>2023</v>
      </c>
      <c r="D42" s="1200"/>
      <c r="E42" s="1200"/>
      <c r="F42" s="1200"/>
      <c r="G42" s="1200"/>
      <c r="H42" s="1200"/>
      <c r="I42" s="1200"/>
      <c r="J42" s="1200"/>
      <c r="K42" s="1200">
        <v>2025</v>
      </c>
      <c r="L42" s="1200"/>
      <c r="M42" s="1200"/>
      <c r="N42" s="1200"/>
      <c r="O42" s="1200">
        <v>2026</v>
      </c>
      <c r="P42" s="1200"/>
      <c r="Q42" s="1200"/>
      <c r="R42" s="1200"/>
    </row>
    <row r="43" spans="1:30" ht="17.149999999999999" customHeight="1">
      <c r="A43" s="1206"/>
      <c r="B43" s="412"/>
      <c r="C43" s="388" t="s">
        <v>468</v>
      </c>
      <c r="D43" s="388" t="s">
        <v>469</v>
      </c>
      <c r="E43" s="388" t="s">
        <v>470</v>
      </c>
      <c r="F43" s="388" t="s">
        <v>472</v>
      </c>
      <c r="G43" s="388" t="s">
        <v>468</v>
      </c>
      <c r="H43" s="388" t="s">
        <v>469</v>
      </c>
      <c r="I43" s="388" t="s">
        <v>470</v>
      </c>
      <c r="J43" s="388" t="s">
        <v>472</v>
      </c>
      <c r="K43" s="388" t="s">
        <v>468</v>
      </c>
      <c r="L43" s="388" t="s">
        <v>469</v>
      </c>
      <c r="M43" s="388" t="s">
        <v>470</v>
      </c>
      <c r="N43" s="388" t="s">
        <v>472</v>
      </c>
      <c r="O43" s="388" t="s">
        <v>468</v>
      </c>
      <c r="P43" s="388" t="s">
        <v>469</v>
      </c>
      <c r="Q43" s="388" t="s">
        <v>470</v>
      </c>
      <c r="R43" s="388" t="s">
        <v>472</v>
      </c>
    </row>
    <row r="44" spans="1:30" ht="17.149999999999999" customHeight="1">
      <c r="A44" s="1204" t="s">
        <v>237</v>
      </c>
      <c r="B44" s="419" t="s">
        <v>475</v>
      </c>
      <c r="C44" s="420">
        <v>35484229.677440338</v>
      </c>
      <c r="D44" s="420">
        <v>33008585.746456128</v>
      </c>
      <c r="E44" s="420">
        <v>33258669.407156419</v>
      </c>
      <c r="F44" s="420">
        <f>E44</f>
        <v>33258669.407156419</v>
      </c>
      <c r="G44" s="420">
        <v>32195240.014003754</v>
      </c>
      <c r="H44" s="420">
        <v>27494931.989525672</v>
      </c>
      <c r="I44" s="420">
        <v>37139432.668212272</v>
      </c>
      <c r="J44" s="420">
        <v>32136795.132540833</v>
      </c>
      <c r="K44" s="420">
        <v>35029106.694469512</v>
      </c>
      <c r="L44" s="420">
        <v>35729688.828358904</v>
      </c>
      <c r="M44" s="420">
        <v>36086985.716642492</v>
      </c>
      <c r="N44" s="416">
        <v>35437419.973742925</v>
      </c>
      <c r="O44" s="414"/>
      <c r="P44" s="414"/>
      <c r="Q44" s="414"/>
      <c r="R44" s="414"/>
      <c r="S44" s="15"/>
    </row>
    <row r="45" spans="1:30" ht="17.149999999999999" customHeight="1">
      <c r="A45" s="1204"/>
      <c r="B45" s="419" t="s">
        <v>476</v>
      </c>
      <c r="C45" s="1208">
        <f>AVERAGE(C44:F44)</f>
        <v>33752538.559552327</v>
      </c>
      <c r="D45" s="1208">
        <v>0</v>
      </c>
      <c r="E45" s="1208">
        <v>0</v>
      </c>
      <c r="F45" s="1208">
        <v>0</v>
      </c>
      <c r="G45" s="1208">
        <f>AVERAGE(G44:J44)</f>
        <v>32241599.951070633</v>
      </c>
      <c r="H45" s="1208">
        <v>0</v>
      </c>
      <c r="I45" s="1208">
        <v>0</v>
      </c>
      <c r="J45" s="1208">
        <v>0</v>
      </c>
      <c r="K45" s="1207">
        <f>AVERAGE(K44:N44)</f>
        <v>35570800.303303458</v>
      </c>
      <c r="L45" s="1207">
        <v>0</v>
      </c>
      <c r="M45" s="1207">
        <v>0</v>
      </c>
      <c r="N45" s="1207">
        <v>0</v>
      </c>
      <c r="O45" s="1207" t="e">
        <f>AVERAGE(O44:R44)</f>
        <v>#DIV/0!</v>
      </c>
      <c r="P45" s="1207">
        <v>0</v>
      </c>
      <c r="Q45" s="1207">
        <v>0</v>
      </c>
      <c r="R45" s="1207">
        <v>0</v>
      </c>
    </row>
    <row r="46" spans="1:30" ht="17.149999999999999" customHeight="1">
      <c r="A46" s="1204" t="s">
        <v>263</v>
      </c>
      <c r="B46" s="419" t="s">
        <v>475</v>
      </c>
      <c r="C46" s="420">
        <v>41936910.548221365</v>
      </c>
      <c r="D46" s="420">
        <v>39011079.579740807</v>
      </c>
      <c r="E46" s="420">
        <v>39306640.064037517</v>
      </c>
      <c r="F46" s="420">
        <v>40372307.309345692</v>
      </c>
      <c r="G46" s="420">
        <v>34221789.614896618</v>
      </c>
      <c r="H46" s="420">
        <f>X98</f>
        <v>20514501.748021401</v>
      </c>
      <c r="I46" s="420">
        <v>40498679.823164314</v>
      </c>
      <c r="J46" s="420">
        <v>35043555.679550044</v>
      </c>
      <c r="K46" s="420">
        <v>37847040.133914053</v>
      </c>
      <c r="L46" s="420">
        <v>38603980.936592333</v>
      </c>
      <c r="M46" s="420">
        <v>38990020.745958254</v>
      </c>
      <c r="N46" s="416">
        <v>39496891.015655704</v>
      </c>
      <c r="O46" s="414"/>
      <c r="P46" s="414"/>
      <c r="Q46" s="414"/>
      <c r="R46" s="414"/>
      <c r="S46" s="15"/>
    </row>
    <row r="47" spans="1:30" ht="17.149999999999999" customHeight="1">
      <c r="A47" s="1204"/>
      <c r="B47" s="419" t="s">
        <v>476</v>
      </c>
      <c r="C47" s="1208">
        <f>AVERAGE(C46:F46)</f>
        <v>40156734.375336349</v>
      </c>
      <c r="D47" s="1208">
        <v>0</v>
      </c>
      <c r="E47" s="1208">
        <v>0</v>
      </c>
      <c r="F47" s="1208">
        <v>0</v>
      </c>
      <c r="G47" s="1208">
        <f>AVERAGE(G46:J46)</f>
        <v>32569631.716408096</v>
      </c>
      <c r="H47" s="1208">
        <v>0</v>
      </c>
      <c r="I47" s="1208">
        <v>0</v>
      </c>
      <c r="J47" s="1208">
        <v>0</v>
      </c>
      <c r="K47" s="1207">
        <f>AVERAGE(K46:N46)</f>
        <v>38734483.20803009</v>
      </c>
      <c r="L47" s="1207">
        <v>0</v>
      </c>
      <c r="M47" s="1207">
        <v>0</v>
      </c>
      <c r="N47" s="1207">
        <v>0</v>
      </c>
      <c r="O47" s="1207" t="e">
        <f>AVERAGE(O46:R46)</f>
        <v>#DIV/0!</v>
      </c>
      <c r="P47" s="1207">
        <v>0</v>
      </c>
      <c r="Q47" s="1207">
        <v>0</v>
      </c>
      <c r="R47" s="1207">
        <v>0</v>
      </c>
    </row>
    <row r="48" spans="1:30" ht="17.149999999999999" customHeight="1">
      <c r="A48" s="1204" t="s">
        <v>379</v>
      </c>
      <c r="B48" s="419" t="s">
        <v>475</v>
      </c>
      <c r="C48" s="420">
        <v>20810355.400923457</v>
      </c>
      <c r="D48" s="420">
        <v>19358470.140393913</v>
      </c>
      <c r="E48" s="420">
        <v>19505136.135582354</v>
      </c>
      <c r="F48" s="420">
        <v>19505136.135582354</v>
      </c>
      <c r="G48" s="420">
        <v>19505136.135582354</v>
      </c>
      <c r="H48" s="420">
        <v>19505136.135582354</v>
      </c>
      <c r="I48" s="420">
        <v>18659060.15206404</v>
      </c>
      <c r="J48" s="420">
        <v>16145706.877904832</v>
      </c>
      <c r="K48" s="420">
        <v>16145706.877904832</v>
      </c>
      <c r="L48" s="420">
        <f>K48</f>
        <v>16145706.877904832</v>
      </c>
      <c r="M48" s="420">
        <v>16145706.877904832</v>
      </c>
      <c r="N48" s="416">
        <f>M48</f>
        <v>16145706.877904832</v>
      </c>
      <c r="O48" s="414"/>
      <c r="P48" s="414"/>
      <c r="Q48" s="414"/>
      <c r="R48" s="414"/>
      <c r="S48" s="15"/>
    </row>
    <row r="49" spans="1:18" ht="17.149999999999999" customHeight="1">
      <c r="A49" s="1204"/>
      <c r="B49" s="419" t="s">
        <v>476</v>
      </c>
      <c r="C49" s="1208">
        <f>AVERAGE(C48:F48)</f>
        <v>19794774.453120522</v>
      </c>
      <c r="D49" s="1208">
        <v>0</v>
      </c>
      <c r="E49" s="1208">
        <v>0</v>
      </c>
      <c r="F49" s="1208">
        <v>0</v>
      </c>
      <c r="G49" s="1208">
        <f>AVERAGE(G48:J48)</f>
        <v>18453759.825283393</v>
      </c>
      <c r="H49" s="1208">
        <v>0</v>
      </c>
      <c r="I49" s="1208">
        <v>0</v>
      </c>
      <c r="J49" s="1208">
        <v>0</v>
      </c>
      <c r="K49" s="1207">
        <f>AVERAGE(K48:N48)</f>
        <v>16145706.877904832</v>
      </c>
      <c r="L49" s="1207">
        <v>0</v>
      </c>
      <c r="M49" s="1207">
        <v>0</v>
      </c>
      <c r="N49" s="1207">
        <v>0</v>
      </c>
      <c r="O49" s="1207" t="e">
        <f>AVERAGE(O48:R48)</f>
        <v>#DIV/0!</v>
      </c>
      <c r="P49" s="1207">
        <v>0</v>
      </c>
      <c r="Q49" s="1207">
        <v>0</v>
      </c>
      <c r="R49" s="1207">
        <v>0</v>
      </c>
    </row>
    <row r="50" spans="1:18" ht="17.149999999999999" customHeight="1">
      <c r="A50" s="17" t="s">
        <v>135</v>
      </c>
      <c r="B50" s="415"/>
      <c r="C50" s="286"/>
      <c r="D50" s="286"/>
      <c r="E50" s="286"/>
      <c r="F50" s="286"/>
      <c r="G50" s="286"/>
      <c r="H50" s="286"/>
      <c r="I50" s="286"/>
      <c r="J50" s="286"/>
      <c r="K50" s="286"/>
      <c r="L50" s="286"/>
      <c r="M50" s="286"/>
      <c r="N50" s="286"/>
      <c r="O50" s="286"/>
      <c r="P50" s="286"/>
      <c r="Q50" s="286"/>
      <c r="R50" s="286"/>
    </row>
    <row r="51" spans="1:18" ht="17.149999999999999" customHeight="1">
      <c r="A51" s="286"/>
      <c r="B51" s="286"/>
      <c r="C51" s="286"/>
      <c r="D51" s="286"/>
      <c r="E51" s="286"/>
      <c r="F51" s="286"/>
      <c r="G51" s="286"/>
      <c r="H51" s="286"/>
      <c r="I51" s="286"/>
      <c r="J51" s="286"/>
      <c r="K51" s="286"/>
      <c r="L51" s="286"/>
      <c r="M51" s="286"/>
      <c r="N51" s="286"/>
      <c r="O51" s="286"/>
      <c r="P51" s="286"/>
      <c r="Q51" s="286"/>
      <c r="R51" s="286"/>
    </row>
    <row r="52" spans="1:18" ht="17.149999999999999" customHeight="1">
      <c r="A52" s="418" t="s">
        <v>480</v>
      </c>
      <c r="B52" s="415"/>
      <c r="C52" s="286"/>
      <c r="D52" s="286"/>
      <c r="E52" s="286"/>
      <c r="F52" s="286"/>
      <c r="G52" s="286"/>
      <c r="H52" s="286"/>
      <c r="I52" s="286"/>
      <c r="J52" s="286"/>
      <c r="K52" s="286"/>
      <c r="L52" s="286"/>
      <c r="M52" s="286"/>
      <c r="N52" s="286"/>
      <c r="O52" s="286"/>
      <c r="P52" s="286"/>
      <c r="Q52" s="286"/>
      <c r="R52" s="286"/>
    </row>
    <row r="53" spans="1:18" ht="17.149999999999999" customHeight="1">
      <c r="A53" s="1206" t="s">
        <v>481</v>
      </c>
      <c r="B53" s="412"/>
      <c r="C53" s="1200">
        <v>2027</v>
      </c>
      <c r="D53" s="1200"/>
      <c r="E53" s="1200"/>
      <c r="F53" s="1200"/>
      <c r="G53" s="1200">
        <v>2028</v>
      </c>
      <c r="H53" s="1200"/>
      <c r="I53" s="1200"/>
      <c r="J53" s="1200"/>
      <c r="K53" s="1200">
        <v>2029</v>
      </c>
      <c r="L53" s="1200"/>
      <c r="M53" s="1200"/>
      <c r="N53" s="1200"/>
      <c r="O53" s="1200">
        <v>2030</v>
      </c>
      <c r="P53" s="1200"/>
      <c r="Q53" s="1200"/>
      <c r="R53" s="1200"/>
    </row>
    <row r="54" spans="1:18" ht="17.149999999999999" customHeight="1">
      <c r="A54" s="1206"/>
      <c r="B54" s="412"/>
      <c r="C54" s="388" t="s">
        <v>468</v>
      </c>
      <c r="D54" s="388" t="s">
        <v>469</v>
      </c>
      <c r="E54" s="388" t="s">
        <v>470</v>
      </c>
      <c r="F54" s="388" t="s">
        <v>472</v>
      </c>
      <c r="G54" s="388" t="s">
        <v>468</v>
      </c>
      <c r="H54" s="388" t="s">
        <v>469</v>
      </c>
      <c r="I54" s="388" t="s">
        <v>470</v>
      </c>
      <c r="J54" s="388" t="s">
        <v>472</v>
      </c>
      <c r="K54" s="388" t="s">
        <v>468</v>
      </c>
      <c r="L54" s="388" t="s">
        <v>469</v>
      </c>
      <c r="M54" s="388" t="s">
        <v>470</v>
      </c>
      <c r="N54" s="388" t="s">
        <v>472</v>
      </c>
      <c r="O54" s="388" t="s">
        <v>468</v>
      </c>
      <c r="P54" s="388" t="s">
        <v>469</v>
      </c>
      <c r="Q54" s="388" t="s">
        <v>470</v>
      </c>
      <c r="R54" s="388" t="s">
        <v>472</v>
      </c>
    </row>
    <row r="55" spans="1:18" ht="17.149999999999999" customHeight="1">
      <c r="A55" s="1204" t="s">
        <v>237</v>
      </c>
      <c r="B55" s="419" t="s">
        <v>475</v>
      </c>
      <c r="C55" s="420"/>
      <c r="D55" s="420"/>
      <c r="E55" s="420"/>
      <c r="F55" s="420"/>
      <c r="G55" s="420"/>
      <c r="H55" s="420"/>
      <c r="I55" s="420"/>
      <c r="J55" s="420"/>
      <c r="K55" s="420"/>
      <c r="L55" s="420"/>
      <c r="M55" s="420"/>
      <c r="N55" s="420"/>
      <c r="O55" s="420"/>
      <c r="P55" s="420"/>
      <c r="Q55" s="420"/>
      <c r="R55" s="420"/>
    </row>
    <row r="56" spans="1:18" ht="17.149999999999999" customHeight="1">
      <c r="A56" s="1204"/>
      <c r="B56" s="419" t="s">
        <v>476</v>
      </c>
      <c r="C56" s="1208" t="e">
        <f>AVERAGE(C55:F55)</f>
        <v>#DIV/0!</v>
      </c>
      <c r="D56" s="1208">
        <v>0</v>
      </c>
      <c r="E56" s="1208">
        <v>0</v>
      </c>
      <c r="F56" s="1208">
        <v>0</v>
      </c>
      <c r="G56" s="1208" t="e">
        <f>AVERAGE(G55:J55)</f>
        <v>#DIV/0!</v>
      </c>
      <c r="H56" s="1208">
        <v>0</v>
      </c>
      <c r="I56" s="1208">
        <v>0</v>
      </c>
      <c r="J56" s="1208">
        <v>0</v>
      </c>
      <c r="K56" s="1208" t="e">
        <f>AVERAGE(K55:N55)</f>
        <v>#DIV/0!</v>
      </c>
      <c r="L56" s="1208">
        <v>0</v>
      </c>
      <c r="M56" s="1208">
        <v>0</v>
      </c>
      <c r="N56" s="1208">
        <v>0</v>
      </c>
      <c r="O56" s="1208" t="e">
        <f>AVERAGE(O55:R55)</f>
        <v>#DIV/0!</v>
      </c>
      <c r="P56" s="1208">
        <v>0</v>
      </c>
      <c r="Q56" s="1208">
        <v>0</v>
      </c>
      <c r="R56" s="1208">
        <v>0</v>
      </c>
    </row>
    <row r="57" spans="1:18" ht="17.149999999999999" customHeight="1">
      <c r="A57" s="1204" t="s">
        <v>263</v>
      </c>
      <c r="B57" s="419" t="s">
        <v>475</v>
      </c>
      <c r="C57" s="420"/>
      <c r="D57" s="420"/>
      <c r="E57" s="420"/>
      <c r="F57" s="420"/>
      <c r="G57" s="420"/>
      <c r="H57" s="420"/>
      <c r="I57" s="420"/>
      <c r="J57" s="420"/>
      <c r="K57" s="420"/>
      <c r="L57" s="420"/>
      <c r="M57" s="420"/>
      <c r="N57" s="420"/>
      <c r="O57" s="420"/>
      <c r="P57" s="420"/>
      <c r="Q57" s="420"/>
      <c r="R57" s="420"/>
    </row>
    <row r="58" spans="1:18" ht="17.149999999999999" customHeight="1">
      <c r="A58" s="1204"/>
      <c r="B58" s="419" t="s">
        <v>476</v>
      </c>
      <c r="C58" s="1208" t="e">
        <f>AVERAGE(C57:F57)</f>
        <v>#DIV/0!</v>
      </c>
      <c r="D58" s="1208">
        <v>0</v>
      </c>
      <c r="E58" s="1208">
        <v>0</v>
      </c>
      <c r="F58" s="1208">
        <v>0</v>
      </c>
      <c r="G58" s="1208" t="e">
        <f>AVERAGE(G57:J57)</f>
        <v>#DIV/0!</v>
      </c>
      <c r="H58" s="1208">
        <v>0</v>
      </c>
      <c r="I58" s="1208">
        <v>0</v>
      </c>
      <c r="J58" s="1208">
        <v>0</v>
      </c>
      <c r="K58" s="1208" t="e">
        <f>AVERAGE(K57:N57)</f>
        <v>#DIV/0!</v>
      </c>
      <c r="L58" s="1208">
        <v>0</v>
      </c>
      <c r="M58" s="1208">
        <v>0</v>
      </c>
      <c r="N58" s="1208">
        <v>0</v>
      </c>
      <c r="O58" s="1208" t="e">
        <f>AVERAGE(O57:R57)</f>
        <v>#DIV/0!</v>
      </c>
      <c r="P58" s="1208">
        <v>0</v>
      </c>
      <c r="Q58" s="1208">
        <v>0</v>
      </c>
      <c r="R58" s="1208">
        <v>0</v>
      </c>
    </row>
    <row r="59" spans="1:18" ht="17.149999999999999" customHeight="1">
      <c r="A59" s="1204" t="s">
        <v>379</v>
      </c>
      <c r="B59" s="419" t="s">
        <v>475</v>
      </c>
      <c r="C59" s="420"/>
      <c r="D59" s="420"/>
      <c r="E59" s="420"/>
      <c r="F59" s="420"/>
      <c r="G59" s="420"/>
      <c r="H59" s="420"/>
      <c r="I59" s="420"/>
      <c r="J59" s="420"/>
      <c r="K59" s="420"/>
      <c r="L59" s="420"/>
      <c r="M59" s="420"/>
      <c r="N59" s="420"/>
      <c r="O59" s="420"/>
      <c r="P59" s="420"/>
      <c r="Q59" s="420"/>
      <c r="R59" s="420"/>
    </row>
    <row r="60" spans="1:18" ht="17.149999999999999" customHeight="1">
      <c r="A60" s="1204"/>
      <c r="B60" s="419" t="s">
        <v>476</v>
      </c>
      <c r="C60" s="1208" t="e">
        <f>AVERAGE(C59:F59)</f>
        <v>#DIV/0!</v>
      </c>
      <c r="D60" s="1208">
        <v>0</v>
      </c>
      <c r="E60" s="1208">
        <v>0</v>
      </c>
      <c r="F60" s="1208">
        <v>0</v>
      </c>
      <c r="G60" s="1208" t="e">
        <f>AVERAGE(G59:J59)</f>
        <v>#DIV/0!</v>
      </c>
      <c r="H60" s="1208">
        <v>0</v>
      </c>
      <c r="I60" s="1208">
        <v>0</v>
      </c>
      <c r="J60" s="1208">
        <v>0</v>
      </c>
      <c r="K60" s="1208" t="e">
        <f>AVERAGE(K59:N59)</f>
        <v>#DIV/0!</v>
      </c>
      <c r="L60" s="1208">
        <v>0</v>
      </c>
      <c r="M60" s="1208">
        <v>0</v>
      </c>
      <c r="N60" s="1208">
        <v>0</v>
      </c>
      <c r="O60" s="1208" t="e">
        <f>AVERAGE(O59:R59)</f>
        <v>#DIV/0!</v>
      </c>
      <c r="P60" s="1208">
        <v>0</v>
      </c>
      <c r="Q60" s="1208">
        <v>0</v>
      </c>
      <c r="R60" s="1208">
        <v>0</v>
      </c>
    </row>
    <row r="61" spans="1:18" ht="17.149999999999999" customHeight="1">
      <c r="A61" s="17" t="s">
        <v>135</v>
      </c>
      <c r="B61" s="415"/>
      <c r="C61" s="286"/>
      <c r="D61" s="286"/>
      <c r="E61" s="286"/>
      <c r="F61" s="286"/>
      <c r="G61" s="286"/>
      <c r="H61" s="286"/>
      <c r="I61" s="286"/>
      <c r="J61" s="286"/>
      <c r="K61" s="286"/>
      <c r="L61" s="286"/>
      <c r="M61" s="286"/>
      <c r="N61" s="286"/>
      <c r="O61" s="286"/>
      <c r="P61" s="286"/>
      <c r="Q61" s="286"/>
      <c r="R61" s="286"/>
    </row>
    <row r="62" spans="1:18" ht="17.149999999999999" customHeight="1">
      <c r="A62" s="17"/>
      <c r="B62" s="415"/>
      <c r="C62" s="286"/>
      <c r="D62" s="286"/>
      <c r="E62" s="286"/>
      <c r="F62" s="286"/>
      <c r="G62" s="286"/>
      <c r="H62" s="286"/>
      <c r="I62" s="286"/>
      <c r="J62" s="286"/>
      <c r="K62" s="286"/>
      <c r="L62" s="286"/>
      <c r="M62" s="286"/>
      <c r="N62" s="286"/>
      <c r="O62" s="286"/>
      <c r="P62" s="286"/>
      <c r="Q62" s="286"/>
      <c r="R62" s="286"/>
    </row>
    <row r="63" spans="1:18" ht="17.149999999999999" customHeight="1">
      <c r="A63" s="418" t="s">
        <v>482</v>
      </c>
      <c r="B63" s="286"/>
      <c r="C63" s="286"/>
      <c r="D63" s="286"/>
      <c r="E63" s="286"/>
      <c r="F63" s="286"/>
      <c r="G63" s="286"/>
      <c r="H63" s="286"/>
      <c r="I63" s="286"/>
      <c r="J63" s="286"/>
      <c r="K63" s="286"/>
      <c r="L63" s="286"/>
      <c r="M63" s="286"/>
      <c r="N63" s="286"/>
      <c r="O63" s="286"/>
      <c r="P63" s="286"/>
      <c r="Q63" s="286"/>
      <c r="R63" s="286"/>
    </row>
    <row r="64" spans="1:18" s="27" customFormat="1" ht="17.149999999999999" customHeight="1">
      <c r="A64" s="1206" t="s">
        <v>477</v>
      </c>
      <c r="B64" s="412"/>
      <c r="C64" s="1200">
        <v>2019</v>
      </c>
      <c r="D64" s="1200"/>
      <c r="E64" s="1200"/>
      <c r="F64" s="1200"/>
      <c r="G64" s="1200">
        <v>2020</v>
      </c>
      <c r="H64" s="1200"/>
      <c r="I64" s="1200"/>
      <c r="J64" s="1200"/>
      <c r="K64" s="1200">
        <v>2021</v>
      </c>
      <c r="L64" s="1200"/>
      <c r="M64" s="1200"/>
      <c r="N64" s="1200"/>
      <c r="O64" s="1200">
        <v>2022</v>
      </c>
      <c r="P64" s="1200"/>
      <c r="Q64" s="1200"/>
      <c r="R64" s="1200"/>
    </row>
    <row r="65" spans="1:30" s="27" customFormat="1" ht="17.149999999999999" customHeight="1">
      <c r="A65" s="1206"/>
      <c r="B65" s="412"/>
      <c r="C65" s="388" t="s">
        <v>468</v>
      </c>
      <c r="D65" s="388" t="s">
        <v>469</v>
      </c>
      <c r="E65" s="388" t="s">
        <v>470</v>
      </c>
      <c r="F65" s="388" t="s">
        <v>472</v>
      </c>
      <c r="G65" s="388" t="s">
        <v>468</v>
      </c>
      <c r="H65" s="388" t="s">
        <v>469</v>
      </c>
      <c r="I65" s="388" t="s">
        <v>470</v>
      </c>
      <c r="J65" s="388" t="s">
        <v>472</v>
      </c>
      <c r="K65" s="388" t="s">
        <v>468</v>
      </c>
      <c r="L65" s="388" t="s">
        <v>469</v>
      </c>
      <c r="M65" s="388" t="s">
        <v>470</v>
      </c>
      <c r="N65" s="388" t="s">
        <v>472</v>
      </c>
      <c r="O65" s="388" t="s">
        <v>468</v>
      </c>
      <c r="P65" s="388" t="s">
        <v>469</v>
      </c>
      <c r="Q65" s="388" t="s">
        <v>483</v>
      </c>
      <c r="R65" s="388" t="s">
        <v>472</v>
      </c>
    </row>
    <row r="66" spans="1:30" s="27" customFormat="1" ht="17.149999999999999" customHeight="1">
      <c r="A66" s="1200" t="s">
        <v>237</v>
      </c>
      <c r="B66" s="388" t="s">
        <v>475</v>
      </c>
      <c r="C66" s="421">
        <v>4.7E-2</v>
      </c>
      <c r="D66" s="421">
        <v>5.1999999999999998E-2</v>
      </c>
      <c r="E66" s="421">
        <v>4.7E-2</v>
      </c>
      <c r="F66" s="421">
        <v>4.5999999999999999E-2</v>
      </c>
      <c r="G66" s="421">
        <v>4.5999999999999999E-2</v>
      </c>
      <c r="H66" s="421">
        <v>4.5999999999999999E-2</v>
      </c>
      <c r="I66" s="421">
        <v>4.4999999999999998E-2</v>
      </c>
      <c r="J66" s="421">
        <v>0.04</v>
      </c>
      <c r="K66" s="421">
        <v>0.04</v>
      </c>
      <c r="L66" s="421">
        <v>4.2999999999999997E-2</v>
      </c>
      <c r="M66" s="421">
        <v>3.9E-2</v>
      </c>
      <c r="N66" s="421">
        <v>3.5999999999999997E-2</v>
      </c>
      <c r="O66" s="421">
        <v>3.5999999999999997E-2</v>
      </c>
      <c r="P66" s="421">
        <v>3.5000000000000003E-2</v>
      </c>
      <c r="Q66" s="421">
        <v>3.4000000000000002E-2</v>
      </c>
      <c r="R66" s="421">
        <v>3.9E-2</v>
      </c>
    </row>
    <row r="67" spans="1:30" s="27" customFormat="1" ht="17.149999999999999" customHeight="1">
      <c r="A67" s="1200"/>
      <c r="B67" s="388" t="s">
        <v>476</v>
      </c>
      <c r="C67" s="1202">
        <f>AVERAGE(C66:F66)</f>
        <v>4.8000000000000001E-2</v>
      </c>
      <c r="D67" s="1202"/>
      <c r="E67" s="1202"/>
      <c r="F67" s="1202"/>
      <c r="G67" s="1202">
        <f>AVERAGE(G66:J66)</f>
        <v>4.4250000000000005E-2</v>
      </c>
      <c r="H67" s="1202"/>
      <c r="I67" s="1202"/>
      <c r="J67" s="1202"/>
      <c r="K67" s="1202">
        <f>AVERAGE(K66:N66)</f>
        <v>3.95E-2</v>
      </c>
      <c r="L67" s="1202"/>
      <c r="M67" s="1202"/>
      <c r="N67" s="1202"/>
      <c r="O67" s="1202">
        <f>AVERAGE(O66:R66)</f>
        <v>3.6000000000000004E-2</v>
      </c>
      <c r="P67" s="1202"/>
      <c r="Q67" s="1202"/>
      <c r="R67" s="1202"/>
    </row>
    <row r="68" spans="1:30" s="27" customFormat="1" ht="17.149999999999999" customHeight="1">
      <c r="A68" s="1200" t="s">
        <v>263</v>
      </c>
      <c r="B68" s="388" t="s">
        <v>475</v>
      </c>
      <c r="C68" s="421">
        <v>4.8000000000000001E-2</v>
      </c>
      <c r="D68" s="421">
        <v>4.5999999999999999E-2</v>
      </c>
      <c r="E68" s="421">
        <v>4.4999999999999998E-2</v>
      </c>
      <c r="F68" s="421">
        <v>4.3999999999999997E-2</v>
      </c>
      <c r="G68" s="421">
        <v>4.5999999999999999E-2</v>
      </c>
      <c r="H68" s="421">
        <v>3.9E-2</v>
      </c>
      <c r="I68" s="421">
        <v>3.6999999999999998E-2</v>
      </c>
      <c r="J68" s="421">
        <v>3.5000000000000003E-2</v>
      </c>
      <c r="K68" s="421">
        <v>3.7999999999999999E-2</v>
      </c>
      <c r="L68" s="421">
        <v>3.6999999999999998E-2</v>
      </c>
      <c r="M68" s="421">
        <v>3.5999999999999997E-2</v>
      </c>
      <c r="N68" s="421">
        <v>3.6999999999999998E-2</v>
      </c>
      <c r="O68" s="421">
        <v>3.5000000000000003E-2</v>
      </c>
      <c r="P68" s="421">
        <v>3.3000000000000002E-2</v>
      </c>
      <c r="Q68" s="421">
        <v>3.3000000000000002E-2</v>
      </c>
      <c r="R68" s="421">
        <v>3.7999999999999999E-2</v>
      </c>
    </row>
    <row r="69" spans="1:30" s="27" customFormat="1" ht="17.149999999999999" customHeight="1">
      <c r="A69" s="1200"/>
      <c r="B69" s="388" t="s">
        <v>476</v>
      </c>
      <c r="C69" s="1202">
        <f>AVERAGE(C68:F68)</f>
        <v>4.5749999999999999E-2</v>
      </c>
      <c r="D69" s="1202"/>
      <c r="E69" s="1202"/>
      <c r="F69" s="1202"/>
      <c r="G69" s="1202">
        <f>AVERAGE(G68:J68)</f>
        <v>3.925E-2</v>
      </c>
      <c r="H69" s="1202"/>
      <c r="I69" s="1202"/>
      <c r="J69" s="1202"/>
      <c r="K69" s="1202">
        <f>AVERAGE(K68:N68)</f>
        <v>3.6999999999999998E-2</v>
      </c>
      <c r="L69" s="1202"/>
      <c r="M69" s="1202"/>
      <c r="N69" s="1202"/>
      <c r="O69" s="1202">
        <f>AVERAGE(O68:R68)</f>
        <v>3.4750000000000003E-2</v>
      </c>
      <c r="P69" s="1202"/>
      <c r="Q69" s="1202"/>
      <c r="R69" s="1202"/>
    </row>
    <row r="70" spans="1:30" s="27" customFormat="1" ht="17.149999999999999" customHeight="1">
      <c r="A70" s="1200" t="s">
        <v>379</v>
      </c>
      <c r="B70" s="388" t="s">
        <v>475</v>
      </c>
      <c r="C70" s="421">
        <v>4.9000000000000002E-2</v>
      </c>
      <c r="D70" s="421">
        <v>0.05</v>
      </c>
      <c r="E70" s="421">
        <v>0.05</v>
      </c>
      <c r="F70" s="421">
        <v>4.3999999999999997E-2</v>
      </c>
      <c r="G70" s="421">
        <v>4.2000000000000003E-2</v>
      </c>
      <c r="H70" s="421">
        <v>4.1000000000000002E-2</v>
      </c>
      <c r="I70" s="421">
        <v>4.1000000000000002E-2</v>
      </c>
      <c r="J70" s="421">
        <v>3.5999999999999997E-2</v>
      </c>
      <c r="K70" s="421">
        <v>3.5000000000000003E-2</v>
      </c>
      <c r="L70" s="421">
        <v>3.6999999999999998E-2</v>
      </c>
      <c r="M70" s="421">
        <v>3.6999999999999998E-2</v>
      </c>
      <c r="N70" s="421">
        <v>3.6999999999999998E-2</v>
      </c>
      <c r="O70" s="421">
        <v>3.6999999999999998E-2</v>
      </c>
      <c r="P70" s="421">
        <v>3.6999999999999998E-2</v>
      </c>
      <c r="Q70" s="421">
        <v>3.5999999999999997E-2</v>
      </c>
      <c r="R70" s="421">
        <v>4.1000000000000002E-2</v>
      </c>
    </row>
    <row r="71" spans="1:30" s="27" customFormat="1" ht="17.149999999999999" customHeight="1">
      <c r="A71" s="1200"/>
      <c r="B71" s="388" t="s">
        <v>476</v>
      </c>
      <c r="C71" s="1202">
        <f>AVERAGE(C70:F70)</f>
        <v>4.8250000000000001E-2</v>
      </c>
      <c r="D71" s="1202"/>
      <c r="E71" s="1202"/>
      <c r="F71" s="1202"/>
      <c r="G71" s="1202">
        <f>AVERAGE(G70:J70)</f>
        <v>0.04</v>
      </c>
      <c r="H71" s="1202"/>
      <c r="I71" s="1202"/>
      <c r="J71" s="1202"/>
      <c r="K71" s="1202">
        <f>AVERAGE(K70:N70)</f>
        <v>3.6500000000000005E-2</v>
      </c>
      <c r="L71" s="1202"/>
      <c r="M71" s="1202"/>
      <c r="N71" s="1202"/>
      <c r="O71" s="1202">
        <f>AVERAGE(O70:R70)</f>
        <v>3.7749999999999999E-2</v>
      </c>
      <c r="P71" s="1202"/>
      <c r="Q71" s="1202"/>
      <c r="R71" s="1202"/>
    </row>
    <row r="72" spans="1:30" s="27" customFormat="1" ht="17.149999999999999" customHeight="1">
      <c r="A72" s="17" t="s">
        <v>135</v>
      </c>
      <c r="B72" s="415"/>
      <c r="C72" s="415"/>
      <c r="D72" s="415"/>
      <c r="E72" s="415"/>
      <c r="F72" s="415"/>
      <c r="G72" s="415"/>
      <c r="H72" s="415"/>
      <c r="I72" s="415"/>
      <c r="J72" s="415"/>
      <c r="K72" s="415"/>
      <c r="L72" s="415"/>
      <c r="M72" s="415"/>
      <c r="N72" s="415"/>
      <c r="O72" s="415"/>
      <c r="P72" s="415"/>
      <c r="Q72" s="415"/>
      <c r="R72" s="415"/>
    </row>
    <row r="73" spans="1:30" ht="17.149999999999999" customHeight="1">
      <c r="A73" s="286"/>
      <c r="B73" s="286"/>
      <c r="C73" s="286"/>
      <c r="D73" s="286"/>
      <c r="E73" s="286"/>
      <c r="F73" s="286"/>
      <c r="G73" s="286"/>
      <c r="H73" s="286"/>
      <c r="I73" s="286"/>
      <c r="J73" s="286"/>
      <c r="K73" s="286"/>
      <c r="L73" s="286"/>
      <c r="M73" s="286"/>
      <c r="N73" s="286"/>
      <c r="O73" s="286"/>
      <c r="P73" s="286"/>
      <c r="Q73" s="286"/>
      <c r="R73" s="286"/>
    </row>
    <row r="74" spans="1:30" ht="17.149999999999999" customHeight="1">
      <c r="A74" s="418" t="s">
        <v>482</v>
      </c>
      <c r="B74" s="286"/>
      <c r="C74" s="286"/>
      <c r="D74" s="286"/>
      <c r="E74" s="286"/>
      <c r="F74" s="286"/>
      <c r="G74" s="286"/>
      <c r="H74" s="286"/>
      <c r="I74" s="286"/>
      <c r="J74" s="286"/>
      <c r="K74" s="286"/>
      <c r="L74" s="286"/>
      <c r="M74" s="286"/>
      <c r="N74" s="286"/>
      <c r="O74" s="286"/>
      <c r="P74" s="286"/>
      <c r="Q74" s="286"/>
      <c r="R74" s="286"/>
      <c r="AD74" s="29"/>
    </row>
    <row r="75" spans="1:30" ht="17.149999999999999" customHeight="1">
      <c r="A75" s="1206" t="s">
        <v>477</v>
      </c>
      <c r="B75" s="412"/>
      <c r="C75" s="1200">
        <v>2023</v>
      </c>
      <c r="D75" s="1200"/>
      <c r="E75" s="1200"/>
      <c r="F75" s="1200"/>
      <c r="G75" s="1200">
        <v>2024</v>
      </c>
      <c r="H75" s="1200"/>
      <c r="I75" s="1200"/>
      <c r="J75" s="1200"/>
      <c r="K75" s="1200">
        <v>2025</v>
      </c>
      <c r="L75" s="1200"/>
      <c r="M75" s="1200"/>
      <c r="N75" s="1200"/>
      <c r="O75" s="1200">
        <v>2026</v>
      </c>
      <c r="P75" s="1200"/>
      <c r="Q75" s="1200"/>
      <c r="R75" s="1200"/>
      <c r="AD75" s="39"/>
    </row>
    <row r="76" spans="1:30" ht="17.149999999999999" customHeight="1">
      <c r="A76" s="1206"/>
      <c r="B76" s="412"/>
      <c r="C76" s="388" t="s">
        <v>468</v>
      </c>
      <c r="D76" s="388" t="s">
        <v>469</v>
      </c>
      <c r="E76" s="388" t="s">
        <v>470</v>
      </c>
      <c r="F76" s="388" t="s">
        <v>472</v>
      </c>
      <c r="G76" s="388" t="s">
        <v>468</v>
      </c>
      <c r="H76" s="388" t="s">
        <v>469</v>
      </c>
      <c r="I76" s="388" t="s">
        <v>470</v>
      </c>
      <c r="J76" s="388" t="s">
        <v>472</v>
      </c>
      <c r="K76" s="388" t="s">
        <v>468</v>
      </c>
      <c r="L76" s="388" t="s">
        <v>469</v>
      </c>
      <c r="M76" s="388" t="s">
        <v>470</v>
      </c>
      <c r="N76" s="388" t="s">
        <v>472</v>
      </c>
      <c r="O76" s="388" t="s">
        <v>468</v>
      </c>
      <c r="P76" s="388" t="s">
        <v>469</v>
      </c>
      <c r="Q76" s="388" t="s">
        <v>483</v>
      </c>
      <c r="R76" s="388" t="s">
        <v>472</v>
      </c>
      <c r="AD76" s="29"/>
    </row>
    <row r="77" spans="1:30" ht="17.149999999999999" customHeight="1">
      <c r="A77" s="1200" t="s">
        <v>237</v>
      </c>
      <c r="B77" s="388" t="s">
        <v>475</v>
      </c>
      <c r="C77" s="422" t="str">
        <f>B77</f>
        <v>Quarterly</v>
      </c>
      <c r="D77" s="422">
        <v>4.1924999999999997E-2</v>
      </c>
      <c r="E77" s="422">
        <v>4.1924999999999997E-2</v>
      </c>
      <c r="F77" s="422">
        <v>4.1924999999999997E-2</v>
      </c>
      <c r="G77" s="422">
        <v>4.3999999999999997E-2</v>
      </c>
      <c r="H77" s="422">
        <v>4.3999999999999997E-2</v>
      </c>
      <c r="I77" s="422">
        <v>4.2000000000000003E-2</v>
      </c>
      <c r="J77" s="422">
        <v>4.4999999999999998E-2</v>
      </c>
      <c r="K77" s="422">
        <v>4.2000000000000003E-2</v>
      </c>
      <c r="L77" s="422">
        <v>0.04</v>
      </c>
      <c r="M77" s="422">
        <v>0.04</v>
      </c>
      <c r="N77" s="676">
        <v>4.2000000000000003E-2</v>
      </c>
      <c r="O77" s="421"/>
      <c r="P77" s="421"/>
      <c r="Q77" s="421"/>
      <c r="R77" s="421"/>
      <c r="AD77" s="39"/>
    </row>
    <row r="78" spans="1:30" ht="17.149999999999999" customHeight="1">
      <c r="A78" s="1200"/>
      <c r="B78" s="388" t="s">
        <v>476</v>
      </c>
      <c r="C78" s="1203">
        <f>AVERAGE(C77:F77)</f>
        <v>4.1924999999999997E-2</v>
      </c>
      <c r="D78" s="1203"/>
      <c r="E78" s="1203"/>
      <c r="F78" s="1203"/>
      <c r="G78" s="1203">
        <f>AVERAGE(G77:J77)</f>
        <v>4.3749999999999997E-2</v>
      </c>
      <c r="H78" s="1203"/>
      <c r="I78" s="1203"/>
      <c r="J78" s="1203"/>
      <c r="K78" s="1202">
        <f>AVERAGE(K77:N77)</f>
        <v>4.1000000000000002E-2</v>
      </c>
      <c r="L78" s="1202"/>
      <c r="M78" s="1202"/>
      <c r="N78" s="1202"/>
      <c r="O78" s="1202" t="e">
        <f>AVERAGE(O77:R77)</f>
        <v>#DIV/0!</v>
      </c>
      <c r="P78" s="1202"/>
      <c r="Q78" s="1202"/>
      <c r="R78" s="1202"/>
      <c r="AD78" s="29"/>
    </row>
    <row r="79" spans="1:30" ht="17.149999999999999" customHeight="1">
      <c r="A79" s="1200" t="s">
        <v>263</v>
      </c>
      <c r="B79" s="388" t="s">
        <v>475</v>
      </c>
      <c r="C79" s="422" t="str">
        <f>B79</f>
        <v>Quarterly</v>
      </c>
      <c r="D79" s="422">
        <v>4.0849999999999997E-2</v>
      </c>
      <c r="E79" s="422">
        <v>4.0849999999999997E-2</v>
      </c>
      <c r="F79" s="422">
        <v>4.0849999999999997E-2</v>
      </c>
      <c r="G79" s="422">
        <v>4.3999999999999997E-2</v>
      </c>
      <c r="H79" s="422">
        <v>4.3999999999999997E-2</v>
      </c>
      <c r="I79" s="422">
        <v>4.2000000000000003E-2</v>
      </c>
      <c r="J79" s="422">
        <v>4.4999999999999998E-2</v>
      </c>
      <c r="K79" s="422">
        <v>4.1000000000000002E-2</v>
      </c>
      <c r="L79" s="422">
        <v>3.9E-2</v>
      </c>
      <c r="M79" s="422">
        <v>3.9E-2</v>
      </c>
      <c r="N79" s="676">
        <f>M79</f>
        <v>3.9E-2</v>
      </c>
      <c r="O79" s="421"/>
      <c r="P79" s="421"/>
      <c r="Q79" s="421"/>
      <c r="R79" s="421"/>
      <c r="AD79" s="39"/>
    </row>
    <row r="80" spans="1:30" ht="17.149999999999999" customHeight="1">
      <c r="A80" s="1200"/>
      <c r="B80" s="388" t="s">
        <v>476</v>
      </c>
      <c r="C80" s="1203">
        <f>AVERAGE(C79:F79)</f>
        <v>4.0849999999999997E-2</v>
      </c>
      <c r="D80" s="1203"/>
      <c r="E80" s="1203"/>
      <c r="F80" s="1203"/>
      <c r="G80" s="1203">
        <f>AVERAGE(G79:J79)</f>
        <v>4.3749999999999997E-2</v>
      </c>
      <c r="H80" s="1203"/>
      <c r="I80" s="1203"/>
      <c r="J80" s="1203"/>
      <c r="K80" s="1202">
        <f>AVERAGE(K79:N79)</f>
        <v>3.95E-2</v>
      </c>
      <c r="L80" s="1202"/>
      <c r="M80" s="1202"/>
      <c r="N80" s="1202"/>
      <c r="O80" s="1202" t="e">
        <f>AVERAGE(O79:R79)</f>
        <v>#DIV/0!</v>
      </c>
      <c r="P80" s="1202"/>
      <c r="Q80" s="1202"/>
      <c r="R80" s="1202"/>
    </row>
    <row r="81" spans="1:38" ht="17.149999999999999" customHeight="1">
      <c r="A81" s="1200" t="s">
        <v>379</v>
      </c>
      <c r="B81" s="388" t="s">
        <v>475</v>
      </c>
      <c r="C81" s="422" t="str">
        <f>B81</f>
        <v>Quarterly</v>
      </c>
      <c r="D81" s="422">
        <v>4.4075000000000003E-2</v>
      </c>
      <c r="E81" s="422">
        <v>4.4075000000000003E-2</v>
      </c>
      <c r="F81" s="422">
        <v>4.4075000000000003E-2</v>
      </c>
      <c r="G81" s="422">
        <v>4.4075000000000003E-2</v>
      </c>
      <c r="H81" s="422">
        <v>4.4075000000000003E-2</v>
      </c>
      <c r="I81" s="422">
        <v>4.4999999999999998E-2</v>
      </c>
      <c r="J81" s="422">
        <v>4.7E-2</v>
      </c>
      <c r="K81" s="422">
        <v>4.7E-2</v>
      </c>
      <c r="L81" s="422">
        <v>4.7E-2</v>
      </c>
      <c r="M81" s="422">
        <v>4.7E-2</v>
      </c>
      <c r="N81" s="676">
        <f>M81</f>
        <v>4.7E-2</v>
      </c>
      <c r="O81" s="421"/>
      <c r="P81" s="421"/>
      <c r="Q81" s="421"/>
      <c r="R81" s="421"/>
    </row>
    <row r="82" spans="1:38" ht="17.149999999999999" customHeight="1">
      <c r="A82" s="1200"/>
      <c r="B82" s="388" t="s">
        <v>476</v>
      </c>
      <c r="C82" s="1203">
        <f>AVERAGE(C81:F81)</f>
        <v>4.4075000000000003E-2</v>
      </c>
      <c r="D82" s="1203"/>
      <c r="E82" s="1203"/>
      <c r="F82" s="1203"/>
      <c r="G82" s="1203">
        <f>AVERAGE(G81:J81)</f>
        <v>4.5037499999999994E-2</v>
      </c>
      <c r="H82" s="1203"/>
      <c r="I82" s="1203"/>
      <c r="J82" s="1203"/>
      <c r="K82" s="1202">
        <f>AVERAGE(K81:N81)</f>
        <v>4.7E-2</v>
      </c>
      <c r="L82" s="1202"/>
      <c r="M82" s="1202"/>
      <c r="N82" s="1202"/>
      <c r="O82" s="1202" t="e">
        <f>AVERAGE(O81:R81)</f>
        <v>#DIV/0!</v>
      </c>
      <c r="P82" s="1202"/>
      <c r="Q82" s="1202"/>
      <c r="R82" s="1202"/>
    </row>
    <row r="83" spans="1:38" ht="17.149999999999999" customHeight="1">
      <c r="A83" s="17" t="s">
        <v>135</v>
      </c>
      <c r="B83" s="415"/>
      <c r="C83" s="286"/>
      <c r="D83" s="286"/>
      <c r="E83" s="286"/>
      <c r="F83" s="286"/>
      <c r="G83" s="286"/>
      <c r="H83" s="286"/>
      <c r="I83" s="286"/>
      <c r="J83" s="286"/>
      <c r="K83" s="286"/>
      <c r="L83" s="286"/>
      <c r="M83" s="286"/>
      <c r="N83" s="286"/>
      <c r="O83" s="286"/>
      <c r="P83" s="286"/>
      <c r="Q83" s="286"/>
      <c r="R83" s="286"/>
    </row>
    <row r="84" spans="1:38" ht="17.149999999999999" customHeight="1"/>
    <row r="85" spans="1:38" ht="17.149999999999999" customHeight="1">
      <c r="A85" s="418" t="s">
        <v>482</v>
      </c>
      <c r="B85" s="286"/>
      <c r="C85" s="286"/>
      <c r="D85" s="286"/>
      <c r="E85" s="286"/>
      <c r="F85" s="286"/>
      <c r="G85" s="286"/>
      <c r="H85" s="286"/>
      <c r="I85" s="286"/>
      <c r="J85" s="286"/>
      <c r="K85" s="286"/>
      <c r="L85" s="286"/>
      <c r="M85" s="286"/>
      <c r="N85" s="286"/>
      <c r="O85" s="286"/>
      <c r="P85" s="286"/>
      <c r="Q85" s="286"/>
      <c r="R85" s="286"/>
    </row>
    <row r="86" spans="1:38" ht="17.149999999999999" customHeight="1">
      <c r="A86" s="1206" t="s">
        <v>477</v>
      </c>
      <c r="B86" s="412"/>
      <c r="C86" s="1200">
        <v>2027</v>
      </c>
      <c r="D86" s="1200"/>
      <c r="E86" s="1200"/>
      <c r="F86" s="1200"/>
      <c r="G86" s="1200">
        <v>2028</v>
      </c>
      <c r="H86" s="1200"/>
      <c r="I86" s="1200"/>
      <c r="J86" s="1200"/>
      <c r="K86" s="1200">
        <v>2029</v>
      </c>
      <c r="L86" s="1200"/>
      <c r="M86" s="1200"/>
      <c r="N86" s="1200"/>
      <c r="O86" s="1200">
        <v>2030</v>
      </c>
      <c r="P86" s="1200"/>
      <c r="Q86" s="1200"/>
      <c r="R86" s="1200"/>
    </row>
    <row r="87" spans="1:38" ht="17.149999999999999" customHeight="1">
      <c r="A87" s="1206"/>
      <c r="B87" s="412"/>
      <c r="C87" s="388" t="s">
        <v>468</v>
      </c>
      <c r="D87" s="388" t="s">
        <v>469</v>
      </c>
      <c r="E87" s="388" t="s">
        <v>470</v>
      </c>
      <c r="F87" s="388" t="s">
        <v>472</v>
      </c>
      <c r="G87" s="388" t="s">
        <v>468</v>
      </c>
      <c r="H87" s="388" t="s">
        <v>469</v>
      </c>
      <c r="I87" s="388" t="s">
        <v>470</v>
      </c>
      <c r="J87" s="388" t="s">
        <v>472</v>
      </c>
      <c r="K87" s="388" t="s">
        <v>468</v>
      </c>
      <c r="L87" s="388" t="s">
        <v>469</v>
      </c>
      <c r="M87" s="388" t="s">
        <v>470</v>
      </c>
      <c r="N87" s="388" t="s">
        <v>472</v>
      </c>
      <c r="O87" s="388" t="s">
        <v>468</v>
      </c>
      <c r="P87" s="388" t="s">
        <v>469</v>
      </c>
      <c r="Q87" s="388" t="s">
        <v>470</v>
      </c>
      <c r="R87" s="388" t="s">
        <v>472</v>
      </c>
    </row>
    <row r="88" spans="1:38" ht="17.149999999999999" customHeight="1">
      <c r="A88" s="1200" t="s">
        <v>237</v>
      </c>
      <c r="B88" s="388" t="s">
        <v>475</v>
      </c>
      <c r="C88" s="422"/>
      <c r="D88" s="422"/>
      <c r="E88" s="422"/>
      <c r="F88" s="422"/>
      <c r="G88" s="422"/>
      <c r="H88" s="422"/>
      <c r="I88" s="422"/>
      <c r="J88" s="422"/>
      <c r="K88" s="422"/>
      <c r="L88" s="422"/>
      <c r="M88" s="422"/>
      <c r="N88" s="422"/>
      <c r="O88" s="422"/>
      <c r="P88" s="422"/>
      <c r="Q88" s="422"/>
      <c r="R88" s="422"/>
    </row>
    <row r="89" spans="1:38" ht="17.149999999999999" customHeight="1">
      <c r="A89" s="1200"/>
      <c r="B89" s="388" t="s">
        <v>476</v>
      </c>
      <c r="C89" s="1203" t="e">
        <f>AVERAGE(C88:F88)</f>
        <v>#DIV/0!</v>
      </c>
      <c r="D89" s="1203"/>
      <c r="E89" s="1203"/>
      <c r="F89" s="1203"/>
      <c r="G89" s="1203" t="e">
        <f>AVERAGE(G88:J88)</f>
        <v>#DIV/0!</v>
      </c>
      <c r="H89" s="1203"/>
      <c r="I89" s="1203"/>
      <c r="J89" s="1203"/>
      <c r="K89" s="1203" t="e">
        <f>AVERAGE(K88:N88)</f>
        <v>#DIV/0!</v>
      </c>
      <c r="L89" s="1203"/>
      <c r="M89" s="1203"/>
      <c r="N89" s="1203"/>
      <c r="O89" s="1203" t="e">
        <f>AVERAGE(O88:R88)</f>
        <v>#DIV/0!</v>
      </c>
      <c r="P89" s="1203"/>
      <c r="Q89" s="1203"/>
      <c r="R89" s="1203"/>
    </row>
    <row r="90" spans="1:38" ht="17.149999999999999" customHeight="1">
      <c r="A90" s="1200" t="s">
        <v>263</v>
      </c>
      <c r="B90" s="388" t="s">
        <v>475</v>
      </c>
      <c r="C90" s="422"/>
      <c r="D90" s="422"/>
      <c r="E90" s="422"/>
      <c r="F90" s="422"/>
      <c r="G90" s="422"/>
      <c r="H90" s="422"/>
      <c r="I90" s="422"/>
      <c r="J90" s="422"/>
      <c r="K90" s="422"/>
      <c r="L90" s="422"/>
      <c r="M90" s="422"/>
      <c r="N90" s="422"/>
      <c r="O90" s="422"/>
      <c r="P90" s="422"/>
      <c r="Q90" s="422"/>
      <c r="R90" s="422"/>
    </row>
    <row r="91" spans="1:38" ht="17.149999999999999" customHeight="1">
      <c r="A91" s="1200"/>
      <c r="B91" s="388" t="s">
        <v>476</v>
      </c>
      <c r="C91" s="1203" t="e">
        <f>AVERAGE(C90:F90)</f>
        <v>#DIV/0!</v>
      </c>
      <c r="D91" s="1203"/>
      <c r="E91" s="1203"/>
      <c r="F91" s="1203"/>
      <c r="G91" s="1203" t="e">
        <f>AVERAGE(G90:J90)</f>
        <v>#DIV/0!</v>
      </c>
      <c r="H91" s="1203"/>
      <c r="I91" s="1203"/>
      <c r="J91" s="1203"/>
      <c r="K91" s="1203" t="e">
        <f>AVERAGE(K90:N90)</f>
        <v>#DIV/0!</v>
      </c>
      <c r="L91" s="1203"/>
      <c r="M91" s="1203"/>
      <c r="N91" s="1203"/>
      <c r="O91" s="1203" t="e">
        <f>AVERAGE(O90:R90)</f>
        <v>#DIV/0!</v>
      </c>
      <c r="P91" s="1203"/>
      <c r="Q91" s="1203"/>
      <c r="R91" s="1203"/>
    </row>
    <row r="92" spans="1:38" ht="17.149999999999999" customHeight="1">
      <c r="A92" s="1200" t="s">
        <v>379</v>
      </c>
      <c r="B92" s="388" t="s">
        <v>475</v>
      </c>
      <c r="C92" s="422"/>
      <c r="D92" s="422"/>
      <c r="E92" s="422"/>
      <c r="F92" s="422"/>
      <c r="G92" s="422"/>
      <c r="H92" s="422"/>
      <c r="I92" s="422"/>
      <c r="J92" s="422"/>
      <c r="K92" s="422"/>
      <c r="L92" s="422"/>
      <c r="M92" s="422"/>
      <c r="N92" s="422"/>
      <c r="O92" s="422"/>
      <c r="P92" s="422"/>
      <c r="Q92" s="422"/>
      <c r="R92" s="422"/>
    </row>
    <row r="93" spans="1:38" ht="17.149999999999999" customHeight="1">
      <c r="A93" s="1200"/>
      <c r="B93" s="388" t="s">
        <v>476</v>
      </c>
      <c r="C93" s="1203" t="e">
        <f>AVERAGE(C92:F92)</f>
        <v>#DIV/0!</v>
      </c>
      <c r="D93" s="1203"/>
      <c r="E93" s="1203"/>
      <c r="F93" s="1203"/>
      <c r="G93" s="1203" t="e">
        <f>AVERAGE(G92:J92)</f>
        <v>#DIV/0!</v>
      </c>
      <c r="H93" s="1203"/>
      <c r="I93" s="1203"/>
      <c r="J93" s="1203"/>
      <c r="K93" s="1203" t="e">
        <f>AVERAGE(K92:N92)</f>
        <v>#DIV/0!</v>
      </c>
      <c r="L93" s="1203"/>
      <c r="M93" s="1203"/>
      <c r="N93" s="1203"/>
      <c r="O93" s="1203" t="e">
        <f>AVERAGE(O92:R92)</f>
        <v>#DIV/0!</v>
      </c>
      <c r="P93" s="1203"/>
      <c r="Q93" s="1203"/>
      <c r="R93" s="1203"/>
    </row>
    <row r="94" spans="1:38" ht="19.5">
      <c r="A94" s="17" t="s">
        <v>135</v>
      </c>
      <c r="B94" s="415"/>
      <c r="C94" s="286"/>
      <c r="D94" s="286"/>
      <c r="E94" s="286"/>
      <c r="F94" s="286"/>
      <c r="G94" s="286"/>
      <c r="H94" s="286"/>
      <c r="I94" s="286"/>
      <c r="J94" s="286"/>
      <c r="K94" s="286"/>
      <c r="L94" s="286"/>
      <c r="M94" s="286"/>
      <c r="N94" s="286"/>
      <c r="O94" s="286"/>
      <c r="P94" s="286"/>
      <c r="Q94" s="286"/>
      <c r="R94" s="286"/>
    </row>
    <row r="96" spans="1:38">
      <c r="A96" s="1212" t="s">
        <v>467</v>
      </c>
      <c r="B96" s="97"/>
      <c r="C96" s="1210">
        <v>2017</v>
      </c>
      <c r="D96" s="1210"/>
      <c r="E96" s="1210"/>
      <c r="F96" s="1210"/>
      <c r="G96" s="1210">
        <v>2018</v>
      </c>
      <c r="H96" s="1210"/>
      <c r="I96" s="1210"/>
      <c r="J96" s="1210"/>
      <c r="K96" s="1210">
        <v>2019</v>
      </c>
      <c r="L96" s="1210"/>
      <c r="M96" s="1210"/>
      <c r="N96" s="1210"/>
      <c r="O96" s="1210">
        <v>2020</v>
      </c>
      <c r="P96" s="1210"/>
      <c r="Q96" s="1210"/>
      <c r="R96" s="1210"/>
      <c r="S96" s="1210">
        <v>2021</v>
      </c>
      <c r="T96" s="1210"/>
      <c r="U96" s="1210"/>
      <c r="V96" s="1210"/>
      <c r="W96" s="1210">
        <v>2022</v>
      </c>
      <c r="X96" s="1210"/>
      <c r="Y96" s="1210"/>
      <c r="Z96" s="1210"/>
      <c r="AA96" s="1210">
        <v>2023</v>
      </c>
      <c r="AB96" s="1210"/>
      <c r="AC96" s="1210"/>
      <c r="AD96" s="1210"/>
      <c r="AE96" s="1210">
        <v>2024</v>
      </c>
      <c r="AF96" s="1210"/>
      <c r="AG96" s="1210"/>
      <c r="AH96" s="1210"/>
      <c r="AI96" s="1210">
        <v>2025</v>
      </c>
      <c r="AJ96" s="1210"/>
      <c r="AK96" s="1210"/>
      <c r="AL96" s="1210"/>
    </row>
    <row r="97" spans="1:38">
      <c r="A97" s="1212"/>
      <c r="B97" s="97"/>
      <c r="C97" s="85" t="s">
        <v>468</v>
      </c>
      <c r="D97" s="85" t="s">
        <v>469</v>
      </c>
      <c r="E97" s="85" t="s">
        <v>470</v>
      </c>
      <c r="F97" s="85" t="s">
        <v>472</v>
      </c>
      <c r="G97" s="85" t="s">
        <v>468</v>
      </c>
      <c r="H97" s="85" t="s">
        <v>469</v>
      </c>
      <c r="I97" s="85" t="s">
        <v>470</v>
      </c>
      <c r="J97" s="85" t="s">
        <v>472</v>
      </c>
      <c r="K97" s="85" t="s">
        <v>468</v>
      </c>
      <c r="L97" s="85" t="s">
        <v>469</v>
      </c>
      <c r="M97" s="85" t="s">
        <v>470</v>
      </c>
      <c r="N97" s="85" t="s">
        <v>471</v>
      </c>
      <c r="O97" s="85" t="s">
        <v>468</v>
      </c>
      <c r="P97" s="98" t="s">
        <v>469</v>
      </c>
      <c r="Q97" s="85" t="s">
        <v>470</v>
      </c>
      <c r="R97" s="85" t="s">
        <v>472</v>
      </c>
      <c r="S97" s="85" t="s">
        <v>468</v>
      </c>
      <c r="T97" s="85" t="s">
        <v>469</v>
      </c>
      <c r="U97" s="85" t="s">
        <v>470</v>
      </c>
      <c r="V97" s="85" t="s">
        <v>472</v>
      </c>
      <c r="W97" s="85" t="s">
        <v>468</v>
      </c>
      <c r="X97" s="85" t="s">
        <v>469</v>
      </c>
      <c r="Y97" s="85" t="s">
        <v>470</v>
      </c>
      <c r="Z97" s="85" t="s">
        <v>472</v>
      </c>
      <c r="AA97" s="85" t="s">
        <v>468</v>
      </c>
      <c r="AB97" s="85" t="s">
        <v>469</v>
      </c>
      <c r="AC97" s="85" t="s">
        <v>470</v>
      </c>
      <c r="AD97" s="85" t="s">
        <v>472</v>
      </c>
      <c r="AE97" s="85" t="s">
        <v>468</v>
      </c>
      <c r="AF97" s="85" t="s">
        <v>469</v>
      </c>
      <c r="AG97" s="85" t="s">
        <v>470</v>
      </c>
      <c r="AH97" s="85" t="s">
        <v>472</v>
      </c>
      <c r="AI97" s="85" t="s">
        <v>468</v>
      </c>
      <c r="AJ97" s="85" t="s">
        <v>469</v>
      </c>
      <c r="AK97" s="85" t="s">
        <v>470</v>
      </c>
      <c r="AL97" s="85" t="s">
        <v>472</v>
      </c>
    </row>
    <row r="98" spans="1:38">
      <c r="A98" s="1210" t="s">
        <v>474</v>
      </c>
      <c r="B98" s="85" t="s">
        <v>475</v>
      </c>
      <c r="C98" s="91">
        <v>15311831.1809857</v>
      </c>
      <c r="D98" s="91">
        <v>16762285.9463378</v>
      </c>
      <c r="E98" s="91">
        <v>17045129.554631598</v>
      </c>
      <c r="F98" s="91">
        <v>16077029.3269771</v>
      </c>
      <c r="G98" s="91">
        <v>19681070.7056523</v>
      </c>
      <c r="H98" s="91">
        <v>19667339.3378065</v>
      </c>
      <c r="I98" s="91">
        <v>19612143.504868101</v>
      </c>
      <c r="J98" s="91">
        <v>19886142.7312763</v>
      </c>
      <c r="K98" s="91">
        <v>18882714.396740168</v>
      </c>
      <c r="L98" s="91">
        <v>18764157.176463008</v>
      </c>
      <c r="M98" s="91">
        <v>19602884.5402257</v>
      </c>
      <c r="N98" s="91">
        <v>19804626.096106999</v>
      </c>
      <c r="O98" s="91">
        <v>21500772.367970601</v>
      </c>
      <c r="P98" s="91">
        <v>21678067.141636498</v>
      </c>
      <c r="Q98" s="91">
        <v>21958241.838232499</v>
      </c>
      <c r="R98" s="91">
        <v>21931407.265570499</v>
      </c>
      <c r="S98" s="91">
        <v>23260222.639071502</v>
      </c>
      <c r="T98" s="91">
        <v>23273725.064804401</v>
      </c>
      <c r="U98" s="91">
        <v>23286133.453490399</v>
      </c>
      <c r="V98" s="91">
        <v>23277282.030150998</v>
      </c>
      <c r="W98" s="91">
        <v>23842852.002178162</v>
      </c>
      <c r="X98" s="91">
        <v>20514501.748021401</v>
      </c>
      <c r="Y98" s="91">
        <v>24386138.842975207</v>
      </c>
      <c r="Z98" s="93">
        <v>26783054</v>
      </c>
      <c r="AA98" s="91">
        <v>29417256.198347107</v>
      </c>
      <c r="AB98" s="91">
        <v>27132560</v>
      </c>
      <c r="AC98" s="91">
        <v>27338125</v>
      </c>
      <c r="AD98" s="91">
        <v>28349369.184601001</v>
      </c>
      <c r="AE98" s="92">
        <v>33546273.081265658</v>
      </c>
      <c r="AF98" s="92">
        <v>32237954.526786141</v>
      </c>
      <c r="AG98" s="92">
        <v>35179119.633838251</v>
      </c>
      <c r="AH98" s="92">
        <v>31003046.092584062</v>
      </c>
      <c r="AI98" s="92">
        <f>K16</f>
        <v>32679428.174688678</v>
      </c>
      <c r="AJ98" s="92">
        <f>L16</f>
        <v>33496413.879055891</v>
      </c>
      <c r="AK98" s="92">
        <f>M16</f>
        <v>33831378.01784645</v>
      </c>
      <c r="AL98" s="92">
        <f t="shared" ref="AL98" si="0">N16</f>
        <v>32398889.809814796</v>
      </c>
    </row>
    <row r="99" spans="1:38">
      <c r="A99" s="1210"/>
      <c r="B99" s="85" t="s">
        <v>476</v>
      </c>
      <c r="C99" s="1211">
        <f>((AVERAGE(C98:F98)))</f>
        <v>16299069.002233051</v>
      </c>
      <c r="D99" s="1211"/>
      <c r="E99" s="1211"/>
      <c r="F99" s="1211"/>
      <c r="G99" s="1211">
        <f>((AVERAGE(G98:J98)))</f>
        <v>19711674.069900803</v>
      </c>
      <c r="H99" s="1211"/>
      <c r="I99" s="1211"/>
      <c r="J99" s="1211"/>
      <c r="K99" s="1211">
        <f>((AVERAGE(K98:N98)))</f>
        <v>19263595.552383967</v>
      </c>
      <c r="L99" s="1211">
        <v>0</v>
      </c>
      <c r="M99" s="1211">
        <v>0</v>
      </c>
      <c r="N99" s="1211">
        <v>0</v>
      </c>
      <c r="O99" s="1211">
        <f>((AVERAGE(O98:R98)))</f>
        <v>21767122.153352521</v>
      </c>
      <c r="P99" s="1211">
        <v>0</v>
      </c>
      <c r="Q99" s="1211">
        <v>0</v>
      </c>
      <c r="R99" s="1211">
        <v>0</v>
      </c>
      <c r="S99" s="1211">
        <f>((AVERAGE(S98:V98)))</f>
        <v>23274340.796879325</v>
      </c>
      <c r="T99" s="1211">
        <v>0</v>
      </c>
      <c r="U99" s="1211">
        <v>0</v>
      </c>
      <c r="V99" s="1211">
        <v>0</v>
      </c>
      <c r="W99" s="1211">
        <f>AVERAGE(W98:Z98)</f>
        <v>23881636.648293693</v>
      </c>
      <c r="X99" s="1211">
        <v>0</v>
      </c>
      <c r="Y99" s="1211">
        <v>0</v>
      </c>
      <c r="Z99" s="1211">
        <v>0</v>
      </c>
      <c r="AA99" s="1211">
        <f>AVERAGE(AA98:AD98)</f>
        <v>28059327.595737025</v>
      </c>
      <c r="AB99" s="1211">
        <v>0</v>
      </c>
      <c r="AC99" s="1211">
        <v>0</v>
      </c>
      <c r="AD99" s="1211">
        <v>0</v>
      </c>
      <c r="AE99" s="1211">
        <f>AVERAGE(AE98:AH98)</f>
        <v>32991598.333618525</v>
      </c>
      <c r="AF99" s="1211">
        <v>0</v>
      </c>
      <c r="AG99" s="1211">
        <v>0</v>
      </c>
      <c r="AH99" s="1211">
        <v>0</v>
      </c>
      <c r="AI99" s="1211">
        <f>AVERAGE(AI98:AL98)</f>
        <v>33101527.470351454</v>
      </c>
      <c r="AJ99" s="1211">
        <v>0</v>
      </c>
      <c r="AK99" s="1211">
        <v>0</v>
      </c>
      <c r="AL99" s="1211">
        <v>0</v>
      </c>
    </row>
    <row r="100" spans="1:38">
      <c r="A100" s="1210" t="s">
        <v>477</v>
      </c>
      <c r="B100" s="85" t="s">
        <v>475</v>
      </c>
      <c r="C100" s="86">
        <v>4.7E-2</v>
      </c>
      <c r="D100" s="86">
        <v>4.7E-2</v>
      </c>
      <c r="E100" s="86">
        <v>4.7500000000000001E-2</v>
      </c>
      <c r="F100" s="86">
        <v>4.7E-2</v>
      </c>
      <c r="G100" s="86">
        <v>4.3999999999999997E-2</v>
      </c>
      <c r="H100" s="86">
        <v>0.04</v>
      </c>
      <c r="I100" s="86">
        <v>4.2000000000000003E-2</v>
      </c>
      <c r="J100" s="86">
        <v>3.9E-2</v>
      </c>
      <c r="K100" s="86">
        <v>0.04</v>
      </c>
      <c r="L100" s="86">
        <v>4.2999999999999997E-2</v>
      </c>
      <c r="M100" s="86">
        <v>0.04</v>
      </c>
      <c r="N100" s="86">
        <v>4.2000000000000003E-2</v>
      </c>
      <c r="O100" s="86">
        <v>4.2000000000000003E-2</v>
      </c>
      <c r="P100" s="86">
        <v>3.9E-2</v>
      </c>
      <c r="Q100" s="86">
        <v>3.9E-2</v>
      </c>
      <c r="R100" s="86">
        <v>3.7999999999999999E-2</v>
      </c>
      <c r="S100" s="86">
        <v>3.6999999999999998E-2</v>
      </c>
      <c r="T100" s="86">
        <v>3.5000000000000003E-2</v>
      </c>
      <c r="U100" s="86">
        <v>3.3000000000000002E-2</v>
      </c>
      <c r="V100" s="86">
        <v>3.3000000000000002E-2</v>
      </c>
      <c r="W100" s="86">
        <v>3.2000000000000001E-2</v>
      </c>
      <c r="X100" s="86">
        <v>3.3000000000000002E-2</v>
      </c>
      <c r="Y100" s="86">
        <v>3.5000000000000003E-2</v>
      </c>
      <c r="Z100" s="86">
        <v>0.04</v>
      </c>
      <c r="AA100" s="86">
        <v>0.04</v>
      </c>
      <c r="AB100" s="86">
        <v>4.2999999999999997E-2</v>
      </c>
      <c r="AC100" s="86">
        <v>4.2000000000000003E-2</v>
      </c>
      <c r="AD100" s="86">
        <v>4.2999999999999997E-2</v>
      </c>
      <c r="AE100" s="168">
        <v>4.3999999999999997E-2</v>
      </c>
      <c r="AF100" s="168">
        <f>H18</f>
        <v>4.3999999999999997E-2</v>
      </c>
      <c r="AG100" s="168">
        <f t="shared" ref="AG100:AJ100" si="1">I18</f>
        <v>4.2999999999999997E-2</v>
      </c>
      <c r="AH100" s="168">
        <f t="shared" si="1"/>
        <v>4.5999999999999999E-2</v>
      </c>
      <c r="AI100" s="168">
        <f t="shared" si="1"/>
        <v>4.2000000000000003E-2</v>
      </c>
      <c r="AJ100" s="168">
        <f t="shared" si="1"/>
        <v>0.04</v>
      </c>
      <c r="AK100" s="168">
        <f t="shared" ref="AK100" si="2">M18</f>
        <v>0.04</v>
      </c>
      <c r="AL100" s="168">
        <f t="shared" ref="AL100" si="3">N18</f>
        <v>4.2999999999999997E-2</v>
      </c>
    </row>
    <row r="101" spans="1:38">
      <c r="A101" s="1210"/>
      <c r="B101" s="85" t="s">
        <v>476</v>
      </c>
      <c r="C101" s="1209">
        <v>4.7125E-2</v>
      </c>
      <c r="D101" s="1209"/>
      <c r="E101" s="1209"/>
      <c r="F101" s="1209"/>
      <c r="G101" s="1209">
        <v>4.1250000000000002E-2</v>
      </c>
      <c r="H101" s="1209"/>
      <c r="I101" s="1209"/>
      <c r="J101" s="1209"/>
      <c r="K101" s="1209">
        <v>4.1250000000000002E-2</v>
      </c>
      <c r="L101" s="1209"/>
      <c r="M101" s="1209"/>
      <c r="N101" s="1209"/>
      <c r="O101" s="1209">
        <v>3.95E-2</v>
      </c>
      <c r="P101" s="1209"/>
      <c r="Q101" s="1209"/>
      <c r="R101" s="1209"/>
      <c r="S101" s="1209">
        <f>AVERAGE(S100:V100)</f>
        <v>3.4500000000000003E-2</v>
      </c>
      <c r="T101" s="1209"/>
      <c r="U101" s="1209"/>
      <c r="V101" s="1209"/>
      <c r="W101" s="1209">
        <f>AVERAGE(W100:Z100)</f>
        <v>3.5000000000000003E-2</v>
      </c>
      <c r="X101" s="1209"/>
      <c r="Y101" s="1209"/>
      <c r="Z101" s="1209"/>
      <c r="AA101" s="1209">
        <f>AVERAGE(AA100:AD100)</f>
        <v>4.1999999999999996E-2</v>
      </c>
      <c r="AB101" s="1209"/>
      <c r="AC101" s="1209"/>
      <c r="AD101" s="1209"/>
      <c r="AE101" s="1209">
        <f>AVERAGE(AE100:AH100)</f>
        <v>4.4249999999999998E-2</v>
      </c>
      <c r="AF101" s="1209"/>
      <c r="AG101" s="1209"/>
      <c r="AH101" s="1209"/>
      <c r="AI101" s="1209">
        <f>AVERAGE(AI100:AL100)</f>
        <v>4.1249999999999995E-2</v>
      </c>
      <c r="AJ101" s="1209"/>
      <c r="AK101" s="1209"/>
      <c r="AL101" s="1209"/>
    </row>
    <row r="102" spans="1:38">
      <c r="A102" s="26" t="s">
        <v>135</v>
      </c>
      <c r="B102" s="27"/>
      <c r="C102" s="27"/>
      <c r="D102" s="27"/>
      <c r="E102" s="27"/>
      <c r="F102" s="27"/>
      <c r="G102" s="27"/>
      <c r="H102" s="27"/>
      <c r="I102" s="27"/>
      <c r="J102" s="27"/>
      <c r="K102" s="27"/>
      <c r="L102" s="27"/>
      <c r="M102" s="27"/>
      <c r="N102" s="27"/>
      <c r="O102" s="27"/>
      <c r="P102" s="27"/>
      <c r="Q102" s="27"/>
      <c r="R102" s="27"/>
      <c r="S102" s="27"/>
      <c r="T102" s="27"/>
      <c r="U102" s="27"/>
      <c r="V102" s="27"/>
      <c r="W102" s="27"/>
      <c r="X102" s="27"/>
      <c r="Y102" s="27"/>
      <c r="Z102" s="99"/>
      <c r="AA102" s="100"/>
      <c r="AB102" s="99"/>
      <c r="AC102" s="27"/>
      <c r="AD102" s="99"/>
    </row>
  </sheetData>
  <mergeCells count="197">
    <mergeCell ref="T7:AD18"/>
    <mergeCell ref="T21:AD33"/>
    <mergeCell ref="AI96:AL96"/>
    <mergeCell ref="AI99:AL99"/>
    <mergeCell ref="AI101:AL101"/>
    <mergeCell ref="O86:R86"/>
    <mergeCell ref="A88:A89"/>
    <mergeCell ref="C89:F89"/>
    <mergeCell ref="G89:J89"/>
    <mergeCell ref="K89:N89"/>
    <mergeCell ref="O89:R89"/>
    <mergeCell ref="A90:A91"/>
    <mergeCell ref="C91:F91"/>
    <mergeCell ref="G91:J91"/>
    <mergeCell ref="K91:N91"/>
    <mergeCell ref="O91:R91"/>
    <mergeCell ref="AE101:AH101"/>
    <mergeCell ref="S96:V96"/>
    <mergeCell ref="C99:F99"/>
    <mergeCell ref="G99:J99"/>
    <mergeCell ref="A100:A101"/>
    <mergeCell ref="C101:F101"/>
    <mergeCell ref="G101:J101"/>
    <mergeCell ref="K101:N101"/>
    <mergeCell ref="A98:A99"/>
    <mergeCell ref="AA99:AD99"/>
    <mergeCell ref="G34:J34"/>
    <mergeCell ref="K34:N34"/>
    <mergeCell ref="AE96:AH96"/>
    <mergeCell ref="AE99:AH99"/>
    <mergeCell ref="G96:J96"/>
    <mergeCell ref="O34:R34"/>
    <mergeCell ref="C36:F36"/>
    <mergeCell ref="G36:J36"/>
    <mergeCell ref="K38:N38"/>
    <mergeCell ref="O38:R38"/>
    <mergeCell ref="O71:R71"/>
    <mergeCell ref="O69:R69"/>
    <mergeCell ref="O42:R42"/>
    <mergeCell ref="O45:R45"/>
    <mergeCell ref="K47:N47"/>
    <mergeCell ref="K49:N49"/>
    <mergeCell ref="G47:J47"/>
    <mergeCell ref="A96:A97"/>
    <mergeCell ref="C96:F96"/>
    <mergeCell ref="K67:N67"/>
    <mergeCell ref="K99:N99"/>
    <mergeCell ref="A57:A58"/>
    <mergeCell ref="O17:R17"/>
    <mergeCell ref="O22:R22"/>
    <mergeCell ref="O25:R25"/>
    <mergeCell ref="O93:R93"/>
    <mergeCell ref="K27:N27"/>
    <mergeCell ref="O27:R27"/>
    <mergeCell ref="C53:F53"/>
    <mergeCell ref="G53:J53"/>
    <mergeCell ref="K53:N53"/>
    <mergeCell ref="O36:R36"/>
    <mergeCell ref="C47:F47"/>
    <mergeCell ref="G78:J78"/>
    <mergeCell ref="G75:J75"/>
    <mergeCell ref="C45:F45"/>
    <mergeCell ref="G45:J45"/>
    <mergeCell ref="O67:R67"/>
    <mergeCell ref="C56:F56"/>
    <mergeCell ref="G56:J56"/>
    <mergeCell ref="K56:N56"/>
    <mergeCell ref="O56:R56"/>
    <mergeCell ref="O53:R53"/>
    <mergeCell ref="O49:R49"/>
    <mergeCell ref="G42:J42"/>
    <mergeCell ref="AA101:AD101"/>
    <mergeCell ref="AA96:AD96"/>
    <mergeCell ref="K42:N42"/>
    <mergeCell ref="K75:N75"/>
    <mergeCell ref="K78:N78"/>
    <mergeCell ref="K80:N80"/>
    <mergeCell ref="W96:Z96"/>
    <mergeCell ref="K96:N96"/>
    <mergeCell ref="S101:V101"/>
    <mergeCell ref="O101:R101"/>
    <mergeCell ref="W101:Z101"/>
    <mergeCell ref="K45:N45"/>
    <mergeCell ref="S99:V99"/>
    <mergeCell ref="O82:R82"/>
    <mergeCell ref="O58:R58"/>
    <mergeCell ref="O60:R60"/>
    <mergeCell ref="O96:R96"/>
    <mergeCell ref="O80:R80"/>
    <mergeCell ref="O99:R99"/>
    <mergeCell ref="W99:Z99"/>
    <mergeCell ref="O64:R64"/>
    <mergeCell ref="O75:R75"/>
    <mergeCell ref="O78:R78"/>
    <mergeCell ref="O47:R47"/>
    <mergeCell ref="A92:A93"/>
    <mergeCell ref="C93:F93"/>
    <mergeCell ref="G93:J93"/>
    <mergeCell ref="K93:N93"/>
    <mergeCell ref="A70:A71"/>
    <mergeCell ref="A68:A69"/>
    <mergeCell ref="C71:F71"/>
    <mergeCell ref="C69:F69"/>
    <mergeCell ref="K71:N71"/>
    <mergeCell ref="K69:N69"/>
    <mergeCell ref="A79:A80"/>
    <mergeCell ref="G82:J82"/>
    <mergeCell ref="G80:J80"/>
    <mergeCell ref="A86:A87"/>
    <mergeCell ref="C86:F86"/>
    <mergeCell ref="A75:A76"/>
    <mergeCell ref="A77:A78"/>
    <mergeCell ref="C75:F75"/>
    <mergeCell ref="C78:F78"/>
    <mergeCell ref="K82:N82"/>
    <mergeCell ref="A81:A82"/>
    <mergeCell ref="G86:J86"/>
    <mergeCell ref="K86:N86"/>
    <mergeCell ref="A37:A38"/>
    <mergeCell ref="C38:F38"/>
    <mergeCell ref="A66:A67"/>
    <mergeCell ref="C67:F67"/>
    <mergeCell ref="A64:A65"/>
    <mergeCell ref="C64:F64"/>
    <mergeCell ref="G38:J38"/>
    <mergeCell ref="K64:N64"/>
    <mergeCell ref="A35:A36"/>
    <mergeCell ref="G49:J49"/>
    <mergeCell ref="C49:F49"/>
    <mergeCell ref="G64:J64"/>
    <mergeCell ref="A42:A43"/>
    <mergeCell ref="K36:N36"/>
    <mergeCell ref="A53:A54"/>
    <mergeCell ref="A55:A56"/>
    <mergeCell ref="C58:F58"/>
    <mergeCell ref="G58:J58"/>
    <mergeCell ref="K58:N58"/>
    <mergeCell ref="A59:A60"/>
    <mergeCell ref="C60:F60"/>
    <mergeCell ref="G60:J60"/>
    <mergeCell ref="K60:N60"/>
    <mergeCell ref="G67:J67"/>
    <mergeCell ref="A14:A15"/>
    <mergeCell ref="A16:A17"/>
    <mergeCell ref="A18:A19"/>
    <mergeCell ref="C31:F31"/>
    <mergeCell ref="G31:J31"/>
    <mergeCell ref="K31:N31"/>
    <mergeCell ref="A33:A34"/>
    <mergeCell ref="C34:F34"/>
    <mergeCell ref="A31:A32"/>
    <mergeCell ref="A22:A23"/>
    <mergeCell ref="C22:F22"/>
    <mergeCell ref="G22:J22"/>
    <mergeCell ref="K22:N22"/>
    <mergeCell ref="A24:A25"/>
    <mergeCell ref="C25:F25"/>
    <mergeCell ref="G25:J25"/>
    <mergeCell ref="K25:N25"/>
    <mergeCell ref="A26:A27"/>
    <mergeCell ref="C27:F27"/>
    <mergeCell ref="G27:J27"/>
    <mergeCell ref="K17:N17"/>
    <mergeCell ref="A6:A7"/>
    <mergeCell ref="C6:F6"/>
    <mergeCell ref="G6:J6"/>
    <mergeCell ref="K6:N6"/>
    <mergeCell ref="O6:R6"/>
    <mergeCell ref="A8:A9"/>
    <mergeCell ref="C9:F9"/>
    <mergeCell ref="G9:J9"/>
    <mergeCell ref="K9:N9"/>
    <mergeCell ref="O9:R9"/>
    <mergeCell ref="A10:A11"/>
    <mergeCell ref="C11:F11"/>
    <mergeCell ref="G11:J11"/>
    <mergeCell ref="K11:N11"/>
    <mergeCell ref="O11:R11"/>
    <mergeCell ref="G71:J71"/>
    <mergeCell ref="G69:J69"/>
    <mergeCell ref="C80:F80"/>
    <mergeCell ref="C82:F82"/>
    <mergeCell ref="O31:R31"/>
    <mergeCell ref="C42:F42"/>
    <mergeCell ref="C19:F19"/>
    <mergeCell ref="G19:J19"/>
    <mergeCell ref="K19:N19"/>
    <mergeCell ref="O19:R19"/>
    <mergeCell ref="A44:A45"/>
    <mergeCell ref="A46:A47"/>
    <mergeCell ref="A48:A49"/>
    <mergeCell ref="C14:F14"/>
    <mergeCell ref="G14:J14"/>
    <mergeCell ref="K14:N14"/>
    <mergeCell ref="O14:R14"/>
    <mergeCell ref="C17:F17"/>
    <mergeCell ref="G17:J17"/>
  </mergeCells>
  <phoneticPr fontId="23" type="noConversion"/>
  <pageMargins left="0.23622047244094491" right="0.23622047244094491" top="0.74803149606299213" bottom="0.74803149606299213" header="0.31496062992125984" footer="0.31496062992125984"/>
  <pageSetup paperSize="9" scale="24" fitToWidth="0" orientation="landscape" r:id="rId1"/>
  <drawing r:id="rId2"/>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1F51B4-A97F-42FF-BC86-009A39B6BB63}">
  <sheetPr filterMode="1">
    <tabColor rgb="FF339088"/>
  </sheetPr>
  <dimension ref="A1:AF87"/>
  <sheetViews>
    <sheetView view="pageBreakPreview" topLeftCell="A62" zoomScale="55" zoomScaleNormal="100" zoomScaleSheetLayoutView="55" workbookViewId="0">
      <selection activeCell="C66" sqref="C66"/>
    </sheetView>
  </sheetViews>
  <sheetFormatPr defaultColWidth="8.7265625" defaultRowHeight="16.5"/>
  <cols>
    <col min="1" max="1" width="46.7265625" style="1" bestFit="1" customWidth="1"/>
    <col min="2" max="2" width="27.7265625" style="38" customWidth="1"/>
    <col min="3" max="4" width="29.7265625" style="1" customWidth="1"/>
    <col min="5" max="5" width="28.7265625" style="1" customWidth="1"/>
    <col min="6" max="7" width="11.26953125" style="1" customWidth="1"/>
    <col min="8" max="8" width="23.453125" style="1" customWidth="1"/>
    <col min="9" max="9" width="15.7265625" style="1" bestFit="1" customWidth="1"/>
    <col min="10" max="10" width="22.7265625" style="1" bestFit="1" customWidth="1"/>
    <col min="11" max="11" width="22.7265625" style="1" customWidth="1"/>
    <col min="12" max="12" width="19.26953125" style="1" bestFit="1" customWidth="1"/>
    <col min="13" max="13" width="29.7265625" style="1" bestFit="1" customWidth="1"/>
    <col min="14" max="14" width="37.26953125" style="1" customWidth="1"/>
    <col min="15" max="15" width="33.26953125" style="1" bestFit="1" customWidth="1"/>
    <col min="16" max="16" width="22.26953125" style="1" customWidth="1"/>
    <col min="17" max="17" width="22.7265625" style="1" customWidth="1"/>
    <col min="18" max="18" width="34.7265625" style="1" customWidth="1"/>
    <col min="19" max="19" width="25.7265625" style="1" customWidth="1"/>
    <col min="20" max="20" width="17.26953125" style="1" customWidth="1"/>
    <col min="21" max="21" width="14.26953125" style="1" customWidth="1"/>
    <col min="22" max="22" width="21.26953125" style="1" customWidth="1"/>
    <col min="23" max="23" width="14.7265625" style="1" customWidth="1"/>
    <col min="24" max="24" width="12.7265625" style="1" customWidth="1"/>
    <col min="25" max="28" width="19.26953125" style="1" customWidth="1"/>
    <col min="29" max="29" width="43.26953125" style="1" bestFit="1" customWidth="1"/>
    <col min="30" max="30" width="42.7265625" style="1" customWidth="1"/>
    <col min="31" max="31" width="157.26953125" style="1" customWidth="1"/>
    <col min="32" max="32" width="100.7265625" style="43" customWidth="1"/>
    <col min="33" max="16384" width="8.7265625" style="1"/>
  </cols>
  <sheetData>
    <row r="1" spans="1:32" ht="29.5">
      <c r="A1" s="180" t="s">
        <v>484</v>
      </c>
    </row>
    <row r="3" spans="1:32">
      <c r="A3" s="23"/>
      <c r="B3" s="46"/>
      <c r="C3" s="23"/>
      <c r="D3" s="23"/>
      <c r="E3" s="23"/>
      <c r="F3" s="23"/>
      <c r="G3" s="23"/>
      <c r="H3" s="23"/>
      <c r="I3" s="23"/>
      <c r="J3" s="23"/>
      <c r="K3" s="23"/>
      <c r="L3" s="23"/>
      <c r="M3" s="23"/>
      <c r="N3" s="23"/>
      <c r="O3" s="23"/>
      <c r="P3" s="23"/>
      <c r="Q3" s="23"/>
      <c r="R3" s="23"/>
      <c r="S3" s="23"/>
      <c r="T3" s="23"/>
      <c r="U3" s="23"/>
      <c r="V3" s="23"/>
      <c r="W3" s="23"/>
      <c r="X3" s="23"/>
      <c r="Y3" s="23"/>
      <c r="Z3" s="23"/>
      <c r="AA3" s="23"/>
      <c r="AB3" s="23"/>
      <c r="AC3" s="23"/>
    </row>
    <row r="4" spans="1:32">
      <c r="A4" s="23"/>
      <c r="B4" s="46"/>
      <c r="C4" s="23"/>
      <c r="D4" s="23"/>
      <c r="E4" s="23"/>
      <c r="F4" s="23"/>
      <c r="G4" s="23"/>
      <c r="H4" s="23"/>
      <c r="I4" s="23"/>
      <c r="J4" s="23"/>
      <c r="K4" s="23"/>
      <c r="L4" s="23"/>
      <c r="M4" s="23"/>
      <c r="N4" s="902"/>
      <c r="O4" s="902"/>
      <c r="P4" s="23"/>
      <c r="Q4" s="23"/>
      <c r="R4" s="23"/>
      <c r="S4" s="23"/>
      <c r="T4" s="23"/>
      <c r="U4" s="23"/>
      <c r="V4" s="23"/>
      <c r="W4" s="23"/>
      <c r="X4" s="23"/>
      <c r="Y4" s="23"/>
      <c r="Z4" s="23"/>
      <c r="AA4" s="23"/>
      <c r="AB4" s="23"/>
      <c r="AC4" s="23"/>
    </row>
    <row r="5" spans="1:32" ht="23">
      <c r="A5" s="249" t="s">
        <v>485</v>
      </c>
      <c r="B5" s="250"/>
      <c r="C5" s="251"/>
      <c r="D5" s="251"/>
      <c r="E5" s="252">
        <f ca="1">TODAY()</f>
        <v>46111</v>
      </c>
      <c r="F5" s="251"/>
      <c r="G5" s="251"/>
      <c r="H5" s="251"/>
      <c r="I5" s="251"/>
      <c r="J5" s="251"/>
      <c r="K5" s="251"/>
      <c r="L5" s="251"/>
      <c r="M5" s="251"/>
      <c r="N5" s="903"/>
      <c r="O5" s="903"/>
      <c r="P5" s="251"/>
      <c r="Q5" s="251"/>
      <c r="R5" s="251"/>
      <c r="S5" s="251"/>
      <c r="T5" s="251"/>
      <c r="U5" s="251"/>
      <c r="V5" s="904"/>
      <c r="W5" s="251"/>
      <c r="X5" s="251"/>
      <c r="Y5" s="251"/>
      <c r="Z5" s="251"/>
      <c r="AA5" s="251"/>
      <c r="AB5" s="251"/>
      <c r="AC5" s="251"/>
      <c r="AD5" s="903"/>
      <c r="AE5" s="251"/>
    </row>
    <row r="6" spans="1:32" ht="23">
      <c r="A6" s="1213" t="s">
        <v>486</v>
      </c>
      <c r="B6" s="1214"/>
      <c r="C6" s="1214"/>
      <c r="D6" s="1214"/>
      <c r="E6" s="1214"/>
      <c r="F6" s="1214"/>
      <c r="G6" s="1214"/>
      <c r="H6" s="1214"/>
      <c r="I6" s="1214"/>
      <c r="J6" s="1214"/>
      <c r="K6" s="1214"/>
      <c r="L6" s="1214"/>
      <c r="M6" s="1214"/>
      <c r="N6" s="1214"/>
      <c r="O6" s="1214"/>
      <c r="P6" s="1214"/>
      <c r="Q6" s="1214"/>
      <c r="R6" s="1214"/>
      <c r="S6" s="1214"/>
      <c r="T6" s="1214"/>
      <c r="U6" s="1214"/>
      <c r="V6" s="1214"/>
      <c r="W6" s="1214"/>
      <c r="X6" s="1214"/>
      <c r="Y6" s="1214"/>
      <c r="Z6" s="1214"/>
      <c r="AA6" s="1214"/>
      <c r="AB6" s="1214"/>
      <c r="AC6" s="1214"/>
      <c r="AD6" s="1214"/>
      <c r="AE6" s="1214"/>
      <c r="AF6" s="1214"/>
    </row>
    <row r="7" spans="1:32" s="21" customFormat="1" ht="69">
      <c r="A7" s="253" t="s">
        <v>487</v>
      </c>
      <c r="B7" s="253" t="s">
        <v>201</v>
      </c>
      <c r="C7" s="253" t="s">
        <v>158</v>
      </c>
      <c r="D7" s="253" t="s">
        <v>488</v>
      </c>
      <c r="E7" s="253" t="s">
        <v>489</v>
      </c>
      <c r="F7" s="253" t="s">
        <v>490</v>
      </c>
      <c r="G7" s="253" t="s">
        <v>89</v>
      </c>
      <c r="H7" s="253" t="str">
        <f>'[23]Major Deals Work Sheet (PPT)'!B12</f>
        <v>Building Age/Completion</v>
      </c>
      <c r="I7" s="253" t="s">
        <v>491</v>
      </c>
      <c r="J7" s="253" t="s">
        <v>492</v>
      </c>
      <c r="K7" s="253" t="s">
        <v>493</v>
      </c>
      <c r="L7" s="253" t="s">
        <v>494</v>
      </c>
      <c r="M7" s="253" t="s">
        <v>495</v>
      </c>
      <c r="N7" s="253" t="s">
        <v>496</v>
      </c>
      <c r="O7" s="253" t="s">
        <v>497</v>
      </c>
      <c r="P7" s="253" t="s">
        <v>498</v>
      </c>
      <c r="Q7" s="253" t="s">
        <v>499</v>
      </c>
      <c r="R7" s="253" t="s">
        <v>500</v>
      </c>
      <c r="S7" s="253" t="s">
        <v>501</v>
      </c>
      <c r="T7" s="253" t="s">
        <v>502</v>
      </c>
      <c r="U7" s="253" t="s">
        <v>503</v>
      </c>
      <c r="V7" s="253" t="s">
        <v>504</v>
      </c>
      <c r="W7" s="253" t="s">
        <v>505</v>
      </c>
      <c r="X7" s="253" t="s">
        <v>506</v>
      </c>
      <c r="Y7" s="253" t="s">
        <v>507</v>
      </c>
      <c r="Z7" s="253" t="str">
        <f>'[23]Major Deals Work Sheet (PPT)'!B21</f>
        <v>Transaction Type</v>
      </c>
      <c r="AA7" s="490" t="s">
        <v>508</v>
      </c>
      <c r="AB7" s="490" t="str">
        <f>'[23]Major Deals Work Sheet (PPT)'!B20</f>
        <v xml:space="preserve">Entry NPI Yield </v>
      </c>
      <c r="AC7" s="253" t="s">
        <v>509</v>
      </c>
      <c r="AD7" s="253" t="s">
        <v>510</v>
      </c>
      <c r="AE7" s="253" t="s">
        <v>511</v>
      </c>
      <c r="AF7" s="253" t="s">
        <v>512</v>
      </c>
    </row>
    <row r="8" spans="1:32" ht="73.5" hidden="1" customHeight="1">
      <c r="A8" s="260" t="s">
        <v>513</v>
      </c>
      <c r="B8" s="254" t="s">
        <v>514</v>
      </c>
      <c r="C8" s="254" t="s">
        <v>186</v>
      </c>
      <c r="D8" s="260" t="str">
        <f t="shared" ref="D8:D59" si="0">CONCATENATE(B8&amp;" - "&amp;C8)</f>
        <v>Jongro - CBD</v>
      </c>
      <c r="E8" s="254"/>
      <c r="F8" s="254"/>
      <c r="G8" s="254"/>
      <c r="H8" s="254"/>
      <c r="I8" s="494">
        <v>25349.999124999998</v>
      </c>
      <c r="J8" s="495">
        <f>I8/0.3025</f>
        <v>83801.649999999994</v>
      </c>
      <c r="K8" s="495"/>
      <c r="L8" s="496">
        <f>J8*10.7639</f>
        <v>902032.58043499989</v>
      </c>
      <c r="M8" s="497">
        <v>886000000.00000012</v>
      </c>
      <c r="N8" s="255">
        <v>1151.0026</v>
      </c>
      <c r="O8" s="256">
        <f t="shared" ref="O8:O46" si="1">N8*0.001015*1000</f>
        <v>1168.2676390000001</v>
      </c>
      <c r="P8" s="257">
        <v>45404443.381810181</v>
      </c>
      <c r="Q8" s="257">
        <v>45404443.381810181</v>
      </c>
      <c r="R8" s="258">
        <f t="shared" ref="R8:R42" si="2">(N8*1000000000)/J8</f>
        <v>13734844.122997578</v>
      </c>
      <c r="S8" s="257">
        <f t="shared" ref="S8:S19" si="3">Q8/1000000</f>
        <v>45.404443381810182</v>
      </c>
      <c r="T8" s="257">
        <f t="shared" ref="T8:T19" si="4">M8/J8</f>
        <v>10572.584191361389</v>
      </c>
      <c r="U8" s="257">
        <f t="shared" ref="U8:U60" si="5">M8/L8</f>
        <v>982.22616257689037</v>
      </c>
      <c r="V8" s="255" t="s">
        <v>515</v>
      </c>
      <c r="W8" s="254" t="s">
        <v>516</v>
      </c>
      <c r="X8" s="254" t="s">
        <v>517</v>
      </c>
      <c r="Y8" s="255" t="s">
        <v>518</v>
      </c>
      <c r="Z8" s="255"/>
      <c r="AA8" s="510"/>
      <c r="AB8" s="510"/>
      <c r="AC8" s="254" t="s">
        <v>519</v>
      </c>
      <c r="AD8" s="254" t="s">
        <v>520</v>
      </c>
      <c r="AE8" s="259" t="s">
        <v>521</v>
      </c>
    </row>
    <row r="9" spans="1:32" ht="66.75" hidden="1" customHeight="1">
      <c r="A9" s="260" t="s">
        <v>522</v>
      </c>
      <c r="B9" s="254" t="s">
        <v>523</v>
      </c>
      <c r="C9" s="254" t="s">
        <v>524</v>
      </c>
      <c r="D9" s="260" t="str">
        <f t="shared" si="0"/>
        <v>Pangyo - Others (BBD)</v>
      </c>
      <c r="E9" s="254"/>
      <c r="F9" s="254"/>
      <c r="G9" s="254"/>
      <c r="H9" s="254"/>
      <c r="I9" s="494">
        <v>33957.137499999997</v>
      </c>
      <c r="J9" s="495">
        <f t="shared" ref="J9:J19" si="6">I9/0.3025</f>
        <v>112255</v>
      </c>
      <c r="K9" s="495"/>
      <c r="L9" s="496">
        <f t="shared" ref="L9:L42" si="7">J9*10.7639</f>
        <v>1208301.5944999999</v>
      </c>
      <c r="M9" s="497">
        <v>1018289755.2882621</v>
      </c>
      <c r="N9" s="255">
        <v>1227.5482999999999</v>
      </c>
      <c r="O9" s="255">
        <f t="shared" si="1"/>
        <v>1245.9615245</v>
      </c>
      <c r="P9" s="257">
        <v>36149934.605059102</v>
      </c>
      <c r="Q9" s="257">
        <v>36149934.605059102</v>
      </c>
      <c r="R9" s="258">
        <f t="shared" si="2"/>
        <v>10935355.218030376</v>
      </c>
      <c r="S9" s="257">
        <f t="shared" si="3"/>
        <v>36.149934605059102</v>
      </c>
      <c r="T9" s="257">
        <f t="shared" si="4"/>
        <v>9071.2195918957914</v>
      </c>
      <c r="U9" s="257">
        <f t="shared" si="5"/>
        <v>842.74469215579791</v>
      </c>
      <c r="V9" s="255" t="s">
        <v>515</v>
      </c>
      <c r="W9" s="254" t="s">
        <v>525</v>
      </c>
      <c r="X9" s="254" t="s">
        <v>517</v>
      </c>
      <c r="Y9" s="255" t="s">
        <v>518</v>
      </c>
      <c r="Z9" s="255"/>
      <c r="AA9" s="510"/>
      <c r="AB9" s="510"/>
      <c r="AC9" s="254" t="s">
        <v>215</v>
      </c>
      <c r="AD9" s="260" t="s">
        <v>526</v>
      </c>
      <c r="AE9" s="259" t="s">
        <v>527</v>
      </c>
    </row>
    <row r="10" spans="1:32" ht="73.5" hidden="1" customHeight="1">
      <c r="A10" s="260" t="s">
        <v>528</v>
      </c>
      <c r="B10" s="254" t="s">
        <v>529</v>
      </c>
      <c r="C10" s="254" t="s">
        <v>530</v>
      </c>
      <c r="D10" s="260" t="str">
        <f t="shared" si="0"/>
        <v>Seongsu - Others</v>
      </c>
      <c r="E10" s="254"/>
      <c r="F10" s="254"/>
      <c r="G10" s="254"/>
      <c r="H10" s="254"/>
      <c r="I10" s="494">
        <v>30192.107414598799</v>
      </c>
      <c r="J10" s="495">
        <f t="shared" si="6"/>
        <v>99808.619552392731</v>
      </c>
      <c r="K10" s="495"/>
      <c r="L10" s="496">
        <f t="shared" si="7"/>
        <v>1074330</v>
      </c>
      <c r="M10" s="497">
        <v>1017000000.0000001</v>
      </c>
      <c r="N10" s="261">
        <v>1232.7057</v>
      </c>
      <c r="O10" s="261">
        <f t="shared" si="1"/>
        <v>1251.1962855000002</v>
      </c>
      <c r="P10" s="257">
        <v>40828739.878023535</v>
      </c>
      <c r="Q10" s="257">
        <v>40828739.878023535</v>
      </c>
      <c r="R10" s="258">
        <f t="shared" si="2"/>
        <v>12350693.813102119</v>
      </c>
      <c r="S10" s="257">
        <f t="shared" si="3"/>
        <v>40.828739878023534</v>
      </c>
      <c r="T10" s="257">
        <f t="shared" si="4"/>
        <v>10189.500712071709</v>
      </c>
      <c r="U10" s="257">
        <f t="shared" si="5"/>
        <v>946.63650833542772</v>
      </c>
      <c r="V10" s="255" t="s">
        <v>515</v>
      </c>
      <c r="W10" s="254" t="s">
        <v>531</v>
      </c>
      <c r="X10" s="254" t="s">
        <v>517</v>
      </c>
      <c r="Y10" s="255" t="s">
        <v>518</v>
      </c>
      <c r="Z10" s="255"/>
      <c r="AA10" s="510"/>
      <c r="AB10" s="510"/>
      <c r="AC10" s="254" t="s">
        <v>532</v>
      </c>
      <c r="AD10" s="254" t="s">
        <v>533</v>
      </c>
      <c r="AE10" s="259" t="s">
        <v>534</v>
      </c>
    </row>
    <row r="11" spans="1:32" ht="60.75" hidden="1" customHeight="1">
      <c r="A11" s="260" t="s">
        <v>535</v>
      </c>
      <c r="B11" s="254" t="s">
        <v>536</v>
      </c>
      <c r="C11" s="254" t="s">
        <v>524</v>
      </c>
      <c r="D11" s="260" t="str">
        <f t="shared" si="0"/>
        <v>Bundang - Others (BBD)</v>
      </c>
      <c r="E11" s="254"/>
      <c r="F11" s="254"/>
      <c r="G11" s="254"/>
      <c r="H11" s="254"/>
      <c r="I11" s="494">
        <v>26995.492433040072</v>
      </c>
      <c r="J11" s="495">
        <f t="shared" si="6"/>
        <v>89241.297299306025</v>
      </c>
      <c r="K11" s="495"/>
      <c r="L11" s="496">
        <f t="shared" si="7"/>
        <v>960584.40000000014</v>
      </c>
      <c r="M11" s="497">
        <v>591000000</v>
      </c>
      <c r="N11" s="261">
        <v>767.35440000000006</v>
      </c>
      <c r="O11" s="261">
        <f t="shared" si="1"/>
        <v>778.86471600000004</v>
      </c>
      <c r="P11" s="257">
        <v>28425278.84621311</v>
      </c>
      <c r="Q11" s="257">
        <v>28425278.84621311</v>
      </c>
      <c r="R11" s="258">
        <f t="shared" si="2"/>
        <v>8598646.850979466</v>
      </c>
      <c r="S11" s="257">
        <f t="shared" si="3"/>
        <v>28.425278846213111</v>
      </c>
      <c r="T11" s="257">
        <f t="shared" si="4"/>
        <v>6622.4944939767911</v>
      </c>
      <c r="U11" s="257">
        <f t="shared" si="5"/>
        <v>615.25046627865277</v>
      </c>
      <c r="V11" s="255" t="s">
        <v>515</v>
      </c>
      <c r="W11" s="254" t="s">
        <v>537</v>
      </c>
      <c r="X11" s="254" t="s">
        <v>517</v>
      </c>
      <c r="Y11" s="255" t="s">
        <v>518</v>
      </c>
      <c r="Z11" s="255"/>
      <c r="AA11" s="510"/>
      <c r="AB11" s="510"/>
      <c r="AC11" s="254" t="s">
        <v>519</v>
      </c>
      <c r="AD11" s="254" t="s">
        <v>538</v>
      </c>
      <c r="AE11" s="259" t="s">
        <v>539</v>
      </c>
    </row>
    <row r="12" spans="1:32" ht="113.25" hidden="1" customHeight="1">
      <c r="A12" s="260" t="s">
        <v>540</v>
      </c>
      <c r="B12" s="254" t="s">
        <v>541</v>
      </c>
      <c r="C12" s="254" t="s">
        <v>188</v>
      </c>
      <c r="D12" s="260" t="str">
        <f t="shared" si="0"/>
        <v>Yeoido - YBD</v>
      </c>
      <c r="E12" s="254"/>
      <c r="F12" s="254"/>
      <c r="G12" s="254"/>
      <c r="H12" s="254"/>
      <c r="I12" s="494">
        <v>21237.821886119345</v>
      </c>
      <c r="J12" s="495">
        <f t="shared" si="6"/>
        <v>70207.675656592881</v>
      </c>
      <c r="K12" s="495"/>
      <c r="L12" s="496">
        <f t="shared" si="7"/>
        <v>755708.4</v>
      </c>
      <c r="M12" s="497">
        <v>533000000</v>
      </c>
      <c r="N12" s="261">
        <v>762.29660000000001</v>
      </c>
      <c r="O12" s="261">
        <f t="shared" si="1"/>
        <v>773.73104899999998</v>
      </c>
      <c r="P12" s="257">
        <v>35893351.214995511</v>
      </c>
      <c r="Q12" s="257">
        <v>35893351.214995511</v>
      </c>
      <c r="R12" s="258">
        <f t="shared" si="2"/>
        <v>10857738.742536141</v>
      </c>
      <c r="S12" s="257">
        <f t="shared" si="3"/>
        <v>35.893351214995512</v>
      </c>
      <c r="T12" s="257">
        <f t="shared" si="4"/>
        <v>7591.7625105133129</v>
      </c>
      <c r="U12" s="257">
        <f t="shared" si="5"/>
        <v>705.29849873310923</v>
      </c>
      <c r="V12" s="262">
        <v>3.3000000000000002E-2</v>
      </c>
      <c r="W12" s="254" t="s">
        <v>542</v>
      </c>
      <c r="X12" s="254" t="s">
        <v>517</v>
      </c>
      <c r="Y12" s="255" t="s">
        <v>518</v>
      </c>
      <c r="Z12" s="255"/>
      <c r="AA12" s="510"/>
      <c r="AB12" s="510"/>
      <c r="AC12" s="254" t="s">
        <v>543</v>
      </c>
      <c r="AD12" s="254" t="s">
        <v>544</v>
      </c>
      <c r="AE12" s="259" t="s">
        <v>545</v>
      </c>
    </row>
    <row r="13" spans="1:32" ht="93.75" hidden="1" customHeight="1">
      <c r="A13" s="260" t="s">
        <v>546</v>
      </c>
      <c r="B13" s="254" t="s">
        <v>514</v>
      </c>
      <c r="C13" s="254" t="s">
        <v>186</v>
      </c>
      <c r="D13" s="260" t="str">
        <f t="shared" si="0"/>
        <v>Jongro - CBD</v>
      </c>
      <c r="E13" s="254"/>
      <c r="F13" s="254"/>
      <c r="G13" s="254"/>
      <c r="H13" s="254"/>
      <c r="I13" s="494">
        <v>18408.762994825298</v>
      </c>
      <c r="J13" s="495">
        <f t="shared" si="6"/>
        <v>60855.414858926604</v>
      </c>
      <c r="K13" s="495"/>
      <c r="L13" s="496">
        <f t="shared" si="7"/>
        <v>655041.60000000009</v>
      </c>
      <c r="M13" s="497">
        <v>489343632.94412667</v>
      </c>
      <c r="N13" s="261">
        <v>624.45141000000001</v>
      </c>
      <c r="O13" s="261">
        <f t="shared" si="1"/>
        <v>633.81818114999999</v>
      </c>
      <c r="P13" s="257">
        <v>26582.10294095704</v>
      </c>
      <c r="Q13" s="257">
        <v>33921421.562955275</v>
      </c>
      <c r="R13" s="258">
        <f t="shared" si="2"/>
        <v>10261230.022793971</v>
      </c>
      <c r="S13" s="257">
        <f t="shared" si="3"/>
        <v>33.921421562955274</v>
      </c>
      <c r="T13" s="257">
        <f t="shared" si="4"/>
        <v>8041.0861396395048</v>
      </c>
      <c r="U13" s="257">
        <f t="shared" si="5"/>
        <v>747.04207021985565</v>
      </c>
      <c r="V13" s="255" t="s">
        <v>515</v>
      </c>
      <c r="W13" s="254" t="s">
        <v>547</v>
      </c>
      <c r="X13" s="254" t="s">
        <v>517</v>
      </c>
      <c r="Y13" s="255" t="s">
        <v>518</v>
      </c>
      <c r="Z13" s="255"/>
      <c r="AA13" s="510"/>
      <c r="AB13" s="510"/>
      <c r="AC13" s="254" t="s">
        <v>519</v>
      </c>
      <c r="AD13" s="254" t="s">
        <v>548</v>
      </c>
      <c r="AE13" s="259" t="s">
        <v>549</v>
      </c>
    </row>
    <row r="14" spans="1:32" s="36" customFormat="1" ht="50.25" hidden="1" customHeight="1">
      <c r="A14" s="678" t="s">
        <v>550</v>
      </c>
      <c r="B14" s="679" t="s">
        <v>514</v>
      </c>
      <c r="C14" s="679" t="s">
        <v>186</v>
      </c>
      <c r="D14" s="678" t="str">
        <f t="shared" si="0"/>
        <v>Jongro - CBD</v>
      </c>
      <c r="E14" s="679"/>
      <c r="F14" s="679"/>
      <c r="G14" s="679"/>
      <c r="H14" s="679"/>
      <c r="I14" s="680">
        <v>9499.2623000000003</v>
      </c>
      <c r="J14" s="681">
        <f t="shared" si="6"/>
        <v>31402.52</v>
      </c>
      <c r="K14" s="681"/>
      <c r="L14" s="682">
        <f t="shared" si="7"/>
        <v>338013.585028</v>
      </c>
      <c r="M14" s="683">
        <v>174907922.57660058</v>
      </c>
      <c r="N14" s="684">
        <v>223.2</v>
      </c>
      <c r="O14" s="684">
        <f t="shared" si="1"/>
        <v>226.548</v>
      </c>
      <c r="P14" s="685">
        <v>18412.790072824981</v>
      </c>
      <c r="Q14" s="685">
        <v>23496561.411931954</v>
      </c>
      <c r="R14" s="686">
        <f t="shared" si="2"/>
        <v>7107709.8271094169</v>
      </c>
      <c r="S14" s="685">
        <f t="shared" si="3"/>
        <v>23.496561411931953</v>
      </c>
      <c r="T14" s="685">
        <f t="shared" si="4"/>
        <v>5569.8689970295563</v>
      </c>
      <c r="U14" s="685">
        <f t="shared" si="5"/>
        <v>517.45826299292605</v>
      </c>
      <c r="V14" s="687" t="s">
        <v>515</v>
      </c>
      <c r="W14" s="679" t="s">
        <v>551</v>
      </c>
      <c r="X14" s="679" t="s">
        <v>517</v>
      </c>
      <c r="Y14" s="687" t="s">
        <v>518</v>
      </c>
      <c r="Z14" s="687"/>
      <c r="AA14" s="510"/>
      <c r="AB14" s="510"/>
      <c r="AC14" s="679" t="s">
        <v>552</v>
      </c>
      <c r="AD14" s="679" t="s">
        <v>520</v>
      </c>
      <c r="AE14" s="688"/>
      <c r="AF14" s="43"/>
    </row>
    <row r="15" spans="1:32" s="36" customFormat="1" ht="135" customHeight="1">
      <c r="A15" s="689" t="s">
        <v>553</v>
      </c>
      <c r="B15" s="690" t="s">
        <v>554</v>
      </c>
      <c r="C15" s="690" t="s">
        <v>187</v>
      </c>
      <c r="D15" s="689" t="str">
        <f t="shared" si="0"/>
        <v>Daechi - GBD</v>
      </c>
      <c r="E15" s="690"/>
      <c r="F15" s="690"/>
      <c r="G15" s="690"/>
      <c r="H15" s="690"/>
      <c r="I15" s="691">
        <v>13671</v>
      </c>
      <c r="J15" s="692">
        <f t="shared" si="6"/>
        <v>45193.388429752071</v>
      </c>
      <c r="K15" s="692"/>
      <c r="L15" s="693">
        <f t="shared" si="7"/>
        <v>486457.11371900828</v>
      </c>
      <c r="M15" s="694">
        <v>364801334.54655749</v>
      </c>
      <c r="N15" s="695">
        <v>481.1</v>
      </c>
      <c r="O15" s="695">
        <f t="shared" si="1"/>
        <v>488.31650000000002</v>
      </c>
      <c r="P15" s="696">
        <v>26684.319694722952</v>
      </c>
      <c r="Q15" s="696">
        <v>35191280.813400626</v>
      </c>
      <c r="R15" s="697">
        <f t="shared" si="2"/>
        <v>10645362.446053689</v>
      </c>
      <c r="S15" s="696">
        <f t="shared" si="3"/>
        <v>35.191280813400624</v>
      </c>
      <c r="T15" s="696">
        <f t="shared" si="4"/>
        <v>8072.0067076536925</v>
      </c>
      <c r="U15" s="696">
        <f t="shared" si="5"/>
        <v>749.91468776685895</v>
      </c>
      <c r="V15" s="698" t="s">
        <v>515</v>
      </c>
      <c r="W15" s="690" t="s">
        <v>555</v>
      </c>
      <c r="X15" s="690" t="s">
        <v>517</v>
      </c>
      <c r="Y15" s="698" t="s">
        <v>518</v>
      </c>
      <c r="Z15" s="698"/>
      <c r="AA15" s="699"/>
      <c r="AB15" s="699"/>
      <c r="AC15" s="690" t="s">
        <v>556</v>
      </c>
      <c r="AD15" s="690" t="s">
        <v>557</v>
      </c>
      <c r="AE15" s="700" t="s">
        <v>558</v>
      </c>
      <c r="AF15" s="43"/>
    </row>
    <row r="16" spans="1:32" s="36" customFormat="1" ht="111" hidden="1" customHeight="1">
      <c r="A16" s="701" t="s">
        <v>559</v>
      </c>
      <c r="B16" s="702" t="s">
        <v>541</v>
      </c>
      <c r="C16" s="702" t="s">
        <v>188</v>
      </c>
      <c r="D16" s="701" t="str">
        <f t="shared" si="0"/>
        <v>Yeoido - YBD</v>
      </c>
      <c r="E16" s="702"/>
      <c r="F16" s="702"/>
      <c r="G16" s="702"/>
      <c r="H16" s="702"/>
      <c r="I16" s="703">
        <v>18041</v>
      </c>
      <c r="J16" s="704">
        <f t="shared" si="6"/>
        <v>59639.669421487604</v>
      </c>
      <c r="K16" s="704"/>
      <c r="L16" s="705">
        <f t="shared" si="7"/>
        <v>641955.43768595043</v>
      </c>
      <c r="M16" s="706">
        <v>345768880.80072796</v>
      </c>
      <c r="N16" s="707">
        <v>456</v>
      </c>
      <c r="O16" s="707">
        <f t="shared" si="1"/>
        <v>462.84000000000003</v>
      </c>
      <c r="P16" s="708">
        <v>19165.726999652346</v>
      </c>
      <c r="Q16" s="708">
        <v>25275760.76714151</v>
      </c>
      <c r="R16" s="709">
        <f t="shared" si="2"/>
        <v>7645917.6320603071</v>
      </c>
      <c r="S16" s="708">
        <f t="shared" si="3"/>
        <v>25.275760767141509</v>
      </c>
      <c r="T16" s="708">
        <f t="shared" si="4"/>
        <v>5797.6324173948342</v>
      </c>
      <c r="U16" s="708">
        <f t="shared" si="5"/>
        <v>538.61819762305799</v>
      </c>
      <c r="V16" s="710" t="s">
        <v>515</v>
      </c>
      <c r="W16" s="702" t="s">
        <v>555</v>
      </c>
      <c r="X16" s="702" t="s">
        <v>517</v>
      </c>
      <c r="Y16" s="710" t="s">
        <v>518</v>
      </c>
      <c r="Z16" s="710"/>
      <c r="AA16" s="435"/>
      <c r="AB16" s="435"/>
      <c r="AC16" s="702" t="s">
        <v>560</v>
      </c>
      <c r="AD16" s="702" t="s">
        <v>561</v>
      </c>
      <c r="AE16" s="711" t="s">
        <v>562</v>
      </c>
      <c r="AF16" s="43"/>
    </row>
    <row r="17" spans="1:32" s="36" customFormat="1" ht="99.75" hidden="1" customHeight="1">
      <c r="A17" s="678" t="s">
        <v>563</v>
      </c>
      <c r="B17" s="679" t="s">
        <v>564</v>
      </c>
      <c r="C17" s="679" t="s">
        <v>186</v>
      </c>
      <c r="D17" s="678" t="str">
        <f t="shared" si="0"/>
        <v>Sunhwa - CBD</v>
      </c>
      <c r="E17" s="679"/>
      <c r="F17" s="679"/>
      <c r="G17" s="679"/>
      <c r="H17" s="679"/>
      <c r="I17" s="680">
        <v>8352</v>
      </c>
      <c r="J17" s="681">
        <f t="shared" si="6"/>
        <v>27609.917355371901</v>
      </c>
      <c r="K17" s="681"/>
      <c r="L17" s="682">
        <f t="shared" si="7"/>
        <v>297190.38942148758</v>
      </c>
      <c r="M17" s="683">
        <v>148999090.08189264</v>
      </c>
      <c r="N17" s="684">
        <v>196.5</v>
      </c>
      <c r="O17" s="684">
        <f t="shared" si="1"/>
        <v>199.44749999999999</v>
      </c>
      <c r="P17" s="685">
        <v>17839.9293680427</v>
      </c>
      <c r="Q17" s="685">
        <v>23527298.850574713</v>
      </c>
      <c r="R17" s="686">
        <f t="shared" si="2"/>
        <v>7117007.9022988509</v>
      </c>
      <c r="S17" s="685">
        <f t="shared" si="3"/>
        <v>23.527298850574713</v>
      </c>
      <c r="T17" s="685">
        <f t="shared" si="4"/>
        <v>5396.5786338329171</v>
      </c>
      <c r="U17" s="685">
        <f t="shared" si="5"/>
        <v>501.35904586933339</v>
      </c>
      <c r="V17" s="712">
        <v>4.8500000000000001E-2</v>
      </c>
      <c r="W17" s="679" t="s">
        <v>555</v>
      </c>
      <c r="X17" s="679" t="s">
        <v>517</v>
      </c>
      <c r="Y17" s="687" t="s">
        <v>518</v>
      </c>
      <c r="Z17" s="687"/>
      <c r="AA17" s="435"/>
      <c r="AB17" s="435"/>
      <c r="AC17" s="679" t="s">
        <v>556</v>
      </c>
      <c r="AD17" s="679" t="s">
        <v>557</v>
      </c>
      <c r="AE17" s="688" t="s">
        <v>565</v>
      </c>
      <c r="AF17" s="43"/>
    </row>
    <row r="18" spans="1:32" s="36" customFormat="1" ht="99.75" customHeight="1">
      <c r="A18" s="689" t="s">
        <v>566</v>
      </c>
      <c r="B18" s="690" t="s">
        <v>554</v>
      </c>
      <c r="C18" s="690" t="s">
        <v>567</v>
      </c>
      <c r="D18" s="689" t="str">
        <f t="shared" si="0"/>
        <v>Daechi - GBD</v>
      </c>
      <c r="E18" s="713">
        <v>34901</v>
      </c>
      <c r="F18" s="714">
        <f ca="1">($E$5-E18)/365</f>
        <v>30.712328767123289</v>
      </c>
      <c r="G18" s="714">
        <f t="shared" ref="G18:G59" si="8">YEAR(E18)</f>
        <v>1995</v>
      </c>
      <c r="H18" s="714"/>
      <c r="I18" s="691">
        <v>1404.1112249999999</v>
      </c>
      <c r="J18" s="692">
        <f t="shared" si="6"/>
        <v>4641.6899999999996</v>
      </c>
      <c r="K18" s="692"/>
      <c r="L18" s="693">
        <f t="shared" si="7"/>
        <v>49962.686990999995</v>
      </c>
      <c r="M18" s="694">
        <v>130687512.52756064</v>
      </c>
      <c r="N18" s="695">
        <v>163</v>
      </c>
      <c r="O18" s="695">
        <f t="shared" si="1"/>
        <v>165.44500000000002</v>
      </c>
      <c r="P18" s="696">
        <f>M18/I18</f>
        <v>93074.90047845793</v>
      </c>
      <c r="Q18" s="696">
        <f>(N18*1000000000)/I18</f>
        <v>116087669.62175664</v>
      </c>
      <c r="R18" s="697">
        <f t="shared" si="2"/>
        <v>35116520.060581386</v>
      </c>
      <c r="S18" s="696">
        <f t="shared" si="3"/>
        <v>116.08766962175665</v>
      </c>
      <c r="T18" s="696">
        <f t="shared" si="4"/>
        <v>28155.157394733524</v>
      </c>
      <c r="U18" s="696">
        <f t="shared" si="5"/>
        <v>2615.7022449793776</v>
      </c>
      <c r="V18" s="715" t="s">
        <v>515</v>
      </c>
      <c r="W18" s="690" t="s">
        <v>568</v>
      </c>
      <c r="X18" s="690" t="s">
        <v>517</v>
      </c>
      <c r="Y18" s="698" t="s">
        <v>518</v>
      </c>
      <c r="Z18" s="698"/>
      <c r="AA18" s="699"/>
      <c r="AB18" s="699"/>
      <c r="AC18" s="690" t="s">
        <v>569</v>
      </c>
      <c r="AD18" s="690" t="s">
        <v>570</v>
      </c>
      <c r="AE18" s="700" t="s">
        <v>571</v>
      </c>
      <c r="AF18" s="43"/>
    </row>
    <row r="19" spans="1:32" s="36" customFormat="1" ht="116.25" hidden="1" customHeight="1">
      <c r="A19" s="701" t="s">
        <v>572</v>
      </c>
      <c r="B19" s="702" t="s">
        <v>573</v>
      </c>
      <c r="C19" s="702" t="s">
        <v>574</v>
      </c>
      <c r="D19" s="701" t="str">
        <f t="shared" si="0"/>
        <v>Junggu - CBD</v>
      </c>
      <c r="E19" s="716">
        <v>24082</v>
      </c>
      <c r="F19" s="717">
        <f ca="1">($E$5-E19)/365</f>
        <v>60.353424657534248</v>
      </c>
      <c r="G19" s="717">
        <f t="shared" si="8"/>
        <v>1965</v>
      </c>
      <c r="H19" s="717"/>
      <c r="I19" s="703">
        <v>6090</v>
      </c>
      <c r="J19" s="704">
        <f t="shared" si="6"/>
        <v>20132.231404958678</v>
      </c>
      <c r="K19" s="704"/>
      <c r="L19" s="705">
        <f t="shared" si="7"/>
        <v>216701.32561983471</v>
      </c>
      <c r="M19" s="706">
        <v>232511525.35578272</v>
      </c>
      <c r="N19" s="707">
        <v>290</v>
      </c>
      <c r="O19" s="707">
        <f t="shared" si="1"/>
        <v>294.35000000000002</v>
      </c>
      <c r="P19" s="708">
        <f>M19/I19</f>
        <v>38179.232406532465</v>
      </c>
      <c r="Q19" s="708">
        <f>(N19*1000000000)/I19</f>
        <v>47619047.619047619</v>
      </c>
      <c r="R19" s="709">
        <f t="shared" si="2"/>
        <v>14404761.904761905</v>
      </c>
      <c r="S19" s="708">
        <f t="shared" si="3"/>
        <v>47.61904761904762</v>
      </c>
      <c r="T19" s="708">
        <f t="shared" si="4"/>
        <v>11549.217802976071</v>
      </c>
      <c r="U19" s="708">
        <f t="shared" si="5"/>
        <v>1072.9584818677311</v>
      </c>
      <c r="V19" s="718" t="s">
        <v>515</v>
      </c>
      <c r="W19" s="702" t="s">
        <v>568</v>
      </c>
      <c r="X19" s="702" t="s">
        <v>517</v>
      </c>
      <c r="Y19" s="710" t="s">
        <v>518</v>
      </c>
      <c r="Z19" s="710"/>
      <c r="AA19" s="435"/>
      <c r="AB19" s="435"/>
      <c r="AC19" s="702" t="s">
        <v>575</v>
      </c>
      <c r="AD19" s="702" t="s">
        <v>576</v>
      </c>
      <c r="AE19" s="711" t="s">
        <v>577</v>
      </c>
      <c r="AF19" s="43"/>
    </row>
    <row r="20" spans="1:32" s="36" customFormat="1" ht="117.75" hidden="1" customHeight="1">
      <c r="A20" s="678" t="s">
        <v>578</v>
      </c>
      <c r="B20" s="679" t="s">
        <v>573</v>
      </c>
      <c r="C20" s="679" t="s">
        <v>574</v>
      </c>
      <c r="D20" s="678" t="str">
        <f t="shared" si="0"/>
        <v>Junggu - CBD</v>
      </c>
      <c r="E20" s="679"/>
      <c r="F20" s="679"/>
      <c r="G20" s="719">
        <f t="shared" si="8"/>
        <v>1900</v>
      </c>
      <c r="H20" s="679"/>
      <c r="I20" s="680">
        <v>1948.1393249999999</v>
      </c>
      <c r="J20" s="681">
        <f>I20/0.3025</f>
        <v>6440.13</v>
      </c>
      <c r="K20" s="681"/>
      <c r="L20" s="682">
        <f t="shared" si="7"/>
        <v>69320.915307000003</v>
      </c>
      <c r="M20" s="683" t="s">
        <v>579</v>
      </c>
      <c r="N20" s="687" t="s">
        <v>579</v>
      </c>
      <c r="O20" s="687" t="e">
        <f t="shared" si="1"/>
        <v>#VALUE!</v>
      </c>
      <c r="P20" s="720" t="s">
        <v>579</v>
      </c>
      <c r="Q20" s="720" t="s">
        <v>579</v>
      </c>
      <c r="R20" s="686"/>
      <c r="S20" s="685"/>
      <c r="T20" s="685"/>
      <c r="U20" s="685" t="e">
        <f t="shared" si="5"/>
        <v>#VALUE!</v>
      </c>
      <c r="V20" s="712" t="s">
        <v>579</v>
      </c>
      <c r="W20" s="679" t="s">
        <v>579</v>
      </c>
      <c r="X20" s="679" t="s">
        <v>517</v>
      </c>
      <c r="Y20" s="687" t="s">
        <v>518</v>
      </c>
      <c r="Z20" s="687"/>
      <c r="AA20" s="435"/>
      <c r="AB20" s="435"/>
      <c r="AC20" s="679" t="s">
        <v>556</v>
      </c>
      <c r="AD20" s="679" t="s">
        <v>580</v>
      </c>
      <c r="AE20" s="688" t="s">
        <v>581</v>
      </c>
      <c r="AF20" s="43"/>
    </row>
    <row r="21" spans="1:32" s="36" customFormat="1" ht="96" customHeight="1">
      <c r="A21" s="689" t="s">
        <v>582</v>
      </c>
      <c r="B21" s="721" t="s">
        <v>583</v>
      </c>
      <c r="C21" s="721" t="s">
        <v>567</v>
      </c>
      <c r="D21" s="722" t="str">
        <f t="shared" si="0"/>
        <v>Daechi - GBD</v>
      </c>
      <c r="E21" s="723">
        <v>41677</v>
      </c>
      <c r="F21" s="714">
        <f ca="1">($E$5-E21)/365</f>
        <v>12.147945205479452</v>
      </c>
      <c r="G21" s="714">
        <f t="shared" si="8"/>
        <v>2014</v>
      </c>
      <c r="H21" s="714"/>
      <c r="I21" s="691">
        <f t="shared" ref="I21:I26" si="9">J21*0.3025</f>
        <v>14435.659975</v>
      </c>
      <c r="J21" s="692">
        <v>47721.19</v>
      </c>
      <c r="K21" s="692"/>
      <c r="L21" s="693">
        <f t="shared" si="7"/>
        <v>513666.11704099999</v>
      </c>
      <c r="M21" s="694">
        <f>595000000000/1247.25</f>
        <v>477049508.9196232</v>
      </c>
      <c r="N21" s="724">
        <v>595</v>
      </c>
      <c r="O21" s="724">
        <f t="shared" si="1"/>
        <v>603.92500000000007</v>
      </c>
      <c r="P21" s="725">
        <f t="shared" ref="P21:P38" si="10">M21/I21</f>
        <v>33046.601938933738</v>
      </c>
      <c r="Q21" s="725">
        <f t="shared" ref="Q21:Q37" si="11">(N21*1000000000)/I21</f>
        <v>41217374.268335104</v>
      </c>
      <c r="R21" s="697">
        <f t="shared" si="2"/>
        <v>12468255.716171369</v>
      </c>
      <c r="S21" s="726">
        <f t="shared" ref="S21:S38" si="12">Q21/1000000</f>
        <v>41.217374268335107</v>
      </c>
      <c r="T21" s="725">
        <f t="shared" ref="T21:T38" si="13">M21/J21</f>
        <v>9996.5970865274558</v>
      </c>
      <c r="U21" s="725">
        <f t="shared" si="5"/>
        <v>928.71515775206535</v>
      </c>
      <c r="V21" s="727" t="s">
        <v>584</v>
      </c>
      <c r="W21" s="728" t="s">
        <v>568</v>
      </c>
      <c r="X21" s="721" t="s">
        <v>517</v>
      </c>
      <c r="Y21" s="728" t="s">
        <v>518</v>
      </c>
      <c r="Z21" s="728"/>
      <c r="AA21" s="699"/>
      <c r="AB21" s="699"/>
      <c r="AC21" s="721" t="s">
        <v>585</v>
      </c>
      <c r="AD21" s="721" t="s">
        <v>586</v>
      </c>
      <c r="AE21" s="729" t="s">
        <v>587</v>
      </c>
      <c r="AF21" s="43"/>
    </row>
    <row r="22" spans="1:32" s="36" customFormat="1" ht="86.25" hidden="1" customHeight="1">
      <c r="A22" s="701" t="s">
        <v>588</v>
      </c>
      <c r="B22" s="702" t="s">
        <v>589</v>
      </c>
      <c r="C22" s="702" t="s">
        <v>574</v>
      </c>
      <c r="D22" s="701" t="str">
        <f t="shared" si="0"/>
        <v>Jongro - CBD</v>
      </c>
      <c r="E22" s="716">
        <v>39731</v>
      </c>
      <c r="F22" s="717">
        <f t="shared" ref="F22:F42" ca="1" si="14">($E$5-E22)/365</f>
        <v>17.479452054794521</v>
      </c>
      <c r="G22" s="717">
        <f t="shared" si="8"/>
        <v>2008</v>
      </c>
      <c r="H22" s="717"/>
      <c r="I22" s="703">
        <f t="shared" si="9"/>
        <v>18360.388749999998</v>
      </c>
      <c r="J22" s="704">
        <v>60695.5</v>
      </c>
      <c r="K22" s="704"/>
      <c r="L22" s="705">
        <f t="shared" si="7"/>
        <v>653320.29244999995</v>
      </c>
      <c r="M22" s="706">
        <f>629176000000/1320.01</f>
        <v>476644873.90247041</v>
      </c>
      <c r="N22" s="730">
        <f>(M22*1320.01)/1000000000</f>
        <v>629.17600000000004</v>
      </c>
      <c r="O22" s="730">
        <f t="shared" si="1"/>
        <v>638.61364000000015</v>
      </c>
      <c r="P22" s="731">
        <f t="shared" si="10"/>
        <v>25960.500095754807</v>
      </c>
      <c r="Q22" s="731">
        <f t="shared" si="11"/>
        <v>34268119.731397301</v>
      </c>
      <c r="R22" s="709">
        <f t="shared" si="2"/>
        <v>10366106.218747683</v>
      </c>
      <c r="S22" s="732">
        <f t="shared" si="12"/>
        <v>34.268119731397299</v>
      </c>
      <c r="T22" s="731">
        <f t="shared" si="13"/>
        <v>7853.0512789658278</v>
      </c>
      <c r="U22" s="731">
        <f t="shared" si="5"/>
        <v>729.57304313174859</v>
      </c>
      <c r="V22" s="733">
        <v>3.5000000000000003E-2</v>
      </c>
      <c r="W22" s="734" t="s">
        <v>590</v>
      </c>
      <c r="X22" s="735" t="s">
        <v>517</v>
      </c>
      <c r="Y22" s="734" t="s">
        <v>518</v>
      </c>
      <c r="Z22" s="734"/>
      <c r="AA22" s="435"/>
      <c r="AB22" s="435"/>
      <c r="AC22" s="735" t="s">
        <v>591</v>
      </c>
      <c r="AD22" s="735" t="s">
        <v>592</v>
      </c>
      <c r="AE22" s="736" t="s">
        <v>593</v>
      </c>
      <c r="AF22" s="43"/>
    </row>
    <row r="23" spans="1:32" s="36" customFormat="1" ht="99.75" hidden="1" customHeight="1">
      <c r="A23" s="260" t="s">
        <v>594</v>
      </c>
      <c r="B23" s="254" t="s">
        <v>595</v>
      </c>
      <c r="C23" s="254" t="s">
        <v>596</v>
      </c>
      <c r="D23" s="260" t="str">
        <f t="shared" si="0"/>
        <v>Yeongdeungpo - YBD</v>
      </c>
      <c r="E23" s="263">
        <v>33824</v>
      </c>
      <c r="F23" s="264">
        <f t="shared" ca="1" si="14"/>
        <v>33.663013698630138</v>
      </c>
      <c r="G23" s="264">
        <f t="shared" si="8"/>
        <v>1992</v>
      </c>
      <c r="H23" s="264"/>
      <c r="I23" s="494">
        <f t="shared" si="9"/>
        <v>11254.999524999999</v>
      </c>
      <c r="J23" s="495">
        <v>37206.61</v>
      </c>
      <c r="K23" s="495"/>
      <c r="L23" s="496">
        <f t="shared" si="7"/>
        <v>400488.22937899997</v>
      </c>
      <c r="M23" s="497">
        <f>245000000000/1320.01</f>
        <v>185604654.51019311</v>
      </c>
      <c r="N23" s="268">
        <f>(M23*1320.01)/1000000000</f>
        <v>245</v>
      </c>
      <c r="O23" s="268">
        <f t="shared" si="1"/>
        <v>248.67500000000001</v>
      </c>
      <c r="P23" s="267">
        <f t="shared" si="10"/>
        <v>16490.862935882098</v>
      </c>
      <c r="Q23" s="267">
        <f t="shared" si="11"/>
        <v>21768103.983993728</v>
      </c>
      <c r="R23" s="258">
        <f t="shared" si="2"/>
        <v>6584851.4551581023</v>
      </c>
      <c r="S23" s="269">
        <f t="shared" si="12"/>
        <v>21.768103983993729</v>
      </c>
      <c r="T23" s="267">
        <f t="shared" si="13"/>
        <v>4988.4860381043345</v>
      </c>
      <c r="U23" s="267">
        <f t="shared" si="5"/>
        <v>463.44596643450188</v>
      </c>
      <c r="V23" s="270" t="s">
        <v>584</v>
      </c>
      <c r="W23" s="266" t="s">
        <v>590</v>
      </c>
      <c r="X23" s="265" t="s">
        <v>517</v>
      </c>
      <c r="Y23" s="266" t="s">
        <v>518</v>
      </c>
      <c r="Z23" s="266"/>
      <c r="AA23" s="435"/>
      <c r="AB23" s="435"/>
      <c r="AC23" s="265" t="s">
        <v>597</v>
      </c>
      <c r="AD23" s="265" t="s">
        <v>598</v>
      </c>
      <c r="AE23" s="271" t="s">
        <v>599</v>
      </c>
      <c r="AF23" s="43"/>
    </row>
    <row r="24" spans="1:32" s="36" customFormat="1" ht="95.25" hidden="1" customHeight="1">
      <c r="A24" s="260" t="s">
        <v>600</v>
      </c>
      <c r="B24" s="254" t="s">
        <v>573</v>
      </c>
      <c r="C24" s="254" t="s">
        <v>574</v>
      </c>
      <c r="D24" s="260" t="str">
        <f t="shared" si="0"/>
        <v>Junggu - CBD</v>
      </c>
      <c r="E24" s="263">
        <v>34503</v>
      </c>
      <c r="F24" s="264">
        <f ca="1">($E$5-E24)/365</f>
        <v>31.802739726027397</v>
      </c>
      <c r="G24" s="264">
        <f t="shared" si="8"/>
        <v>1994</v>
      </c>
      <c r="H24" s="264"/>
      <c r="I24" s="494">
        <f t="shared" si="9"/>
        <v>17416.298350000001</v>
      </c>
      <c r="J24" s="495">
        <v>57574.54</v>
      </c>
      <c r="K24" s="495"/>
      <c r="L24" s="496">
        <f t="shared" si="7"/>
        <v>619726.59110600001</v>
      </c>
      <c r="M24" s="497">
        <f>475950000000/1328.21</f>
        <v>358339419.21834648</v>
      </c>
      <c r="N24" s="272">
        <f>(M24*1328.21)/1000000000</f>
        <v>475.95</v>
      </c>
      <c r="O24" s="272">
        <f t="shared" si="1"/>
        <v>483.08925000000005</v>
      </c>
      <c r="P24" s="267">
        <f t="shared" si="10"/>
        <v>20574.947214219403</v>
      </c>
      <c r="Q24" s="267">
        <f t="shared" si="11"/>
        <v>27327850.639398351</v>
      </c>
      <c r="R24" s="258">
        <f t="shared" si="2"/>
        <v>8266674.8184180018</v>
      </c>
      <c r="S24" s="269">
        <f t="shared" si="12"/>
        <v>27.327850639398353</v>
      </c>
      <c r="T24" s="267">
        <f t="shared" si="13"/>
        <v>6223.9215323013696</v>
      </c>
      <c r="U24" s="267">
        <f t="shared" si="5"/>
        <v>578.22179064292391</v>
      </c>
      <c r="V24" s="270">
        <v>3.44E-2</v>
      </c>
      <c r="W24" s="266" t="s">
        <v>601</v>
      </c>
      <c r="X24" s="265" t="s">
        <v>517</v>
      </c>
      <c r="Y24" s="266" t="s">
        <v>518</v>
      </c>
      <c r="Z24" s="266"/>
      <c r="AA24" s="435"/>
      <c r="AB24" s="435"/>
      <c r="AC24" s="265" t="s">
        <v>602</v>
      </c>
      <c r="AD24" s="265" t="s">
        <v>603</v>
      </c>
      <c r="AE24" s="271" t="s">
        <v>604</v>
      </c>
      <c r="AF24" s="43"/>
    </row>
    <row r="25" spans="1:32" s="36" customFormat="1" ht="135" hidden="1" customHeight="1">
      <c r="A25" s="678" t="s">
        <v>605</v>
      </c>
      <c r="B25" s="679" t="s">
        <v>573</v>
      </c>
      <c r="C25" s="679" t="s">
        <v>574</v>
      </c>
      <c r="D25" s="678" t="str">
        <f t="shared" si="0"/>
        <v>Junggu - CBD</v>
      </c>
      <c r="E25" s="737">
        <v>24086</v>
      </c>
      <c r="F25" s="719">
        <f t="shared" ca="1" si="14"/>
        <v>60.342465753424655</v>
      </c>
      <c r="G25" s="719">
        <f t="shared" si="8"/>
        <v>1965</v>
      </c>
      <c r="H25" s="719"/>
      <c r="I25" s="680">
        <f t="shared" si="9"/>
        <v>4738.8409750000001</v>
      </c>
      <c r="J25" s="681">
        <v>15665.59</v>
      </c>
      <c r="K25" s="681"/>
      <c r="L25" s="682">
        <f t="shared" si="7"/>
        <v>168622.844201</v>
      </c>
      <c r="M25" s="683">
        <f>140949795115/1328.21</f>
        <v>106120112.8699528</v>
      </c>
      <c r="N25" s="738">
        <f>(M25*1328.21)/1000000000</f>
        <v>140.949795115</v>
      </c>
      <c r="O25" s="738">
        <f t="shared" si="1"/>
        <v>143.064042041725</v>
      </c>
      <c r="P25" s="739">
        <f t="shared" si="10"/>
        <v>22393.685171077679</v>
      </c>
      <c r="Q25" s="739">
        <f t="shared" si="11"/>
        <v>29743516.581077084</v>
      </c>
      <c r="R25" s="686">
        <f t="shared" si="2"/>
        <v>8997413.7657758184</v>
      </c>
      <c r="S25" s="740">
        <f t="shared" si="12"/>
        <v>29.743516581077085</v>
      </c>
      <c r="T25" s="739">
        <f t="shared" si="13"/>
        <v>6774.0897642509981</v>
      </c>
      <c r="U25" s="739">
        <f t="shared" si="5"/>
        <v>629.33414136614033</v>
      </c>
      <c r="V25" s="741" t="s">
        <v>584</v>
      </c>
      <c r="W25" s="742" t="s">
        <v>606</v>
      </c>
      <c r="X25" s="743" t="s">
        <v>517</v>
      </c>
      <c r="Y25" s="742" t="s">
        <v>518</v>
      </c>
      <c r="Z25" s="742"/>
      <c r="AA25" s="435"/>
      <c r="AB25" s="435"/>
      <c r="AC25" s="743" t="s">
        <v>607</v>
      </c>
      <c r="AD25" s="743" t="s">
        <v>608</v>
      </c>
      <c r="AE25" s="744" t="s">
        <v>609</v>
      </c>
      <c r="AF25" s="43"/>
    </row>
    <row r="26" spans="1:32" s="36" customFormat="1" ht="95.25" customHeight="1">
      <c r="A26" s="689" t="s">
        <v>610</v>
      </c>
      <c r="B26" s="690" t="s">
        <v>611</v>
      </c>
      <c r="C26" s="690" t="s">
        <v>567</v>
      </c>
      <c r="D26" s="689" t="str">
        <f t="shared" si="0"/>
        <v>Gangnam - GBD</v>
      </c>
      <c r="E26" s="713">
        <v>45016</v>
      </c>
      <c r="F26" s="714">
        <f ca="1">($E$5-E26)/365</f>
        <v>3</v>
      </c>
      <c r="G26" s="714">
        <f t="shared" si="8"/>
        <v>2023</v>
      </c>
      <c r="H26" s="714"/>
      <c r="I26" s="691">
        <f t="shared" si="9"/>
        <v>14943.16725</v>
      </c>
      <c r="J26" s="692">
        <v>49398.9</v>
      </c>
      <c r="K26" s="692"/>
      <c r="L26" s="693">
        <f t="shared" si="7"/>
        <v>531724.81970999995</v>
      </c>
      <c r="M26" s="694">
        <f>506400000000/1328.21</f>
        <v>381265010.80401444</v>
      </c>
      <c r="N26" s="745">
        <f>(M26*1328.21)/1000000000</f>
        <v>506.40000000000003</v>
      </c>
      <c r="O26" s="745">
        <f t="shared" si="1"/>
        <v>513.99600000000009</v>
      </c>
      <c r="P26" s="725">
        <f t="shared" si="10"/>
        <v>25514.337384132166</v>
      </c>
      <c r="Q26" s="725">
        <f t="shared" si="11"/>
        <v>33888398.056978188</v>
      </c>
      <c r="R26" s="697">
        <f t="shared" si="2"/>
        <v>10251240.412235901</v>
      </c>
      <c r="S26" s="726">
        <f t="shared" si="12"/>
        <v>33.88839805697819</v>
      </c>
      <c r="T26" s="725">
        <f t="shared" si="13"/>
        <v>7718.0870586999799</v>
      </c>
      <c r="U26" s="725">
        <f t="shared" si="5"/>
        <v>717.03444464366828</v>
      </c>
      <c r="V26" s="727" t="s">
        <v>584</v>
      </c>
      <c r="W26" s="728" t="s">
        <v>606</v>
      </c>
      <c r="X26" s="721" t="s">
        <v>517</v>
      </c>
      <c r="Y26" s="728" t="s">
        <v>518</v>
      </c>
      <c r="Z26" s="728"/>
      <c r="AA26" s="699"/>
      <c r="AB26" s="699"/>
      <c r="AC26" s="721" t="s">
        <v>612</v>
      </c>
      <c r="AD26" s="722" t="s">
        <v>613</v>
      </c>
      <c r="AE26" s="729" t="s">
        <v>614</v>
      </c>
      <c r="AF26" s="43"/>
    </row>
    <row r="27" spans="1:32" s="67" customFormat="1" ht="135" hidden="1" customHeight="1">
      <c r="A27" s="746" t="s">
        <v>615</v>
      </c>
      <c r="B27" s="747" t="s">
        <v>616</v>
      </c>
      <c r="C27" s="747" t="s">
        <v>186</v>
      </c>
      <c r="D27" s="746" t="str">
        <f t="shared" si="0"/>
        <v>Yongsan - CBD</v>
      </c>
      <c r="E27" s="748">
        <v>41257</v>
      </c>
      <c r="F27" s="749">
        <f t="shared" ca="1" si="14"/>
        <v>13.298630136986301</v>
      </c>
      <c r="G27" s="717">
        <f t="shared" si="8"/>
        <v>2012</v>
      </c>
      <c r="H27" s="749"/>
      <c r="I27" s="703">
        <v>3064.5</v>
      </c>
      <c r="J27" s="704">
        <f t="shared" ref="J27:J38" si="15">I27/0.3025</f>
        <v>10130.578512396694</v>
      </c>
      <c r="K27" s="704"/>
      <c r="L27" s="705">
        <f t="shared" si="7"/>
        <v>109044.53404958677</v>
      </c>
      <c r="M27" s="706">
        <f>(N27*1000000000)/1328.21</f>
        <v>47206390.555710316</v>
      </c>
      <c r="N27" s="750">
        <v>62.7</v>
      </c>
      <c r="O27" s="750">
        <f t="shared" si="1"/>
        <v>63.640500000000003</v>
      </c>
      <c r="P27" s="751">
        <f t="shared" si="10"/>
        <v>15404.271677503773</v>
      </c>
      <c r="Q27" s="751">
        <f t="shared" si="11"/>
        <v>20460107.68477729</v>
      </c>
      <c r="R27" s="709">
        <f t="shared" si="2"/>
        <v>6189182.57464513</v>
      </c>
      <c r="S27" s="752">
        <f t="shared" si="12"/>
        <v>20.460107684777288</v>
      </c>
      <c r="T27" s="751">
        <f t="shared" si="13"/>
        <v>4659.7921824448913</v>
      </c>
      <c r="U27" s="751">
        <f t="shared" si="5"/>
        <v>432.90927846272189</v>
      </c>
      <c r="V27" s="733">
        <v>0.05</v>
      </c>
      <c r="W27" s="753">
        <v>45064</v>
      </c>
      <c r="X27" s="747" t="s">
        <v>517</v>
      </c>
      <c r="Y27" s="747" t="s">
        <v>518</v>
      </c>
      <c r="Z27" s="747"/>
      <c r="AA27" s="435"/>
      <c r="AB27" s="435"/>
      <c r="AC27" s="746" t="s">
        <v>617</v>
      </c>
      <c r="AD27" s="746" t="s">
        <v>618</v>
      </c>
      <c r="AE27" s="754" t="s">
        <v>619</v>
      </c>
      <c r="AF27" s="94"/>
    </row>
    <row r="28" spans="1:32" s="67" customFormat="1" ht="120" hidden="1" customHeight="1">
      <c r="A28" s="280" t="s">
        <v>620</v>
      </c>
      <c r="B28" s="273" t="s">
        <v>573</v>
      </c>
      <c r="C28" s="273" t="s">
        <v>186</v>
      </c>
      <c r="D28" s="280" t="str">
        <f t="shared" si="0"/>
        <v>Junggu - CBD</v>
      </c>
      <c r="E28" s="274">
        <v>30905</v>
      </c>
      <c r="F28" s="275">
        <f t="shared" ca="1" si="14"/>
        <v>41.660273972602738</v>
      </c>
      <c r="G28" s="264">
        <f t="shared" si="8"/>
        <v>1984</v>
      </c>
      <c r="H28" s="275"/>
      <c r="I28" s="494">
        <v>4616.2105000000001</v>
      </c>
      <c r="J28" s="495">
        <f t="shared" si="15"/>
        <v>15260.2</v>
      </c>
      <c r="K28" s="495"/>
      <c r="L28" s="496">
        <f t="shared" si="7"/>
        <v>164259.26678000001</v>
      </c>
      <c r="M28" s="497">
        <f>(N28*1000000000)/1286.3</f>
        <v>79492342.377361432</v>
      </c>
      <c r="N28" s="277">
        <v>102.251</v>
      </c>
      <c r="O28" s="277">
        <f t="shared" si="1"/>
        <v>103.78476500000002</v>
      </c>
      <c r="P28" s="276">
        <f t="shared" si="10"/>
        <v>17220.259426506098</v>
      </c>
      <c r="Q28" s="276">
        <f t="shared" si="11"/>
        <v>22150419.700314794</v>
      </c>
      <c r="R28" s="258">
        <f t="shared" si="2"/>
        <v>6700501.9593452243</v>
      </c>
      <c r="S28" s="278">
        <f t="shared" si="12"/>
        <v>22.150419700314792</v>
      </c>
      <c r="T28" s="276">
        <f t="shared" si="13"/>
        <v>5209.1284765180944</v>
      </c>
      <c r="U28" s="276">
        <f t="shared" si="5"/>
        <v>483.94433955333056</v>
      </c>
      <c r="V28" s="270" t="s">
        <v>515</v>
      </c>
      <c r="W28" s="279">
        <v>45110</v>
      </c>
      <c r="X28" s="273" t="s">
        <v>517</v>
      </c>
      <c r="Y28" s="273" t="s">
        <v>518</v>
      </c>
      <c r="Z28" s="273"/>
      <c r="AA28" s="435"/>
      <c r="AB28" s="435"/>
      <c r="AC28" s="273" t="s">
        <v>257</v>
      </c>
      <c r="AD28" s="280" t="s">
        <v>621</v>
      </c>
      <c r="AE28" s="281" t="s">
        <v>622</v>
      </c>
      <c r="AF28" s="94"/>
    </row>
    <row r="29" spans="1:32" s="67" customFormat="1" ht="135" hidden="1" customHeight="1">
      <c r="A29" s="280" t="s">
        <v>623</v>
      </c>
      <c r="B29" s="273" t="s">
        <v>624</v>
      </c>
      <c r="C29" s="273" t="s">
        <v>188</v>
      </c>
      <c r="D29" s="280" t="str">
        <f t="shared" si="0"/>
        <v>Yeongdeungpogu - YBD</v>
      </c>
      <c r="E29" s="274">
        <v>40199</v>
      </c>
      <c r="F29" s="275">
        <f t="shared" ca="1" si="14"/>
        <v>16.197260273972603</v>
      </c>
      <c r="G29" s="264">
        <f t="shared" si="8"/>
        <v>2010</v>
      </c>
      <c r="H29" s="275"/>
      <c r="I29" s="494">
        <v>13739.395724999998</v>
      </c>
      <c r="J29" s="495">
        <f t="shared" si="15"/>
        <v>45419.49</v>
      </c>
      <c r="K29" s="495"/>
      <c r="L29" s="496">
        <f t="shared" si="7"/>
        <v>488890.84841099998</v>
      </c>
      <c r="M29" s="497">
        <f>(N29*1000000000)/1313.47</f>
        <v>155199585.82990095</v>
      </c>
      <c r="N29" s="277">
        <v>203.85</v>
      </c>
      <c r="O29" s="277">
        <f t="shared" si="1"/>
        <v>206.90774999999999</v>
      </c>
      <c r="P29" s="276">
        <f t="shared" si="10"/>
        <v>11295.954271664372</v>
      </c>
      <c r="Q29" s="276">
        <f t="shared" si="11"/>
        <v>14836897.057203002</v>
      </c>
      <c r="R29" s="258">
        <f t="shared" si="2"/>
        <v>4488161.3598039085</v>
      </c>
      <c r="S29" s="278">
        <f t="shared" si="12"/>
        <v>14.836897057203002</v>
      </c>
      <c r="T29" s="276">
        <f t="shared" si="13"/>
        <v>3417.0261671784724</v>
      </c>
      <c r="U29" s="276">
        <f t="shared" si="5"/>
        <v>317.45242590310875</v>
      </c>
      <c r="V29" s="270">
        <v>2.7186656855531028E-2</v>
      </c>
      <c r="W29" s="279">
        <v>45170</v>
      </c>
      <c r="X29" s="273" t="s">
        <v>517</v>
      </c>
      <c r="Y29" s="273" t="s">
        <v>518</v>
      </c>
      <c r="Z29" s="273"/>
      <c r="AA29" s="435"/>
      <c r="AB29" s="435"/>
      <c r="AC29" s="280" t="s">
        <v>625</v>
      </c>
      <c r="AD29" s="280" t="s">
        <v>626</v>
      </c>
      <c r="AE29" s="281" t="s">
        <v>627</v>
      </c>
      <c r="AF29" s="94"/>
    </row>
    <row r="30" spans="1:32" s="67" customFormat="1" ht="96" hidden="1" customHeight="1">
      <c r="A30" s="280" t="s">
        <v>628</v>
      </c>
      <c r="B30" s="273" t="s">
        <v>616</v>
      </c>
      <c r="C30" s="273" t="s">
        <v>186</v>
      </c>
      <c r="D30" s="280" t="str">
        <f t="shared" si="0"/>
        <v>Yongsan - CBD</v>
      </c>
      <c r="E30" s="274">
        <v>39582</v>
      </c>
      <c r="F30" s="275">
        <f t="shared" ca="1" si="14"/>
        <v>17.887671232876713</v>
      </c>
      <c r="G30" s="264">
        <f t="shared" si="8"/>
        <v>2008</v>
      </c>
      <c r="H30" s="275"/>
      <c r="I30" s="494">
        <v>9615.6340500000006</v>
      </c>
      <c r="J30" s="495">
        <f t="shared" si="15"/>
        <v>31787.22</v>
      </c>
      <c r="K30" s="495"/>
      <c r="L30" s="496">
        <f t="shared" si="7"/>
        <v>342154.45735799999</v>
      </c>
      <c r="M30" s="497">
        <f>(N30*1000000000)/1286.3</f>
        <v>175697737.69727126</v>
      </c>
      <c r="N30" s="277">
        <v>226</v>
      </c>
      <c r="O30" s="277">
        <f t="shared" si="1"/>
        <v>229.39000000000001</v>
      </c>
      <c r="P30" s="276">
        <f t="shared" si="10"/>
        <v>18272.090720556411</v>
      </c>
      <c r="Q30" s="276">
        <f t="shared" si="11"/>
        <v>23503390.293851707</v>
      </c>
      <c r="R30" s="258">
        <f t="shared" si="2"/>
        <v>7109775.5638901414</v>
      </c>
      <c r="S30" s="278">
        <f t="shared" si="12"/>
        <v>23.503390293851709</v>
      </c>
      <c r="T30" s="276">
        <f t="shared" si="13"/>
        <v>5527.3074429683138</v>
      </c>
      <c r="U30" s="276">
        <f t="shared" si="5"/>
        <v>513.50416140695427</v>
      </c>
      <c r="V30" s="270" t="s">
        <v>515</v>
      </c>
      <c r="W30" s="279">
        <v>45138</v>
      </c>
      <c r="X30" s="273" t="s">
        <v>517</v>
      </c>
      <c r="Y30" s="273" t="s">
        <v>518</v>
      </c>
      <c r="Z30" s="273"/>
      <c r="AA30" s="435"/>
      <c r="AB30" s="435"/>
      <c r="AC30" s="273" t="s">
        <v>629</v>
      </c>
      <c r="AD30" s="280" t="s">
        <v>630</v>
      </c>
      <c r="AE30" s="281" t="s">
        <v>631</v>
      </c>
      <c r="AF30" s="94"/>
    </row>
    <row r="31" spans="1:32" s="67" customFormat="1" ht="106.5" hidden="1" customHeight="1">
      <c r="A31" s="755" t="s">
        <v>632</v>
      </c>
      <c r="B31" s="756" t="s">
        <v>616</v>
      </c>
      <c r="C31" s="756" t="s">
        <v>186</v>
      </c>
      <c r="D31" s="755" t="str">
        <f t="shared" si="0"/>
        <v>Yongsan - CBD</v>
      </c>
      <c r="E31" s="757">
        <v>41662</v>
      </c>
      <c r="F31" s="758">
        <f t="shared" ca="1" si="14"/>
        <v>12.189041095890412</v>
      </c>
      <c r="G31" s="719">
        <f t="shared" si="8"/>
        <v>2014</v>
      </c>
      <c r="H31" s="758"/>
      <c r="I31" s="680">
        <v>11800.464802499999</v>
      </c>
      <c r="J31" s="681">
        <f t="shared" si="15"/>
        <v>39009.800999999999</v>
      </c>
      <c r="K31" s="681"/>
      <c r="L31" s="682">
        <f t="shared" si="7"/>
        <v>419897.5969839</v>
      </c>
      <c r="M31" s="683">
        <f>(N31*1000000000)/1318.47</f>
        <v>180792888.72708517</v>
      </c>
      <c r="N31" s="759">
        <v>238.37</v>
      </c>
      <c r="O31" s="759">
        <f t="shared" si="1"/>
        <v>241.94555</v>
      </c>
      <c r="P31" s="760">
        <f t="shared" si="10"/>
        <v>15320.827760003413</v>
      </c>
      <c r="Q31" s="760">
        <f t="shared" si="11"/>
        <v>20200051.7767317</v>
      </c>
      <c r="R31" s="686">
        <f t="shared" si="2"/>
        <v>6110515.6624613386</v>
      </c>
      <c r="S31" s="761">
        <f t="shared" si="12"/>
        <v>20.200051776731701</v>
      </c>
      <c r="T31" s="760">
        <f t="shared" si="13"/>
        <v>4634.5503974010317</v>
      </c>
      <c r="U31" s="760">
        <f t="shared" si="5"/>
        <v>430.56423762772152</v>
      </c>
      <c r="V31" s="741">
        <v>3.6999999999999998E-2</v>
      </c>
      <c r="W31" s="282">
        <v>45149</v>
      </c>
      <c r="X31" s="756" t="s">
        <v>517</v>
      </c>
      <c r="Y31" s="756" t="s">
        <v>518</v>
      </c>
      <c r="Z31" s="756"/>
      <c r="AA31" s="435"/>
      <c r="AB31" s="435"/>
      <c r="AC31" s="756" t="s">
        <v>633</v>
      </c>
      <c r="AD31" s="755" t="s">
        <v>617</v>
      </c>
      <c r="AE31" s="528" t="s">
        <v>634</v>
      </c>
      <c r="AF31" s="94"/>
    </row>
    <row r="32" spans="1:32" s="67" customFormat="1" ht="84.75" customHeight="1">
      <c r="A32" s="762" t="s">
        <v>635</v>
      </c>
      <c r="B32" s="763" t="s">
        <v>611</v>
      </c>
      <c r="C32" s="763" t="s">
        <v>187</v>
      </c>
      <c r="D32" s="762" t="str">
        <f t="shared" si="0"/>
        <v>Gangnam - GBD</v>
      </c>
      <c r="E32" s="764">
        <v>37806</v>
      </c>
      <c r="F32" s="765">
        <f t="shared" ca="1" si="14"/>
        <v>22.753424657534246</v>
      </c>
      <c r="G32" s="714">
        <f t="shared" si="8"/>
        <v>2003</v>
      </c>
      <c r="H32" s="765"/>
      <c r="I32" s="691">
        <v>13068.837924999998</v>
      </c>
      <c r="J32" s="692">
        <f t="shared" si="15"/>
        <v>43202.77</v>
      </c>
      <c r="K32" s="692"/>
      <c r="L32" s="693">
        <f t="shared" si="7"/>
        <v>465030.29600299994</v>
      </c>
      <c r="M32" s="694">
        <f>(N32*1000000000)/1318.47</f>
        <v>115853223.81244928</v>
      </c>
      <c r="N32" s="766">
        <v>152.749</v>
      </c>
      <c r="O32" s="766">
        <f t="shared" si="1"/>
        <v>155.040235</v>
      </c>
      <c r="P32" s="767">
        <f t="shared" si="10"/>
        <v>8864.845097728863</v>
      </c>
      <c r="Q32" s="767">
        <f t="shared" si="11"/>
        <v>11688032.316002574</v>
      </c>
      <c r="R32" s="697">
        <f t="shared" si="2"/>
        <v>3535629.7755907783</v>
      </c>
      <c r="S32" s="768">
        <f t="shared" si="12"/>
        <v>11.688032316002573</v>
      </c>
      <c r="T32" s="767">
        <f t="shared" si="13"/>
        <v>2681.6156420629809</v>
      </c>
      <c r="U32" s="767">
        <f t="shared" si="5"/>
        <v>249.13048635373619</v>
      </c>
      <c r="V32" s="769" t="s">
        <v>636</v>
      </c>
      <c r="W32" s="770">
        <v>45152</v>
      </c>
      <c r="X32" s="763" t="s">
        <v>517</v>
      </c>
      <c r="Y32" s="763" t="s">
        <v>518</v>
      </c>
      <c r="Z32" s="763"/>
      <c r="AA32" s="699"/>
      <c r="AB32" s="699"/>
      <c r="AC32" s="763" t="s">
        <v>637</v>
      </c>
      <c r="AD32" s="762" t="s">
        <v>638</v>
      </c>
      <c r="AE32" s="771" t="s">
        <v>639</v>
      </c>
      <c r="AF32" s="94"/>
    </row>
    <row r="33" spans="1:32" s="67" customFormat="1" ht="135" hidden="1" customHeight="1">
      <c r="A33" s="746" t="s">
        <v>640</v>
      </c>
      <c r="B33" s="747" t="s">
        <v>589</v>
      </c>
      <c r="C33" s="747" t="s">
        <v>186</v>
      </c>
      <c r="D33" s="746" t="str">
        <f t="shared" si="0"/>
        <v>Jongro - CBD</v>
      </c>
      <c r="E33" s="748">
        <v>42118</v>
      </c>
      <c r="F33" s="749">
        <f t="shared" ca="1" si="14"/>
        <v>10.93972602739726</v>
      </c>
      <c r="G33" s="717">
        <f t="shared" si="8"/>
        <v>2015</v>
      </c>
      <c r="H33" s="749"/>
      <c r="I33" s="703">
        <v>15625.4802</v>
      </c>
      <c r="J33" s="704">
        <f t="shared" si="15"/>
        <v>51654.48</v>
      </c>
      <c r="K33" s="704"/>
      <c r="L33" s="705">
        <f t="shared" si="7"/>
        <v>556003.65727199998</v>
      </c>
      <c r="M33" s="706">
        <f>(N33*1000000000)/1318.47</f>
        <v>416391726.77421558</v>
      </c>
      <c r="N33" s="750">
        <v>549</v>
      </c>
      <c r="O33" s="750">
        <f t="shared" si="1"/>
        <v>557.23500000000001</v>
      </c>
      <c r="P33" s="751">
        <f t="shared" si="10"/>
        <v>26648.251538164925</v>
      </c>
      <c r="Q33" s="751">
        <f t="shared" si="11"/>
        <v>35134920.20552431</v>
      </c>
      <c r="R33" s="709">
        <f t="shared" si="2"/>
        <v>10628313.362171102</v>
      </c>
      <c r="S33" s="752">
        <f t="shared" si="12"/>
        <v>35.13492020552431</v>
      </c>
      <c r="T33" s="751">
        <f t="shared" si="13"/>
        <v>8061.0960902948891</v>
      </c>
      <c r="U33" s="751">
        <f t="shared" si="5"/>
        <v>748.90105726501451</v>
      </c>
      <c r="V33" s="733">
        <v>3.7999999999999999E-2</v>
      </c>
      <c r="W33" s="753">
        <v>45156</v>
      </c>
      <c r="X33" s="747" t="s">
        <v>517</v>
      </c>
      <c r="Y33" s="747" t="s">
        <v>518</v>
      </c>
      <c r="Z33" s="747"/>
      <c r="AA33" s="435"/>
      <c r="AB33" s="435"/>
      <c r="AC33" s="747" t="s">
        <v>641</v>
      </c>
      <c r="AD33" s="746" t="s">
        <v>642</v>
      </c>
      <c r="AE33" s="754" t="s">
        <v>643</v>
      </c>
      <c r="AF33" s="94"/>
    </row>
    <row r="34" spans="1:32" s="67" customFormat="1" ht="83.25" hidden="1" customHeight="1">
      <c r="A34" s="755" t="s">
        <v>644</v>
      </c>
      <c r="B34" s="756" t="s">
        <v>645</v>
      </c>
      <c r="C34" s="756" t="s">
        <v>574</v>
      </c>
      <c r="D34" s="755" t="str">
        <f t="shared" si="0"/>
        <v>Jongro-gu - CBD</v>
      </c>
      <c r="E34" s="757">
        <v>32105</v>
      </c>
      <c r="F34" s="758">
        <f t="shared" ca="1" si="14"/>
        <v>38.372602739726027</v>
      </c>
      <c r="G34" s="719">
        <f t="shared" si="8"/>
        <v>1987</v>
      </c>
      <c r="H34" s="758"/>
      <c r="I34" s="680">
        <v>5974.5564999999997</v>
      </c>
      <c r="J34" s="681">
        <f t="shared" si="15"/>
        <v>19750.599999999999</v>
      </c>
      <c r="K34" s="681"/>
      <c r="L34" s="682">
        <f t="shared" si="7"/>
        <v>212593.48333999998</v>
      </c>
      <c r="M34" s="683">
        <f>(N34*1000000000)/1329.47</f>
        <v>125829841.96709967</v>
      </c>
      <c r="N34" s="759">
        <v>167.28700000000001</v>
      </c>
      <c r="O34" s="759">
        <f t="shared" si="1"/>
        <v>169.79630500000002</v>
      </c>
      <c r="P34" s="760">
        <f t="shared" si="10"/>
        <v>21060.95104583908</v>
      </c>
      <c r="Q34" s="760">
        <f t="shared" si="11"/>
        <v>27999902.586911682</v>
      </c>
      <c r="R34" s="686">
        <f t="shared" si="2"/>
        <v>8469970.5325407833</v>
      </c>
      <c r="S34" s="761">
        <f t="shared" si="12"/>
        <v>27.999902586911681</v>
      </c>
      <c r="T34" s="760">
        <f t="shared" si="13"/>
        <v>6370.9376913663218</v>
      </c>
      <c r="U34" s="760">
        <f t="shared" si="5"/>
        <v>591.88005196688209</v>
      </c>
      <c r="V34" s="741">
        <v>0.04</v>
      </c>
      <c r="W34" s="282">
        <v>45181</v>
      </c>
      <c r="X34" s="756" t="s">
        <v>517</v>
      </c>
      <c r="Y34" s="756" t="s">
        <v>518</v>
      </c>
      <c r="Z34" s="756"/>
      <c r="AA34" s="435"/>
      <c r="AB34" s="435"/>
      <c r="AC34" s="756" t="s">
        <v>646</v>
      </c>
      <c r="AD34" s="755" t="s">
        <v>647</v>
      </c>
      <c r="AE34" s="528" t="s">
        <v>648</v>
      </c>
      <c r="AF34" s="94"/>
    </row>
    <row r="35" spans="1:32" s="67" customFormat="1" ht="111" customHeight="1">
      <c r="A35" s="762" t="s">
        <v>649</v>
      </c>
      <c r="B35" s="763" t="s">
        <v>650</v>
      </c>
      <c r="C35" s="763" t="s">
        <v>567</v>
      </c>
      <c r="D35" s="762" t="str">
        <f t="shared" si="0"/>
        <v>Seocho-gu - GBD</v>
      </c>
      <c r="E35" s="764">
        <v>42915</v>
      </c>
      <c r="F35" s="765">
        <f t="shared" ca="1" si="14"/>
        <v>8.7561643835616429</v>
      </c>
      <c r="G35" s="714">
        <f t="shared" si="8"/>
        <v>2017</v>
      </c>
      <c r="H35" s="765"/>
      <c r="I35" s="691">
        <v>14090.704099999999</v>
      </c>
      <c r="J35" s="692">
        <f t="shared" si="15"/>
        <v>46580.84</v>
      </c>
      <c r="K35" s="692"/>
      <c r="L35" s="693">
        <f t="shared" si="7"/>
        <v>501391.50367599993</v>
      </c>
      <c r="M35" s="694">
        <f>(N35*1000000000)/1350.69</f>
        <v>384988413.32948345</v>
      </c>
      <c r="N35" s="766">
        <v>520</v>
      </c>
      <c r="O35" s="766">
        <f t="shared" si="1"/>
        <v>527.80000000000007</v>
      </c>
      <c r="P35" s="767">
        <f t="shared" si="10"/>
        <v>27322.155840990479</v>
      </c>
      <c r="Q35" s="767">
        <f t="shared" si="11"/>
        <v>36903762.672867432</v>
      </c>
      <c r="R35" s="697">
        <f t="shared" si="2"/>
        <v>11163388.208542397</v>
      </c>
      <c r="S35" s="768">
        <f t="shared" si="12"/>
        <v>36.90376267286743</v>
      </c>
      <c r="T35" s="767">
        <f t="shared" si="13"/>
        <v>8264.9521418996192</v>
      </c>
      <c r="U35" s="767">
        <f t="shared" si="5"/>
        <v>767.83992250946403</v>
      </c>
      <c r="V35" s="727">
        <v>4.1778578942642308E-2</v>
      </c>
      <c r="W35" s="770">
        <v>45217</v>
      </c>
      <c r="X35" s="763" t="s">
        <v>517</v>
      </c>
      <c r="Y35" s="763" t="s">
        <v>518</v>
      </c>
      <c r="Z35" s="763"/>
      <c r="AA35" s="699"/>
      <c r="AB35" s="699"/>
      <c r="AC35" s="762" t="s">
        <v>651</v>
      </c>
      <c r="AD35" s="762" t="s">
        <v>652</v>
      </c>
      <c r="AE35" s="771" t="s">
        <v>653</v>
      </c>
      <c r="AF35" s="94"/>
    </row>
    <row r="36" spans="1:32" s="67" customFormat="1" ht="112.5" hidden="1" customHeight="1">
      <c r="A36" s="772" t="s">
        <v>654</v>
      </c>
      <c r="B36" s="773" t="s">
        <v>655</v>
      </c>
      <c r="C36" s="773" t="s">
        <v>656</v>
      </c>
      <c r="D36" s="772" t="str">
        <f t="shared" si="0"/>
        <v>Seongdong-gu - Others</v>
      </c>
      <c r="E36" s="774">
        <v>25628</v>
      </c>
      <c r="F36" s="775">
        <f t="shared" ca="1" si="14"/>
        <v>56.11780821917808</v>
      </c>
      <c r="G36" s="776">
        <f t="shared" si="8"/>
        <v>1970</v>
      </c>
      <c r="H36" s="775"/>
      <c r="I36" s="777">
        <v>5599.7529500000001</v>
      </c>
      <c r="J36" s="778">
        <f t="shared" si="15"/>
        <v>18511.580000000002</v>
      </c>
      <c r="K36" s="778"/>
      <c r="L36" s="779">
        <f t="shared" si="7"/>
        <v>199256.795962</v>
      </c>
      <c r="M36" s="780">
        <f>(N36*1000000000)/1350.69</f>
        <v>82562245.963174373</v>
      </c>
      <c r="N36" s="781">
        <v>111.51600000000001</v>
      </c>
      <c r="O36" s="781">
        <f t="shared" si="1"/>
        <v>113.18874000000001</v>
      </c>
      <c r="P36" s="782">
        <f t="shared" si="10"/>
        <v>14743.908651036894</v>
      </c>
      <c r="Q36" s="782">
        <f t="shared" si="11"/>
        <v>19914449.975869026</v>
      </c>
      <c r="R36" s="783">
        <f t="shared" si="2"/>
        <v>6024121.1177003793</v>
      </c>
      <c r="S36" s="784">
        <f t="shared" si="12"/>
        <v>19.914449975869026</v>
      </c>
      <c r="T36" s="782">
        <f t="shared" si="13"/>
        <v>4460.0323669386607</v>
      </c>
      <c r="U36" s="782">
        <f t="shared" si="5"/>
        <v>414.35096637265866</v>
      </c>
      <c r="V36" s="785" t="s">
        <v>515</v>
      </c>
      <c r="W36" s="786">
        <v>45204</v>
      </c>
      <c r="X36" s="773" t="s">
        <v>517</v>
      </c>
      <c r="Y36" s="773" t="s">
        <v>518</v>
      </c>
      <c r="Z36" s="773"/>
      <c r="AA36" s="435"/>
      <c r="AB36" s="435"/>
      <c r="AC36" s="773" t="s">
        <v>215</v>
      </c>
      <c r="AD36" s="772" t="s">
        <v>657</v>
      </c>
      <c r="AE36" s="787" t="s">
        <v>658</v>
      </c>
      <c r="AF36" s="94"/>
    </row>
    <row r="37" spans="1:32" s="67" customFormat="1" ht="102.75" customHeight="1">
      <c r="A37" s="762" t="s">
        <v>659</v>
      </c>
      <c r="B37" s="763" t="s">
        <v>660</v>
      </c>
      <c r="C37" s="763" t="s">
        <v>567</v>
      </c>
      <c r="D37" s="762" t="str">
        <f t="shared" si="0"/>
        <v>Songpa-gu - GBD</v>
      </c>
      <c r="E37" s="764">
        <v>41761</v>
      </c>
      <c r="F37" s="765">
        <f t="shared" ca="1" si="14"/>
        <v>11.917808219178083</v>
      </c>
      <c r="G37" s="714">
        <f t="shared" si="8"/>
        <v>2014</v>
      </c>
      <c r="H37" s="765"/>
      <c r="I37" s="691">
        <f>J37*0.3025</f>
        <v>30109.924350000001</v>
      </c>
      <c r="J37" s="692">
        <v>99536.94</v>
      </c>
      <c r="K37" s="692"/>
      <c r="L37" s="693">
        <f t="shared" si="7"/>
        <v>1071405.6684659999</v>
      </c>
      <c r="M37" s="694">
        <f>(N37*1000000000)/1350.69</f>
        <v>629307983.3270402</v>
      </c>
      <c r="N37" s="766">
        <v>850</v>
      </c>
      <c r="O37" s="766">
        <f t="shared" si="1"/>
        <v>862.75</v>
      </c>
      <c r="P37" s="767">
        <f t="shared" si="10"/>
        <v>20900.350861460738</v>
      </c>
      <c r="Q37" s="767">
        <f t="shared" si="11"/>
        <v>28229894.905066408</v>
      </c>
      <c r="R37" s="697">
        <f t="shared" si="2"/>
        <v>8539543.2087825891</v>
      </c>
      <c r="S37" s="768">
        <f t="shared" si="12"/>
        <v>28.229894905066409</v>
      </c>
      <c r="T37" s="767">
        <f t="shared" si="13"/>
        <v>6322.3561355918737</v>
      </c>
      <c r="U37" s="767">
        <f t="shared" si="5"/>
        <v>587.3666733797113</v>
      </c>
      <c r="V37" s="727">
        <v>4.1200000000000001E-2</v>
      </c>
      <c r="W37" s="770">
        <v>45226</v>
      </c>
      <c r="X37" s="763" t="s">
        <v>517</v>
      </c>
      <c r="Y37" s="763" t="s">
        <v>518</v>
      </c>
      <c r="Z37" s="763"/>
      <c r="AA37" s="699"/>
      <c r="AB37" s="699"/>
      <c r="AC37" s="763" t="s">
        <v>661</v>
      </c>
      <c r="AD37" s="762" t="s">
        <v>662</v>
      </c>
      <c r="AE37" s="771" t="s">
        <v>663</v>
      </c>
      <c r="AF37" s="94"/>
    </row>
    <row r="38" spans="1:32" s="67" customFormat="1" ht="118.5" hidden="1" customHeight="1">
      <c r="A38" s="746" t="s">
        <v>664</v>
      </c>
      <c r="B38" s="747" t="s">
        <v>665</v>
      </c>
      <c r="C38" s="747" t="s">
        <v>574</v>
      </c>
      <c r="D38" s="746" t="str">
        <f t="shared" si="0"/>
        <v>Jung-gu - CBD</v>
      </c>
      <c r="E38" s="748">
        <v>33728</v>
      </c>
      <c r="F38" s="749">
        <f t="shared" ca="1" si="14"/>
        <v>33.926027397260277</v>
      </c>
      <c r="G38" s="717">
        <f t="shared" si="8"/>
        <v>1992</v>
      </c>
      <c r="H38" s="749"/>
      <c r="I38" s="703">
        <v>7505.651175</v>
      </c>
      <c r="J38" s="704">
        <f t="shared" si="15"/>
        <v>24812.07</v>
      </c>
      <c r="K38" s="704"/>
      <c r="L38" s="705">
        <f t="shared" si="7"/>
        <v>267074.640273</v>
      </c>
      <c r="M38" s="706">
        <f>(N38*1000000000)/1310.39</f>
        <v>138126817.207091</v>
      </c>
      <c r="N38" s="750">
        <v>181</v>
      </c>
      <c r="O38" s="750">
        <f t="shared" si="1"/>
        <v>183.715</v>
      </c>
      <c r="P38" s="751">
        <f t="shared" si="10"/>
        <v>18403.042452487942</v>
      </c>
      <c r="Q38" s="751">
        <f>(N38*1000000000)/I38</f>
        <v>24115162.799315676</v>
      </c>
      <c r="R38" s="709">
        <f t="shared" si="2"/>
        <v>7294836.7467929926</v>
      </c>
      <c r="S38" s="752">
        <f t="shared" si="12"/>
        <v>24.115162799315677</v>
      </c>
      <c r="T38" s="751">
        <f t="shared" si="13"/>
        <v>5566.9203418776024</v>
      </c>
      <c r="U38" s="751">
        <f t="shared" si="5"/>
        <v>517.18432370029473</v>
      </c>
      <c r="V38" s="733">
        <v>4.3999999999999997E-2</v>
      </c>
      <c r="W38" s="753">
        <v>45260</v>
      </c>
      <c r="X38" s="747" t="s">
        <v>517</v>
      </c>
      <c r="Y38" s="747" t="s">
        <v>518</v>
      </c>
      <c r="Z38" s="747"/>
      <c r="AA38" s="435"/>
      <c r="AB38" s="435"/>
      <c r="AC38" s="747" t="s">
        <v>617</v>
      </c>
      <c r="AD38" s="746" t="s">
        <v>666</v>
      </c>
      <c r="AE38" s="754" t="s">
        <v>667</v>
      </c>
      <c r="AF38" s="94"/>
    </row>
    <row r="39" spans="1:32" s="67" customFormat="1" ht="92.25" hidden="1" customHeight="1">
      <c r="A39" s="755" t="s">
        <v>668</v>
      </c>
      <c r="B39" s="756" t="s">
        <v>669</v>
      </c>
      <c r="C39" s="756" t="s">
        <v>670</v>
      </c>
      <c r="D39" s="755" t="str">
        <f t="shared" si="0"/>
        <v>Bundang-gu - BBD</v>
      </c>
      <c r="E39" s="757">
        <v>35814</v>
      </c>
      <c r="F39" s="758">
        <f t="shared" ca="1" si="14"/>
        <v>28.210958904109589</v>
      </c>
      <c r="G39" s="719">
        <f t="shared" si="8"/>
        <v>1998</v>
      </c>
      <c r="H39" s="758"/>
      <c r="I39" s="680">
        <f>J39*0.3025</f>
        <v>5275.3731250000001</v>
      </c>
      <c r="J39" s="681">
        <v>17439.25</v>
      </c>
      <c r="K39" s="681"/>
      <c r="L39" s="682">
        <f t="shared" si="7"/>
        <v>187714.34307499998</v>
      </c>
      <c r="M39" s="683">
        <f>(N39*1000000000)/1310.39</f>
        <v>72192248.109341487</v>
      </c>
      <c r="N39" s="759">
        <v>94.6</v>
      </c>
      <c r="O39" s="759">
        <f t="shared" si="1"/>
        <v>96.018999999999991</v>
      </c>
      <c r="P39" s="760">
        <f>M39/I39</f>
        <v>13684.766252309686</v>
      </c>
      <c r="Q39" s="760">
        <f>(N39*1000000000)/I39</f>
        <v>17932380.849364091</v>
      </c>
      <c r="R39" s="686">
        <f t="shared" si="2"/>
        <v>5424545.2069326378</v>
      </c>
      <c r="S39" s="761">
        <f>Q39/1000000</f>
        <v>17.93238084936409</v>
      </c>
      <c r="T39" s="760">
        <f>M39/J39</f>
        <v>4139.6417913236801</v>
      </c>
      <c r="U39" s="760">
        <f t="shared" si="5"/>
        <v>384.58567910549897</v>
      </c>
      <c r="V39" s="741">
        <v>4.9000000000000002E-2</v>
      </c>
      <c r="W39" s="282">
        <v>45265</v>
      </c>
      <c r="X39" s="756" t="s">
        <v>517</v>
      </c>
      <c r="Y39" s="756" t="s">
        <v>518</v>
      </c>
      <c r="Z39" s="756"/>
      <c r="AA39" s="435"/>
      <c r="AB39" s="435"/>
      <c r="AC39" s="756" t="s">
        <v>671</v>
      </c>
      <c r="AD39" s="755" t="s">
        <v>672</v>
      </c>
      <c r="AE39" s="528" t="s">
        <v>673</v>
      </c>
      <c r="AF39" s="94"/>
    </row>
    <row r="40" spans="1:32" s="67" customFormat="1" ht="80.25" customHeight="1">
      <c r="A40" s="762" t="s">
        <v>674</v>
      </c>
      <c r="B40" s="763" t="s">
        <v>675</v>
      </c>
      <c r="C40" s="763" t="s">
        <v>567</v>
      </c>
      <c r="D40" s="762" t="str">
        <f t="shared" si="0"/>
        <v>Gangnam-gu - GBD</v>
      </c>
      <c r="E40" s="764">
        <v>45505</v>
      </c>
      <c r="F40" s="765">
        <f t="shared" ca="1" si="14"/>
        <v>1.6602739726027398</v>
      </c>
      <c r="G40" s="714">
        <f t="shared" si="8"/>
        <v>2024</v>
      </c>
      <c r="H40" s="765"/>
      <c r="I40" s="691">
        <f>J40*0.3025</f>
        <v>7837.9444000000003</v>
      </c>
      <c r="J40" s="692">
        <v>25910.560000000001</v>
      </c>
      <c r="K40" s="692"/>
      <c r="L40" s="693">
        <f t="shared" si="7"/>
        <v>278898.67678400001</v>
      </c>
      <c r="M40" s="694">
        <f>(N40*1000000000)/1310.39</f>
        <v>262228924.21340209</v>
      </c>
      <c r="N40" s="766">
        <v>343.62216000000001</v>
      </c>
      <c r="O40" s="766">
        <f t="shared" si="1"/>
        <v>348.77649240000005</v>
      </c>
      <c r="P40" s="767">
        <f>M40/I40</f>
        <v>33456.338911182131</v>
      </c>
      <c r="Q40" s="767">
        <f>(N40*1000000000)/I40</f>
        <v>43840851.94582396</v>
      </c>
      <c r="R40" s="697">
        <f t="shared" si="2"/>
        <v>13261857.713611746</v>
      </c>
      <c r="S40" s="768">
        <f>Q40/1000000</f>
        <v>43.840851945823957</v>
      </c>
      <c r="T40" s="767">
        <f>M40/J40</f>
        <v>10120.542520632594</v>
      </c>
      <c r="U40" s="767">
        <f t="shared" si="5"/>
        <v>940.23007651804596</v>
      </c>
      <c r="V40" s="727">
        <v>3.9E-2</v>
      </c>
      <c r="W40" s="770">
        <v>45288</v>
      </c>
      <c r="X40" s="763" t="s">
        <v>517</v>
      </c>
      <c r="Y40" s="763" t="s">
        <v>518</v>
      </c>
      <c r="Z40" s="763"/>
      <c r="AA40" s="699"/>
      <c r="AB40" s="699"/>
      <c r="AC40" s="763" t="s">
        <v>591</v>
      </c>
      <c r="AD40" s="762" t="s">
        <v>676</v>
      </c>
      <c r="AE40" s="771" t="s">
        <v>677</v>
      </c>
      <c r="AF40" s="94"/>
    </row>
    <row r="41" spans="1:32" s="96" customFormat="1" ht="78.75" hidden="1" customHeight="1">
      <c r="A41" s="772" t="s">
        <v>678</v>
      </c>
      <c r="B41" s="773" t="s">
        <v>645</v>
      </c>
      <c r="C41" s="773" t="s">
        <v>186</v>
      </c>
      <c r="D41" s="772" t="str">
        <f t="shared" si="0"/>
        <v>Jongro-gu - CBD</v>
      </c>
      <c r="E41" s="774">
        <v>42328</v>
      </c>
      <c r="F41" s="775">
        <f t="shared" ca="1" si="14"/>
        <v>10.364383561643836</v>
      </c>
      <c r="G41" s="776">
        <f t="shared" si="8"/>
        <v>2015</v>
      </c>
      <c r="H41" s="775"/>
      <c r="I41" s="777">
        <v>10511.027999999998</v>
      </c>
      <c r="J41" s="778">
        <f t="shared" ref="J41:J42" si="16">I41/0.3025</f>
        <v>34747.199999999997</v>
      </c>
      <c r="K41" s="778"/>
      <c r="L41" s="779">
        <f t="shared" si="7"/>
        <v>374015.38607999997</v>
      </c>
      <c r="M41" s="780">
        <f t="shared" ref="M41:M42" si="17">(N41*1000000000)/1331.74</f>
        <v>217009326.14474297</v>
      </c>
      <c r="N41" s="781">
        <v>289</v>
      </c>
      <c r="O41" s="781">
        <f t="shared" si="1"/>
        <v>293.33500000000004</v>
      </c>
      <c r="P41" s="782">
        <f t="shared" ref="P41:P42" si="18">M41/I41</f>
        <v>20645.870807759526</v>
      </c>
      <c r="Q41" s="782">
        <f t="shared" ref="Q41:Q42" si="19">(N41*1000000000)/I41</f>
        <v>27494931.989525672</v>
      </c>
      <c r="R41" s="783">
        <f t="shared" si="2"/>
        <v>8317216.9268315155</v>
      </c>
      <c r="S41" s="784">
        <f t="shared" ref="S41:S42" si="20">Q41/1000000</f>
        <v>27.494931989525671</v>
      </c>
      <c r="T41" s="782">
        <f t="shared" ref="T41:T42" si="21">M41/J41</f>
        <v>6245.3759193472561</v>
      </c>
      <c r="U41" s="782">
        <f t="shared" si="5"/>
        <v>580.21497034971117</v>
      </c>
      <c r="V41" s="785">
        <v>4.3999999999999997E-2</v>
      </c>
      <c r="W41" s="786">
        <v>45379</v>
      </c>
      <c r="X41" s="773" t="s">
        <v>517</v>
      </c>
      <c r="Y41" s="773" t="s">
        <v>518</v>
      </c>
      <c r="Z41" s="773"/>
      <c r="AA41" s="435"/>
      <c r="AB41" s="435"/>
      <c r="AC41" s="773" t="s">
        <v>679</v>
      </c>
      <c r="AD41" s="772" t="s">
        <v>680</v>
      </c>
      <c r="AE41" s="787" t="s">
        <v>681</v>
      </c>
      <c r="AF41" s="95"/>
    </row>
    <row r="42" spans="1:32" s="96" customFormat="1" ht="81" customHeight="1">
      <c r="A42" s="762" t="s">
        <v>682</v>
      </c>
      <c r="B42" s="763" t="s">
        <v>660</v>
      </c>
      <c r="C42" s="763" t="s">
        <v>187</v>
      </c>
      <c r="D42" s="762" t="str">
        <f t="shared" si="0"/>
        <v>Songpa-gu - GBD</v>
      </c>
      <c r="E42" s="764">
        <v>35426</v>
      </c>
      <c r="F42" s="765">
        <f t="shared" ca="1" si="14"/>
        <v>29.273972602739725</v>
      </c>
      <c r="G42" s="714">
        <f t="shared" si="8"/>
        <v>1996</v>
      </c>
      <c r="H42" s="765"/>
      <c r="I42" s="691">
        <v>8413.7350000000006</v>
      </c>
      <c r="J42" s="692">
        <f t="shared" si="16"/>
        <v>27814.000000000004</v>
      </c>
      <c r="K42" s="692"/>
      <c r="L42" s="693">
        <f t="shared" si="7"/>
        <v>299387.11460000003</v>
      </c>
      <c r="M42" s="694">
        <f t="shared" si="17"/>
        <v>123898058.17952453</v>
      </c>
      <c r="N42" s="766">
        <v>165</v>
      </c>
      <c r="O42" s="766">
        <f t="shared" si="1"/>
        <v>167.47500000000002</v>
      </c>
      <c r="P42" s="767">
        <f t="shared" si="18"/>
        <v>14725.690573749294</v>
      </c>
      <c r="Q42" s="767">
        <f t="shared" si="19"/>
        <v>19610791.164684884</v>
      </c>
      <c r="R42" s="697">
        <f t="shared" si="2"/>
        <v>5932264.3273171773</v>
      </c>
      <c r="S42" s="768">
        <f t="shared" si="20"/>
        <v>19.610791164684883</v>
      </c>
      <c r="T42" s="767">
        <f t="shared" si="21"/>
        <v>4454.5213985591608</v>
      </c>
      <c r="U42" s="767">
        <f t="shared" si="5"/>
        <v>413.83898016138772</v>
      </c>
      <c r="V42" s="727">
        <v>4.8000000000000001E-2</v>
      </c>
      <c r="W42" s="770">
        <v>45355</v>
      </c>
      <c r="X42" s="763" t="s">
        <v>517</v>
      </c>
      <c r="Y42" s="763" t="s">
        <v>518</v>
      </c>
      <c r="Z42" s="763"/>
      <c r="AA42" s="699"/>
      <c r="AB42" s="699"/>
      <c r="AC42" s="763" t="s">
        <v>683</v>
      </c>
      <c r="AD42" s="762" t="s">
        <v>684</v>
      </c>
      <c r="AE42" s="771" t="s">
        <v>685</v>
      </c>
      <c r="AF42" s="95"/>
    </row>
    <row r="43" spans="1:32" s="96" customFormat="1" ht="135" customHeight="1">
      <c r="A43" s="762" t="s">
        <v>686</v>
      </c>
      <c r="B43" s="763" t="s">
        <v>675</v>
      </c>
      <c r="C43" s="763" t="s">
        <v>187</v>
      </c>
      <c r="D43" s="762" t="str">
        <f t="shared" si="0"/>
        <v>Gangnam-gu - GBD</v>
      </c>
      <c r="E43" s="764">
        <v>36768</v>
      </c>
      <c r="F43" s="765">
        <f ca="1">($E$5-E43)/365</f>
        <v>25.597260273972601</v>
      </c>
      <c r="G43" s="714">
        <f t="shared" si="8"/>
        <v>2000</v>
      </c>
      <c r="H43" s="765"/>
      <c r="I43" s="691">
        <v>7982.6089750000001</v>
      </c>
      <c r="J43" s="692">
        <f>I43/0.3025</f>
        <v>26388.79</v>
      </c>
      <c r="K43" s="692"/>
      <c r="L43" s="693">
        <f>J43*10.7639</f>
        <v>284046.29668099998</v>
      </c>
      <c r="M43" s="694">
        <f>(N43*1000000000)/1331.74</f>
        <v>246069052.51775873</v>
      </c>
      <c r="N43" s="766">
        <v>327.7</v>
      </c>
      <c r="O43" s="766">
        <f t="shared" si="1"/>
        <v>332.6155</v>
      </c>
      <c r="P43" s="767">
        <f>M43/I43</f>
        <v>30825.642755194422</v>
      </c>
      <c r="Q43" s="767">
        <f>(N43*1000000000)/I43</f>
        <v>41051741.482802622</v>
      </c>
      <c r="R43" s="697">
        <f>(N43*1000000000)/J43</f>
        <v>12418151.798547791</v>
      </c>
      <c r="S43" s="768">
        <f>Q43/1000000</f>
        <v>41.051741482802619</v>
      </c>
      <c r="T43" s="767">
        <f>M43/J43</f>
        <v>9324.7569334463133</v>
      </c>
      <c r="U43" s="767">
        <f t="shared" si="5"/>
        <v>866.29910473400105</v>
      </c>
      <c r="V43" s="727">
        <v>0.04</v>
      </c>
      <c r="W43" s="770">
        <v>45380</v>
      </c>
      <c r="X43" s="763" t="s">
        <v>517</v>
      </c>
      <c r="Y43" s="763" t="s">
        <v>518</v>
      </c>
      <c r="Z43" s="763"/>
      <c r="AA43" s="699"/>
      <c r="AB43" s="699"/>
      <c r="AC43" s="763" t="s">
        <v>687</v>
      </c>
      <c r="AD43" s="762" t="s">
        <v>688</v>
      </c>
      <c r="AE43" s="771" t="s">
        <v>689</v>
      </c>
      <c r="AF43" s="95"/>
    </row>
    <row r="44" spans="1:32" s="440" customFormat="1" ht="102.75" customHeight="1">
      <c r="A44" s="699" t="s">
        <v>690</v>
      </c>
      <c r="B44" s="788" t="s">
        <v>691</v>
      </c>
      <c r="C44" s="789" t="s">
        <v>187</v>
      </c>
      <c r="D44" s="790" t="str">
        <f t="shared" si="0"/>
        <v>Gangnam-gu - GBD</v>
      </c>
      <c r="E44" s="791">
        <v>35853</v>
      </c>
      <c r="F44" s="792">
        <f ca="1">($E$5-E44)/365</f>
        <v>28.104109589041094</v>
      </c>
      <c r="G44" s="714">
        <f t="shared" si="8"/>
        <v>1998</v>
      </c>
      <c r="H44" s="792"/>
      <c r="I44" s="691">
        <v>18974.406274999998</v>
      </c>
      <c r="J44" s="692">
        <f>I44/0.3025</f>
        <v>62725.30999999999</v>
      </c>
      <c r="K44" s="692"/>
      <c r="L44" s="693">
        <f>J44*10.7639</f>
        <v>675168.96430899983</v>
      </c>
      <c r="M44" s="694">
        <f>(N44*1000000000)/1331.74</f>
        <v>594485203.56826413</v>
      </c>
      <c r="N44" s="793">
        <v>791.69972499999994</v>
      </c>
      <c r="O44" s="794">
        <f t="shared" si="1"/>
        <v>803.57522087500001</v>
      </c>
      <c r="P44" s="795">
        <f>M44/I44</f>
        <v>31330.898840905324</v>
      </c>
      <c r="Q44" s="795">
        <f>(N44*1000000000)/I44</f>
        <v>41724611.222387254</v>
      </c>
      <c r="R44" s="796">
        <f>(N44*1000000000)/J44</f>
        <v>12621694.894772144</v>
      </c>
      <c r="S44" s="793">
        <f>Q44/1000000</f>
        <v>41.724611222387253</v>
      </c>
      <c r="T44" s="795">
        <f>M44/J44</f>
        <v>9477.5968993738607</v>
      </c>
      <c r="U44" s="795">
        <f t="shared" si="5"/>
        <v>880.49841594346492</v>
      </c>
      <c r="V44" s="797">
        <v>4.2999999999999997E-2</v>
      </c>
      <c r="W44" s="770">
        <v>45371</v>
      </c>
      <c r="X44" s="788" t="s">
        <v>517</v>
      </c>
      <c r="Y44" s="788" t="s">
        <v>518</v>
      </c>
      <c r="Z44" s="788"/>
      <c r="AA44" s="699"/>
      <c r="AB44" s="699"/>
      <c r="AC44" s="699" t="s">
        <v>692</v>
      </c>
      <c r="AD44" s="699" t="s">
        <v>693</v>
      </c>
      <c r="AE44" s="771" t="s">
        <v>694</v>
      </c>
      <c r="AF44" s="439"/>
    </row>
    <row r="45" spans="1:32" s="440" customFormat="1" ht="135" hidden="1" customHeight="1">
      <c r="A45" s="435" t="s">
        <v>695</v>
      </c>
      <c r="B45" s="511" t="s">
        <v>241</v>
      </c>
      <c r="C45" s="512" t="s">
        <v>186</v>
      </c>
      <c r="D45" s="513" t="str">
        <f t="shared" si="0"/>
        <v>Jung-gu - CBD</v>
      </c>
      <c r="E45" s="514">
        <v>35642</v>
      </c>
      <c r="F45" s="515">
        <f t="shared" ref="F45:F60" ca="1" si="22">($E$5-E45)/365</f>
        <v>28.682191780821917</v>
      </c>
      <c r="G45" s="776">
        <f t="shared" si="8"/>
        <v>1997</v>
      </c>
      <c r="H45" s="515"/>
      <c r="I45" s="777">
        <v>8320.7870954999999</v>
      </c>
      <c r="J45" s="778">
        <f t="shared" ref="J45:J53" si="23">I45/0.3025</f>
        <v>27506.734199999999</v>
      </c>
      <c r="K45" s="778"/>
      <c r="L45" s="779">
        <f t="shared" ref="L45:L60" si="24">J45*10.7639</f>
        <v>296079.73625537998</v>
      </c>
      <c r="M45" s="780">
        <f t="shared" ref="M45:M46" si="25">(N45*1000000000)/1331.74</f>
        <v>230525477.94614565</v>
      </c>
      <c r="N45" s="516">
        <v>307</v>
      </c>
      <c r="O45" s="517">
        <f t="shared" si="1"/>
        <v>311.60500000000002</v>
      </c>
      <c r="P45" s="518">
        <f t="shared" ref="P45:P46" si="26">M45/I45</f>
        <v>27704.768226892516</v>
      </c>
      <c r="Q45" s="518">
        <f t="shared" ref="Q45:Q60" si="27">(N45*1000000000)/I45</f>
        <v>36895548.038481839</v>
      </c>
      <c r="R45" s="519">
        <f t="shared" ref="R45:R60" si="28">(N45*1000000000)/J45</f>
        <v>11160903.281640755</v>
      </c>
      <c r="S45" s="516">
        <f t="shared" ref="S45:S60" si="29">Q45/1000000</f>
        <v>36.895548038481842</v>
      </c>
      <c r="T45" s="518">
        <f t="shared" ref="T45:T60" si="30">M45/J45</f>
        <v>8380.6923886349869</v>
      </c>
      <c r="U45" s="518">
        <f t="shared" si="5"/>
        <v>778.59255368732397</v>
      </c>
      <c r="V45" s="520">
        <v>3.9E-2</v>
      </c>
      <c r="W45" s="786">
        <v>45372</v>
      </c>
      <c r="X45" s="511" t="s">
        <v>517</v>
      </c>
      <c r="Y45" s="511" t="s">
        <v>518</v>
      </c>
      <c r="Z45" s="511"/>
      <c r="AA45" s="435"/>
      <c r="AB45" s="435"/>
      <c r="AC45" s="435" t="s">
        <v>696</v>
      </c>
      <c r="AD45" s="435" t="s">
        <v>697</v>
      </c>
      <c r="AE45" s="787" t="s">
        <v>698</v>
      </c>
      <c r="AF45" s="439"/>
    </row>
    <row r="46" spans="1:32" s="440" customFormat="1" ht="65.25" customHeight="1">
      <c r="A46" s="699" t="s">
        <v>699</v>
      </c>
      <c r="B46" s="788" t="s">
        <v>691</v>
      </c>
      <c r="C46" s="789" t="s">
        <v>187</v>
      </c>
      <c r="D46" s="790" t="str">
        <f t="shared" si="0"/>
        <v>Gangnam-gu - GBD</v>
      </c>
      <c r="E46" s="791">
        <v>43028</v>
      </c>
      <c r="F46" s="792">
        <f t="shared" ca="1" si="22"/>
        <v>8.4465753424657528</v>
      </c>
      <c r="G46" s="714">
        <f t="shared" si="8"/>
        <v>2017</v>
      </c>
      <c r="H46" s="792"/>
      <c r="I46" s="691">
        <v>5922.8380750000006</v>
      </c>
      <c r="J46" s="692">
        <f t="shared" si="23"/>
        <v>19579.63</v>
      </c>
      <c r="K46" s="692"/>
      <c r="L46" s="693">
        <f t="shared" si="24"/>
        <v>210753.17935700002</v>
      </c>
      <c r="M46" s="694">
        <f t="shared" si="25"/>
        <v>153436857.04416779</v>
      </c>
      <c r="N46" s="793">
        <v>204.33799999999999</v>
      </c>
      <c r="O46" s="794">
        <f t="shared" si="1"/>
        <v>207.40306999999999</v>
      </c>
      <c r="P46" s="795">
        <f t="shared" si="26"/>
        <v>25905.968574730581</v>
      </c>
      <c r="Q46" s="795">
        <f t="shared" si="27"/>
        <v>34500014.589711703</v>
      </c>
      <c r="R46" s="796">
        <f t="shared" si="28"/>
        <v>10436254.41338779</v>
      </c>
      <c r="S46" s="793">
        <f t="shared" si="29"/>
        <v>34.500014589711704</v>
      </c>
      <c r="T46" s="795">
        <f t="shared" si="30"/>
        <v>7836.5554938560017</v>
      </c>
      <c r="U46" s="795">
        <f t="shared" si="5"/>
        <v>728.04053306478147</v>
      </c>
      <c r="V46" s="797">
        <v>0.04</v>
      </c>
      <c r="W46" s="770">
        <v>45380</v>
      </c>
      <c r="X46" s="788" t="s">
        <v>517</v>
      </c>
      <c r="Y46" s="788" t="s">
        <v>518</v>
      </c>
      <c r="Z46" s="788"/>
      <c r="AA46" s="699"/>
      <c r="AB46" s="699"/>
      <c r="AC46" s="699" t="s">
        <v>700</v>
      </c>
      <c r="AD46" s="699" t="s">
        <v>701</v>
      </c>
      <c r="AE46" s="771"/>
      <c r="AF46" s="439"/>
    </row>
    <row r="47" spans="1:32" s="440" customFormat="1" ht="93.75" customHeight="1">
      <c r="A47" s="699" t="s">
        <v>702</v>
      </c>
      <c r="B47" s="788" t="s">
        <v>691</v>
      </c>
      <c r="C47" s="789" t="s">
        <v>187</v>
      </c>
      <c r="D47" s="790" t="str">
        <f t="shared" si="0"/>
        <v>Gangnam-gu - GBD</v>
      </c>
      <c r="E47" s="791">
        <v>34323</v>
      </c>
      <c r="F47" s="792">
        <f t="shared" ca="1" si="22"/>
        <v>32.295890410958904</v>
      </c>
      <c r="G47" s="714">
        <f t="shared" si="8"/>
        <v>1993</v>
      </c>
      <c r="H47" s="792"/>
      <c r="I47" s="691">
        <v>4559.8426499999996</v>
      </c>
      <c r="J47" s="692">
        <f t="shared" si="23"/>
        <v>15073.859999999999</v>
      </c>
      <c r="K47" s="692"/>
      <c r="L47" s="693">
        <f t="shared" si="24"/>
        <v>162253.52165399998</v>
      </c>
      <c r="M47" s="694">
        <f>(N47*1000000000)/1331.74</f>
        <v>110381906.37812185</v>
      </c>
      <c r="N47" s="793">
        <v>147</v>
      </c>
      <c r="O47" s="794">
        <f>N47*0.001015*1000</f>
        <v>149.20500000000001</v>
      </c>
      <c r="P47" s="795">
        <f>M47/I47</f>
        <v>24207.393730597669</v>
      </c>
      <c r="Q47" s="795">
        <f t="shared" si="27"/>
        <v>32237954.526786141</v>
      </c>
      <c r="R47" s="796">
        <f t="shared" si="28"/>
        <v>9751981.2443528082</v>
      </c>
      <c r="S47" s="793">
        <f t="shared" si="29"/>
        <v>32.23795452678614</v>
      </c>
      <c r="T47" s="795">
        <f t="shared" si="30"/>
        <v>7322.7366035057948</v>
      </c>
      <c r="U47" s="795">
        <f t="shared" si="5"/>
        <v>680.30514994619</v>
      </c>
      <c r="V47" s="797">
        <v>3.7999999999999999E-2</v>
      </c>
      <c r="W47" s="770">
        <v>45422</v>
      </c>
      <c r="X47" s="788" t="s">
        <v>517</v>
      </c>
      <c r="Y47" s="788" t="s">
        <v>518</v>
      </c>
      <c r="Z47" s="788"/>
      <c r="AA47" s="788"/>
      <c r="AB47" s="788"/>
      <c r="AC47" s="788" t="s">
        <v>703</v>
      </c>
      <c r="AD47" s="788" t="s">
        <v>704</v>
      </c>
      <c r="AE47" s="771" t="s">
        <v>705</v>
      </c>
      <c r="AF47" s="439"/>
    </row>
    <row r="48" spans="1:32" s="478" customFormat="1" ht="111" customHeight="1">
      <c r="A48" s="699" t="s">
        <v>706</v>
      </c>
      <c r="B48" s="699" t="s">
        <v>691</v>
      </c>
      <c r="C48" s="790" t="s">
        <v>187</v>
      </c>
      <c r="D48" s="790" t="str">
        <f t="shared" si="0"/>
        <v>Gangnam-gu - GBD</v>
      </c>
      <c r="E48" s="798">
        <v>35039</v>
      </c>
      <c r="F48" s="799">
        <f t="shared" ca="1" si="22"/>
        <v>30.334246575342465</v>
      </c>
      <c r="G48" s="714">
        <f t="shared" si="8"/>
        <v>1995</v>
      </c>
      <c r="H48" s="799"/>
      <c r="I48" s="691">
        <v>12245.218149999999</v>
      </c>
      <c r="J48" s="692">
        <f t="shared" si="23"/>
        <v>40480.06</v>
      </c>
      <c r="K48" s="692"/>
      <c r="L48" s="693">
        <f t="shared" si="24"/>
        <v>435723.31783399999</v>
      </c>
      <c r="M48" s="694">
        <f t="shared" ref="M48:M60" si="31">(N48*1000000000)/1331.74</f>
        <v>330995539.66990554</v>
      </c>
      <c r="N48" s="800">
        <v>440.8</v>
      </c>
      <c r="O48" s="801">
        <f t="shared" ref="O48:O60" si="32">N48*0.001015*1000</f>
        <v>447.41200000000003</v>
      </c>
      <c r="P48" s="802">
        <f t="shared" ref="P48:P60" si="33">M48/I48</f>
        <v>27030.595585584204</v>
      </c>
      <c r="Q48" s="802">
        <f t="shared" si="27"/>
        <v>35997725.365145907</v>
      </c>
      <c r="R48" s="803">
        <f t="shared" si="28"/>
        <v>10889311.922956636</v>
      </c>
      <c r="S48" s="800">
        <f t="shared" si="29"/>
        <v>35.997725365145904</v>
      </c>
      <c r="T48" s="802">
        <f t="shared" si="30"/>
        <v>8176.7551646392212</v>
      </c>
      <c r="U48" s="802">
        <f t="shared" si="5"/>
        <v>759.6461472736853</v>
      </c>
      <c r="V48" s="804">
        <v>3.3000000000000002E-2</v>
      </c>
      <c r="W48" s="770">
        <v>45490</v>
      </c>
      <c r="X48" s="699" t="s">
        <v>517</v>
      </c>
      <c r="Y48" s="699" t="s">
        <v>518</v>
      </c>
      <c r="Z48" s="699"/>
      <c r="AA48" s="699"/>
      <c r="AB48" s="699"/>
      <c r="AC48" s="699" t="s">
        <v>707</v>
      </c>
      <c r="AD48" s="699" t="s">
        <v>708</v>
      </c>
      <c r="AE48" s="771" t="s">
        <v>709</v>
      </c>
      <c r="AF48" s="28"/>
    </row>
    <row r="49" spans="1:32" s="478" customFormat="1" ht="120" hidden="1" customHeight="1">
      <c r="A49" s="435" t="s">
        <v>710</v>
      </c>
      <c r="B49" s="435" t="s">
        <v>241</v>
      </c>
      <c r="C49" s="513" t="s">
        <v>186</v>
      </c>
      <c r="D49" s="513" t="str">
        <f t="shared" si="0"/>
        <v>Jung-gu - CBD</v>
      </c>
      <c r="E49" s="521">
        <v>43656</v>
      </c>
      <c r="F49" s="522">
        <f t="shared" ca="1" si="22"/>
        <v>6.7260273972602738</v>
      </c>
      <c r="G49" s="717">
        <f t="shared" si="8"/>
        <v>2019</v>
      </c>
      <c r="H49" s="522"/>
      <c r="I49" s="703">
        <v>11570.900275</v>
      </c>
      <c r="J49" s="704">
        <f t="shared" si="23"/>
        <v>38250.910000000003</v>
      </c>
      <c r="K49" s="704"/>
      <c r="L49" s="705">
        <f t="shared" si="24"/>
        <v>411728.970149</v>
      </c>
      <c r="M49" s="706">
        <f t="shared" si="31"/>
        <v>321476414.31510657</v>
      </c>
      <c r="N49" s="523">
        <v>428.12299999999999</v>
      </c>
      <c r="O49" s="524">
        <f t="shared" si="32"/>
        <v>434.54484500000001</v>
      </c>
      <c r="P49" s="525">
        <f t="shared" si="33"/>
        <v>27783.180796198383</v>
      </c>
      <c r="Q49" s="525">
        <f t="shared" si="27"/>
        <v>36999973.193529233</v>
      </c>
      <c r="R49" s="526">
        <f t="shared" si="28"/>
        <v>11192491.891042592</v>
      </c>
      <c r="S49" s="523">
        <f t="shared" si="29"/>
        <v>36.999973193529236</v>
      </c>
      <c r="T49" s="525">
        <f t="shared" si="30"/>
        <v>8404.4121908500092</v>
      </c>
      <c r="U49" s="525">
        <f t="shared" si="5"/>
        <v>780.79619755386159</v>
      </c>
      <c r="V49" s="527">
        <v>3.5000000000000003E-2</v>
      </c>
      <c r="W49" s="786">
        <v>45502</v>
      </c>
      <c r="X49" s="435" t="s">
        <v>517</v>
      </c>
      <c r="Y49" s="435" t="s">
        <v>518</v>
      </c>
      <c r="Z49" s="435"/>
      <c r="AA49" s="435"/>
      <c r="AB49" s="435"/>
      <c r="AC49" s="435" t="s">
        <v>711</v>
      </c>
      <c r="AD49" s="435" t="s">
        <v>712</v>
      </c>
      <c r="AE49" s="754" t="s">
        <v>713</v>
      </c>
      <c r="AF49" s="28"/>
    </row>
    <row r="50" spans="1:32" s="478" customFormat="1" ht="135" hidden="1" customHeight="1">
      <c r="A50" s="435" t="s">
        <v>714</v>
      </c>
      <c r="B50" s="435" t="s">
        <v>241</v>
      </c>
      <c r="C50" s="513" t="s">
        <v>186</v>
      </c>
      <c r="D50" s="513" t="str">
        <f t="shared" si="0"/>
        <v>Jung-gu - CBD</v>
      </c>
      <c r="E50" s="521">
        <v>32078</v>
      </c>
      <c r="F50" s="522">
        <f t="shared" ca="1" si="22"/>
        <v>38.446575342465756</v>
      </c>
      <c r="G50" s="264">
        <f t="shared" si="8"/>
        <v>1987</v>
      </c>
      <c r="H50" s="522"/>
      <c r="I50" s="494">
        <v>22495.500224999996</v>
      </c>
      <c r="J50" s="495">
        <f t="shared" si="23"/>
        <v>74365.289999999994</v>
      </c>
      <c r="K50" s="495"/>
      <c r="L50" s="496">
        <f t="shared" si="24"/>
        <v>800460.54503099993</v>
      </c>
      <c r="M50" s="497">
        <f t="shared" si="31"/>
        <v>606725036.41852009</v>
      </c>
      <c r="N50" s="523">
        <v>808</v>
      </c>
      <c r="O50" s="524">
        <f t="shared" si="32"/>
        <v>820.12000000000012</v>
      </c>
      <c r="P50" s="525">
        <f t="shared" si="33"/>
        <v>26970.951094665874</v>
      </c>
      <c r="Q50" s="525">
        <f t="shared" si="27"/>
        <v>35918294.410810336</v>
      </c>
      <c r="R50" s="526">
        <f t="shared" si="28"/>
        <v>10865284.059270125</v>
      </c>
      <c r="S50" s="523">
        <f t="shared" si="29"/>
        <v>35.91829441081034</v>
      </c>
      <c r="T50" s="525">
        <f t="shared" si="30"/>
        <v>8158.7127061364263</v>
      </c>
      <c r="U50" s="525">
        <f t="shared" si="5"/>
        <v>757.9699464075685</v>
      </c>
      <c r="V50" s="527">
        <v>4.7E-2</v>
      </c>
      <c r="W50" s="282">
        <v>45532</v>
      </c>
      <c r="X50" s="435" t="s">
        <v>517</v>
      </c>
      <c r="Y50" s="435" t="s">
        <v>518</v>
      </c>
      <c r="Z50" s="435"/>
      <c r="AA50" s="435"/>
      <c r="AB50" s="435"/>
      <c r="AC50" s="435" t="s">
        <v>715</v>
      </c>
      <c r="AD50" s="435" t="s">
        <v>716</v>
      </c>
      <c r="AE50" s="281" t="s">
        <v>717</v>
      </c>
      <c r="AF50" s="28"/>
    </row>
    <row r="51" spans="1:32" s="478" customFormat="1" ht="135" hidden="1" customHeight="1">
      <c r="A51" s="435" t="s">
        <v>718</v>
      </c>
      <c r="B51" s="435" t="s">
        <v>241</v>
      </c>
      <c r="C51" s="513" t="s">
        <v>186</v>
      </c>
      <c r="D51" s="513" t="str">
        <f t="shared" si="0"/>
        <v>Jung-gu - CBD</v>
      </c>
      <c r="E51" s="521">
        <v>25986</v>
      </c>
      <c r="F51" s="522">
        <f t="shared" ca="1" si="22"/>
        <v>55.136986301369866</v>
      </c>
      <c r="G51" s="264">
        <f t="shared" si="8"/>
        <v>1971</v>
      </c>
      <c r="H51" s="522"/>
      <c r="I51" s="494">
        <v>4159.0876249999992</v>
      </c>
      <c r="J51" s="495">
        <f t="shared" si="23"/>
        <v>13749.049999999997</v>
      </c>
      <c r="K51" s="495"/>
      <c r="L51" s="496">
        <f t="shared" si="24"/>
        <v>147993.39929499998</v>
      </c>
      <c r="M51" s="497">
        <f t="shared" si="31"/>
        <v>120237433.73331131</v>
      </c>
      <c r="N51" s="523">
        <v>160.125</v>
      </c>
      <c r="O51" s="524">
        <f t="shared" si="32"/>
        <v>162.52687500000002</v>
      </c>
      <c r="P51" s="525">
        <f t="shared" si="33"/>
        <v>28909.569736057518</v>
      </c>
      <c r="Q51" s="525">
        <f t="shared" si="27"/>
        <v>38500030.400297239</v>
      </c>
      <c r="R51" s="526">
        <f t="shared" si="28"/>
        <v>11646259.196089914</v>
      </c>
      <c r="S51" s="523">
        <f t="shared" si="29"/>
        <v>38.500030400297241</v>
      </c>
      <c r="T51" s="525">
        <f t="shared" si="30"/>
        <v>8745.1448451573979</v>
      </c>
      <c r="U51" s="525">
        <f t="shared" si="5"/>
        <v>812.45132760034915</v>
      </c>
      <c r="V51" s="527">
        <v>4.2999999999999997E-2</v>
      </c>
      <c r="W51" s="282">
        <v>45525</v>
      </c>
      <c r="X51" s="435" t="s">
        <v>517</v>
      </c>
      <c r="Y51" s="435" t="s">
        <v>518</v>
      </c>
      <c r="Z51" s="435"/>
      <c r="AA51" s="435"/>
      <c r="AB51" s="435"/>
      <c r="AC51" s="435" t="s">
        <v>719</v>
      </c>
      <c r="AD51" s="435" t="s">
        <v>257</v>
      </c>
      <c r="AE51" s="281" t="s">
        <v>720</v>
      </c>
      <c r="AF51" s="28"/>
    </row>
    <row r="52" spans="1:32" s="478" customFormat="1" ht="90" hidden="1" customHeight="1">
      <c r="A52" s="435" t="s">
        <v>721</v>
      </c>
      <c r="B52" s="435" t="s">
        <v>241</v>
      </c>
      <c r="C52" s="513" t="s">
        <v>186</v>
      </c>
      <c r="D52" s="513" t="str">
        <f t="shared" si="0"/>
        <v>Jung-gu - CBD</v>
      </c>
      <c r="E52" s="521">
        <v>34682</v>
      </c>
      <c r="F52" s="522">
        <f t="shared" ca="1" si="22"/>
        <v>31.312328767123287</v>
      </c>
      <c r="G52" s="264">
        <f t="shared" si="8"/>
        <v>1994</v>
      </c>
      <c r="H52" s="522"/>
      <c r="I52" s="494">
        <v>4567.2599499999997</v>
      </c>
      <c r="J52" s="495">
        <f t="shared" si="23"/>
        <v>15098.38</v>
      </c>
      <c r="K52" s="495"/>
      <c r="L52" s="496">
        <f t="shared" si="24"/>
        <v>162517.45248199999</v>
      </c>
      <c r="M52" s="497">
        <f t="shared" si="31"/>
        <v>89552765.554838032</v>
      </c>
      <c r="N52" s="523">
        <v>119.261</v>
      </c>
      <c r="O52" s="524">
        <f t="shared" si="32"/>
        <v>121.04991500000001</v>
      </c>
      <c r="P52" s="525">
        <f t="shared" si="33"/>
        <v>19607.547311783303</v>
      </c>
      <c r="Q52" s="525">
        <f t="shared" si="27"/>
        <v>26112155.056994293</v>
      </c>
      <c r="R52" s="526">
        <f t="shared" si="28"/>
        <v>7898926.9047407741</v>
      </c>
      <c r="S52" s="523">
        <f t="shared" si="29"/>
        <v>26.112155056994293</v>
      </c>
      <c r="T52" s="525">
        <f t="shared" si="30"/>
        <v>5931.283061814449</v>
      </c>
      <c r="U52" s="525">
        <f t="shared" si="5"/>
        <v>551.03476080365374</v>
      </c>
      <c r="V52" s="527">
        <v>3.9E-2</v>
      </c>
      <c r="W52" s="282">
        <v>45539</v>
      </c>
      <c r="X52" s="435" t="s">
        <v>517</v>
      </c>
      <c r="Y52" s="435" t="s">
        <v>518</v>
      </c>
      <c r="Z52" s="435"/>
      <c r="AA52" s="435"/>
      <c r="AB52" s="435"/>
      <c r="AC52" s="435" t="s">
        <v>704</v>
      </c>
      <c r="AD52" s="435" t="s">
        <v>722</v>
      </c>
      <c r="AE52" s="281" t="s">
        <v>723</v>
      </c>
      <c r="AF52" s="28"/>
    </row>
    <row r="53" spans="1:32" s="478" customFormat="1" ht="101.25" hidden="1" customHeight="1">
      <c r="A53" s="435" t="s">
        <v>724</v>
      </c>
      <c r="B53" s="435" t="s">
        <v>282</v>
      </c>
      <c r="C53" s="513" t="s">
        <v>188</v>
      </c>
      <c r="D53" s="513" t="str">
        <f t="shared" si="0"/>
        <v>Yeongdeungpo-gu - YBD</v>
      </c>
      <c r="E53" s="521">
        <v>39167</v>
      </c>
      <c r="F53" s="522">
        <f t="shared" ca="1" si="22"/>
        <v>19.024657534246575</v>
      </c>
      <c r="G53" s="719">
        <f t="shared" si="8"/>
        <v>2007</v>
      </c>
      <c r="H53" s="522"/>
      <c r="I53" s="680">
        <v>12326.451499999999</v>
      </c>
      <c r="J53" s="681">
        <f t="shared" si="23"/>
        <v>40748.6</v>
      </c>
      <c r="K53" s="681"/>
      <c r="L53" s="682">
        <f t="shared" si="24"/>
        <v>438613.85553999996</v>
      </c>
      <c r="M53" s="683">
        <f t="shared" si="31"/>
        <v>172706384.12903419</v>
      </c>
      <c r="N53" s="523">
        <v>230</v>
      </c>
      <c r="O53" s="524">
        <f t="shared" si="32"/>
        <v>233.45000000000002</v>
      </c>
      <c r="P53" s="525">
        <f t="shared" si="33"/>
        <v>14011.038304822292</v>
      </c>
      <c r="Q53" s="525">
        <f t="shared" si="27"/>
        <v>18659060.15206404</v>
      </c>
      <c r="R53" s="526">
        <f t="shared" si="28"/>
        <v>5644365.6959993718</v>
      </c>
      <c r="S53" s="523">
        <f t="shared" si="29"/>
        <v>18.65906015206404</v>
      </c>
      <c r="T53" s="525">
        <f t="shared" si="30"/>
        <v>4238.339087208743</v>
      </c>
      <c r="U53" s="525">
        <f t="shared" si="5"/>
        <v>393.75496680652401</v>
      </c>
      <c r="V53" s="527">
        <v>4.7E-2</v>
      </c>
      <c r="W53" s="282">
        <v>45539</v>
      </c>
      <c r="X53" s="435" t="s">
        <v>517</v>
      </c>
      <c r="Y53" s="435" t="s">
        <v>518</v>
      </c>
      <c r="Z53" s="435"/>
      <c r="AA53" s="435"/>
      <c r="AB53" s="435"/>
      <c r="AC53" s="435" t="s">
        <v>725</v>
      </c>
      <c r="AD53" s="435" t="s">
        <v>726</v>
      </c>
      <c r="AE53" s="528" t="s">
        <v>727</v>
      </c>
      <c r="AF53" s="28"/>
    </row>
    <row r="54" spans="1:32" s="478" customFormat="1" ht="92.25" customHeight="1">
      <c r="A54" s="699" t="s">
        <v>728</v>
      </c>
      <c r="B54" s="699" t="s">
        <v>729</v>
      </c>
      <c r="C54" s="790" t="s">
        <v>187</v>
      </c>
      <c r="D54" s="790" t="str">
        <f t="shared" si="0"/>
        <v>Seocho-gu - GBD</v>
      </c>
      <c r="E54" s="798">
        <v>39440</v>
      </c>
      <c r="F54" s="799">
        <f t="shared" ca="1" si="22"/>
        <v>18.276712328767122</v>
      </c>
      <c r="G54" s="714">
        <f t="shared" si="8"/>
        <v>2007</v>
      </c>
      <c r="H54" s="799"/>
      <c r="I54" s="691">
        <f>J54*0.3025</f>
        <v>24537.977199999998</v>
      </c>
      <c r="J54" s="692">
        <v>81117.279999999999</v>
      </c>
      <c r="K54" s="692"/>
      <c r="L54" s="693">
        <f t="shared" si="24"/>
        <v>873138.29019199999</v>
      </c>
      <c r="M54" s="694">
        <f t="shared" si="31"/>
        <v>829140823.28382421</v>
      </c>
      <c r="N54" s="800">
        <v>1104.2</v>
      </c>
      <c r="O54" s="801">
        <f t="shared" si="32"/>
        <v>1120.7630000000001</v>
      </c>
      <c r="P54" s="802">
        <f t="shared" si="33"/>
        <v>33790.104886226087</v>
      </c>
      <c r="Q54" s="802">
        <f t="shared" si="27"/>
        <v>44999634.281182729</v>
      </c>
      <c r="R54" s="803">
        <f t="shared" si="28"/>
        <v>13612389.370057773</v>
      </c>
      <c r="S54" s="800">
        <f t="shared" si="29"/>
        <v>44.999634281182729</v>
      </c>
      <c r="T54" s="802">
        <f t="shared" si="30"/>
        <v>10221.50672808339</v>
      </c>
      <c r="U54" s="802">
        <f t="shared" si="5"/>
        <v>949.60996739874861</v>
      </c>
      <c r="V54" s="804">
        <v>3.1099999999999999E-2</v>
      </c>
      <c r="W54" s="770">
        <v>45560</v>
      </c>
      <c r="X54" s="699" t="s">
        <v>517</v>
      </c>
      <c r="Y54" s="699" t="s">
        <v>518</v>
      </c>
      <c r="Z54" s="699"/>
      <c r="AA54" s="699"/>
      <c r="AB54" s="699"/>
      <c r="AC54" s="699" t="s">
        <v>730</v>
      </c>
      <c r="AD54" s="699" t="s">
        <v>556</v>
      </c>
      <c r="AE54" s="771" t="s">
        <v>731</v>
      </c>
      <c r="AF54" s="28"/>
    </row>
    <row r="55" spans="1:32" s="488" customFormat="1" ht="108" hidden="1" customHeight="1">
      <c r="A55" s="805" t="s">
        <v>732</v>
      </c>
      <c r="B55" s="805" t="s">
        <v>241</v>
      </c>
      <c r="C55" s="806" t="s">
        <v>733</v>
      </c>
      <c r="D55" s="806" t="str">
        <f t="shared" si="0"/>
        <v>Jung-gu -  CBD</v>
      </c>
      <c r="E55" s="807">
        <v>29556</v>
      </c>
      <c r="F55" s="808">
        <f t="shared" ca="1" si="22"/>
        <v>45.356164383561641</v>
      </c>
      <c r="G55" s="808">
        <f t="shared" si="8"/>
        <v>1980</v>
      </c>
      <c r="H55" s="808" t="s">
        <v>734</v>
      </c>
      <c r="I55" s="809">
        <f t="shared" ref="I55:I60" si="34">J55*0.3025</f>
        <v>9383.9583750000002</v>
      </c>
      <c r="J55" s="810">
        <v>31021.35</v>
      </c>
      <c r="K55" s="811" t="s">
        <v>735</v>
      </c>
      <c r="L55" s="812">
        <f t="shared" si="24"/>
        <v>333910.70926499995</v>
      </c>
      <c r="M55" s="813">
        <f t="shared" si="31"/>
        <v>186019793.65341583</v>
      </c>
      <c r="N55" s="814">
        <v>247.73</v>
      </c>
      <c r="O55" s="815">
        <f t="shared" si="32"/>
        <v>251.44595000000004</v>
      </c>
      <c r="P55" s="816">
        <f t="shared" si="33"/>
        <v>19823.169095570058</v>
      </c>
      <c r="Q55" s="816">
        <f t="shared" si="27"/>
        <v>26399307.211334471</v>
      </c>
      <c r="R55" s="817">
        <f t="shared" si="28"/>
        <v>7985790.4314286774</v>
      </c>
      <c r="S55" s="818">
        <f t="shared" si="29"/>
        <v>26.39930721133447</v>
      </c>
      <c r="T55" s="816">
        <f t="shared" si="30"/>
        <v>5996.508651409943</v>
      </c>
      <c r="U55" s="816">
        <f t="shared" si="5"/>
        <v>557.09442222706855</v>
      </c>
      <c r="V55" s="819">
        <v>0.04</v>
      </c>
      <c r="W55" s="820">
        <v>45576</v>
      </c>
      <c r="X55" s="805" t="s">
        <v>736</v>
      </c>
      <c r="Y55" s="805" t="s">
        <v>518</v>
      </c>
      <c r="Z55" s="821" t="s">
        <v>737</v>
      </c>
      <c r="AA55" s="822" t="s">
        <v>738</v>
      </c>
      <c r="AB55" s="822">
        <f>V55</f>
        <v>0.04</v>
      </c>
      <c r="AC55" s="823" t="s">
        <v>730</v>
      </c>
      <c r="AD55" s="805" t="s">
        <v>739</v>
      </c>
      <c r="AE55" s="824" t="s">
        <v>740</v>
      </c>
    </row>
    <row r="56" spans="1:32" s="488" customFormat="1" ht="108" hidden="1" customHeight="1">
      <c r="A56" s="480" t="s">
        <v>741</v>
      </c>
      <c r="B56" s="480" t="s">
        <v>282</v>
      </c>
      <c r="C56" s="481" t="s">
        <v>742</v>
      </c>
      <c r="D56" s="481" t="str">
        <f t="shared" si="0"/>
        <v>Yeongdeungpo-gu -  YBD</v>
      </c>
      <c r="E56" s="482">
        <v>31045</v>
      </c>
      <c r="F56" s="483">
        <f t="shared" ca="1" si="22"/>
        <v>41.276712328767125</v>
      </c>
      <c r="G56" s="483">
        <f t="shared" si="8"/>
        <v>1984</v>
      </c>
      <c r="H56" s="483" t="s">
        <v>743</v>
      </c>
      <c r="I56" s="498">
        <f t="shared" si="34"/>
        <v>11823.965724999998</v>
      </c>
      <c r="J56" s="499">
        <v>39087.49</v>
      </c>
      <c r="K56" s="502" t="s">
        <v>744</v>
      </c>
      <c r="L56" s="500">
        <f t="shared" si="24"/>
        <v>420733.83361099998</v>
      </c>
      <c r="M56" s="501">
        <f t="shared" si="31"/>
        <v>279859432.02126539</v>
      </c>
      <c r="N56" s="503">
        <v>372.7</v>
      </c>
      <c r="O56" s="504">
        <f t="shared" si="32"/>
        <v>378.29050000000001</v>
      </c>
      <c r="P56" s="484">
        <f t="shared" si="33"/>
        <v>23668.829775913902</v>
      </c>
      <c r="Q56" s="484">
        <f t="shared" si="27"/>
        <v>31520727.365775585</v>
      </c>
      <c r="R56" s="485">
        <f t="shared" si="28"/>
        <v>9535020.0281471144</v>
      </c>
      <c r="S56" s="529">
        <f t="shared" si="29"/>
        <v>31.520727365775585</v>
      </c>
      <c r="T56" s="484">
        <f t="shared" si="30"/>
        <v>7159.8210072139555</v>
      </c>
      <c r="U56" s="484">
        <f t="shared" si="5"/>
        <v>665.16978114010305</v>
      </c>
      <c r="V56" s="486" t="s">
        <v>270</v>
      </c>
      <c r="W56" s="487">
        <v>45565</v>
      </c>
      <c r="X56" s="480" t="s">
        <v>517</v>
      </c>
      <c r="Y56" s="480" t="s">
        <v>518</v>
      </c>
      <c r="Z56" s="491" t="s">
        <v>737</v>
      </c>
      <c r="AA56" s="489" t="s">
        <v>738</v>
      </c>
      <c r="AB56" s="489" t="s">
        <v>738</v>
      </c>
      <c r="AC56" s="492" t="s">
        <v>745</v>
      </c>
      <c r="AD56" s="480" t="s">
        <v>746</v>
      </c>
      <c r="AE56" s="479" t="s">
        <v>747</v>
      </c>
    </row>
    <row r="57" spans="1:32" s="488" customFormat="1" ht="92.25" hidden="1" customHeight="1">
      <c r="A57" s="480" t="s">
        <v>748</v>
      </c>
      <c r="B57" s="480" t="s">
        <v>241</v>
      </c>
      <c r="C57" s="481" t="s">
        <v>733</v>
      </c>
      <c r="D57" s="481" t="str">
        <f t="shared" si="0"/>
        <v>Jung-gu -  CBD</v>
      </c>
      <c r="E57" s="482">
        <v>28846</v>
      </c>
      <c r="F57" s="483">
        <f t="shared" ca="1" si="22"/>
        <v>47.301369863013697</v>
      </c>
      <c r="G57" s="483">
        <f t="shared" si="8"/>
        <v>1978</v>
      </c>
      <c r="H57" s="483" t="s">
        <v>749</v>
      </c>
      <c r="I57" s="498">
        <f t="shared" si="34"/>
        <v>11901.302874999999</v>
      </c>
      <c r="J57" s="499">
        <v>39343.15</v>
      </c>
      <c r="K57" s="502" t="s">
        <v>750</v>
      </c>
      <c r="L57" s="500">
        <f t="shared" si="24"/>
        <v>423485.73228499998</v>
      </c>
      <c r="M57" s="501">
        <f t="shared" si="31"/>
        <v>262814062.80505204</v>
      </c>
      <c r="N57" s="503">
        <v>350</v>
      </c>
      <c r="O57" s="504">
        <f t="shared" si="32"/>
        <v>355.25</v>
      </c>
      <c r="P57" s="484">
        <f t="shared" si="33"/>
        <v>22082.797620176694</v>
      </c>
      <c r="Q57" s="484">
        <f t="shared" si="27"/>
        <v>29408544.90269411</v>
      </c>
      <c r="R57" s="485">
        <f t="shared" si="28"/>
        <v>8896084.8330649678</v>
      </c>
      <c r="S57" s="529">
        <f t="shared" si="29"/>
        <v>29.408544902694111</v>
      </c>
      <c r="T57" s="484">
        <f t="shared" si="30"/>
        <v>6680.0462801034491</v>
      </c>
      <c r="U57" s="484">
        <f t="shared" si="5"/>
        <v>620.59720734152586</v>
      </c>
      <c r="V57" s="486">
        <v>4.4999999999999998E-2</v>
      </c>
      <c r="W57" s="487">
        <v>45580</v>
      </c>
      <c r="X57" s="480" t="s">
        <v>517</v>
      </c>
      <c r="Y57" s="480" t="s">
        <v>518</v>
      </c>
      <c r="Z57" s="491" t="s">
        <v>751</v>
      </c>
      <c r="AA57" s="493">
        <v>1</v>
      </c>
      <c r="AB57" s="486">
        <v>4.4999999999999998E-2</v>
      </c>
      <c r="AC57" s="492" t="s">
        <v>752</v>
      </c>
      <c r="AD57" s="480" t="s">
        <v>753</v>
      </c>
      <c r="AE57" s="479" t="s">
        <v>754</v>
      </c>
    </row>
    <row r="58" spans="1:32" s="488" customFormat="1" ht="92.25" hidden="1" customHeight="1">
      <c r="A58" s="480" t="s">
        <v>755</v>
      </c>
      <c r="B58" s="480" t="s">
        <v>756</v>
      </c>
      <c r="C58" s="481" t="s">
        <v>733</v>
      </c>
      <c r="D58" s="481" t="str">
        <f t="shared" si="0"/>
        <v>Jongro-gu -  CBD</v>
      </c>
      <c r="E58" s="482">
        <v>43999</v>
      </c>
      <c r="F58" s="483">
        <f t="shared" ca="1" si="22"/>
        <v>5.7863013698630139</v>
      </c>
      <c r="G58" s="483">
        <f t="shared" si="8"/>
        <v>2020</v>
      </c>
      <c r="H58" s="483" t="s">
        <v>757</v>
      </c>
      <c r="I58" s="498">
        <f t="shared" si="34"/>
        <v>26082.856800000001</v>
      </c>
      <c r="J58" s="499">
        <v>86224.320000000007</v>
      </c>
      <c r="K58" s="502" t="s">
        <v>758</v>
      </c>
      <c r="L58" s="500">
        <f t="shared" si="24"/>
        <v>928109.958048</v>
      </c>
      <c r="M58" s="501">
        <f t="shared" si="31"/>
        <v>672278372.65532315</v>
      </c>
      <c r="N58" s="503">
        <v>895.3</v>
      </c>
      <c r="O58" s="504">
        <f t="shared" si="32"/>
        <v>908.72949999999992</v>
      </c>
      <c r="P58" s="484">
        <f t="shared" si="33"/>
        <v>25774.721603935774</v>
      </c>
      <c r="Q58" s="484">
        <f t="shared" si="27"/>
        <v>34325227.748825423</v>
      </c>
      <c r="R58" s="485">
        <f t="shared" si="28"/>
        <v>10383381.394019691</v>
      </c>
      <c r="S58" s="529">
        <f t="shared" si="29"/>
        <v>34.325227748825426</v>
      </c>
      <c r="T58" s="484">
        <f t="shared" si="30"/>
        <v>7796.8532851905711</v>
      </c>
      <c r="U58" s="484">
        <f t="shared" si="5"/>
        <v>724.35207361556422</v>
      </c>
      <c r="V58" s="486">
        <v>3.7999999999999999E-2</v>
      </c>
      <c r="W58" s="487">
        <v>45597</v>
      </c>
      <c r="X58" s="480" t="s">
        <v>517</v>
      </c>
      <c r="Y58" s="480" t="s">
        <v>518</v>
      </c>
      <c r="Z58" s="491" t="s">
        <v>737</v>
      </c>
      <c r="AA58" s="489" t="s">
        <v>738</v>
      </c>
      <c r="AB58" s="486">
        <v>3.7999999999999999E-2</v>
      </c>
      <c r="AC58" s="492" t="s">
        <v>759</v>
      </c>
      <c r="AD58" s="480" t="s">
        <v>760</v>
      </c>
      <c r="AE58" s="479" t="s">
        <v>761</v>
      </c>
    </row>
    <row r="59" spans="1:32" s="488" customFormat="1" ht="205.15" hidden="1" customHeight="1">
      <c r="A59" s="480" t="s">
        <v>762</v>
      </c>
      <c r="B59" s="480" t="s">
        <v>763</v>
      </c>
      <c r="C59" s="481" t="s">
        <v>742</v>
      </c>
      <c r="D59" s="481" t="str">
        <f t="shared" si="0"/>
        <v>Yeongdeungpo-gu  -  YBD</v>
      </c>
      <c r="E59" s="482">
        <v>34876</v>
      </c>
      <c r="F59" s="483">
        <f t="shared" ca="1" si="22"/>
        <v>30.780821917808218</v>
      </c>
      <c r="G59" s="483">
        <f t="shared" si="8"/>
        <v>1995</v>
      </c>
      <c r="H59" s="483" t="s">
        <v>764</v>
      </c>
      <c r="I59" s="498">
        <f t="shared" si="34"/>
        <v>6261.9345249999997</v>
      </c>
      <c r="J59" s="499">
        <v>20700.61</v>
      </c>
      <c r="K59" s="502" t="s">
        <v>765</v>
      </c>
      <c r="L59" s="500">
        <f t="shared" si="24"/>
        <v>222819.29597899999</v>
      </c>
      <c r="M59" s="501">
        <f t="shared" si="31"/>
        <v>105501073.78317089</v>
      </c>
      <c r="N59" s="503">
        <v>140.5</v>
      </c>
      <c r="O59" s="504">
        <f t="shared" si="32"/>
        <v>142.60749999999999</v>
      </c>
      <c r="P59" s="484">
        <f t="shared" si="33"/>
        <v>16848.000144679077</v>
      </c>
      <c r="Q59" s="484">
        <f t="shared" si="27"/>
        <v>22437155.712674912</v>
      </c>
      <c r="R59" s="485">
        <f t="shared" si="28"/>
        <v>6787239.60308416</v>
      </c>
      <c r="S59" s="529">
        <f t="shared" si="29"/>
        <v>22.437155712674912</v>
      </c>
      <c r="T59" s="484">
        <f t="shared" si="30"/>
        <v>5096.5200437654203</v>
      </c>
      <c r="U59" s="484">
        <f t="shared" si="5"/>
        <v>473.48266369674752</v>
      </c>
      <c r="V59" s="486">
        <v>4.1000000000000002E-2</v>
      </c>
      <c r="W59" s="487">
        <v>45611</v>
      </c>
      <c r="X59" s="480" t="s">
        <v>517</v>
      </c>
      <c r="Y59" s="480" t="s">
        <v>518</v>
      </c>
      <c r="Z59" s="491" t="s">
        <v>737</v>
      </c>
      <c r="AA59" s="493">
        <v>1</v>
      </c>
      <c r="AB59" s="486">
        <v>4.1000000000000002E-2</v>
      </c>
      <c r="AC59" s="492" t="s">
        <v>730</v>
      </c>
      <c r="AD59" s="480" t="s">
        <v>766</v>
      </c>
      <c r="AE59" s="479" t="s">
        <v>767</v>
      </c>
    </row>
    <row r="60" spans="1:32" s="601" customFormat="1" ht="157.9" customHeight="1">
      <c r="A60" s="280" t="s">
        <v>768</v>
      </c>
      <c r="B60" s="280" t="s">
        <v>691</v>
      </c>
      <c r="C60" s="584" t="s">
        <v>769</v>
      </c>
      <c r="D60" s="584" t="str">
        <f>CONCATENATE(B60&amp;" - "&amp;C60)</f>
        <v>Gangnam-gu -  GBD</v>
      </c>
      <c r="E60" s="585">
        <v>37134</v>
      </c>
      <c r="F60" s="586">
        <f t="shared" ca="1" si="22"/>
        <v>24.594520547945205</v>
      </c>
      <c r="G60" s="586">
        <f>YEAR(E60)</f>
        <v>2001</v>
      </c>
      <c r="H60" s="586" t="s">
        <v>770</v>
      </c>
      <c r="I60" s="587">
        <f t="shared" si="34"/>
        <v>10582.554125000001</v>
      </c>
      <c r="J60" s="588">
        <v>34983.65</v>
      </c>
      <c r="K60" s="589" t="s">
        <v>771</v>
      </c>
      <c r="L60" s="590">
        <f t="shared" si="24"/>
        <v>376560.51023499999</v>
      </c>
      <c r="M60" s="591">
        <f t="shared" si="31"/>
        <v>334825116.01363629</v>
      </c>
      <c r="N60" s="592">
        <v>445.9</v>
      </c>
      <c r="O60" s="593">
        <f t="shared" si="32"/>
        <v>452.58850000000001</v>
      </c>
      <c r="P60" s="594">
        <f t="shared" si="33"/>
        <v>31639.348314094852</v>
      </c>
      <c r="Q60" s="594">
        <f t="shared" si="27"/>
        <v>42135385.723812677</v>
      </c>
      <c r="R60" s="595">
        <f t="shared" si="28"/>
        <v>12745954.181453336</v>
      </c>
      <c r="S60" s="596">
        <f t="shared" si="29"/>
        <v>42.135385723812675</v>
      </c>
      <c r="T60" s="594">
        <f t="shared" si="30"/>
        <v>9570.9028650136934</v>
      </c>
      <c r="U60" s="594">
        <f t="shared" si="5"/>
        <v>889.1668321903486</v>
      </c>
      <c r="V60" s="285">
        <v>2.5020919818591631E-2</v>
      </c>
      <c r="W60" s="279">
        <v>45637</v>
      </c>
      <c r="X60" s="280" t="s">
        <v>772</v>
      </c>
      <c r="Y60" s="280" t="s">
        <v>518</v>
      </c>
      <c r="Z60" s="597" t="s">
        <v>751</v>
      </c>
      <c r="AA60" s="598">
        <v>1</v>
      </c>
      <c r="AB60" s="599" t="s">
        <v>738</v>
      </c>
      <c r="AC60" s="600" t="s">
        <v>773</v>
      </c>
      <c r="AD60" s="280" t="s">
        <v>774</v>
      </c>
      <c r="AE60" s="281" t="s">
        <v>775</v>
      </c>
    </row>
    <row r="61" spans="1:32" s="112" customFormat="1" ht="22.9" customHeight="1">
      <c r="A61" s="283" t="s">
        <v>776</v>
      </c>
      <c r="B61" s="182"/>
      <c r="C61" s="183"/>
      <c r="D61" s="183"/>
      <c r="E61" s="183"/>
      <c r="F61" s="183"/>
      <c r="G61" s="183"/>
      <c r="H61" s="183"/>
      <c r="I61" s="183"/>
      <c r="J61" s="183"/>
      <c r="K61" s="183"/>
      <c r="L61" s="183"/>
      <c r="M61" s="184"/>
      <c r="N61" s="183"/>
      <c r="O61" s="183"/>
      <c r="P61" s="183"/>
      <c r="Q61" s="184"/>
      <c r="R61" s="183"/>
      <c r="S61" s="183"/>
      <c r="T61" s="183"/>
      <c r="U61" s="183"/>
      <c r="V61" s="183"/>
      <c r="W61" s="183"/>
      <c r="X61" s="183"/>
      <c r="Y61" s="183"/>
      <c r="Z61" s="183"/>
      <c r="AA61" s="183"/>
      <c r="AB61" s="183"/>
      <c r="AC61" s="185"/>
      <c r="AD61" s="183"/>
      <c r="AE61" s="185"/>
    </row>
    <row r="62" spans="1:32" s="112" customFormat="1" ht="22.9" customHeight="1">
      <c r="A62" s="283" t="s">
        <v>777</v>
      </c>
      <c r="B62" s="182"/>
      <c r="C62" s="183"/>
      <c r="D62" s="183"/>
      <c r="E62" s="183"/>
      <c r="F62" s="183"/>
      <c r="G62" s="183"/>
      <c r="H62" s="183"/>
      <c r="I62" s="183"/>
      <c r="J62" s="183"/>
      <c r="K62" s="183"/>
      <c r="L62" s="183"/>
      <c r="M62" s="184"/>
      <c r="N62" s="183"/>
      <c r="O62" s="183"/>
      <c r="P62" s="183"/>
      <c r="Q62" s="184"/>
      <c r="R62" s="183"/>
      <c r="S62" s="183"/>
      <c r="T62" s="183"/>
      <c r="U62" s="183"/>
      <c r="V62" s="183"/>
      <c r="W62" s="183"/>
      <c r="X62" s="183"/>
      <c r="Y62" s="183"/>
      <c r="Z62" s="183"/>
      <c r="AA62" s="183"/>
      <c r="AB62" s="183"/>
      <c r="AC62" s="185"/>
      <c r="AD62" s="183"/>
      <c r="AE62" s="185"/>
    </row>
    <row r="63" spans="1:32" s="112" customFormat="1" ht="24.65" customHeight="1">
      <c r="A63" s="283" t="s">
        <v>778</v>
      </c>
      <c r="B63" s="182"/>
      <c r="C63" s="183"/>
      <c r="D63" s="183"/>
      <c r="E63" s="183"/>
      <c r="F63" s="183"/>
      <c r="G63" s="183"/>
      <c r="H63" s="183"/>
      <c r="I63" s="183"/>
      <c r="J63" s="183"/>
      <c r="K63" s="183"/>
      <c r="L63" s="183"/>
      <c r="M63" s="184"/>
      <c r="N63" s="183"/>
      <c r="O63" s="183"/>
      <c r="P63" s="183"/>
      <c r="Q63" s="184"/>
      <c r="R63" s="183"/>
      <c r="S63" s="183"/>
      <c r="T63" s="183"/>
      <c r="U63" s="183"/>
      <c r="V63" s="183"/>
      <c r="W63" s="183"/>
      <c r="X63" s="183"/>
      <c r="Y63" s="183"/>
      <c r="Z63" s="183"/>
      <c r="AA63" s="183"/>
      <c r="AB63" s="183"/>
      <c r="AC63" s="185"/>
      <c r="AD63" s="183"/>
      <c r="AE63" s="185"/>
    </row>
    <row r="64" spans="1:32" ht="26.65" customHeight="1">
      <c r="A64" s="284" t="s">
        <v>779</v>
      </c>
      <c r="B64" s="187"/>
      <c r="C64" s="186"/>
      <c r="D64" s="186"/>
      <c r="E64" s="186"/>
      <c r="F64" s="186"/>
      <c r="G64" s="186"/>
      <c r="H64" s="186"/>
      <c r="I64" s="186"/>
      <c r="J64" s="186"/>
      <c r="K64" s="186"/>
      <c r="L64" s="186"/>
      <c r="M64" s="186"/>
      <c r="N64" s="186"/>
      <c r="O64" s="186"/>
      <c r="P64" s="186"/>
      <c r="Q64" s="186"/>
      <c r="R64" s="186"/>
      <c r="S64" s="186"/>
      <c r="T64" s="186"/>
      <c r="U64" s="186"/>
      <c r="V64" s="186"/>
      <c r="W64" s="186"/>
      <c r="X64" s="186"/>
      <c r="Y64" s="186"/>
      <c r="Z64" s="186"/>
      <c r="AA64" s="186"/>
      <c r="AB64" s="186"/>
      <c r="AC64" s="186"/>
      <c r="AD64" s="186"/>
      <c r="AE64" s="48"/>
    </row>
    <row r="65" spans="1:32" s="601" customFormat="1" ht="157.9" customHeight="1">
      <c r="A65" s="280" t="s">
        <v>780</v>
      </c>
      <c r="B65" s="280" t="s">
        <v>241</v>
      </c>
      <c r="C65" s="584" t="s">
        <v>186</v>
      </c>
      <c r="D65" s="584" t="str">
        <f>CONCATENATE(B65&amp;" - "&amp;C65)</f>
        <v>Jung-gu - CBD</v>
      </c>
      <c r="E65" s="585">
        <v>44281</v>
      </c>
      <c r="F65" s="586">
        <f t="shared" ref="F65:F87" ca="1" si="35">($E$5-E65)/365</f>
        <v>5.0136986301369859</v>
      </c>
      <c r="G65" s="586">
        <f>YEAR(E65)</f>
        <v>2021</v>
      </c>
      <c r="H65" s="586" t="s">
        <v>781</v>
      </c>
      <c r="I65" s="587">
        <f t="shared" ref="I65:I87" si="36">J65*0.3025</f>
        <v>5572.9574999999995</v>
      </c>
      <c r="J65" s="588">
        <v>18423</v>
      </c>
      <c r="K65" s="589" t="s">
        <v>782</v>
      </c>
      <c r="L65" s="590">
        <f t="shared" ref="L65:L87" si="37">J65*10.7639</f>
        <v>198303.3297</v>
      </c>
      <c r="M65" s="591">
        <f t="shared" ref="M65:M87" si="38">(N65*1000000000)/1331.74</f>
        <v>155285566.25167075</v>
      </c>
      <c r="N65" s="592">
        <v>206.8</v>
      </c>
      <c r="O65" s="593">
        <f t="shared" ref="O65" si="39">N65*0.001015*1000</f>
        <v>209.90200000000004</v>
      </c>
      <c r="P65" s="594">
        <f t="shared" ref="P65:P87" si="40">M65/I65</f>
        <v>27864.121743557305</v>
      </c>
      <c r="Q65" s="594">
        <f t="shared" ref="Q65:Q87" si="41">(N65*1000000000)/I65</f>
        <v>37107765.490765005</v>
      </c>
      <c r="R65" s="595">
        <f t="shared" ref="R65:R87" si="42">(N65*1000000000)/J65</f>
        <v>11225099.060956413</v>
      </c>
      <c r="S65" s="596">
        <f t="shared" ref="S65:S87" si="43">Q65/1000000</f>
        <v>37.107765490765004</v>
      </c>
      <c r="T65" s="594">
        <f t="shared" ref="T65:T87" si="44">M65/J65</f>
        <v>8428.8968274260842</v>
      </c>
      <c r="U65" s="594">
        <f t="shared" ref="U65:U87" si="45">M65/L65</f>
        <v>783.07089692640068</v>
      </c>
      <c r="V65" s="285">
        <v>3.9E-2</v>
      </c>
      <c r="W65" s="279">
        <v>45702</v>
      </c>
      <c r="X65" s="280" t="s">
        <v>517</v>
      </c>
      <c r="Y65" s="280" t="s">
        <v>518</v>
      </c>
      <c r="Z65" s="597" t="s">
        <v>737</v>
      </c>
      <c r="AA65" s="598">
        <v>1</v>
      </c>
      <c r="AB65" s="599" t="s">
        <v>738</v>
      </c>
      <c r="AC65" s="600" t="s">
        <v>783</v>
      </c>
      <c r="AD65" s="280" t="s">
        <v>784</v>
      </c>
      <c r="AE65" s="281" t="s">
        <v>785</v>
      </c>
    </row>
    <row r="66" spans="1:32" s="601" customFormat="1" ht="157.9" customHeight="1">
      <c r="A66" s="280" t="s">
        <v>786</v>
      </c>
      <c r="B66" s="280" t="s">
        <v>691</v>
      </c>
      <c r="C66" s="584" t="s">
        <v>769</v>
      </c>
      <c r="D66" s="584" t="str">
        <f t="shared" ref="D66:D74" si="46">CONCATENATE(B66&amp;" - "&amp;C66)</f>
        <v>Gangnam-gu -  GBD</v>
      </c>
      <c r="E66" s="585">
        <v>34624</v>
      </c>
      <c r="F66" s="586">
        <f t="shared" ca="1" si="35"/>
        <v>31.471232876712328</v>
      </c>
      <c r="G66" s="586">
        <f t="shared" ref="G66:G87" si="47">YEAR(E66)</f>
        <v>1994</v>
      </c>
      <c r="H66" s="586" t="s">
        <v>787</v>
      </c>
      <c r="I66" s="587">
        <f t="shared" si="36"/>
        <v>7314.2866499999991</v>
      </c>
      <c r="J66" s="588">
        <v>24179.46</v>
      </c>
      <c r="K66" s="589" t="s">
        <v>788</v>
      </c>
      <c r="L66" s="590">
        <f t="shared" si="37"/>
        <v>260265.28949399997</v>
      </c>
      <c r="M66" s="591">
        <f t="shared" si="38"/>
        <v>207247660.95484105</v>
      </c>
      <c r="N66" s="592">
        <v>276</v>
      </c>
      <c r="O66" s="593">
        <f>N66*0.001015*1000</f>
        <v>280.14</v>
      </c>
      <c r="P66" s="594">
        <f t="shared" si="40"/>
        <v>28334.637521328354</v>
      </c>
      <c r="Q66" s="594">
        <f t="shared" si="41"/>
        <v>37734370.172653824</v>
      </c>
      <c r="R66" s="595">
        <f t="shared" si="42"/>
        <v>11414646.977227779</v>
      </c>
      <c r="S66" s="596">
        <f t="shared" si="43"/>
        <v>37.734370172653826</v>
      </c>
      <c r="T66" s="594">
        <f t="shared" si="44"/>
        <v>8571.2278502018271</v>
      </c>
      <c r="U66" s="594">
        <f t="shared" si="45"/>
        <v>796.29389442505294</v>
      </c>
      <c r="V66" s="285">
        <v>4.1000000000000002E-2</v>
      </c>
      <c r="W66" s="279">
        <v>45708</v>
      </c>
      <c r="X66" s="280" t="s">
        <v>517</v>
      </c>
      <c r="Y66" s="280" t="s">
        <v>518</v>
      </c>
      <c r="Z66" s="597" t="s">
        <v>737</v>
      </c>
      <c r="AA66" s="598">
        <v>0.91569999999999996</v>
      </c>
      <c r="AB66" s="599" t="s">
        <v>738</v>
      </c>
      <c r="AC66" s="600" t="s">
        <v>215</v>
      </c>
      <c r="AD66" s="280" t="s">
        <v>789</v>
      </c>
      <c r="AE66" s="281" t="s">
        <v>790</v>
      </c>
    </row>
    <row r="67" spans="1:32" s="843" customFormat="1" ht="157.9" customHeight="1">
      <c r="A67" s="755" t="s">
        <v>791</v>
      </c>
      <c r="B67" s="755" t="s">
        <v>241</v>
      </c>
      <c r="C67" s="825" t="s">
        <v>186</v>
      </c>
      <c r="D67" s="825" t="str">
        <f t="shared" si="46"/>
        <v>Jung-gu - CBD</v>
      </c>
      <c r="E67" s="826">
        <v>28712</v>
      </c>
      <c r="F67" s="827">
        <f t="shared" ca="1" si="35"/>
        <v>47.668493150684931</v>
      </c>
      <c r="G67" s="827">
        <f t="shared" si="47"/>
        <v>1978</v>
      </c>
      <c r="H67" s="827" t="s">
        <v>792</v>
      </c>
      <c r="I67" s="828">
        <f t="shared" si="36"/>
        <v>22763.866124999997</v>
      </c>
      <c r="J67" s="829">
        <v>75252.45</v>
      </c>
      <c r="K67" s="830" t="s">
        <v>793</v>
      </c>
      <c r="L67" s="831">
        <f t="shared" si="37"/>
        <v>810009.84655499994</v>
      </c>
      <c r="M67" s="832">
        <f t="shared" si="38"/>
        <v>435880126.751468</v>
      </c>
      <c r="N67" s="833">
        <v>580.47900000000004</v>
      </c>
      <c r="O67" s="834">
        <f t="shared" ref="O67:O87" si="48">N67*0.001015*1000</f>
        <v>589.18618500000014</v>
      </c>
      <c r="P67" s="835">
        <f t="shared" si="40"/>
        <v>19147.895368826241</v>
      </c>
      <c r="Q67" s="835">
        <f t="shared" si="41"/>
        <v>25500018.178480659</v>
      </c>
      <c r="R67" s="836">
        <f t="shared" si="42"/>
        <v>7713755.4989903988</v>
      </c>
      <c r="S67" s="837">
        <f t="shared" si="43"/>
        <v>25.500018178480659</v>
      </c>
      <c r="T67" s="835">
        <f t="shared" si="44"/>
        <v>5792.2383490699376</v>
      </c>
      <c r="U67" s="835">
        <f t="shared" si="45"/>
        <v>538.11707179274595</v>
      </c>
      <c r="V67" s="838">
        <v>4.4999999999999998E-2</v>
      </c>
      <c r="W67" s="282">
        <v>45714</v>
      </c>
      <c r="X67" s="755" t="s">
        <v>517</v>
      </c>
      <c r="Y67" s="755" t="s">
        <v>518</v>
      </c>
      <c r="Z67" s="839" t="s">
        <v>737</v>
      </c>
      <c r="AA67" s="840">
        <v>0.99</v>
      </c>
      <c r="AB67" s="841" t="s">
        <v>738</v>
      </c>
      <c r="AC67" s="842" t="s">
        <v>794</v>
      </c>
      <c r="AD67" s="755" t="s">
        <v>795</v>
      </c>
      <c r="AE67" s="528" t="s">
        <v>796</v>
      </c>
    </row>
    <row r="68" spans="1:32" s="846" customFormat="1" ht="65.5" customHeight="1">
      <c r="A68" s="762" t="s">
        <v>797</v>
      </c>
      <c r="B68" s="755" t="s">
        <v>241</v>
      </c>
      <c r="C68" s="825" t="s">
        <v>186</v>
      </c>
      <c r="D68" s="825" t="str">
        <f t="shared" si="46"/>
        <v>Jung-gu - CBD</v>
      </c>
      <c r="E68" s="826">
        <v>35409</v>
      </c>
      <c r="F68" s="827">
        <f t="shared" ca="1" si="35"/>
        <v>29.32054794520548</v>
      </c>
      <c r="G68" s="827">
        <f t="shared" si="47"/>
        <v>1996</v>
      </c>
      <c r="H68" s="827" t="s">
        <v>798</v>
      </c>
      <c r="I68" s="828">
        <f t="shared" si="36"/>
        <v>4765.8995999999997</v>
      </c>
      <c r="J68" s="829">
        <v>15755.04</v>
      </c>
      <c r="K68" s="830" t="s">
        <v>799</v>
      </c>
      <c r="L68" s="831">
        <f t="shared" si="37"/>
        <v>169585.67505600001</v>
      </c>
      <c r="M68" s="832">
        <f t="shared" si="38"/>
        <v>98795560.695030555</v>
      </c>
      <c r="N68" s="833">
        <v>131.57</v>
      </c>
      <c r="O68" s="834">
        <f t="shared" si="48"/>
        <v>133.54355000000001</v>
      </c>
      <c r="P68" s="835">
        <f t="shared" si="40"/>
        <v>20729.677288004674</v>
      </c>
      <c r="Q68" s="835">
        <f t="shared" si="41"/>
        <v>27606540.431527346</v>
      </c>
      <c r="R68" s="836">
        <f t="shared" si="42"/>
        <v>8350978.4805370215</v>
      </c>
      <c r="S68" s="837">
        <f t="shared" si="43"/>
        <v>27.606540431527346</v>
      </c>
      <c r="T68" s="835">
        <f t="shared" si="44"/>
        <v>6270.7273796214131</v>
      </c>
      <c r="U68" s="835">
        <f t="shared" si="45"/>
        <v>582.57020035687935</v>
      </c>
      <c r="V68" s="838" t="s">
        <v>800</v>
      </c>
      <c r="W68" s="282">
        <v>45716</v>
      </c>
      <c r="X68" s="755" t="s">
        <v>517</v>
      </c>
      <c r="Y68" s="755" t="s">
        <v>518</v>
      </c>
      <c r="Z68" s="839" t="s">
        <v>737</v>
      </c>
      <c r="AA68" s="840">
        <v>1</v>
      </c>
      <c r="AB68" s="841" t="s">
        <v>738</v>
      </c>
      <c r="AC68" s="842" t="s">
        <v>801</v>
      </c>
      <c r="AD68" s="755" t="s">
        <v>802</v>
      </c>
      <c r="AE68" s="528" t="s">
        <v>803</v>
      </c>
      <c r="AF68" s="528" t="s">
        <v>804</v>
      </c>
    </row>
    <row r="69" spans="1:32" s="846" customFormat="1" ht="65.5" customHeight="1">
      <c r="A69" s="762" t="s">
        <v>805</v>
      </c>
      <c r="B69" s="755" t="s">
        <v>806</v>
      </c>
      <c r="C69" s="825" t="s">
        <v>166</v>
      </c>
      <c r="D69" s="825" t="str">
        <f t="shared" si="46"/>
        <v>Yeongdeungpo-gu - YBD</v>
      </c>
      <c r="E69" s="826">
        <v>34397</v>
      </c>
      <c r="F69" s="827">
        <f t="shared" ca="1" si="35"/>
        <v>32.093150684931508</v>
      </c>
      <c r="G69" s="827">
        <f t="shared" si="47"/>
        <v>1994</v>
      </c>
      <c r="H69" s="827" t="s">
        <v>807</v>
      </c>
      <c r="I69" s="828">
        <f t="shared" si="36"/>
        <v>12233.09395</v>
      </c>
      <c r="J69" s="829">
        <v>40439.980000000003</v>
      </c>
      <c r="K69" s="830" t="s">
        <v>808</v>
      </c>
      <c r="L69" s="831">
        <f t="shared" si="37"/>
        <v>435291.90072199999</v>
      </c>
      <c r="M69" s="832">
        <f t="shared" si="38"/>
        <v>266388334.05920073</v>
      </c>
      <c r="N69" s="833">
        <v>354.76</v>
      </c>
      <c r="O69" s="834">
        <f t="shared" si="48"/>
        <v>360.08139999999997</v>
      </c>
      <c r="P69" s="835">
        <f t="shared" si="40"/>
        <v>21776.039254501167</v>
      </c>
      <c r="Q69" s="835">
        <f t="shared" si="41"/>
        <v>29000022.516789384</v>
      </c>
      <c r="R69" s="836">
        <f t="shared" si="42"/>
        <v>8772506.8113287892</v>
      </c>
      <c r="S69" s="837">
        <f t="shared" si="43"/>
        <v>29.000022516789386</v>
      </c>
      <c r="T69" s="835">
        <f t="shared" si="44"/>
        <v>6587.251874486602</v>
      </c>
      <c r="U69" s="835">
        <f t="shared" si="45"/>
        <v>611.97631662191247</v>
      </c>
      <c r="V69" s="838" t="s">
        <v>809</v>
      </c>
      <c r="W69" s="282">
        <v>45747</v>
      </c>
      <c r="X69" s="755" t="s">
        <v>517</v>
      </c>
      <c r="Y69" s="755" t="s">
        <v>518</v>
      </c>
      <c r="Z69" s="839" t="s">
        <v>810</v>
      </c>
      <c r="AA69" s="840">
        <v>0.99</v>
      </c>
      <c r="AB69" s="841" t="s">
        <v>738</v>
      </c>
      <c r="AC69" s="842" t="s">
        <v>811</v>
      </c>
      <c r="AD69" s="755" t="s">
        <v>773</v>
      </c>
      <c r="AE69" s="528" t="s">
        <v>812</v>
      </c>
      <c r="AF69" s="528" t="s">
        <v>813</v>
      </c>
    </row>
    <row r="70" spans="1:32" s="846" customFormat="1" ht="65.5" customHeight="1">
      <c r="A70" s="762" t="s">
        <v>814</v>
      </c>
      <c r="B70" s="755" t="s">
        <v>279</v>
      </c>
      <c r="C70" s="825" t="s">
        <v>165</v>
      </c>
      <c r="D70" s="825" t="str">
        <f t="shared" si="46"/>
        <v>Gangnam-gu - GBD</v>
      </c>
      <c r="E70" s="826">
        <v>42404</v>
      </c>
      <c r="F70" s="827">
        <f t="shared" ca="1" si="35"/>
        <v>10.156164383561643</v>
      </c>
      <c r="G70" s="827">
        <f t="shared" si="47"/>
        <v>2016</v>
      </c>
      <c r="H70" s="827" t="s">
        <v>815</v>
      </c>
      <c r="I70" s="828">
        <f t="shared" si="36"/>
        <v>5262.3505000000005</v>
      </c>
      <c r="J70" s="829">
        <v>17396.2</v>
      </c>
      <c r="K70" s="830" t="s">
        <v>816</v>
      </c>
      <c r="L70" s="831">
        <f t="shared" si="37"/>
        <v>187250.95718</v>
      </c>
      <c r="M70" s="832">
        <f t="shared" si="38"/>
        <v>131407031.40252602</v>
      </c>
      <c r="N70" s="833">
        <v>175</v>
      </c>
      <c r="O70" s="834">
        <f t="shared" si="48"/>
        <v>177.625</v>
      </c>
      <c r="P70" s="835">
        <f t="shared" si="40"/>
        <v>24971.166668302692</v>
      </c>
      <c r="Q70" s="835">
        <f t="shared" si="41"/>
        <v>33255101.498845428</v>
      </c>
      <c r="R70" s="836">
        <f t="shared" si="42"/>
        <v>10059668.203400742</v>
      </c>
      <c r="S70" s="837">
        <f t="shared" si="43"/>
        <v>33.255101498845427</v>
      </c>
      <c r="T70" s="835">
        <f t="shared" si="44"/>
        <v>7553.7779171615648</v>
      </c>
      <c r="U70" s="835">
        <f t="shared" si="45"/>
        <v>701.76961112250808</v>
      </c>
      <c r="V70" s="838" t="s">
        <v>817</v>
      </c>
      <c r="W70" s="282">
        <v>45758</v>
      </c>
      <c r="X70" s="755" t="s">
        <v>517</v>
      </c>
      <c r="Y70" s="755" t="s">
        <v>518</v>
      </c>
      <c r="Z70" s="839" t="s">
        <v>737</v>
      </c>
      <c r="AA70" s="840" t="s">
        <v>738</v>
      </c>
      <c r="AB70" s="841" t="s">
        <v>738</v>
      </c>
      <c r="AC70" s="842" t="s">
        <v>818</v>
      </c>
      <c r="AD70" s="755" t="s">
        <v>819</v>
      </c>
      <c r="AE70" s="528" t="s">
        <v>820</v>
      </c>
      <c r="AF70" s="528" t="s">
        <v>821</v>
      </c>
    </row>
    <row r="71" spans="1:32" s="846" customFormat="1" ht="65.5" customHeight="1">
      <c r="A71" s="762" t="s">
        <v>822</v>
      </c>
      <c r="B71" s="755" t="s">
        <v>823</v>
      </c>
      <c r="C71" s="825" t="s">
        <v>164</v>
      </c>
      <c r="D71" s="825" t="str">
        <f t="shared" si="46"/>
        <v>Jongro-gu - CBD</v>
      </c>
      <c r="E71" s="826">
        <v>36850</v>
      </c>
      <c r="F71" s="827">
        <f t="shared" ca="1" si="35"/>
        <v>25.372602739726027</v>
      </c>
      <c r="G71" s="827">
        <f t="shared" si="47"/>
        <v>2000</v>
      </c>
      <c r="H71" s="827" t="s">
        <v>824</v>
      </c>
      <c r="I71" s="828">
        <f t="shared" si="36"/>
        <v>16538.376799999998</v>
      </c>
      <c r="J71" s="829">
        <v>54672.32</v>
      </c>
      <c r="K71" s="830" t="s">
        <v>825</v>
      </c>
      <c r="L71" s="831">
        <f t="shared" si="37"/>
        <v>588487.38524799992</v>
      </c>
      <c r="M71" s="832">
        <f t="shared" si="38"/>
        <v>418016279.45394748</v>
      </c>
      <c r="N71" s="833">
        <v>556.68899999999996</v>
      </c>
      <c r="O71" s="834">
        <f t="shared" si="48"/>
        <v>565.03933500000005</v>
      </c>
      <c r="P71" s="835">
        <f t="shared" si="40"/>
        <v>25275.53244850169</v>
      </c>
      <c r="Q71" s="835">
        <f t="shared" si="41"/>
        <v>33660437.582967639</v>
      </c>
      <c r="R71" s="836">
        <f t="shared" si="42"/>
        <v>10182282.368847709</v>
      </c>
      <c r="S71" s="837">
        <f t="shared" si="43"/>
        <v>33.660437582967639</v>
      </c>
      <c r="T71" s="835">
        <f t="shared" si="44"/>
        <v>7645.8485656717603</v>
      </c>
      <c r="U71" s="835">
        <f t="shared" si="45"/>
        <v>710.3232625416216</v>
      </c>
      <c r="V71" s="838" t="s">
        <v>826</v>
      </c>
      <c r="W71" s="282">
        <v>45765</v>
      </c>
      <c r="X71" s="755" t="s">
        <v>517</v>
      </c>
      <c r="Y71" s="755" t="s">
        <v>518</v>
      </c>
      <c r="Z71" s="839" t="s">
        <v>737</v>
      </c>
      <c r="AA71" s="840">
        <v>0.99</v>
      </c>
      <c r="AB71" s="841" t="s">
        <v>738</v>
      </c>
      <c r="AC71" s="842" t="s">
        <v>730</v>
      </c>
      <c r="AD71" s="755" t="s">
        <v>827</v>
      </c>
      <c r="AE71" s="528" t="s">
        <v>828</v>
      </c>
      <c r="AF71" s="528" t="s">
        <v>829</v>
      </c>
    </row>
    <row r="72" spans="1:32" s="846" customFormat="1" ht="65.5" customHeight="1">
      <c r="A72" s="762" t="s">
        <v>830</v>
      </c>
      <c r="B72" s="755" t="s">
        <v>831</v>
      </c>
      <c r="C72" s="825" t="s">
        <v>164</v>
      </c>
      <c r="D72" s="825" t="str">
        <f t="shared" si="46"/>
        <v>Yongsan-gu - CBD</v>
      </c>
      <c r="E72" s="826">
        <v>41526</v>
      </c>
      <c r="F72" s="827">
        <f t="shared" ca="1" si="35"/>
        <v>12.561643835616438</v>
      </c>
      <c r="G72" s="827">
        <f t="shared" si="47"/>
        <v>2013</v>
      </c>
      <c r="H72" s="827" t="s">
        <v>832</v>
      </c>
      <c r="I72" s="828">
        <f t="shared" si="36"/>
        <v>24936.442299999999</v>
      </c>
      <c r="J72" s="829">
        <v>82434.52</v>
      </c>
      <c r="K72" s="830" t="s">
        <v>833</v>
      </c>
      <c r="L72" s="831">
        <f t="shared" si="37"/>
        <v>887316.92982800002</v>
      </c>
      <c r="M72" s="832">
        <f t="shared" si="38"/>
        <v>506408844.06866205</v>
      </c>
      <c r="N72" s="833">
        <v>674.40491399999996</v>
      </c>
      <c r="O72" s="834">
        <f t="shared" si="48"/>
        <v>684.52098770999999</v>
      </c>
      <c r="P72" s="835">
        <f t="shared" si="40"/>
        <v>20307.982910162853</v>
      </c>
      <c r="Q72" s="835">
        <f t="shared" si="41"/>
        <v>27044953.160780277</v>
      </c>
      <c r="R72" s="836">
        <f t="shared" si="42"/>
        <v>8181098.3311360329</v>
      </c>
      <c r="S72" s="837">
        <f t="shared" si="43"/>
        <v>27.044953160780278</v>
      </c>
      <c r="T72" s="835">
        <f t="shared" si="44"/>
        <v>6143.1648303242628</v>
      </c>
      <c r="U72" s="835">
        <f t="shared" si="45"/>
        <v>570.71924026832869</v>
      </c>
      <c r="V72" s="838" t="s">
        <v>817</v>
      </c>
      <c r="W72" s="282">
        <v>45807</v>
      </c>
      <c r="X72" s="755" t="s">
        <v>517</v>
      </c>
      <c r="Y72" s="755" t="s">
        <v>518</v>
      </c>
      <c r="Z72" s="839" t="s">
        <v>737</v>
      </c>
      <c r="AA72" s="840" t="s">
        <v>738</v>
      </c>
      <c r="AB72" s="841" t="s">
        <v>738</v>
      </c>
      <c r="AC72" s="842" t="s">
        <v>834</v>
      </c>
      <c r="AD72" s="755" t="s">
        <v>661</v>
      </c>
      <c r="AE72" s="528" t="s">
        <v>835</v>
      </c>
      <c r="AF72" s="528" t="s">
        <v>836</v>
      </c>
    </row>
    <row r="73" spans="1:32" s="846" customFormat="1" ht="65.5" customHeight="1">
      <c r="A73" s="762" t="s">
        <v>837</v>
      </c>
      <c r="B73" s="755" t="s">
        <v>279</v>
      </c>
      <c r="C73" s="825" t="s">
        <v>165</v>
      </c>
      <c r="D73" s="825" t="str">
        <f t="shared" si="46"/>
        <v>Gangnam-gu - GBD</v>
      </c>
      <c r="E73" s="826">
        <v>35608</v>
      </c>
      <c r="F73" s="827">
        <f t="shared" ca="1" si="35"/>
        <v>28.775342465753425</v>
      </c>
      <c r="G73" s="827">
        <f t="shared" si="47"/>
        <v>1997</v>
      </c>
      <c r="H73" s="827" t="s">
        <v>838</v>
      </c>
      <c r="I73" s="828">
        <f t="shared" si="36"/>
        <v>11247.6276</v>
      </c>
      <c r="J73" s="829">
        <v>37182.239999999998</v>
      </c>
      <c r="K73" s="830" t="s">
        <v>839</v>
      </c>
      <c r="L73" s="831">
        <f t="shared" si="37"/>
        <v>400225.91313599999</v>
      </c>
      <c r="M73" s="832">
        <f t="shared" si="38"/>
        <v>343760794.14900804</v>
      </c>
      <c r="N73" s="833">
        <v>457.8</v>
      </c>
      <c r="O73" s="834">
        <f t="shared" si="48"/>
        <v>464.66700000000003</v>
      </c>
      <c r="P73" s="835">
        <f t="shared" si="40"/>
        <v>30562.96015250434</v>
      </c>
      <c r="Q73" s="835">
        <f t="shared" si="41"/>
        <v>40701916.553496137</v>
      </c>
      <c r="R73" s="836">
        <f t="shared" si="42"/>
        <v>12312329.757432582</v>
      </c>
      <c r="S73" s="837">
        <f t="shared" si="43"/>
        <v>40.70191655349614</v>
      </c>
      <c r="T73" s="835">
        <f t="shared" si="44"/>
        <v>9245.2954461325644</v>
      </c>
      <c r="U73" s="835">
        <f t="shared" si="45"/>
        <v>858.91688385553221</v>
      </c>
      <c r="V73" s="838" t="s">
        <v>840</v>
      </c>
      <c r="W73" s="282">
        <v>45833</v>
      </c>
      <c r="X73" s="755" t="s">
        <v>517</v>
      </c>
      <c r="Y73" s="755" t="s">
        <v>518</v>
      </c>
      <c r="Z73" s="839" t="s">
        <v>737</v>
      </c>
      <c r="AA73" s="840">
        <v>0.97</v>
      </c>
      <c r="AB73" s="841" t="s">
        <v>738</v>
      </c>
      <c r="AC73" s="842" t="s">
        <v>617</v>
      </c>
      <c r="AD73" s="755" t="s">
        <v>841</v>
      </c>
      <c r="AE73" s="528" t="s">
        <v>842</v>
      </c>
      <c r="AF73" s="528" t="s">
        <v>843</v>
      </c>
    </row>
    <row r="74" spans="1:32" s="846" customFormat="1" ht="65.5" customHeight="1">
      <c r="A74" s="762" t="s">
        <v>844</v>
      </c>
      <c r="B74" s="755" t="s">
        <v>279</v>
      </c>
      <c r="C74" s="825" t="s">
        <v>165</v>
      </c>
      <c r="D74" s="825" t="str">
        <f t="shared" si="46"/>
        <v>Gangnam-gu - GBD</v>
      </c>
      <c r="E74" s="826">
        <v>36488</v>
      </c>
      <c r="F74" s="827">
        <f t="shared" ca="1" si="35"/>
        <v>26.364383561643837</v>
      </c>
      <c r="G74" s="827">
        <f t="shared" si="47"/>
        <v>1999</v>
      </c>
      <c r="H74" s="827" t="s">
        <v>845</v>
      </c>
      <c r="I74" s="828">
        <f t="shared" si="36"/>
        <v>20026.222975000001</v>
      </c>
      <c r="J74" s="829">
        <v>66202.39</v>
      </c>
      <c r="K74" s="830" t="s">
        <v>846</v>
      </c>
      <c r="L74" s="831">
        <f t="shared" si="37"/>
        <v>712595.90572099993</v>
      </c>
      <c r="M74" s="832">
        <f t="shared" si="38"/>
        <v>673654767.44709933</v>
      </c>
      <c r="N74" s="833">
        <v>897.13300000000004</v>
      </c>
      <c r="O74" s="834">
        <f t="shared" si="48"/>
        <v>910.58999500000004</v>
      </c>
      <c r="P74" s="835">
        <f t="shared" si="40"/>
        <v>33638.633120587197</v>
      </c>
      <c r="Q74" s="835">
        <f t="shared" si="41"/>
        <v>44797913.272010796</v>
      </c>
      <c r="R74" s="836">
        <f t="shared" si="42"/>
        <v>13551368.764783265</v>
      </c>
      <c r="S74" s="837">
        <f t="shared" si="43"/>
        <v>44.797913272010796</v>
      </c>
      <c r="T74" s="835">
        <f t="shared" si="44"/>
        <v>10175.686518977627</v>
      </c>
      <c r="U74" s="835">
        <f t="shared" si="45"/>
        <v>945.35312655985558</v>
      </c>
      <c r="V74" s="838" t="s">
        <v>738</v>
      </c>
      <c r="W74" s="282">
        <v>45835</v>
      </c>
      <c r="X74" s="755" t="s">
        <v>517</v>
      </c>
      <c r="Y74" s="755" t="s">
        <v>518</v>
      </c>
      <c r="Z74" s="839" t="s">
        <v>810</v>
      </c>
      <c r="AA74" s="840">
        <v>1</v>
      </c>
      <c r="AB74" s="841" t="s">
        <v>738</v>
      </c>
      <c r="AC74" s="842" t="s">
        <v>633</v>
      </c>
      <c r="AD74" s="755" t="s">
        <v>661</v>
      </c>
      <c r="AE74" s="528" t="s">
        <v>847</v>
      </c>
      <c r="AF74" s="528" t="s">
        <v>848</v>
      </c>
    </row>
    <row r="75" spans="1:32" s="906" customFormat="1" ht="40.15" customHeight="1">
      <c r="A75" s="762" t="s">
        <v>849</v>
      </c>
      <c r="B75" s="755" t="s">
        <v>691</v>
      </c>
      <c r="C75" s="825" t="s">
        <v>187</v>
      </c>
      <c r="D75" s="825" t="s">
        <v>850</v>
      </c>
      <c r="E75" s="826">
        <v>43313</v>
      </c>
      <c r="F75" s="827">
        <f t="shared" ca="1" si="35"/>
        <v>7.6657534246575345</v>
      </c>
      <c r="G75" s="827">
        <f t="shared" si="47"/>
        <v>2018</v>
      </c>
      <c r="H75" s="827" t="s">
        <v>851</v>
      </c>
      <c r="I75" s="828">
        <f t="shared" si="36"/>
        <v>7732.8543874999996</v>
      </c>
      <c r="J75" s="829">
        <v>25563.154999999999</v>
      </c>
      <c r="K75" s="830" t="str">
        <f>CONCATENATE(J75,  I75)</f>
        <v>25563.1557732.8543875</v>
      </c>
      <c r="L75" s="831">
        <f t="shared" si="37"/>
        <v>275159.24410449999</v>
      </c>
      <c r="M75" s="832">
        <f t="shared" si="38"/>
        <v>510985627.82525116</v>
      </c>
      <c r="N75" s="833">
        <v>680.5</v>
      </c>
      <c r="O75" s="834">
        <f t="shared" si="48"/>
        <v>690.70749999999998</v>
      </c>
      <c r="P75" s="835">
        <f t="shared" si="40"/>
        <v>66079.820234459476</v>
      </c>
      <c r="Q75" s="835">
        <f t="shared" si="41"/>
        <v>88001139.799039051</v>
      </c>
      <c r="R75" s="836">
        <f t="shared" si="42"/>
        <v>26620344.789209314</v>
      </c>
      <c r="S75" s="837">
        <f t="shared" si="43"/>
        <v>88.001139799039052</v>
      </c>
      <c r="T75" s="835">
        <f t="shared" si="44"/>
        <v>19989.145620923988</v>
      </c>
      <c r="U75" s="835">
        <f t="shared" si="45"/>
        <v>1857.0541923395785</v>
      </c>
      <c r="V75" s="838">
        <v>3.1E-2</v>
      </c>
      <c r="W75" s="282">
        <v>45835</v>
      </c>
      <c r="X75" s="755" t="s">
        <v>517</v>
      </c>
      <c r="Y75" s="755" t="s">
        <v>518</v>
      </c>
      <c r="Z75" s="839" t="s">
        <v>751</v>
      </c>
      <c r="AA75" s="840">
        <v>0.97</v>
      </c>
      <c r="AB75" s="841" t="s">
        <v>738</v>
      </c>
      <c r="AC75" s="842" t="s">
        <v>852</v>
      </c>
      <c r="AD75" s="755" t="s">
        <v>661</v>
      </c>
      <c r="AE75" s="528" t="s">
        <v>853</v>
      </c>
      <c r="AF75" s="905" t="s">
        <v>854</v>
      </c>
    </row>
    <row r="76" spans="1:32" s="906" customFormat="1" ht="40.15" customHeight="1">
      <c r="A76" s="762" t="s">
        <v>855</v>
      </c>
      <c r="B76" s="755" t="s">
        <v>856</v>
      </c>
      <c r="C76" s="825" t="s">
        <v>186</v>
      </c>
      <c r="D76" s="825" t="s">
        <v>857</v>
      </c>
      <c r="E76" s="826">
        <v>33912</v>
      </c>
      <c r="F76" s="827">
        <f t="shared" ca="1" si="35"/>
        <v>33.421917808219177</v>
      </c>
      <c r="G76" s="827">
        <f t="shared" si="47"/>
        <v>1992</v>
      </c>
      <c r="H76" s="827" t="s">
        <v>858</v>
      </c>
      <c r="I76" s="828">
        <f t="shared" si="36"/>
        <v>15874.083774999999</v>
      </c>
      <c r="J76" s="829">
        <v>52476.31</v>
      </c>
      <c r="K76" s="830" t="str">
        <f t="shared" ref="K76:K81" si="49">CONCATENATE(J76,  I76)</f>
        <v>52476.3115874.083775</v>
      </c>
      <c r="L76" s="831">
        <f t="shared" si="37"/>
        <v>564849.75320899999</v>
      </c>
      <c r="M76" s="832">
        <f t="shared" si="38"/>
        <v>337903795.0350669</v>
      </c>
      <c r="N76" s="833">
        <v>450</v>
      </c>
      <c r="O76" s="834">
        <f t="shared" si="48"/>
        <v>456.75000000000006</v>
      </c>
      <c r="P76" s="835">
        <f t="shared" si="40"/>
        <v>21286.506977317935</v>
      </c>
      <c r="Q76" s="835">
        <f t="shared" si="41"/>
        <v>28348092.801973388</v>
      </c>
      <c r="R76" s="836">
        <f t="shared" si="42"/>
        <v>8575298.0725969486</v>
      </c>
      <c r="S76" s="837">
        <f t="shared" si="43"/>
        <v>28.348092801973387</v>
      </c>
      <c r="T76" s="835">
        <f t="shared" si="44"/>
        <v>6439.168360638675</v>
      </c>
      <c r="U76" s="835">
        <f t="shared" si="45"/>
        <v>598.21889469789528</v>
      </c>
      <c r="V76" s="838" t="s">
        <v>738</v>
      </c>
      <c r="W76" s="282">
        <v>45926</v>
      </c>
      <c r="X76" s="755" t="s">
        <v>517</v>
      </c>
      <c r="Y76" s="755" t="s">
        <v>518</v>
      </c>
      <c r="Z76" s="839" t="s">
        <v>737</v>
      </c>
      <c r="AA76" s="841" t="s">
        <v>738</v>
      </c>
      <c r="AB76" s="841" t="s">
        <v>738</v>
      </c>
      <c r="AC76" s="842" t="s">
        <v>859</v>
      </c>
      <c r="AD76" s="755" t="s">
        <v>860</v>
      </c>
      <c r="AE76" s="528" t="s">
        <v>861</v>
      </c>
      <c r="AF76" s="905" t="s">
        <v>862</v>
      </c>
    </row>
    <row r="77" spans="1:32" s="906" customFormat="1" ht="40.15" customHeight="1">
      <c r="A77" s="762" t="s">
        <v>863</v>
      </c>
      <c r="B77" s="755" t="s">
        <v>241</v>
      </c>
      <c r="C77" s="825" t="s">
        <v>186</v>
      </c>
      <c r="D77" s="825" t="s">
        <v>864</v>
      </c>
      <c r="E77" s="826">
        <v>37383</v>
      </c>
      <c r="F77" s="827">
        <f t="shared" ca="1" si="35"/>
        <v>23.912328767123288</v>
      </c>
      <c r="G77" s="827">
        <f t="shared" si="47"/>
        <v>2002</v>
      </c>
      <c r="H77" s="827" t="s">
        <v>865</v>
      </c>
      <c r="I77" s="828">
        <f t="shared" si="36"/>
        <v>17998.880075000001</v>
      </c>
      <c r="J77" s="829">
        <v>59500.43</v>
      </c>
      <c r="K77" s="830" t="str">
        <f t="shared" si="49"/>
        <v>59500.4317998.880075</v>
      </c>
      <c r="L77" s="831">
        <f t="shared" si="37"/>
        <v>640456.67847699998</v>
      </c>
      <c r="M77" s="832">
        <f t="shared" si="38"/>
        <v>435520446.9340862</v>
      </c>
      <c r="N77" s="833">
        <v>580</v>
      </c>
      <c r="O77" s="834">
        <f t="shared" si="48"/>
        <v>588.70000000000005</v>
      </c>
      <c r="P77" s="835">
        <f t="shared" si="40"/>
        <v>24197.085880860628</v>
      </c>
      <c r="Q77" s="835">
        <f t="shared" si="41"/>
        <v>32224227.150977336</v>
      </c>
      <c r="R77" s="836">
        <f t="shared" si="42"/>
        <v>9747828.7131706439</v>
      </c>
      <c r="S77" s="837">
        <f t="shared" si="43"/>
        <v>32.224227150977335</v>
      </c>
      <c r="T77" s="835">
        <f t="shared" si="44"/>
        <v>7319.6184789603403</v>
      </c>
      <c r="U77" s="835">
        <f t="shared" si="45"/>
        <v>680.01546641647917</v>
      </c>
      <c r="V77" s="838" t="s">
        <v>738</v>
      </c>
      <c r="W77" s="282">
        <v>45863</v>
      </c>
      <c r="X77" s="755" t="s">
        <v>517</v>
      </c>
      <c r="Y77" s="755" t="s">
        <v>518</v>
      </c>
      <c r="Z77" s="839" t="s">
        <v>751</v>
      </c>
      <c r="AA77" s="840">
        <v>1</v>
      </c>
      <c r="AB77" s="841" t="s">
        <v>738</v>
      </c>
      <c r="AC77" s="842" t="s">
        <v>866</v>
      </c>
      <c r="AD77" s="755" t="s">
        <v>867</v>
      </c>
      <c r="AE77" s="528" t="s">
        <v>868</v>
      </c>
      <c r="AF77" s="905" t="s">
        <v>869</v>
      </c>
    </row>
    <row r="78" spans="1:32" s="928" customFormat="1" ht="40.15" customHeight="1">
      <c r="A78" s="907" t="s">
        <v>870</v>
      </c>
      <c r="B78" s="908" t="s">
        <v>691</v>
      </c>
      <c r="C78" s="909" t="s">
        <v>187</v>
      </c>
      <c r="D78" s="909" t="s">
        <v>850</v>
      </c>
      <c r="E78" s="910">
        <v>39535</v>
      </c>
      <c r="F78" s="911">
        <f t="shared" ca="1" si="35"/>
        <v>18.016438356164382</v>
      </c>
      <c r="G78" s="911">
        <f t="shared" si="47"/>
        <v>2008</v>
      </c>
      <c r="H78" s="911" t="s">
        <v>871</v>
      </c>
      <c r="I78" s="912">
        <f t="shared" si="36"/>
        <v>9351.1673749999991</v>
      </c>
      <c r="J78" s="913">
        <v>30912.95</v>
      </c>
      <c r="K78" s="848" t="str">
        <f t="shared" si="49"/>
        <v>30912.959351.167375</v>
      </c>
      <c r="L78" s="914">
        <f t="shared" si="37"/>
        <v>332743.90250500001</v>
      </c>
      <c r="M78" s="915">
        <f t="shared" si="38"/>
        <v>333022962.44011593</v>
      </c>
      <c r="N78" s="916">
        <v>443.5</v>
      </c>
      <c r="O78" s="917">
        <f t="shared" si="48"/>
        <v>450.15250000000003</v>
      </c>
      <c r="P78" s="918">
        <f t="shared" si="40"/>
        <v>35612.982752339623</v>
      </c>
      <c r="Q78" s="918">
        <f t="shared" si="41"/>
        <v>47427233.650600769</v>
      </c>
      <c r="R78" s="919">
        <f t="shared" si="42"/>
        <v>14346738.179306731</v>
      </c>
      <c r="S78" s="920">
        <f t="shared" si="43"/>
        <v>47.427233650600769</v>
      </c>
      <c r="T78" s="918">
        <f t="shared" si="44"/>
        <v>10772.927282582734</v>
      </c>
      <c r="U78" s="918">
        <f t="shared" si="45"/>
        <v>1000.8386628064859</v>
      </c>
      <c r="V78" s="921">
        <v>3.4000000000000002E-2</v>
      </c>
      <c r="W78" s="922">
        <v>45880</v>
      </c>
      <c r="X78" s="908" t="s">
        <v>517</v>
      </c>
      <c r="Y78" s="908" t="s">
        <v>518</v>
      </c>
      <c r="Z78" s="923" t="s">
        <v>737</v>
      </c>
      <c r="AA78" s="924" t="s">
        <v>738</v>
      </c>
      <c r="AB78" s="924" t="s">
        <v>738</v>
      </c>
      <c r="AC78" s="925" t="s">
        <v>872</v>
      </c>
      <c r="AD78" s="908" t="s">
        <v>873</v>
      </c>
      <c r="AE78" s="926" t="s">
        <v>874</v>
      </c>
      <c r="AF78" s="927" t="s">
        <v>875</v>
      </c>
    </row>
    <row r="79" spans="1:32" s="948" customFormat="1" ht="40.15" customHeight="1">
      <c r="A79" s="929" t="s">
        <v>876</v>
      </c>
      <c r="B79" s="772" t="s">
        <v>241</v>
      </c>
      <c r="C79" s="930" t="s">
        <v>186</v>
      </c>
      <c r="D79" s="930" t="s">
        <v>864</v>
      </c>
      <c r="E79" s="931">
        <v>40380</v>
      </c>
      <c r="F79" s="932">
        <f t="shared" ca="1" si="35"/>
        <v>15.701369863013699</v>
      </c>
      <c r="G79" s="932">
        <f t="shared" si="47"/>
        <v>2010</v>
      </c>
      <c r="H79" s="932" t="s">
        <v>877</v>
      </c>
      <c r="I79" s="933">
        <f t="shared" si="36"/>
        <v>16847.62255</v>
      </c>
      <c r="J79" s="934">
        <v>55694.62</v>
      </c>
      <c r="K79" s="847" t="str">
        <f t="shared" si="49"/>
        <v>55694.6216847.62255</v>
      </c>
      <c r="L79" s="935">
        <f t="shared" si="37"/>
        <v>599491.32021799998</v>
      </c>
      <c r="M79" s="936">
        <f t="shared" si="38"/>
        <v>484373826.72293389</v>
      </c>
      <c r="N79" s="937">
        <v>645.05999999999995</v>
      </c>
      <c r="O79" s="938">
        <f t="shared" si="48"/>
        <v>654.73590000000002</v>
      </c>
      <c r="P79" s="939">
        <f t="shared" si="40"/>
        <v>28750.277689651462</v>
      </c>
      <c r="Q79" s="939">
        <f t="shared" si="41"/>
        <v>38287894.810416438</v>
      </c>
      <c r="R79" s="940">
        <f t="shared" si="42"/>
        <v>11582088.180150973</v>
      </c>
      <c r="S79" s="941">
        <f t="shared" si="43"/>
        <v>38.287894810416439</v>
      </c>
      <c r="T79" s="939">
        <f t="shared" si="44"/>
        <v>8696.9590011195669</v>
      </c>
      <c r="U79" s="939">
        <f t="shared" si="45"/>
        <v>807.97471187205088</v>
      </c>
      <c r="V79" s="942">
        <v>3.6999999999999998E-2</v>
      </c>
      <c r="W79" s="786">
        <v>45897</v>
      </c>
      <c r="X79" s="772" t="s">
        <v>517</v>
      </c>
      <c r="Y79" s="772" t="s">
        <v>518</v>
      </c>
      <c r="Z79" s="943" t="s">
        <v>737</v>
      </c>
      <c r="AA79" s="944" t="s">
        <v>738</v>
      </c>
      <c r="AB79" s="945" t="s">
        <v>738</v>
      </c>
      <c r="AC79" s="946" t="s">
        <v>878</v>
      </c>
      <c r="AD79" s="772" t="s">
        <v>879</v>
      </c>
      <c r="AE79" s="787" t="s">
        <v>880</v>
      </c>
      <c r="AF79" s="947" t="s">
        <v>881</v>
      </c>
    </row>
    <row r="80" spans="1:32" s="906" customFormat="1" ht="40.15" customHeight="1">
      <c r="A80" s="762" t="s">
        <v>882</v>
      </c>
      <c r="B80" s="755" t="s">
        <v>691</v>
      </c>
      <c r="C80" s="825" t="s">
        <v>187</v>
      </c>
      <c r="D80" s="825" t="s">
        <v>850</v>
      </c>
      <c r="E80" s="826">
        <v>34333</v>
      </c>
      <c r="F80" s="827">
        <f t="shared" ca="1" si="35"/>
        <v>32.268493150684932</v>
      </c>
      <c r="G80" s="827">
        <f t="shared" si="47"/>
        <v>1993</v>
      </c>
      <c r="H80" s="827" t="s">
        <v>883</v>
      </c>
      <c r="I80" s="828">
        <f t="shared" si="36"/>
        <v>6088.2480999999998</v>
      </c>
      <c r="J80" s="829">
        <v>20126.439999999999</v>
      </c>
      <c r="K80" s="830" t="str">
        <f t="shared" si="49"/>
        <v>20126.446088.2481</v>
      </c>
      <c r="L80" s="831">
        <f t="shared" si="37"/>
        <v>216638.98751599996</v>
      </c>
      <c r="M80" s="832">
        <f t="shared" si="38"/>
        <v>159565680.9887816</v>
      </c>
      <c r="N80" s="833">
        <v>212.5</v>
      </c>
      <c r="O80" s="834">
        <f t="shared" si="48"/>
        <v>215.6875</v>
      </c>
      <c r="P80" s="835">
        <f t="shared" si="40"/>
        <v>26208.800687472249</v>
      </c>
      <c r="Q80" s="835">
        <f t="shared" si="41"/>
        <v>34903308.227534287</v>
      </c>
      <c r="R80" s="836">
        <f t="shared" si="42"/>
        <v>10558250.738829123</v>
      </c>
      <c r="S80" s="837">
        <f t="shared" si="43"/>
        <v>34.903308227534289</v>
      </c>
      <c r="T80" s="835">
        <f t="shared" si="44"/>
        <v>7928.1622079603549</v>
      </c>
      <c r="U80" s="835">
        <f t="shared" si="45"/>
        <v>736.55108352552099</v>
      </c>
      <c r="V80" s="838">
        <v>0.03</v>
      </c>
      <c r="W80" s="282">
        <v>45898</v>
      </c>
      <c r="X80" s="755" t="s">
        <v>517</v>
      </c>
      <c r="Y80" s="755" t="s">
        <v>518</v>
      </c>
      <c r="Z80" s="839" t="s">
        <v>737</v>
      </c>
      <c r="AA80" s="840" t="s">
        <v>738</v>
      </c>
      <c r="AB80" s="841" t="s">
        <v>738</v>
      </c>
      <c r="AC80" s="842" t="s">
        <v>884</v>
      </c>
      <c r="AD80" s="755" t="s">
        <v>885</v>
      </c>
      <c r="AE80" s="528" t="s">
        <v>886</v>
      </c>
      <c r="AF80" s="905" t="s">
        <v>887</v>
      </c>
    </row>
    <row r="81" spans="1:32" s="972" customFormat="1" ht="40.15" customHeight="1" thickBot="1">
      <c r="A81" s="949" t="s">
        <v>888</v>
      </c>
      <c r="B81" s="950" t="s">
        <v>241</v>
      </c>
      <c r="C81" s="951" t="s">
        <v>186</v>
      </c>
      <c r="D81" s="951" t="s">
        <v>864</v>
      </c>
      <c r="E81" s="952">
        <v>46022</v>
      </c>
      <c r="F81" s="953">
        <f t="shared" ca="1" si="35"/>
        <v>0.24383561643835616</v>
      </c>
      <c r="G81" s="953">
        <f t="shared" si="47"/>
        <v>2025</v>
      </c>
      <c r="H81" s="953" t="s">
        <v>889</v>
      </c>
      <c r="I81" s="954">
        <f t="shared" si="36"/>
        <v>6312.4792500000003</v>
      </c>
      <c r="J81" s="955">
        <v>20867.7</v>
      </c>
      <c r="K81" s="956" t="str">
        <f t="shared" si="49"/>
        <v>20867.76312.47925</v>
      </c>
      <c r="L81" s="957">
        <f t="shared" si="37"/>
        <v>224617.83603000001</v>
      </c>
      <c r="M81" s="958">
        <f t="shared" si="38"/>
        <v>170453692.16205865</v>
      </c>
      <c r="N81" s="959">
        <v>226.99999999989998</v>
      </c>
      <c r="O81" s="960">
        <f t="shared" si="48"/>
        <v>230.40499999989851</v>
      </c>
      <c r="P81" s="961">
        <f t="shared" si="40"/>
        <v>27002.6538561784</v>
      </c>
      <c r="Q81" s="961">
        <f t="shared" si="41"/>
        <v>35960514.246427022</v>
      </c>
      <c r="R81" s="962">
        <f t="shared" si="42"/>
        <v>10878055.559544176</v>
      </c>
      <c r="S81" s="963">
        <f t="shared" si="43"/>
        <v>35.960514246427024</v>
      </c>
      <c r="T81" s="961">
        <f t="shared" si="44"/>
        <v>8168.3027914939667</v>
      </c>
      <c r="U81" s="961">
        <f t="shared" si="45"/>
        <v>758.86089535335395</v>
      </c>
      <c r="V81" s="964" t="s">
        <v>738</v>
      </c>
      <c r="W81" s="965">
        <v>45918</v>
      </c>
      <c r="X81" s="950" t="s">
        <v>517</v>
      </c>
      <c r="Y81" s="950" t="s">
        <v>518</v>
      </c>
      <c r="Z81" s="966" t="s">
        <v>737</v>
      </c>
      <c r="AA81" s="967" t="s">
        <v>738</v>
      </c>
      <c r="AB81" s="968" t="s">
        <v>738</v>
      </c>
      <c r="AC81" s="969" t="s">
        <v>890</v>
      </c>
      <c r="AD81" s="950" t="s">
        <v>891</v>
      </c>
      <c r="AE81" s="970" t="s">
        <v>892</v>
      </c>
      <c r="AF81" s="971" t="s">
        <v>893</v>
      </c>
    </row>
    <row r="82" spans="1:32" s="997" customFormat="1" ht="45" customHeight="1">
      <c r="A82" s="973" t="s">
        <v>894</v>
      </c>
      <c r="B82" s="974" t="s">
        <v>856</v>
      </c>
      <c r="C82" s="975" t="s">
        <v>186</v>
      </c>
      <c r="D82" s="975" t="s">
        <v>895</v>
      </c>
      <c r="E82" s="976">
        <v>41516</v>
      </c>
      <c r="F82" s="977">
        <f t="shared" ca="1" si="35"/>
        <v>12.58904109589041</v>
      </c>
      <c r="G82" s="977">
        <f t="shared" si="47"/>
        <v>2013</v>
      </c>
      <c r="H82" s="977" t="s">
        <v>832</v>
      </c>
      <c r="I82" s="978">
        <f t="shared" si="36"/>
        <v>11781.322299999998</v>
      </c>
      <c r="J82" s="979">
        <v>38946.519999999997</v>
      </c>
      <c r="K82" s="980" t="s">
        <v>896</v>
      </c>
      <c r="L82" s="981">
        <f t="shared" si="37"/>
        <v>419216.44662799995</v>
      </c>
      <c r="M82" s="982">
        <f t="shared" si="38"/>
        <v>324387643.23366421</v>
      </c>
      <c r="N82" s="983">
        <v>432</v>
      </c>
      <c r="O82" s="984">
        <f t="shared" si="48"/>
        <v>438.48</v>
      </c>
      <c r="P82" s="985">
        <f t="shared" si="40"/>
        <v>27534.060691444141</v>
      </c>
      <c r="Q82" s="985">
        <f t="shared" si="41"/>
        <v>36668209.985223822</v>
      </c>
      <c r="R82" s="986">
        <f t="shared" si="42"/>
        <v>11092133.520530205</v>
      </c>
      <c r="S82" s="987">
        <f t="shared" si="43"/>
        <v>36.668209985223825</v>
      </c>
      <c r="T82" s="985">
        <f t="shared" si="44"/>
        <v>8329.0533591618514</v>
      </c>
      <c r="U82" s="985">
        <f t="shared" si="45"/>
        <v>773.7951262239385</v>
      </c>
      <c r="V82" s="988">
        <v>3.6999999999999998E-2</v>
      </c>
      <c r="W82" s="989">
        <v>45945</v>
      </c>
      <c r="X82" s="974" t="s">
        <v>517</v>
      </c>
      <c r="Y82" s="974" t="s">
        <v>518</v>
      </c>
      <c r="Z82" s="990" t="s">
        <v>751</v>
      </c>
      <c r="AA82" s="991">
        <v>1</v>
      </c>
      <c r="AB82" s="992" t="s">
        <v>738</v>
      </c>
      <c r="AC82" s="993" t="s">
        <v>897</v>
      </c>
      <c r="AD82" s="994" t="s">
        <v>898</v>
      </c>
      <c r="AE82" s="995" t="s">
        <v>899</v>
      </c>
      <c r="AF82" s="996" t="s">
        <v>900</v>
      </c>
    </row>
    <row r="83" spans="1:32" s="997" customFormat="1" ht="45" customHeight="1">
      <c r="A83" s="973" t="s">
        <v>901</v>
      </c>
      <c r="B83" s="974" t="s">
        <v>279</v>
      </c>
      <c r="C83" s="975" t="s">
        <v>187</v>
      </c>
      <c r="D83" s="975" t="s">
        <v>850</v>
      </c>
      <c r="E83" s="976">
        <v>40242</v>
      </c>
      <c r="F83" s="977">
        <f ca="1">($E$5-E83)/365</f>
        <v>16.079452054794519</v>
      </c>
      <c r="G83" s="977">
        <f>YEAR(E83)</f>
        <v>2010</v>
      </c>
      <c r="H83" s="977" t="s">
        <v>902</v>
      </c>
      <c r="I83" s="978">
        <f>J83*0.3025</f>
        <v>9279.3538749999989</v>
      </c>
      <c r="J83" s="979">
        <v>30675.55</v>
      </c>
      <c r="K83" s="980" t="s">
        <v>903</v>
      </c>
      <c r="L83" s="981">
        <f>J83*10.7639</f>
        <v>330188.55264499999</v>
      </c>
      <c r="M83" s="982">
        <f>(N83*1000000000)/1331.74</f>
        <v>262814062.80505204</v>
      </c>
      <c r="N83" s="983">
        <v>350</v>
      </c>
      <c r="O83" s="984">
        <f>N83*0.001015*1000</f>
        <v>355.25</v>
      </c>
      <c r="P83" s="985">
        <f>M83/I83</f>
        <v>28322.452871757956</v>
      </c>
      <c r="Q83" s="985">
        <f>(N83*1000000000)/I83</f>
        <v>37718143.387434937</v>
      </c>
      <c r="R83" s="986">
        <f>(N83*1000000000)/J83</f>
        <v>11409738.374699069</v>
      </c>
      <c r="S83" s="987">
        <f>Q83/1000000</f>
        <v>37.718143387434935</v>
      </c>
      <c r="T83" s="985">
        <f>M83/J83</f>
        <v>8567.5419937067818</v>
      </c>
      <c r="U83" s="985">
        <f>M83/L83</f>
        <v>795.95146682027712</v>
      </c>
      <c r="V83" s="988">
        <v>3.9E-2</v>
      </c>
      <c r="W83" s="989">
        <v>45966</v>
      </c>
      <c r="X83" s="974" t="s">
        <v>517</v>
      </c>
      <c r="Y83" s="974" t="s">
        <v>518</v>
      </c>
      <c r="Z83" s="990" t="s">
        <v>751</v>
      </c>
      <c r="AA83" s="991" t="s">
        <v>738</v>
      </c>
      <c r="AB83" s="992" t="s">
        <v>738</v>
      </c>
      <c r="AC83" s="998" t="s">
        <v>904</v>
      </c>
      <c r="AD83" s="974" t="s">
        <v>905</v>
      </c>
      <c r="AE83" s="995" t="s">
        <v>906</v>
      </c>
      <c r="AF83" s="996" t="s">
        <v>907</v>
      </c>
    </row>
    <row r="84" spans="1:32" s="997" customFormat="1" ht="45" customHeight="1">
      <c r="A84" s="973" t="s">
        <v>908</v>
      </c>
      <c r="B84" s="974" t="s">
        <v>276</v>
      </c>
      <c r="C84" s="975" t="s">
        <v>186</v>
      </c>
      <c r="D84" s="975" t="s">
        <v>864</v>
      </c>
      <c r="E84" s="976">
        <v>40723</v>
      </c>
      <c r="F84" s="977">
        <f t="shared" ca="1" si="35"/>
        <v>14.761643835616438</v>
      </c>
      <c r="G84" s="977">
        <f t="shared" si="47"/>
        <v>2011</v>
      </c>
      <c r="H84" s="977" t="s">
        <v>909</v>
      </c>
      <c r="I84" s="978">
        <f t="shared" si="36"/>
        <v>30249.122750000002</v>
      </c>
      <c r="J84" s="979">
        <v>99997.1</v>
      </c>
      <c r="K84" s="980" t="s">
        <v>910</v>
      </c>
      <c r="L84" s="981">
        <f t="shared" si="37"/>
        <v>1076358.7846900001</v>
      </c>
      <c r="M84" s="982">
        <f t="shared" si="38"/>
        <v>776878369.65173376</v>
      </c>
      <c r="N84" s="983">
        <v>1034.5999999999999</v>
      </c>
      <c r="O84" s="984">
        <f t="shared" si="48"/>
        <v>1050.1189999999999</v>
      </c>
      <c r="P84" s="985">
        <f t="shared" si="40"/>
        <v>25682.674372820737</v>
      </c>
      <c r="Q84" s="985">
        <f t="shared" si="41"/>
        <v>34202644.769260287</v>
      </c>
      <c r="R84" s="986">
        <f t="shared" si="42"/>
        <v>10346300.042701237</v>
      </c>
      <c r="S84" s="987">
        <f t="shared" si="43"/>
        <v>34.202644769260289</v>
      </c>
      <c r="T84" s="985">
        <f t="shared" si="44"/>
        <v>7769.0089977782727</v>
      </c>
      <c r="U84" s="985">
        <f t="shared" si="45"/>
        <v>721.7652521649469</v>
      </c>
      <c r="V84" s="988">
        <v>4.7E-2</v>
      </c>
      <c r="W84" s="989">
        <v>45985</v>
      </c>
      <c r="X84" s="974" t="s">
        <v>517</v>
      </c>
      <c r="Y84" s="974" t="s">
        <v>518</v>
      </c>
      <c r="Z84" s="990" t="s">
        <v>751</v>
      </c>
      <c r="AA84" s="991">
        <v>1</v>
      </c>
      <c r="AB84" s="992" t="s">
        <v>738</v>
      </c>
      <c r="AC84" s="998" t="s">
        <v>911</v>
      </c>
      <c r="AD84" s="974" t="s">
        <v>912</v>
      </c>
      <c r="AE84" s="995" t="s">
        <v>913</v>
      </c>
      <c r="AF84" s="996" t="s">
        <v>914</v>
      </c>
    </row>
    <row r="85" spans="1:32" s="1022" customFormat="1" ht="45" customHeight="1">
      <c r="A85" s="999" t="s">
        <v>915</v>
      </c>
      <c r="B85" s="1000" t="s">
        <v>276</v>
      </c>
      <c r="C85" s="1001" t="s">
        <v>186</v>
      </c>
      <c r="D85" s="1001" t="s">
        <v>864</v>
      </c>
      <c r="E85" s="1002">
        <v>33847</v>
      </c>
      <c r="F85" s="1003">
        <f t="shared" ca="1" si="35"/>
        <v>33.6</v>
      </c>
      <c r="G85" s="1003">
        <f t="shared" si="47"/>
        <v>1992</v>
      </c>
      <c r="H85" s="1003" t="s">
        <v>858</v>
      </c>
      <c r="I85" s="1004">
        <f t="shared" si="36"/>
        <v>4974.3705</v>
      </c>
      <c r="J85" s="1005">
        <v>16444.2</v>
      </c>
      <c r="K85" s="1006" t="s">
        <v>916</v>
      </c>
      <c r="L85" s="1007">
        <f t="shared" si="37"/>
        <v>177003.72438</v>
      </c>
      <c r="M85" s="1008">
        <f t="shared" si="38"/>
        <v>125399852.82412483</v>
      </c>
      <c r="N85" s="1009">
        <v>167</v>
      </c>
      <c r="O85" s="1010">
        <f t="shared" si="48"/>
        <v>169.50500000000002</v>
      </c>
      <c r="P85" s="1011">
        <f t="shared" si="40"/>
        <v>25209.190353658785</v>
      </c>
      <c r="Q85" s="1011">
        <f t="shared" si="41"/>
        <v>33572087.161581554</v>
      </c>
      <c r="R85" s="1012">
        <f t="shared" si="42"/>
        <v>10155556.366378419</v>
      </c>
      <c r="S85" s="1013">
        <f t="shared" si="43"/>
        <v>33.572087161581557</v>
      </c>
      <c r="T85" s="1011">
        <f t="shared" si="44"/>
        <v>7625.7800819817821</v>
      </c>
      <c r="U85" s="1011">
        <f t="shared" si="45"/>
        <v>708.45883759434616</v>
      </c>
      <c r="V85" s="1014" t="s">
        <v>738</v>
      </c>
      <c r="W85" s="1015">
        <v>45989</v>
      </c>
      <c r="X85" s="1000" t="s">
        <v>517</v>
      </c>
      <c r="Y85" s="1000" t="s">
        <v>518</v>
      </c>
      <c r="Z85" s="1016" t="s">
        <v>737</v>
      </c>
      <c r="AA85" s="1017" t="s">
        <v>738</v>
      </c>
      <c r="AB85" s="1018" t="s">
        <v>738</v>
      </c>
      <c r="AC85" s="1019" t="s">
        <v>917</v>
      </c>
      <c r="AD85" s="1000" t="s">
        <v>739</v>
      </c>
      <c r="AE85" s="1020" t="s">
        <v>918</v>
      </c>
      <c r="AF85" s="1021" t="s">
        <v>919</v>
      </c>
    </row>
    <row r="86" spans="1:32" s="1046" customFormat="1" ht="45" customHeight="1">
      <c r="A86" s="1023" t="s">
        <v>920</v>
      </c>
      <c r="B86" s="1024" t="s">
        <v>921</v>
      </c>
      <c r="C86" s="1025" t="s">
        <v>187</v>
      </c>
      <c r="D86" s="1025" t="s">
        <v>922</v>
      </c>
      <c r="E86" s="1026">
        <v>45917</v>
      </c>
      <c r="F86" s="1027">
        <f t="shared" ca="1" si="35"/>
        <v>0.53150684931506853</v>
      </c>
      <c r="G86" s="1027">
        <f t="shared" si="47"/>
        <v>2025</v>
      </c>
      <c r="H86" s="1027" t="s">
        <v>923</v>
      </c>
      <c r="I86" s="1028">
        <f t="shared" si="36"/>
        <v>4160.2371249999997</v>
      </c>
      <c r="J86" s="1029">
        <v>13752.85</v>
      </c>
      <c r="K86" s="1030" t="s">
        <v>924</v>
      </c>
      <c r="L86" s="1031">
        <f t="shared" si="37"/>
        <v>148034.302115</v>
      </c>
      <c r="M86" s="1032">
        <f t="shared" si="38"/>
        <v>134635889.88841665</v>
      </c>
      <c r="N86" s="1033">
        <v>179.3</v>
      </c>
      <c r="O86" s="1034">
        <f t="shared" si="48"/>
        <v>181.98950000000002</v>
      </c>
      <c r="P86" s="1035">
        <f t="shared" si="40"/>
        <v>32362.551903436673</v>
      </c>
      <c r="Q86" s="1035">
        <f t="shared" si="41"/>
        <v>43098504.871882759</v>
      </c>
      <c r="R86" s="1036">
        <f t="shared" si="42"/>
        <v>13037297.723744532</v>
      </c>
      <c r="S86" s="1037">
        <f t="shared" si="43"/>
        <v>43.09850487188276</v>
      </c>
      <c r="T86" s="1035">
        <f t="shared" si="44"/>
        <v>9789.6719507895923</v>
      </c>
      <c r="U86" s="1035">
        <f t="shared" si="45"/>
        <v>909.49116498570152</v>
      </c>
      <c r="V86" s="1038" t="s">
        <v>738</v>
      </c>
      <c r="W86" s="1039">
        <v>45989</v>
      </c>
      <c r="X86" s="1024" t="s">
        <v>517</v>
      </c>
      <c r="Y86" s="1024" t="s">
        <v>518</v>
      </c>
      <c r="Z86" s="1040" t="s">
        <v>737</v>
      </c>
      <c r="AA86" s="1041" t="s">
        <v>738</v>
      </c>
      <c r="AB86" s="1042" t="s">
        <v>738</v>
      </c>
      <c r="AC86" s="1043" t="s">
        <v>925</v>
      </c>
      <c r="AD86" s="1024" t="s">
        <v>926</v>
      </c>
      <c r="AE86" s="1044" t="s">
        <v>927</v>
      </c>
      <c r="AF86" s="1045" t="s">
        <v>928</v>
      </c>
    </row>
    <row r="87" spans="1:32" s="997" customFormat="1" ht="45" customHeight="1">
      <c r="A87" s="973" t="s">
        <v>929</v>
      </c>
      <c r="B87" s="974" t="s">
        <v>856</v>
      </c>
      <c r="C87" s="975" t="s">
        <v>186</v>
      </c>
      <c r="D87" s="975" t="s">
        <v>857</v>
      </c>
      <c r="E87" s="976">
        <v>40452</v>
      </c>
      <c r="F87" s="977">
        <f t="shared" ca="1" si="35"/>
        <v>15.504109589041096</v>
      </c>
      <c r="G87" s="977">
        <f t="shared" si="47"/>
        <v>2010</v>
      </c>
      <c r="H87" s="977" t="s">
        <v>877</v>
      </c>
      <c r="I87" s="978">
        <f t="shared" si="36"/>
        <v>15521.991925</v>
      </c>
      <c r="J87" s="979">
        <v>51312.37</v>
      </c>
      <c r="K87" s="980" t="s">
        <v>930</v>
      </c>
      <c r="L87" s="981">
        <f t="shared" si="37"/>
        <v>552321.21944300004</v>
      </c>
      <c r="M87" s="982">
        <f t="shared" si="38"/>
        <v>384459429.01767612</v>
      </c>
      <c r="N87" s="983">
        <v>512</v>
      </c>
      <c r="O87" s="984">
        <f t="shared" si="48"/>
        <v>519.68000000000006</v>
      </c>
      <c r="P87" s="985">
        <f t="shared" si="40"/>
        <v>24768.691471772952</v>
      </c>
      <c r="Q87" s="985">
        <f t="shared" si="41"/>
        <v>32985457.180618912</v>
      </c>
      <c r="R87" s="986">
        <f t="shared" si="42"/>
        <v>9978100.7971372195</v>
      </c>
      <c r="S87" s="987">
        <f t="shared" si="43"/>
        <v>32.985457180618909</v>
      </c>
      <c r="T87" s="985">
        <f t="shared" si="44"/>
        <v>7492.5291702113173</v>
      </c>
      <c r="U87" s="985">
        <f t="shared" si="45"/>
        <v>696.0794108279822</v>
      </c>
      <c r="V87" s="988" t="s">
        <v>738</v>
      </c>
      <c r="W87" s="989">
        <v>46022</v>
      </c>
      <c r="X87" s="974" t="s">
        <v>517</v>
      </c>
      <c r="Y87" s="974" t="s">
        <v>518</v>
      </c>
      <c r="Z87" s="990" t="s">
        <v>737</v>
      </c>
      <c r="AA87" s="991" t="s">
        <v>738</v>
      </c>
      <c r="AB87" s="992" t="s">
        <v>738</v>
      </c>
      <c r="AC87" s="998" t="s">
        <v>931</v>
      </c>
      <c r="AD87" s="974" t="s">
        <v>932</v>
      </c>
      <c r="AE87" s="995" t="s">
        <v>933</v>
      </c>
      <c r="AF87" s="996" t="s">
        <v>934</v>
      </c>
    </row>
  </sheetData>
  <autoFilter ref="A7:AE64" xr:uid="{F6307659-29BE-4973-B538-809654C949C7}">
    <filterColumn colId="3">
      <filters>
        <filter val="Daechi - GBD"/>
        <filter val="Gangnam - GBD"/>
        <filter val="Gangnam-gu -  GBD"/>
        <filter val="Gangnam-gu - GBD"/>
        <filter val="Seocho-gu - GBD"/>
        <filter val="Songpa-gu - GBD"/>
      </filters>
    </filterColumn>
  </autoFilter>
  <mergeCells count="1">
    <mergeCell ref="A6:AF6"/>
  </mergeCells>
  <phoneticPr fontId="28" type="noConversion"/>
  <hyperlinks>
    <hyperlink ref="AF68" r:id="rId1" xr:uid="{43CE31C6-3509-4619-ABA5-EDECDD92DC64}"/>
    <hyperlink ref="AF69" r:id="rId2" xr:uid="{E34D3D51-C006-4CEA-BB9D-92F4EAE01749}"/>
    <hyperlink ref="AF70" r:id="rId3" xr:uid="{590D1747-CB69-49C6-AB63-5800934F5D3C}"/>
    <hyperlink ref="AF71" r:id="rId4" xr:uid="{84AEFDF5-4D9D-4E75-8732-64806BC19ACB}"/>
    <hyperlink ref="AF72" r:id="rId5" xr:uid="{EC84AA6E-A4CB-41FC-954E-BDE127B52DAA}"/>
    <hyperlink ref="AF73" r:id="rId6" xr:uid="{6A0B1951-8C19-4208-88D6-68AE89B4C1FB}"/>
    <hyperlink ref="AF74" r:id="rId7" xr:uid="{54539993-9316-4E77-A086-FA5FC02D44A6}"/>
    <hyperlink ref="AF80" r:id="rId8" xr:uid="{74FC2208-DFD4-4868-9620-24499A5254FA}"/>
    <hyperlink ref="AF76" r:id="rId9" xr:uid="{03160482-F95E-4233-9017-8E29EFBDD68E}"/>
    <hyperlink ref="AF75" r:id="rId10" xr:uid="{06F9E1C6-6293-49FD-AC06-6AB9B73C8DC7}"/>
    <hyperlink ref="AF77" r:id="rId11" xr:uid="{A3D5C623-D445-41D8-ADE8-91BA1F5CE987}"/>
    <hyperlink ref="AF78" r:id="rId12" xr:uid="{4B220913-63F0-41ED-ABD0-5A23B05E038E}"/>
    <hyperlink ref="AF79" r:id="rId13" xr:uid="{D52755E2-D85D-4986-9932-F36B9CF08576}"/>
    <hyperlink ref="AF81" r:id="rId14" xr:uid="{710F70C8-037B-466D-85BC-3AE2C448FF08}"/>
    <hyperlink ref="AF83" r:id="rId15" xr:uid="{898D2FA0-180E-4F0A-AED8-1D92208854ED}"/>
    <hyperlink ref="AF87" r:id="rId16" location=":~:text=%EC%A7%80%EC%A3%BC%EC%82%AC%EC%9D%B8%20LX%ED%99%80%EB%94%A9%EC%8A%A4%EC%99%80,12%EC%9B%94%2031%EC%9D%BC%EC%9E%85%EB%8B%88%EB%8B%A4." xr:uid="{E2307E6C-8039-43E3-9B1F-75776DC48A5C}"/>
    <hyperlink ref="AF85" r:id="rId17" xr:uid="{991AFD7A-3AF5-4912-9082-805D5B9762EB}"/>
    <hyperlink ref="AF84" r:id="rId18" xr:uid="{7D2AB89E-418C-4516-8C22-185B837AA92A}"/>
    <hyperlink ref="AF82" r:id="rId19" xr:uid="{FD1ECCF1-16FF-40D6-BE20-A4AC51C234EA}"/>
    <hyperlink ref="AF86" r:id="rId20" xr:uid="{18C5E342-41FF-4BC9-93BD-2F4AD615A5A0}"/>
  </hyperlinks>
  <pageMargins left="0.23622047244094491" right="0.23622047244094491" top="0.74803149606299213" bottom="0.74803149606299213" header="0.31496062992125984" footer="0.31496062992125984"/>
  <pageSetup paperSize="9" scale="13" fitToWidth="0" pageOrder="overThenDown" orientation="landscape" r:id="rId21"/>
  <rowBreaks count="2" manualBreakCount="2">
    <brk id="30" max="31" man="1"/>
    <brk id="60" max="31" man="1"/>
  </rowBreaks>
  <legacyDrawing r:id="rId2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E94BB7-E28F-4237-A50A-587FAF2C1B93}">
  <sheetPr>
    <tabColor rgb="FF339088"/>
    <pageSetUpPr fitToPage="1"/>
  </sheetPr>
  <dimension ref="A1:AE30"/>
  <sheetViews>
    <sheetView showGridLines="0" view="pageBreakPreview" zoomScale="55" zoomScaleNormal="100" zoomScaleSheetLayoutView="55" workbookViewId="0">
      <selection activeCell="Q12" sqref="Q12"/>
    </sheetView>
  </sheetViews>
  <sheetFormatPr defaultColWidth="8.7265625" defaultRowHeight="16.5"/>
  <cols>
    <col min="1" max="14" width="8.7265625" style="1"/>
    <col min="15" max="15" width="13.26953125" style="1" customWidth="1"/>
    <col min="16" max="16" width="3.7265625" style="43" customWidth="1"/>
    <col min="17" max="16384" width="8.7265625" style="1"/>
  </cols>
  <sheetData>
    <row r="1" spans="1:31" ht="26">
      <c r="A1" s="4" t="s">
        <v>935</v>
      </c>
    </row>
    <row r="2" spans="1:31" ht="7.5" customHeight="1"/>
    <row r="3" spans="1:31" ht="10.5" customHeight="1">
      <c r="A3" s="1215" t="s">
        <v>936</v>
      </c>
      <c r="B3" s="1215"/>
      <c r="C3" s="1215"/>
      <c r="D3" s="1215"/>
      <c r="E3" s="1215"/>
      <c r="F3" s="1215"/>
      <c r="G3" s="1215"/>
      <c r="H3" s="1215"/>
      <c r="I3" s="1215"/>
      <c r="J3" s="1215"/>
      <c r="K3" s="1215"/>
      <c r="L3" s="1215"/>
      <c r="M3" s="1215"/>
      <c r="N3" s="1215"/>
      <c r="O3" s="1215"/>
    </row>
    <row r="4" spans="1:31" ht="7.5" customHeight="1">
      <c r="A4" s="1215"/>
      <c r="B4" s="1215"/>
      <c r="C4" s="1215"/>
      <c r="D4" s="1215"/>
      <c r="E4" s="1215"/>
      <c r="F4" s="1215"/>
      <c r="G4" s="1216"/>
      <c r="H4" s="1216"/>
      <c r="I4" s="1216"/>
      <c r="J4" s="1216"/>
      <c r="K4" s="1216"/>
      <c r="L4" s="1216"/>
      <c r="M4" s="1216"/>
      <c r="N4" s="1216"/>
      <c r="O4" s="1216"/>
      <c r="Q4" s="636"/>
      <c r="R4" s="636"/>
      <c r="S4" s="636"/>
      <c r="T4" s="636"/>
      <c r="U4" s="636"/>
    </row>
    <row r="5" spans="1:31" ht="6.75" customHeight="1">
      <c r="A5" s="1215"/>
      <c r="B5" s="1215"/>
      <c r="C5" s="1215"/>
      <c r="D5" s="1215"/>
      <c r="E5" s="1215"/>
      <c r="F5" s="1215"/>
      <c r="G5" s="1216"/>
      <c r="H5" s="1216"/>
      <c r="I5" s="1216"/>
      <c r="J5" s="1216"/>
      <c r="K5" s="1216"/>
      <c r="L5" s="1216"/>
      <c r="M5" s="1216"/>
      <c r="N5" s="1216"/>
      <c r="O5" s="1216"/>
      <c r="P5" s="670"/>
      <c r="Q5" s="636"/>
      <c r="R5" s="636"/>
      <c r="S5" s="636"/>
      <c r="T5" s="636"/>
      <c r="U5" s="636"/>
    </row>
    <row r="6" spans="1:31" ht="15.65" customHeight="1">
      <c r="A6" s="1215"/>
      <c r="B6" s="1215"/>
      <c r="C6" s="1215"/>
      <c r="D6" s="1215"/>
      <c r="E6" s="1215"/>
      <c r="F6" s="1215"/>
      <c r="G6" s="1216"/>
      <c r="H6" s="1216"/>
      <c r="I6" s="1216"/>
      <c r="J6" s="1216"/>
      <c r="K6" s="1216"/>
      <c r="L6" s="1216"/>
      <c r="M6" s="1216"/>
      <c r="N6" s="1216"/>
      <c r="O6" s="1216"/>
      <c r="Q6" s="636"/>
      <c r="R6" s="636"/>
      <c r="S6" s="636"/>
      <c r="T6" s="636"/>
      <c r="U6" s="636"/>
    </row>
    <row r="7" spans="1:31" ht="15.65" customHeight="1">
      <c r="A7" s="1215"/>
      <c r="B7" s="1215"/>
      <c r="C7" s="1215"/>
      <c r="D7" s="1215"/>
      <c r="E7" s="1215"/>
      <c r="F7" s="1215"/>
      <c r="G7" s="1216"/>
      <c r="H7" s="1216"/>
      <c r="I7" s="1216"/>
      <c r="J7" s="1216"/>
      <c r="K7" s="1216"/>
      <c r="L7" s="1216"/>
      <c r="M7" s="1216"/>
      <c r="N7" s="1216"/>
      <c r="O7" s="1216"/>
      <c r="Q7" s="636"/>
      <c r="R7" s="636"/>
      <c r="S7" s="636"/>
      <c r="T7" s="636"/>
      <c r="U7" s="636"/>
    </row>
    <row r="8" spans="1:31" ht="15.65" customHeight="1">
      <c r="A8" s="1215"/>
      <c r="B8" s="1215"/>
      <c r="C8" s="1215"/>
      <c r="D8" s="1215"/>
      <c r="E8" s="1215"/>
      <c r="F8" s="1215"/>
      <c r="G8" s="1216"/>
      <c r="H8" s="1216"/>
      <c r="I8" s="1216"/>
      <c r="J8" s="1216"/>
      <c r="K8" s="1216"/>
      <c r="L8" s="1216"/>
      <c r="M8" s="1216"/>
      <c r="N8" s="1216"/>
      <c r="O8" s="1216"/>
      <c r="Q8" s="636"/>
      <c r="R8" s="636"/>
      <c r="S8" s="636"/>
      <c r="T8" s="636"/>
      <c r="U8" s="636"/>
    </row>
    <row r="9" spans="1:31" ht="15.65" customHeight="1">
      <c r="A9" s="1215"/>
      <c r="B9" s="1215"/>
      <c r="C9" s="1215"/>
      <c r="D9" s="1215"/>
      <c r="E9" s="1215"/>
      <c r="F9" s="1215"/>
      <c r="G9" s="1216"/>
      <c r="H9" s="1216"/>
      <c r="I9" s="1216"/>
      <c r="J9" s="1216"/>
      <c r="K9" s="1216"/>
      <c r="L9" s="1216"/>
      <c r="M9" s="1216"/>
      <c r="N9" s="1216"/>
      <c r="O9" s="1216"/>
      <c r="Q9" s="636"/>
      <c r="R9" s="636"/>
      <c r="S9" s="636"/>
      <c r="T9" s="636"/>
      <c r="U9" s="636"/>
      <c r="AE9" s="1" t="s">
        <v>937</v>
      </c>
    </row>
    <row r="10" spans="1:31" ht="15.65" customHeight="1">
      <c r="A10" s="1215"/>
      <c r="B10" s="1215"/>
      <c r="C10" s="1215"/>
      <c r="D10" s="1215"/>
      <c r="E10" s="1215"/>
      <c r="F10" s="1215"/>
      <c r="G10" s="1216"/>
      <c r="H10" s="1216"/>
      <c r="I10" s="1216"/>
      <c r="J10" s="1216"/>
      <c r="K10" s="1216"/>
      <c r="L10" s="1216"/>
      <c r="M10" s="1216"/>
      <c r="N10" s="1216"/>
      <c r="O10" s="1216"/>
      <c r="Q10" s="636"/>
      <c r="R10" s="636"/>
      <c r="S10" s="636"/>
      <c r="T10" s="636"/>
      <c r="U10" s="636"/>
    </row>
    <row r="11" spans="1:31" ht="15.65" customHeight="1">
      <c r="A11" s="1215"/>
      <c r="B11" s="1215"/>
      <c r="C11" s="1215"/>
      <c r="D11" s="1215"/>
      <c r="E11" s="1215"/>
      <c r="F11" s="1215"/>
      <c r="G11" s="1216"/>
      <c r="H11" s="1216"/>
      <c r="I11" s="1216"/>
      <c r="J11" s="1216"/>
      <c r="K11" s="1216"/>
      <c r="L11" s="1216"/>
      <c r="M11" s="1216"/>
      <c r="N11" s="1216"/>
      <c r="O11" s="1216"/>
      <c r="Q11" s="636"/>
      <c r="R11" s="636"/>
      <c r="S11" s="636"/>
      <c r="T11" s="636"/>
      <c r="U11" s="636"/>
    </row>
    <row r="12" spans="1:31" ht="15.65" customHeight="1">
      <c r="A12" s="1215"/>
      <c r="B12" s="1215"/>
      <c r="C12" s="1215"/>
      <c r="D12" s="1215"/>
      <c r="E12" s="1215"/>
      <c r="F12" s="1215"/>
      <c r="G12" s="1216"/>
      <c r="H12" s="1216"/>
      <c r="I12" s="1216"/>
      <c r="J12" s="1216"/>
      <c r="K12" s="1216"/>
      <c r="L12" s="1216"/>
      <c r="M12" s="1216"/>
      <c r="N12" s="1216"/>
      <c r="O12" s="1216"/>
      <c r="Q12" s="636"/>
      <c r="R12" s="636"/>
      <c r="S12" s="636"/>
      <c r="T12" s="636"/>
      <c r="U12" s="636"/>
    </row>
    <row r="13" spans="1:31" ht="15.65" customHeight="1">
      <c r="A13" s="1215"/>
      <c r="B13" s="1215"/>
      <c r="C13" s="1215"/>
      <c r="D13" s="1215"/>
      <c r="E13" s="1215"/>
      <c r="F13" s="1215"/>
      <c r="G13" s="1216"/>
      <c r="H13" s="1216"/>
      <c r="I13" s="1216"/>
      <c r="J13" s="1216"/>
      <c r="K13" s="1216"/>
      <c r="L13" s="1216"/>
      <c r="M13" s="1216"/>
      <c r="N13" s="1216"/>
      <c r="O13" s="1216"/>
      <c r="Q13" s="636"/>
      <c r="R13" s="636"/>
      <c r="S13" s="636"/>
      <c r="T13" s="636"/>
      <c r="U13" s="636"/>
    </row>
    <row r="14" spans="1:31" ht="15.65" customHeight="1">
      <c r="A14" s="1215"/>
      <c r="B14" s="1215"/>
      <c r="C14" s="1215"/>
      <c r="D14" s="1215"/>
      <c r="E14" s="1215"/>
      <c r="F14" s="1215"/>
      <c r="G14" s="1215"/>
      <c r="H14" s="1215"/>
      <c r="I14" s="1215"/>
      <c r="J14" s="1215"/>
      <c r="K14" s="1215"/>
      <c r="L14" s="1215"/>
      <c r="M14" s="1215"/>
      <c r="N14" s="1215"/>
      <c r="O14" s="1215"/>
    </row>
    <row r="15" spans="1:31" ht="15.65" customHeight="1">
      <c r="A15" s="1215"/>
      <c r="B15" s="1215"/>
      <c r="C15" s="1215"/>
      <c r="D15" s="1215"/>
      <c r="E15" s="1215"/>
      <c r="F15" s="1215"/>
      <c r="G15" s="1215"/>
      <c r="H15" s="1215"/>
      <c r="I15" s="1215"/>
      <c r="J15" s="1215"/>
      <c r="K15" s="1215"/>
      <c r="L15" s="1215"/>
      <c r="M15" s="1215"/>
      <c r="N15" s="1215"/>
      <c r="O15" s="1215"/>
    </row>
    <row r="16" spans="1:31" ht="15.65" customHeight="1">
      <c r="A16" s="1215"/>
      <c r="B16" s="1215"/>
      <c r="C16" s="1215"/>
      <c r="D16" s="1215"/>
      <c r="E16" s="1215"/>
      <c r="F16" s="1215"/>
      <c r="G16" s="1215"/>
      <c r="H16" s="1215"/>
      <c r="I16" s="1215"/>
      <c r="J16" s="1215"/>
      <c r="K16" s="1215"/>
      <c r="L16" s="1215"/>
      <c r="M16" s="1215"/>
      <c r="N16" s="1215"/>
      <c r="O16" s="1215"/>
    </row>
    <row r="17" spans="1:21" ht="15.65" customHeight="1">
      <c r="A17" s="1215"/>
      <c r="B17" s="1215"/>
      <c r="C17" s="1215"/>
      <c r="D17" s="1215"/>
      <c r="E17" s="1215"/>
      <c r="F17" s="1215"/>
      <c r="G17" s="1216"/>
      <c r="H17" s="1216"/>
      <c r="I17" s="1216"/>
      <c r="J17" s="1216"/>
      <c r="K17" s="1216"/>
      <c r="L17" s="1216"/>
      <c r="M17" s="1216"/>
      <c r="N17" s="1216"/>
      <c r="O17" s="1216"/>
      <c r="Q17" s="636"/>
      <c r="R17" s="636"/>
      <c r="S17" s="636"/>
      <c r="T17" s="636"/>
      <c r="U17" s="636"/>
    </row>
    <row r="18" spans="1:21" ht="15.65" customHeight="1">
      <c r="A18" s="1215"/>
      <c r="B18" s="1215"/>
      <c r="C18" s="1215"/>
      <c r="D18" s="1215"/>
      <c r="E18" s="1215"/>
      <c r="F18" s="1215"/>
      <c r="G18" s="1216"/>
      <c r="H18" s="1216"/>
      <c r="I18" s="1216"/>
      <c r="J18" s="1216"/>
      <c r="K18" s="1216"/>
      <c r="L18" s="1216"/>
      <c r="M18" s="1216"/>
      <c r="N18" s="1216"/>
      <c r="O18" s="1216"/>
      <c r="Q18" s="636"/>
      <c r="R18" s="636"/>
      <c r="S18" s="636"/>
      <c r="T18" s="636"/>
      <c r="U18" s="636"/>
    </row>
    <row r="19" spans="1:21" ht="15.65" customHeight="1">
      <c r="A19" s="1215"/>
      <c r="B19" s="1215"/>
      <c r="C19" s="1215"/>
      <c r="D19" s="1215"/>
      <c r="E19" s="1215"/>
      <c r="F19" s="1215"/>
      <c r="G19" s="1216"/>
      <c r="H19" s="1216"/>
      <c r="I19" s="1216"/>
      <c r="J19" s="1216"/>
      <c r="K19" s="1216"/>
      <c r="L19" s="1216"/>
      <c r="M19" s="1216"/>
      <c r="N19" s="1216"/>
      <c r="O19" s="1216"/>
      <c r="Q19" s="636"/>
      <c r="R19" s="636"/>
      <c r="S19" s="636"/>
      <c r="T19" s="636"/>
      <c r="U19" s="636"/>
    </row>
    <row r="20" spans="1:21" ht="15.65" customHeight="1">
      <c r="A20" s="1215"/>
      <c r="B20" s="1215"/>
      <c r="C20" s="1215"/>
      <c r="D20" s="1215"/>
      <c r="E20" s="1215"/>
      <c r="F20" s="1215"/>
      <c r="G20" s="1216"/>
      <c r="H20" s="1216"/>
      <c r="I20" s="1216"/>
      <c r="J20" s="1216"/>
      <c r="K20" s="1216"/>
      <c r="L20" s="1216"/>
      <c r="M20" s="1216"/>
      <c r="N20" s="1216"/>
      <c r="O20" s="1216"/>
      <c r="Q20" s="636"/>
      <c r="R20" s="636"/>
      <c r="S20" s="636"/>
      <c r="T20" s="636"/>
      <c r="U20" s="636"/>
    </row>
    <row r="21" spans="1:21" ht="15.65" customHeight="1">
      <c r="A21" s="1215"/>
      <c r="B21" s="1215"/>
      <c r="C21" s="1215"/>
      <c r="D21" s="1215"/>
      <c r="E21" s="1215"/>
      <c r="F21" s="1215"/>
      <c r="G21" s="1216"/>
      <c r="H21" s="1216"/>
      <c r="I21" s="1216"/>
      <c r="J21" s="1216"/>
      <c r="K21" s="1216"/>
      <c r="L21" s="1216"/>
      <c r="M21" s="1216"/>
      <c r="N21" s="1216"/>
      <c r="O21" s="1216"/>
      <c r="Q21" s="636"/>
      <c r="R21" s="636"/>
      <c r="S21" s="636"/>
      <c r="T21" s="636"/>
      <c r="U21" s="636"/>
    </row>
    <row r="22" spans="1:21" ht="15.65" customHeight="1">
      <c r="A22" s="1215"/>
      <c r="B22" s="1215"/>
      <c r="C22" s="1215"/>
      <c r="D22" s="1215"/>
      <c r="E22" s="1215"/>
      <c r="F22" s="1215"/>
      <c r="G22" s="1217"/>
      <c r="H22" s="1217"/>
      <c r="I22" s="1217"/>
      <c r="J22" s="1217"/>
      <c r="K22" s="1217"/>
      <c r="L22" s="1217"/>
      <c r="M22" s="1217"/>
      <c r="N22" s="1217"/>
      <c r="O22" s="1217"/>
      <c r="Q22" s="650"/>
      <c r="R22" s="650"/>
      <c r="S22" s="650"/>
      <c r="T22" s="650"/>
      <c r="U22" s="650"/>
    </row>
    <row r="23" spans="1:21" ht="15.65" customHeight="1">
      <c r="A23" s="1215"/>
      <c r="B23" s="1215"/>
      <c r="C23" s="1215"/>
      <c r="D23" s="1215"/>
      <c r="E23" s="1215"/>
      <c r="F23" s="1215"/>
      <c r="G23" s="1218"/>
      <c r="H23" s="1218"/>
      <c r="I23" s="1218"/>
      <c r="J23" s="1218"/>
      <c r="K23" s="1218"/>
      <c r="L23" s="1218"/>
      <c r="M23" s="1218"/>
      <c r="N23" s="1218"/>
      <c r="O23" s="1218"/>
      <c r="Q23" s="112"/>
      <c r="R23" s="112"/>
      <c r="S23" s="112"/>
      <c r="T23" s="112"/>
      <c r="U23" s="112"/>
    </row>
    <row r="24" spans="1:21" ht="15.65" customHeight="1">
      <c r="A24" s="1215"/>
      <c r="B24" s="1215"/>
      <c r="C24" s="1215"/>
      <c r="D24" s="1215"/>
      <c r="E24" s="1215"/>
      <c r="F24" s="1215"/>
      <c r="G24" s="1218"/>
      <c r="H24" s="1218"/>
      <c r="I24" s="1218"/>
      <c r="J24" s="1218"/>
      <c r="K24" s="1218"/>
      <c r="L24" s="1218"/>
      <c r="M24" s="1218"/>
      <c r="N24" s="1218"/>
      <c r="O24" s="1218"/>
      <c r="Q24" s="112"/>
      <c r="R24" s="112"/>
      <c r="S24" s="112"/>
      <c r="T24" s="112"/>
      <c r="U24" s="112"/>
    </row>
    <row r="25" spans="1:21" ht="15.65" customHeight="1">
      <c r="A25" s="1215"/>
      <c r="B25" s="1215"/>
      <c r="C25" s="1215"/>
      <c r="D25" s="1215"/>
      <c r="E25" s="1215"/>
      <c r="F25" s="1215"/>
      <c r="G25" s="1218"/>
      <c r="H25" s="1218"/>
      <c r="I25" s="1218"/>
      <c r="J25" s="1218"/>
      <c r="K25" s="1218"/>
      <c r="L25" s="1218"/>
      <c r="M25" s="1218"/>
      <c r="N25" s="1218"/>
      <c r="O25" s="1218"/>
      <c r="Q25" s="112"/>
      <c r="R25" s="112"/>
      <c r="S25" s="112"/>
      <c r="T25" s="112"/>
      <c r="U25" s="112"/>
    </row>
    <row r="26" spans="1:21" ht="409.6" customHeight="1">
      <c r="A26" s="1215"/>
      <c r="B26" s="1215"/>
      <c r="C26" s="1215"/>
      <c r="D26" s="1215"/>
      <c r="E26" s="1215"/>
      <c r="F26" s="1215"/>
      <c r="G26" s="1218"/>
      <c r="H26" s="1218"/>
      <c r="I26" s="1218"/>
      <c r="J26" s="1218"/>
      <c r="K26" s="1218"/>
      <c r="L26" s="1218"/>
      <c r="M26" s="1218"/>
      <c r="N26" s="1218"/>
      <c r="O26" s="1218"/>
      <c r="Q26" s="112"/>
      <c r="R26" s="112"/>
      <c r="S26" s="112"/>
      <c r="T26" s="112"/>
      <c r="U26" s="112"/>
    </row>
    <row r="27" spans="1:21" s="43" customFormat="1">
      <c r="A27" s="1"/>
      <c r="B27" s="1"/>
      <c r="C27" s="1"/>
      <c r="D27" s="1"/>
      <c r="E27" s="1"/>
      <c r="F27" s="1"/>
    </row>
    <row r="30" spans="1:21">
      <c r="C30" s="1" t="s">
        <v>462</v>
      </c>
    </row>
  </sheetData>
  <mergeCells count="1">
    <mergeCell ref="A3:O26"/>
  </mergeCells>
  <phoneticPr fontId="28" type="noConversion"/>
  <pageMargins left="0.25" right="0.25" top="0.75" bottom="0.75" header="0.3" footer="0.3"/>
  <pageSetup paperSize="9" scale="61" fitToWidth="0" orientation="landscape" r:id="rId1"/>
  <rowBreaks count="1" manualBreakCount="1">
    <brk id="26" max="14" man="1"/>
  </row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fcf5bd6f-8367-4821-a071-422ea653dd54" xsi:nil="true"/>
    <lcf76f155ced4ddcb4097134ff3c332f xmlns="62dc9a3c-59d7-44ee-b407-7c625a01323c">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370A18B939974F4AB5548ECBB6C39B3C" ma:contentTypeVersion="14" ma:contentTypeDescription="Create a new document." ma:contentTypeScope="" ma:versionID="669ea8547ad7d821f995d1a1404dd111">
  <xsd:schema xmlns:xsd="http://www.w3.org/2001/XMLSchema" xmlns:xs="http://www.w3.org/2001/XMLSchema" xmlns:p="http://schemas.microsoft.com/office/2006/metadata/properties" xmlns:ns2="62dc9a3c-59d7-44ee-b407-7c625a01323c" xmlns:ns3="fcf5bd6f-8367-4821-a071-422ea653dd54" targetNamespace="http://schemas.microsoft.com/office/2006/metadata/properties" ma:root="true" ma:fieldsID="95ebac15c53cbced845863b21a73d1ea" ns2:_="" ns3:_="">
    <xsd:import namespace="62dc9a3c-59d7-44ee-b407-7c625a01323c"/>
    <xsd:import namespace="fcf5bd6f-8367-4821-a071-422ea653dd54"/>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ServiceLocation" minOccurs="0"/>
                <xsd:element ref="ns2:MediaLengthInSecond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2dc9a3c-59d7-44ee-b407-7c625a01323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7ce671e0-2aae-4c8d-b367-8bb3494c1b07"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Location" ma:index="19" nillable="true" ma:displayName="Location" ma:indexed="true" ma:internalName="MediaServiceLocatio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MediaServiceBillingMetadata" ma:index="21"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cf5bd6f-8367-4821-a071-422ea653dd54"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98e6c61-8903-4640-acbf-60335d9a55bb}" ma:internalName="TaxCatchAll" ma:showField="CatchAllData" ma:web="fcf5bd6f-8367-4821-a071-422ea653dd5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9C0176C-3C67-4EE8-845E-BBA1637A9316}">
  <ds:schemaRefs>
    <ds:schemaRef ds:uri="http://schemas.microsoft.com/office/2006/metadata/properties"/>
    <ds:schemaRef ds:uri="http://schemas.microsoft.com/office/infopath/2007/PartnerControls"/>
    <ds:schemaRef ds:uri="fcf5bd6f-8367-4821-a071-422ea653dd54"/>
    <ds:schemaRef ds:uri="62dc9a3c-59d7-44ee-b407-7c625a01323c"/>
  </ds:schemaRefs>
</ds:datastoreItem>
</file>

<file path=customXml/itemProps2.xml><?xml version="1.0" encoding="utf-8"?>
<ds:datastoreItem xmlns:ds="http://schemas.openxmlformats.org/officeDocument/2006/customXml" ds:itemID="{E0E7F35D-A65A-403F-884D-42C9C7915EAF}">
  <ds:schemaRefs>
    <ds:schemaRef ds:uri="http://schemas.microsoft.com/sharepoint/v3/contenttype/forms"/>
  </ds:schemaRefs>
</ds:datastoreItem>
</file>

<file path=customXml/itemProps3.xml><?xml version="1.0" encoding="utf-8"?>
<ds:datastoreItem xmlns:ds="http://schemas.openxmlformats.org/officeDocument/2006/customXml" ds:itemID="{FC8AD662-22AD-43B5-933D-3957513018A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2dc9a3c-59d7-44ee-b407-7c625a01323c"/>
    <ds:schemaRef ds:uri="fcf5bd6f-8367-4821-a071-422ea653dd5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8c970d48-f7b9-48b0-9606-072fbefb514d}" enabled="1" method="Standard" siteId="{049e3382-8cdc-477b-9317-951b04689668}"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20</vt:i4>
      </vt:variant>
      <vt:variant>
        <vt:lpstr>Named Ranges</vt:lpstr>
      </vt:variant>
      <vt:variant>
        <vt:i4>18</vt:i4>
      </vt:variant>
    </vt:vector>
  </HeadingPairs>
  <TitlesOfParts>
    <vt:vector size="38" baseType="lpstr">
      <vt:lpstr>Title</vt:lpstr>
      <vt:lpstr>Map</vt:lpstr>
      <vt:lpstr>Map_II</vt:lpstr>
      <vt:lpstr>Macro Econ&gt;&gt;</vt:lpstr>
      <vt:lpstr>Macro</vt:lpstr>
      <vt:lpstr>Headlines</vt:lpstr>
      <vt:lpstr>Visitor Arrivals</vt:lpstr>
      <vt:lpstr>Retail Sales Trend</vt:lpstr>
      <vt:lpstr>Retail Sales Index</vt:lpstr>
      <vt:lpstr>Unemployment Rate</vt:lpstr>
      <vt:lpstr>Office Market&gt;&gt;</vt:lpstr>
      <vt:lpstr>Office Outlook</vt:lpstr>
      <vt:lpstr>Existing Supply</vt:lpstr>
      <vt:lpstr>Future Supply</vt:lpstr>
      <vt:lpstr>Net Absorption</vt:lpstr>
      <vt:lpstr>Rent</vt:lpstr>
      <vt:lpstr>Vacancy Rate</vt:lpstr>
      <vt:lpstr>CV &amp; Yields</vt:lpstr>
      <vt:lpstr>Major Deals</vt:lpstr>
      <vt:lpstr>Key Government Policies</vt:lpstr>
      <vt:lpstr>'CV &amp; Yields'!Print_Area</vt:lpstr>
      <vt:lpstr>'Existing Supply'!Print_Area</vt:lpstr>
      <vt:lpstr>'Future Supply'!Print_Area</vt:lpstr>
      <vt:lpstr>Headlines!Print_Area</vt:lpstr>
      <vt:lpstr>'Key Government Policies'!Print_Area</vt:lpstr>
      <vt:lpstr>Macro!Print_Area</vt:lpstr>
      <vt:lpstr>'Major Deals'!Print_Area</vt:lpstr>
      <vt:lpstr>Map!Print_Area</vt:lpstr>
      <vt:lpstr>Map_II!Print_Area</vt:lpstr>
      <vt:lpstr>'Net Absorption'!Print_Area</vt:lpstr>
      <vt:lpstr>'Office Outlook'!Print_Area</vt:lpstr>
      <vt:lpstr>Rent!Print_Area</vt:lpstr>
      <vt:lpstr>'Retail Sales Index'!Print_Area</vt:lpstr>
      <vt:lpstr>'Retail Sales Trend'!Print_Area</vt:lpstr>
      <vt:lpstr>Title!Print_Area</vt:lpstr>
      <vt:lpstr>'Unemployment Rate'!Print_Area</vt:lpstr>
      <vt:lpstr>'Vacancy Rate'!Print_Area</vt:lpstr>
      <vt:lpstr>'Visitor Arrivals'!Print_Area</vt:lpstr>
    </vt:vector>
  </TitlesOfParts>
  <Manager/>
  <Company>Colliers International</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Tom Parker</dc:creator>
  <cp:keywords/>
  <dc:description/>
  <cp:lastModifiedBy>Na, Jordan</cp:lastModifiedBy>
  <cp:revision/>
  <dcterms:created xsi:type="dcterms:W3CDTF">2021-02-18T02:19:31Z</dcterms:created>
  <dcterms:modified xsi:type="dcterms:W3CDTF">2026-03-30T08:33:54Z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0x010100370A18B939974F4AB5548ECBB6C39B3C</vt:lpwstr>
  </property>
  <property fmtid="{D5CDD505-2E9C-101B-9397-08002B2CF9AE}" pid="3" name="MediaServiceImageTags">
    <vt:lpwstr/>
  </property>
  <property fmtid="{D5CDD505-2E9C-101B-9397-08002B2CF9AE}" pid="4" name="Order">
    <vt:r8>97700</vt:r8>
  </property>
  <property fmtid="{D5CDD505-2E9C-101B-9397-08002B2CF9AE}" pid="5" name="ComplianceAssetId">
    <vt:lpwstr/>
  </property>
  <property fmtid="{D5CDD505-2E9C-101B-9397-08002B2CF9AE}" pid="6" name="_activity">
    <vt:lpwstr>{"FileActivityType":"9","FileActivityTimeStamp":"2025-01-15T02:21:59.127Z","FileActivityUsersOnPage":[{"DisplayName":"Wong, James T.","Id":"james.t.wong@colliers.com"},{"DisplayName":"Shin, Daphne","Id":"daphne.shin@colliers.com"}],"FileActivityNavigationId":null}</vt:lpwstr>
  </property>
  <property fmtid="{D5CDD505-2E9C-101B-9397-08002B2CF9AE}" pid="7" name="_ExtendedDescription">
    <vt:lpwstr/>
  </property>
  <property fmtid="{D5CDD505-2E9C-101B-9397-08002B2CF9AE}" pid="8" name="TriggerFlowInfo">
    <vt:lpwstr/>
  </property>
  <property fmtid="{D5CDD505-2E9C-101B-9397-08002B2CF9AE}" pid="9" name="Address" linkTarget="Prop_Address">
    <vt:lpwstr>#REF!</vt:lpwstr>
  </property>
</Properties>
</file>