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embeddings/oleObject4.bin" ContentType="application/vnd.openxmlformats-officedocument.oleObject"/>
  <Override PartName="/xl/ctrlProps/ctrlProp1.xml" ContentType="application/vnd.ms-excel.controlproperties+xml"/>
  <Override PartName="/xl/drawings/drawing5.xml" ContentType="application/vnd.openxmlformats-officedocument.drawing+xml"/>
  <Override PartName="/xl/embeddings/oleObject5.bin" ContentType="application/vnd.openxmlformats-officedocument.oleObject"/>
  <Override PartName="/xl/drawings/drawing6.xml" ContentType="application/vnd.openxmlformats-officedocument.drawing+xml"/>
  <Override PartName="/xl/embeddings/oleObject6.bin" ContentType="application/vnd.openxmlformats-officedocument.oleObject"/>
  <Override PartName="/xl/drawings/drawing7.xml" ContentType="application/vnd.openxmlformats-officedocument.drawing+xml"/>
  <Override PartName="/xl/embeddings/oleObject7.bin" ContentType="application/vnd.openxmlformats-officedocument.oleObject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2.xml" ContentType="application/vnd.ms-excel.controlproperties+xml"/>
  <Override PartName="/xl/drawings/drawing11.xml" ContentType="application/vnd.openxmlformats-officedocument.drawing+xml"/>
  <Override PartName="/xl/ctrlProps/ctrlProp3.xml" ContentType="application/vnd.ms-excel.controlproperties+xml"/>
  <Override PartName="/xl/drawings/drawing1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office\zxfcode\"/>
    </mc:Choice>
  </mc:AlternateContent>
  <xr:revisionPtr revIDLastSave="0" documentId="13_ncr:1_{63EFBD7A-AF81-4376-80C7-3C4FAAB11FBF}" xr6:coauthVersionLast="47" xr6:coauthVersionMax="47" xr10:uidLastSave="{00000000-0000-0000-0000-000000000000}"/>
  <bookViews>
    <workbookView xWindow="1560" yWindow="1560" windowWidth="15375" windowHeight="7875" tabRatio="863" activeTab="3" xr2:uid="{00000000-000D-0000-FFFF-FFFF00000000}"/>
  </bookViews>
  <sheets>
    <sheet name="cover page" sheetId="37" r:id="rId1"/>
    <sheet name="index" sheetId="38" r:id="rId2"/>
    <sheet name="intro" sheetId="39" r:id="rId3"/>
    <sheet name="Calculation" sheetId="8" r:id="rId4"/>
    <sheet name="cont ana" sheetId="40" r:id="rId5"/>
    <sheet name="Earthquake &amp; wind" sheetId="9" r:id="rId6"/>
    <sheet name="fdn annular " sheetId="35" r:id="rId7"/>
    <sheet name="list" sheetId="42" r:id="rId8"/>
    <sheet name="tc" sheetId="10" r:id="rId9"/>
    <sheet name="fdn  full" sheetId="36" r:id="rId10"/>
    <sheet name="std" sheetId="11" r:id="rId11"/>
    <sheet name="ga" sheetId="13" r:id="rId12"/>
    <sheet name="dwg -rcc" sheetId="41" r:id="rId13"/>
    <sheet name="Sheet1" sheetId="43" r:id="rId14"/>
  </sheets>
  <externalReferences>
    <externalReference r:id="rId15"/>
  </externalReferences>
  <definedNames>
    <definedName name="_xlnm.Print_Area" localSheetId="3">Calculation!$A$1:$H$1034</definedName>
    <definedName name="_xlnm.Print_Area" localSheetId="4">'cont ana'!$A$1:$I$521</definedName>
    <definedName name="_xlnm.Print_Area" localSheetId="0">'cover page'!$A$1:$G$44</definedName>
    <definedName name="_xlnm.Print_Area" localSheetId="5">'Earthquake &amp; wind'!$A$1:$L$364</definedName>
    <definedName name="_xlnm.Print_Area" localSheetId="9">'fdn  full'!$A$1:$J$439</definedName>
    <definedName name="_xlnm.Print_Area" localSheetId="6">'fdn annular '!$A$1:$J$301</definedName>
    <definedName name="_xlnm.Print_Area" localSheetId="1">index!$A$1:$G$45</definedName>
    <definedName name="_xlnm.Print_Area" localSheetId="2">intro!$A$1:$M$111</definedName>
    <definedName name="_xlnm.Print_Area" localSheetId="10">std!$A$1:$L$398</definedName>
    <definedName name="_xlnm.Print_Titles" localSheetId="3">Calculation!$1:$5</definedName>
    <definedName name="_xlnm.Print_Titles" localSheetId="4">'cont ana'!$1:$6</definedName>
    <definedName name="_xlnm.Print_Titles" localSheetId="5">'Earthquake &amp; wind'!$1:$5</definedName>
    <definedName name="_xlnm.Print_Titles" localSheetId="6">'fdn annular '!$1:$6</definedName>
    <definedName name="_xlnm.Print_Titles" localSheetId="2">intro!$1:$5</definedName>
    <definedName name="t" localSheetId="9">'fdn  full'!$N$340</definedName>
    <definedName name="t" localSheetId="6">'fdn annular '!$N$348</definedName>
    <definedName name="t">#REF!</definedName>
    <definedName name="tt" localSheetId="9">'fdn  full'!$N$355</definedName>
    <definedName name="tt" localSheetId="6">'fdn annular '!$N$363</definedName>
    <definedName name="tt">#REF!</definedName>
    <definedName name="ttt" localSheetId="9">'fdn  full'!$N$371</definedName>
    <definedName name="ttt" localSheetId="6">'fdn annular '!$N$379</definedName>
    <definedName name="ttt">#REF!</definedName>
    <definedName name="tttt" localSheetId="9">'fdn  full'!$N$385</definedName>
    <definedName name="tttt" localSheetId="6">'fdn annular '!$N$393</definedName>
    <definedName name="tttt">#REF!</definedName>
    <definedName name="x" localSheetId="9">'fdn  full'!$O$340:$Y$340</definedName>
    <definedName name="x" localSheetId="6">'fdn annular '!$O$348:$Y$348</definedName>
    <definedName name="x">#REF!</definedName>
    <definedName name="xx" localSheetId="9">'fdn  full'!$O$355:$Y$355</definedName>
    <definedName name="xx" localSheetId="6">'fdn annular '!$O$363:$Y$363</definedName>
    <definedName name="xx">#REF!</definedName>
    <definedName name="xxx" localSheetId="9">'fdn  full'!$O$371:$Y$371</definedName>
    <definedName name="xxx" localSheetId="6">'fdn annular '!$O$379:$Y$379</definedName>
    <definedName name="xxx">#REF!</definedName>
    <definedName name="xxxx" localSheetId="9">'fdn  full'!$O$385:$Y$385</definedName>
    <definedName name="xxxx" localSheetId="6">'fdn annular '!$O$393:$Y$393</definedName>
    <definedName name="xxxx">#REF!</definedName>
    <definedName name="y" localSheetId="9">'fdn  full'!$N$341:$N$351</definedName>
    <definedName name="y" localSheetId="6">'fdn annular '!$N$349:$N$359</definedName>
    <definedName name="y">#REF!</definedName>
    <definedName name="yy" localSheetId="9">'fdn  full'!$N$356:$N$366</definedName>
    <definedName name="yy" localSheetId="6">'fdn annular '!$N$364:$N$374</definedName>
    <definedName name="yy">#REF!</definedName>
    <definedName name="yyy" localSheetId="9">'fdn  full'!$N$372:$N$382</definedName>
    <definedName name="yyy" localSheetId="6">'fdn annular '!$N$380:$N$390</definedName>
    <definedName name="yyy">#REF!</definedName>
    <definedName name="yyyy" localSheetId="9">'fdn  full'!$N$386:$N$396</definedName>
    <definedName name="yyyy" localSheetId="6">'fdn annular '!$N$394:$N$404</definedName>
    <definedName name="yyyy">#REF!</definedName>
  </definedNames>
  <calcPr calcId="191029"/>
</workbook>
</file>

<file path=xl/calcChain.xml><?xml version="1.0" encoding="utf-8"?>
<calcChain xmlns="http://schemas.openxmlformats.org/spreadsheetml/2006/main">
  <c r="F920" i="8" l="1"/>
  <c r="E11" i="35" l="1"/>
  <c r="C94" i="35"/>
  <c r="I199" i="9" l="1"/>
  <c r="E200" i="9" s="1"/>
  <c r="E227" i="9" l="1"/>
  <c r="E254" i="9"/>
  <c r="E281" i="9"/>
  <c r="F203" i="9" l="1"/>
  <c r="F284" i="9"/>
  <c r="F230" i="9"/>
  <c r="F257" i="9"/>
  <c r="K310" i="9"/>
  <c r="F287" i="9" l="1"/>
  <c r="F288" i="9" s="1"/>
  <c r="G288" i="9" s="1"/>
  <c r="F260" i="9"/>
  <c r="F261" i="9" s="1"/>
  <c r="G261" i="9" s="1"/>
  <c r="F233" i="9"/>
  <c r="F234" i="9" s="1"/>
  <c r="G234" i="9" s="1"/>
  <c r="L54" i="43" l="1"/>
  <c r="L49" i="43"/>
  <c r="L43" i="43"/>
  <c r="L42" i="43"/>
  <c r="L41" i="43"/>
  <c r="L35" i="43"/>
  <c r="L33" i="43"/>
  <c r="L32" i="43"/>
  <c r="L27" i="43"/>
  <c r="G27" i="43"/>
  <c r="L26" i="43"/>
  <c r="G26" i="43"/>
  <c r="G13" i="43"/>
  <c r="G12" i="43"/>
  <c r="G6" i="43"/>
  <c r="G9" i="43" s="1"/>
  <c r="G10" i="43" s="1"/>
  <c r="H10" i="43" s="1"/>
  <c r="G15" i="43" s="1"/>
  <c r="L4" i="43"/>
  <c r="L55" i="43" l="1"/>
  <c r="L36" i="43"/>
  <c r="L50" i="43"/>
  <c r="L44" i="43"/>
  <c r="L45" i="43" s="1"/>
  <c r="L34" i="43"/>
  <c r="E18" i="43"/>
  <c r="G18" i="43"/>
  <c r="G19" i="43" s="1"/>
  <c r="P353" i="8"/>
  <c r="P354" i="8"/>
  <c r="P355" i="8"/>
  <c r="P356" i="8"/>
  <c r="P357" i="8"/>
  <c r="P358" i="8"/>
  <c r="P359" i="8"/>
  <c r="P360" i="8"/>
  <c r="P361" i="8"/>
  <c r="P362" i="8"/>
  <c r="P363" i="8"/>
  <c r="P364" i="8"/>
  <c r="P352" i="8"/>
  <c r="W214" i="9"/>
  <c r="W215" i="9"/>
  <c r="W216" i="9"/>
  <c r="W217" i="9"/>
  <c r="W218" i="9"/>
  <c r="W219" i="9"/>
  <c r="W220" i="9"/>
  <c r="W221" i="9"/>
  <c r="W213" i="9"/>
  <c r="W209" i="9"/>
  <c r="W210" i="9"/>
  <c r="W211" i="9"/>
  <c r="W208" i="9"/>
  <c r="W204" i="9"/>
  <c r="W205" i="9"/>
  <c r="W206" i="9"/>
  <c r="W203" i="9"/>
  <c r="V214" i="9"/>
  <c r="V215" i="9"/>
  <c r="V216" i="9"/>
  <c r="V217" i="9"/>
  <c r="V218" i="9"/>
  <c r="V219" i="9"/>
  <c r="V220" i="9"/>
  <c r="V221" i="9"/>
  <c r="V213" i="9"/>
  <c r="V209" i="9"/>
  <c r="V210" i="9"/>
  <c r="V211" i="9"/>
  <c r="V208" i="9"/>
  <c r="V204" i="9"/>
  <c r="V205" i="9"/>
  <c r="V206" i="9"/>
  <c r="V203" i="9"/>
  <c r="U214" i="9"/>
  <c r="U215" i="9"/>
  <c r="U216" i="9"/>
  <c r="U217" i="9"/>
  <c r="U218" i="9"/>
  <c r="U219" i="9"/>
  <c r="U220" i="9"/>
  <c r="U221" i="9"/>
  <c r="U211" i="9"/>
  <c r="U213" i="9"/>
  <c r="U209" i="9"/>
  <c r="U210" i="9"/>
  <c r="U208" i="9"/>
  <c r="U204" i="9"/>
  <c r="U205" i="9"/>
  <c r="U206" i="9"/>
  <c r="U203" i="9"/>
  <c r="T214" i="9"/>
  <c r="T215" i="9"/>
  <c r="T216" i="9"/>
  <c r="T217" i="9"/>
  <c r="T218" i="9"/>
  <c r="T219" i="9"/>
  <c r="T220" i="9"/>
  <c r="T221" i="9"/>
  <c r="T213" i="9"/>
  <c r="T209" i="9"/>
  <c r="T210" i="9"/>
  <c r="T211" i="9"/>
  <c r="T208" i="9"/>
  <c r="T203" i="9"/>
  <c r="L46" i="43" l="1"/>
  <c r="L57" i="43" s="1"/>
  <c r="L52" i="43"/>
  <c r="T204" i="9"/>
  <c r="T205" i="9"/>
  <c r="T206" i="9"/>
  <c r="K86" i="9"/>
  <c r="H4" i="35" l="1"/>
  <c r="J3" i="9"/>
  <c r="G4" i="40"/>
  <c r="F3" i="8"/>
  <c r="K3" i="39"/>
  <c r="E3" i="38"/>
  <c r="C1" i="35" l="1"/>
  <c r="C1" i="9"/>
  <c r="B1" i="40"/>
  <c r="C1" i="8"/>
  <c r="B1" i="39"/>
  <c r="B1" i="38"/>
  <c r="F933" i="8" l="1"/>
  <c r="G995" i="8"/>
  <c r="F995" i="8"/>
  <c r="K13" i="8"/>
  <c r="T30" i="8" s="1"/>
  <c r="AA38" i="8" s="1"/>
  <c r="H63" i="13"/>
  <c r="H94" i="8"/>
  <c r="I23" i="36" s="1"/>
  <c r="C4" i="11"/>
  <c r="AY26" i="13"/>
  <c r="AX26" i="13"/>
  <c r="BB36" i="13"/>
  <c r="AY41" i="13"/>
  <c r="AX41" i="13"/>
  <c r="BD50" i="13"/>
  <c r="AX49" i="13"/>
  <c r="BN87" i="13"/>
  <c r="BC70" i="13"/>
  <c r="BA11" i="13"/>
  <c r="BB7" i="13"/>
  <c r="BF76" i="13"/>
  <c r="BA86" i="13"/>
  <c r="AZ86" i="13"/>
  <c r="BB93" i="13"/>
  <c r="BE97" i="13"/>
  <c r="C2" i="13"/>
  <c r="B2" i="13"/>
  <c r="M4" i="13"/>
  <c r="L4" i="13"/>
  <c r="AA96" i="8"/>
  <c r="AA95" i="8"/>
  <c r="AA91" i="8"/>
  <c r="AA90" i="8"/>
  <c r="AA89" i="8"/>
  <c r="AA88" i="8"/>
  <c r="AA87" i="8"/>
  <c r="AA86" i="8"/>
  <c r="AA85" i="8"/>
  <c r="AA84" i="8"/>
  <c r="AA83" i="8"/>
  <c r="AA80" i="8"/>
  <c r="Z80" i="8"/>
  <c r="AA79" i="8"/>
  <c r="Z79" i="8"/>
  <c r="AA78" i="8"/>
  <c r="Z78" i="8"/>
  <c r="AA77" i="8"/>
  <c r="Z77" i="8"/>
  <c r="AA76" i="8"/>
  <c r="Z76" i="8"/>
  <c r="AA73" i="8"/>
  <c r="Z73" i="8"/>
  <c r="AA72" i="8"/>
  <c r="Z72" i="8"/>
  <c r="AA71" i="8"/>
  <c r="Z71" i="8"/>
  <c r="AA70" i="8"/>
  <c r="Z70" i="8"/>
  <c r="AA69" i="8"/>
  <c r="Z69" i="8"/>
  <c r="AA68" i="8"/>
  <c r="Z68" i="8"/>
  <c r="AA67" i="8"/>
  <c r="Z67" i="8"/>
  <c r="AA66" i="8"/>
  <c r="Z66" i="8"/>
  <c r="AA65" i="8"/>
  <c r="Z65" i="8"/>
  <c r="AA64" i="8"/>
  <c r="AA63" i="8"/>
  <c r="AA56" i="8"/>
  <c r="AA55" i="8"/>
  <c r="AA62" i="8"/>
  <c r="AA58" i="8"/>
  <c r="AA44" i="8"/>
  <c r="AA43" i="8"/>
  <c r="AA42" i="8"/>
  <c r="AA61" i="8"/>
  <c r="AA60" i="8"/>
  <c r="AA59" i="8"/>
  <c r="AA57" i="8"/>
  <c r="AA54" i="8"/>
  <c r="AA53" i="8"/>
  <c r="AA51" i="8"/>
  <c r="AA49" i="8"/>
  <c r="AA47" i="8"/>
  <c r="AA45" i="8"/>
  <c r="C2" i="11"/>
  <c r="C3" i="11"/>
  <c r="C9" i="11"/>
  <c r="C8" i="11"/>
  <c r="C7" i="11"/>
  <c r="F1023" i="8"/>
  <c r="H1013" i="8"/>
  <c r="D1014" i="8" s="1"/>
  <c r="E1023" i="8"/>
  <c r="F1005" i="8"/>
  <c r="F1003" i="8"/>
  <c r="F1002" i="8"/>
  <c r="B1022" i="8"/>
  <c r="D1013" i="8"/>
  <c r="F1009" i="8"/>
  <c r="D1005" i="8"/>
  <c r="D1003" i="8"/>
  <c r="D1002" i="8"/>
  <c r="F196" i="8"/>
  <c r="J267" i="35"/>
  <c r="J266" i="35"/>
  <c r="J265" i="35"/>
  <c r="J260" i="35"/>
  <c r="J259" i="35"/>
  <c r="F257" i="35"/>
  <c r="D257" i="35"/>
  <c r="C259" i="35" s="1"/>
  <c r="D259" i="35" s="1"/>
  <c r="J261" i="35"/>
  <c r="D279" i="35"/>
  <c r="O31" i="8"/>
  <c r="T26" i="8" s="1"/>
  <c r="S33" i="8"/>
  <c r="S30" i="8"/>
  <c r="U27" i="8"/>
  <c r="U28" i="8"/>
  <c r="U26" i="8"/>
  <c r="S27" i="8"/>
  <c r="S28" i="8"/>
  <c r="S26" i="8"/>
  <c r="S25" i="8"/>
  <c r="S23" i="8"/>
  <c r="S24" i="8"/>
  <c r="S22" i="8"/>
  <c r="S19" i="8"/>
  <c r="S20" i="8"/>
  <c r="S18" i="8"/>
  <c r="S15" i="8"/>
  <c r="S16" i="8"/>
  <c r="S14" i="8"/>
  <c r="U11" i="8"/>
  <c r="U12" i="8"/>
  <c r="U10" i="8"/>
  <c r="S11" i="8"/>
  <c r="S12" i="8"/>
  <c r="S10" i="8"/>
  <c r="U7" i="8"/>
  <c r="S8" i="8"/>
  <c r="S9" i="8"/>
  <c r="S7" i="8"/>
  <c r="K28" i="8"/>
  <c r="T19" i="8" s="1"/>
  <c r="AA22" i="8" s="1"/>
  <c r="K29" i="8"/>
  <c r="T20" i="8" s="1"/>
  <c r="AA23" i="8" s="1"/>
  <c r="E477" i="8"/>
  <c r="D480" i="8" s="1"/>
  <c r="H252" i="35"/>
  <c r="I4" i="40"/>
  <c r="I6" i="40"/>
  <c r="H6" i="40"/>
  <c r="G6" i="40"/>
  <c r="J6" i="35"/>
  <c r="I6" i="35"/>
  <c r="H6" i="35"/>
  <c r="J4" i="35"/>
  <c r="E64" i="36"/>
  <c r="B133" i="36"/>
  <c r="K143" i="36"/>
  <c r="B143" i="36" s="1"/>
  <c r="B164" i="36"/>
  <c r="K164" i="36"/>
  <c r="B184" i="36"/>
  <c r="K184" i="36"/>
  <c r="H188" i="36"/>
  <c r="B228" i="36" s="1"/>
  <c r="C228" i="36" s="1"/>
  <c r="I208" i="36"/>
  <c r="I209" i="36"/>
  <c r="I210" i="36"/>
  <c r="I211" i="36" s="1"/>
  <c r="I214" i="36"/>
  <c r="I215" i="36"/>
  <c r="I216" i="36"/>
  <c r="I228" i="36"/>
  <c r="I229" i="36"/>
  <c r="I230" i="36"/>
  <c r="I234" i="36"/>
  <c r="I235" i="36"/>
  <c r="I236" i="36"/>
  <c r="S375" i="36"/>
  <c r="AA388" i="36"/>
  <c r="AA389" i="36"/>
  <c r="D8" i="10"/>
  <c r="E8" i="10" s="1"/>
  <c r="D9" i="10"/>
  <c r="E9" i="10" s="1"/>
  <c r="D10" i="10"/>
  <c r="E10" i="10" s="1"/>
  <c r="D11" i="10"/>
  <c r="E11" i="10" s="1"/>
  <c r="D12" i="10"/>
  <c r="E12" i="10" s="1"/>
  <c r="D13" i="10"/>
  <c r="E13" i="10" s="1"/>
  <c r="D14" i="10"/>
  <c r="E14" i="10" s="1"/>
  <c r="D15" i="10"/>
  <c r="E15" i="10" s="1"/>
  <c r="D16" i="10"/>
  <c r="E16" i="10" s="1"/>
  <c r="D18" i="10"/>
  <c r="E18" i="10" s="1"/>
  <c r="D19" i="10"/>
  <c r="E19" i="10" s="1"/>
  <c r="D20" i="10"/>
  <c r="E20" i="10" s="1"/>
  <c r="D21" i="10"/>
  <c r="E21" i="10" s="1"/>
  <c r="D22" i="10"/>
  <c r="E22" i="10" s="1"/>
  <c r="D23" i="10"/>
  <c r="E23" i="10" s="1"/>
  <c r="D24" i="10"/>
  <c r="E24" i="10" s="1"/>
  <c r="D25" i="10"/>
  <c r="E25" i="10" s="1"/>
  <c r="D26" i="10"/>
  <c r="E26" i="10" s="1"/>
  <c r="E50" i="10" s="1"/>
  <c r="D27" i="10"/>
  <c r="E27" i="10" s="1"/>
  <c r="D28" i="10"/>
  <c r="E28" i="10" s="1"/>
  <c r="D29" i="10"/>
  <c r="E29" i="10" s="1"/>
  <c r="D30" i="10"/>
  <c r="E30" i="10" s="1"/>
  <c r="D31" i="10"/>
  <c r="E31" i="10" s="1"/>
  <c r="D32" i="10"/>
  <c r="E32" i="10" s="1"/>
  <c r="D33" i="10"/>
  <c r="E33" i="10" s="1"/>
  <c r="D34" i="10"/>
  <c r="E34" i="10" s="1"/>
  <c r="D35" i="10"/>
  <c r="E35" i="10"/>
  <c r="D36" i="10"/>
  <c r="E36" i="10" s="1"/>
  <c r="D37" i="10"/>
  <c r="E37" i="10" s="1"/>
  <c r="D38" i="10"/>
  <c r="E38" i="10" s="1"/>
  <c r="D39" i="10"/>
  <c r="E39" i="10" s="1"/>
  <c r="D40" i="10"/>
  <c r="E40" i="10" s="1"/>
  <c r="D41" i="10"/>
  <c r="E41" i="10" s="1"/>
  <c r="C43" i="10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D96" i="10"/>
  <c r="E96" i="10"/>
  <c r="G98" i="10"/>
  <c r="G99" i="10"/>
  <c r="G108" i="10"/>
  <c r="E110" i="10"/>
  <c r="G110" i="10"/>
  <c r="G112" i="10"/>
  <c r="G114" i="10"/>
  <c r="C129" i="10"/>
  <c r="C128" i="10" s="1"/>
  <c r="C127" i="10" s="1"/>
  <c r="D129" i="10"/>
  <c r="D128" i="10" s="1"/>
  <c r="D127" i="10" s="1"/>
  <c r="D126" i="10" s="1"/>
  <c r="E129" i="10"/>
  <c r="E128" i="10" s="1"/>
  <c r="E127" i="10" s="1"/>
  <c r="E126" i="10" s="1"/>
  <c r="D131" i="10"/>
  <c r="D132" i="10" s="1"/>
  <c r="D133" i="10" s="1"/>
  <c r="D134" i="10" s="1"/>
  <c r="D135" i="10" s="1"/>
  <c r="D136" i="10" s="1"/>
  <c r="D137" i="10" s="1"/>
  <c r="D138" i="10" s="1"/>
  <c r="D139" i="10" s="1"/>
  <c r="D140" i="10" s="1"/>
  <c r="D141" i="10" s="1"/>
  <c r="D142" i="10" s="1"/>
  <c r="D143" i="10" s="1"/>
  <c r="D144" i="10" s="1"/>
  <c r="D145" i="10" s="1"/>
  <c r="D146" i="10" s="1"/>
  <c r="D147" i="10" s="1"/>
  <c r="D148" i="10" s="1"/>
  <c r="D149" i="10" s="1"/>
  <c r="D150" i="10" s="1"/>
  <c r="D151" i="10" s="1"/>
  <c r="D152" i="10" s="1"/>
  <c r="D153" i="10" s="1"/>
  <c r="D154" i="10" s="1"/>
  <c r="D155" i="10" s="1"/>
  <c r="D156" i="10" s="1"/>
  <c r="D157" i="10" s="1"/>
  <c r="D158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D172" i="10" s="1"/>
  <c r="D173" i="10" s="1"/>
  <c r="D174" i="10" s="1"/>
  <c r="E131" i="10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D176" i="10"/>
  <c r="D177" i="10" s="1"/>
  <c r="D178" i="10" s="1"/>
  <c r="D179" i="10" s="1"/>
  <c r="D180" i="10" s="1"/>
  <c r="D181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D195" i="10" s="1"/>
  <c r="D196" i="10" s="1"/>
  <c r="D197" i="10" s="1"/>
  <c r="D198" i="10" s="1"/>
  <c r="D199" i="10" s="1"/>
  <c r="D200" i="10" s="1"/>
  <c r="D201" i="10" s="1"/>
  <c r="D202" i="10" s="1"/>
  <c r="D203" i="10" s="1"/>
  <c r="D204" i="10" s="1"/>
  <c r="D205" i="10" s="1"/>
  <c r="D206" i="10" s="1"/>
  <c r="D207" i="10" s="1"/>
  <c r="D208" i="10" s="1"/>
  <c r="D209" i="10" s="1"/>
  <c r="D210" i="10" s="1"/>
  <c r="D211" i="10" s="1"/>
  <c r="D212" i="10" s="1"/>
  <c r="D213" i="10" s="1"/>
  <c r="D214" i="10" s="1"/>
  <c r="D215" i="10" s="1"/>
  <c r="D216" i="10" s="1"/>
  <c r="D217" i="10" s="1"/>
  <c r="D218" i="10" s="1"/>
  <c r="D219" i="10" s="1"/>
  <c r="D220" i="10" s="1"/>
  <c r="D221" i="10" s="1"/>
  <c r="D222" i="10" s="1"/>
  <c r="D223" i="10" s="1"/>
  <c r="D224" i="10" s="1"/>
  <c r="D225" i="10" s="1"/>
  <c r="D226" i="10" s="1"/>
  <c r="D227" i="10" s="1"/>
  <c r="D228" i="10" s="1"/>
  <c r="D229" i="10" s="1"/>
  <c r="D230" i="10" s="1"/>
  <c r="D231" i="10" s="1"/>
  <c r="D232" i="10" s="1"/>
  <c r="D233" i="10" s="1"/>
  <c r="D234" i="10" s="1"/>
  <c r="D235" i="10" s="1"/>
  <c r="D236" i="10" s="1"/>
  <c r="D237" i="10" s="1"/>
  <c r="D238" i="10" s="1"/>
  <c r="D239" i="10" s="1"/>
  <c r="D240" i="10" s="1"/>
  <c r="D241" i="10" s="1"/>
  <c r="D242" i="10" s="1"/>
  <c r="D243" i="10" s="1"/>
  <c r="D244" i="10" s="1"/>
  <c r="D245" i="10" s="1"/>
  <c r="D246" i="10" s="1"/>
  <c r="D247" i="10" s="1"/>
  <c r="D248" i="10" s="1"/>
  <c r="D249" i="10" s="1"/>
  <c r="D250" i="10" s="1"/>
  <c r="D251" i="10" s="1"/>
  <c r="D252" i="10" s="1"/>
  <c r="D253" i="10" s="1"/>
  <c r="D254" i="10" s="1"/>
  <c r="D255" i="10" s="1"/>
  <c r="D256" i="10" s="1"/>
  <c r="D257" i="10" s="1"/>
  <c r="D258" i="10" s="1"/>
  <c r="D259" i="10" s="1"/>
  <c r="D260" i="10" s="1"/>
  <c r="D261" i="10" s="1"/>
  <c r="D262" i="10" s="1"/>
  <c r="D263" i="10" s="1"/>
  <c r="D264" i="10" s="1"/>
  <c r="D265" i="10" s="1"/>
  <c r="D266" i="10" s="1"/>
  <c r="D267" i="10" s="1"/>
  <c r="D268" i="10" s="1"/>
  <c r="D269" i="10" s="1"/>
  <c r="D270" i="10" s="1"/>
  <c r="D271" i="10" s="1"/>
  <c r="D272" i="10" s="1"/>
  <c r="D273" i="10" s="1"/>
  <c r="D274" i="10" s="1"/>
  <c r="D275" i="10" s="1"/>
  <c r="D276" i="10" s="1"/>
  <c r="D277" i="10" s="1"/>
  <c r="D278" i="10" s="1"/>
  <c r="D279" i="10" s="1"/>
  <c r="D280" i="10" s="1"/>
  <c r="D281" i="10" s="1"/>
  <c r="D282" i="10" s="1"/>
  <c r="D283" i="10" s="1"/>
  <c r="D284" i="10" s="1"/>
  <c r="D285" i="10" s="1"/>
  <c r="D286" i="10" s="1"/>
  <c r="D287" i="10" s="1"/>
  <c r="D288" i="10" s="1"/>
  <c r="D289" i="10" s="1"/>
  <c r="D290" i="10" s="1"/>
  <c r="D291" i="10" s="1"/>
  <c r="D292" i="10" s="1"/>
  <c r="D293" i="10" s="1"/>
  <c r="D294" i="10" s="1"/>
  <c r="D295" i="10" s="1"/>
  <c r="D296" i="10" s="1"/>
  <c r="D297" i="10" s="1"/>
  <c r="D298" i="10" s="1"/>
  <c r="D299" i="10" s="1"/>
  <c r="D300" i="10" s="1"/>
  <c r="D301" i="10" s="1"/>
  <c r="D302" i="10" s="1"/>
  <c r="D303" i="10" s="1"/>
  <c r="D304" i="10" s="1"/>
  <c r="D305" i="10" s="1"/>
  <c r="D306" i="10" s="1"/>
  <c r="D307" i="10" s="1"/>
  <c r="D308" i="10" s="1"/>
  <c r="D309" i="10" s="1"/>
  <c r="D310" i="10" s="1"/>
  <c r="D311" i="10" s="1"/>
  <c r="D312" i="10" s="1"/>
  <c r="D313" i="10" s="1"/>
  <c r="D314" i="10" s="1"/>
  <c r="D315" i="10" s="1"/>
  <c r="D316" i="10" s="1"/>
  <c r="D317" i="10" s="1"/>
  <c r="D318" i="10" s="1"/>
  <c r="D319" i="10" s="1"/>
  <c r="D320" i="10" s="1"/>
  <c r="D321" i="10" s="1"/>
  <c r="D322" i="10" s="1"/>
  <c r="D323" i="10" s="1"/>
  <c r="D324" i="10" s="1"/>
  <c r="D325" i="10" s="1"/>
  <c r="D326" i="10" s="1"/>
  <c r="D327" i="10" s="1"/>
  <c r="D328" i="10" s="1"/>
  <c r="D329" i="10" s="1"/>
  <c r="D330" i="10" s="1"/>
  <c r="D331" i="10" s="1"/>
  <c r="D332" i="10" s="1"/>
  <c r="D333" i="10" s="1"/>
  <c r="D334" i="10" s="1"/>
  <c r="D335" i="10" s="1"/>
  <c r="D336" i="10" s="1"/>
  <c r="D337" i="10" s="1"/>
  <c r="D338" i="10" s="1"/>
  <c r="D339" i="10" s="1"/>
  <c r="D340" i="10" s="1"/>
  <c r="D341" i="10" s="1"/>
  <c r="D342" i="10" s="1"/>
  <c r="D343" i="10" s="1"/>
  <c r="D344" i="10" s="1"/>
  <c r="D345" i="10" s="1"/>
  <c r="D346" i="10" s="1"/>
  <c r="D347" i="10" s="1"/>
  <c r="D348" i="10" s="1"/>
  <c r="D349" i="10" s="1"/>
  <c r="E176" i="10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D351" i="10"/>
  <c r="D352" i="10" s="1"/>
  <c r="D353" i="10" s="1"/>
  <c r="D354" i="10" s="1"/>
  <c r="D355" i="10" s="1"/>
  <c r="D356" i="10" s="1"/>
  <c r="D357" i="10" s="1"/>
  <c r="D358" i="10" s="1"/>
  <c r="D359" i="10" s="1"/>
  <c r="D360" i="10" s="1"/>
  <c r="D361" i="10" s="1"/>
  <c r="D362" i="10" s="1"/>
  <c r="D363" i="10" s="1"/>
  <c r="D364" i="10" s="1"/>
  <c r="D365" i="10" s="1"/>
  <c r="D366" i="10" s="1"/>
  <c r="D367" i="10" s="1"/>
  <c r="D368" i="10" s="1"/>
  <c r="D369" i="10" s="1"/>
  <c r="D370" i="10" s="1"/>
  <c r="D371" i="10" s="1"/>
  <c r="D372" i="10" s="1"/>
  <c r="D373" i="10" s="1"/>
  <c r="D374" i="10" s="1"/>
  <c r="D375" i="10" s="1"/>
  <c r="D376" i="10" s="1"/>
  <c r="D377" i="10" s="1"/>
  <c r="D378" i="10" s="1"/>
  <c r="D379" i="10" s="1"/>
  <c r="D380" i="10" s="1"/>
  <c r="D381" i="10" s="1"/>
  <c r="D382" i="10" s="1"/>
  <c r="D383" i="10" s="1"/>
  <c r="D384" i="10" s="1"/>
  <c r="D385" i="10" s="1"/>
  <c r="D386" i="10" s="1"/>
  <c r="D387" i="10" s="1"/>
  <c r="D388" i="10" s="1"/>
  <c r="D389" i="10" s="1"/>
  <c r="D390" i="10" s="1"/>
  <c r="D391" i="10" s="1"/>
  <c r="D392" i="10" s="1"/>
  <c r="D393" i="10" s="1"/>
  <c r="D394" i="10" s="1"/>
  <c r="D395" i="10" s="1"/>
  <c r="D396" i="10" s="1"/>
  <c r="D397" i="10" s="1"/>
  <c r="D398" i="10" s="1"/>
  <c r="D399" i="10" s="1"/>
  <c r="D400" i="10" s="1"/>
  <c r="D401" i="10" s="1"/>
  <c r="D402" i="10" s="1"/>
  <c r="D403" i="10" s="1"/>
  <c r="D404" i="10" s="1"/>
  <c r="D405" i="10" s="1"/>
  <c r="D406" i="10" s="1"/>
  <c r="D407" i="10" s="1"/>
  <c r="D408" i="10" s="1"/>
  <c r="D409" i="10" s="1"/>
  <c r="D410" i="10" s="1"/>
  <c r="D411" i="10" s="1"/>
  <c r="D412" i="10" s="1"/>
  <c r="D413" i="10" s="1"/>
  <c r="D414" i="10" s="1"/>
  <c r="D415" i="10" s="1"/>
  <c r="D416" i="10" s="1"/>
  <c r="D417" i="10" s="1"/>
  <c r="D418" i="10" s="1"/>
  <c r="D419" i="10" s="1"/>
  <c r="D420" i="10" s="1"/>
  <c r="D421" i="10" s="1"/>
  <c r="D422" i="10" s="1"/>
  <c r="D423" i="10" s="1"/>
  <c r="D424" i="10" s="1"/>
  <c r="D425" i="10" s="1"/>
  <c r="D426" i="10" s="1"/>
  <c r="D427" i="10" s="1"/>
  <c r="D428" i="10" s="1"/>
  <c r="D429" i="10" s="1"/>
  <c r="D430" i="10" s="1"/>
  <c r="D431" i="10" s="1"/>
  <c r="D432" i="10" s="1"/>
  <c r="E351" i="10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C21" i="9"/>
  <c r="G22" i="9"/>
  <c r="F24" i="9" s="1"/>
  <c r="C31" i="9"/>
  <c r="K109" i="9"/>
  <c r="K110" i="9"/>
  <c r="K111" i="9"/>
  <c r="K177" i="9" s="1"/>
  <c r="F146" i="9"/>
  <c r="K146" i="9"/>
  <c r="K163" i="9" s="1"/>
  <c r="K147" i="9"/>
  <c r="K164" i="9"/>
  <c r="K175" i="9"/>
  <c r="K176" i="9"/>
  <c r="K178" i="9"/>
  <c r="F206" i="9"/>
  <c r="M214" i="9"/>
  <c r="B3" i="40"/>
  <c r="B5" i="40"/>
  <c r="H52" i="40"/>
  <c r="C180" i="40" s="1"/>
  <c r="H60" i="40"/>
  <c r="H61" i="40"/>
  <c r="H65" i="40"/>
  <c r="H105" i="40" s="1"/>
  <c r="H220" i="40" s="1"/>
  <c r="R157" i="40"/>
  <c r="R159" i="40" s="1"/>
  <c r="P164" i="40"/>
  <c r="P165" i="40" s="1"/>
  <c r="G165" i="40"/>
  <c r="R166" i="40"/>
  <c r="D171" i="40"/>
  <c r="F171" i="40"/>
  <c r="D172" i="40"/>
  <c r="D173" i="40" s="1"/>
  <c r="F172" i="40"/>
  <c r="F173" i="40" s="1"/>
  <c r="F174" i="40" s="1"/>
  <c r="H206" i="40"/>
  <c r="H207" i="40"/>
  <c r="H210" i="40"/>
  <c r="H363" i="40" s="1"/>
  <c r="C518" i="40" s="1"/>
  <c r="H213" i="40"/>
  <c r="H366" i="40" s="1"/>
  <c r="M268" i="40"/>
  <c r="M269" i="40"/>
  <c r="Q329" i="40"/>
  <c r="Q331" i="40" s="1"/>
  <c r="O335" i="40"/>
  <c r="O337" i="40" s="1"/>
  <c r="Q338" i="40"/>
  <c r="H374" i="40"/>
  <c r="H383" i="40"/>
  <c r="C520" i="40" s="1"/>
  <c r="M410" i="40"/>
  <c r="M411" i="40"/>
  <c r="G507" i="40"/>
  <c r="Q509" i="40"/>
  <c r="Q511" i="40" s="1"/>
  <c r="O517" i="40"/>
  <c r="O518" i="40" s="1"/>
  <c r="Q519" i="40"/>
  <c r="C3" i="35"/>
  <c r="C5" i="35"/>
  <c r="C5" i="11"/>
  <c r="E70" i="35"/>
  <c r="H52" i="13" s="1"/>
  <c r="N43" i="13" s="1"/>
  <c r="B139" i="35"/>
  <c r="K149" i="35"/>
  <c r="B149" i="35" s="1"/>
  <c r="B170" i="35"/>
  <c r="K170" i="35"/>
  <c r="B190" i="35"/>
  <c r="K190" i="35"/>
  <c r="H194" i="35"/>
  <c r="C220" i="35" s="1"/>
  <c r="D220" i="35" s="1"/>
  <c r="J220" i="35"/>
  <c r="J221" i="35"/>
  <c r="J222" i="35"/>
  <c r="J226" i="35"/>
  <c r="J227" i="35"/>
  <c r="J228" i="35"/>
  <c r="J236" i="35"/>
  <c r="J237" i="35"/>
  <c r="J238" i="35"/>
  <c r="J242" i="35"/>
  <c r="J243" i="35"/>
  <c r="J244" i="35"/>
  <c r="S383" i="35"/>
  <c r="AA396" i="35"/>
  <c r="AA397" i="35"/>
  <c r="O7" i="8"/>
  <c r="O8" i="8" s="1"/>
  <c r="O9" i="8" s="1"/>
  <c r="K17" i="8"/>
  <c r="T14" i="8" s="1"/>
  <c r="AA24" i="8" s="1"/>
  <c r="K23" i="8"/>
  <c r="T33" i="8" s="1"/>
  <c r="K27" i="8"/>
  <c r="T18" i="8" s="1"/>
  <c r="AA21" i="8" s="1"/>
  <c r="K31" i="8"/>
  <c r="T22" i="8" s="1"/>
  <c r="AA20" i="8" s="1"/>
  <c r="K32" i="8"/>
  <c r="T23" i="8" s="1"/>
  <c r="AA7" i="8" s="1"/>
  <c r="K38" i="8"/>
  <c r="K39" i="8"/>
  <c r="K40" i="8"/>
  <c r="J43" i="8"/>
  <c r="K43" i="8" s="1"/>
  <c r="F67" i="8"/>
  <c r="E80" i="8"/>
  <c r="L672" i="8" s="1"/>
  <c r="F86" i="8"/>
  <c r="H95" i="8"/>
  <c r="E94" i="8" s="1"/>
  <c r="D96" i="8"/>
  <c r="AY49" i="13" s="1"/>
  <c r="E96" i="8"/>
  <c r="H96" i="8"/>
  <c r="F107" i="8"/>
  <c r="F122" i="8"/>
  <c r="H202" i="8" s="1"/>
  <c r="F124" i="8"/>
  <c r="C152" i="8"/>
  <c r="G162" i="8"/>
  <c r="F929" i="8" s="1"/>
  <c r="H166" i="8"/>
  <c r="F168" i="8"/>
  <c r="G166" i="8" s="1"/>
  <c r="F169" i="8"/>
  <c r="F170" i="8" s="1"/>
  <c r="K182" i="8"/>
  <c r="F197" i="8"/>
  <c r="J203" i="8"/>
  <c r="E210" i="8"/>
  <c r="F210" i="8" s="1"/>
  <c r="F212" i="8"/>
  <c r="E225" i="8"/>
  <c r="E235" i="8"/>
  <c r="B236" i="8"/>
  <c r="E237" i="8"/>
  <c r="E238" i="8" s="1"/>
  <c r="E243" i="8"/>
  <c r="B251" i="8"/>
  <c r="K7" i="8" s="1"/>
  <c r="T7" i="8" s="1"/>
  <c r="AA27" i="8" s="1"/>
  <c r="E256" i="8"/>
  <c r="K8" i="8" s="1"/>
  <c r="T8" i="8" s="1"/>
  <c r="AA30" i="8" s="1"/>
  <c r="E258" i="8"/>
  <c r="D261" i="8"/>
  <c r="C268" i="8"/>
  <c r="D268" i="8"/>
  <c r="F272" i="8"/>
  <c r="F273" i="8"/>
  <c r="F274" i="8"/>
  <c r="F276" i="8"/>
  <c r="F295" i="8"/>
  <c r="F298" i="8"/>
  <c r="F664" i="8" s="1"/>
  <c r="F299" i="8"/>
  <c r="E303" i="8"/>
  <c r="F303" i="8"/>
  <c r="B325" i="8"/>
  <c r="F385" i="8" s="1"/>
  <c r="F340" i="8"/>
  <c r="F343" i="8"/>
  <c r="F362" i="8"/>
  <c r="F369" i="8"/>
  <c r="F370" i="8" s="1"/>
  <c r="D372" i="8"/>
  <c r="F372" i="8"/>
  <c r="F388" i="8" s="1"/>
  <c r="F376" i="8"/>
  <c r="F377" i="8"/>
  <c r="E378" i="8"/>
  <c r="D384" i="8"/>
  <c r="F406" i="8"/>
  <c r="F407" i="8"/>
  <c r="E409" i="8"/>
  <c r="F409" i="8" s="1"/>
  <c r="F410" i="8"/>
  <c r="F411" i="8"/>
  <c r="F421" i="8"/>
  <c r="F424" i="8"/>
  <c r="F438" i="8"/>
  <c r="F445" i="8"/>
  <c r="F446" i="8" s="1"/>
  <c r="D447" i="8"/>
  <c r="F447" i="8"/>
  <c r="F453" i="8"/>
  <c r="F454" i="8"/>
  <c r="F455" i="8"/>
  <c r="D461" i="8"/>
  <c r="G478" i="8"/>
  <c r="F493" i="8"/>
  <c r="F496" i="8"/>
  <c r="F517" i="8"/>
  <c r="F518" i="8" s="1"/>
  <c r="F535" i="8" s="1"/>
  <c r="D519" i="8"/>
  <c r="F519" i="8"/>
  <c r="F525" i="8"/>
  <c r="F526" i="8"/>
  <c r="F527" i="8"/>
  <c r="D533" i="8"/>
  <c r="E549" i="8"/>
  <c r="D552" i="8" s="1"/>
  <c r="G550" i="8"/>
  <c r="D554" i="8"/>
  <c r="K604" i="8" s="1"/>
  <c r="E554" i="8"/>
  <c r="D558" i="8"/>
  <c r="F558" i="8"/>
  <c r="D562" i="8"/>
  <c r="F562" i="8"/>
  <c r="F572" i="8"/>
  <c r="F573" i="8"/>
  <c r="F574" i="8"/>
  <c r="F576" i="8"/>
  <c r="E598" i="8"/>
  <c r="F598" i="8" s="1"/>
  <c r="F602" i="8"/>
  <c r="D606" i="8"/>
  <c r="F606" i="8"/>
  <c r="E616" i="8"/>
  <c r="F616" i="8"/>
  <c r="D626" i="8"/>
  <c r="F639" i="8"/>
  <c r="F640" i="8"/>
  <c r="F643" i="8"/>
  <c r="F661" i="8"/>
  <c r="C664" i="8"/>
  <c r="D665" i="8"/>
  <c r="F672" i="8" s="1"/>
  <c r="H672" i="8" s="1"/>
  <c r="D671" i="8"/>
  <c r="E671" i="8"/>
  <c r="F669" i="8" s="1"/>
  <c r="F689" i="8"/>
  <c r="F690" i="8"/>
  <c r="F693" i="8"/>
  <c r="F707" i="8"/>
  <c r="F717" i="8"/>
  <c r="F718" i="8" s="1"/>
  <c r="D719" i="8"/>
  <c r="F719" i="8"/>
  <c r="F725" i="8"/>
  <c r="F726" i="8"/>
  <c r="F727" i="8"/>
  <c r="D733" i="8"/>
  <c r="F749" i="8"/>
  <c r="F750" i="8"/>
  <c r="D752" i="8"/>
  <c r="F784" i="8"/>
  <c r="F785" i="8"/>
  <c r="F814" i="8" s="1"/>
  <c r="B793" i="8"/>
  <c r="B798" i="8"/>
  <c r="F798" i="8"/>
  <c r="F800" i="8" s="1"/>
  <c r="B809" i="8"/>
  <c r="F811" i="8"/>
  <c r="F817" i="8"/>
  <c r="F820" i="8" s="1"/>
  <c r="F826" i="8"/>
  <c r="C835" i="8"/>
  <c r="E840" i="8"/>
  <c r="E842" i="8"/>
  <c r="E845" i="8"/>
  <c r="G857" i="8"/>
  <c r="D859" i="8"/>
  <c r="G859" i="8"/>
  <c r="F868" i="8"/>
  <c r="B879" i="8"/>
  <c r="E894" i="8"/>
  <c r="D923" i="8" s="1"/>
  <c r="F902" i="8"/>
  <c r="F905" i="8"/>
  <c r="F930" i="8"/>
  <c r="J930" i="8"/>
  <c r="J932" i="8"/>
  <c r="J935" i="8"/>
  <c r="J936" i="8"/>
  <c r="J937" i="8"/>
  <c r="J941" i="8"/>
  <c r="F948" i="8"/>
  <c r="J948" i="8"/>
  <c r="D956" i="8"/>
  <c r="E964" i="8"/>
  <c r="F975" i="8"/>
  <c r="B976" i="8"/>
  <c r="E9" i="39"/>
  <c r="K9" i="39"/>
  <c r="F39" i="39"/>
  <c r="J54" i="39" s="1"/>
  <c r="J44" i="39"/>
  <c r="E219" i="8" s="1"/>
  <c r="J45" i="39"/>
  <c r="J47" i="39"/>
  <c r="J48" i="39"/>
  <c r="J50" i="39"/>
  <c r="J63" i="39"/>
  <c r="F877" i="8" s="1"/>
  <c r="J64" i="39"/>
  <c r="F881" i="8" s="1"/>
  <c r="J65" i="39"/>
  <c r="F942" i="8" s="1"/>
  <c r="J66" i="39"/>
  <c r="J99" i="39" s="1"/>
  <c r="J67" i="39"/>
  <c r="J68" i="39"/>
  <c r="J69" i="39"/>
  <c r="J70" i="39"/>
  <c r="B82" i="39"/>
  <c r="B2" i="38"/>
  <c r="B2" i="39" s="1"/>
  <c r="G3" i="38"/>
  <c r="M3" i="39" s="1"/>
  <c r="B4" i="38"/>
  <c r="C4" i="9" s="1"/>
  <c r="E5" i="38"/>
  <c r="J5" i="9" s="1"/>
  <c r="F5" i="38"/>
  <c r="L5" i="39" s="1"/>
  <c r="G5" i="38"/>
  <c r="H5" i="8" s="1"/>
  <c r="G84" i="8"/>
  <c r="F709" i="8"/>
  <c r="BF3" i="13"/>
  <c r="B23" i="9"/>
  <c r="K19" i="8"/>
  <c r="T16" i="8" s="1"/>
  <c r="AA26" i="8" s="1"/>
  <c r="F509" i="8"/>
  <c r="F511" i="8" s="1"/>
  <c r="C477" i="8"/>
  <c r="C549" i="8"/>
  <c r="F560" i="8"/>
  <c r="F459" i="8" s="1"/>
  <c r="E1024" i="8"/>
  <c r="F1024" i="8"/>
  <c r="C1025" i="8" s="1"/>
  <c r="B996" i="8"/>
  <c r="G83" i="8" l="1"/>
  <c r="G212" i="8"/>
  <c r="F652" i="8"/>
  <c r="C6" i="11"/>
  <c r="E585" i="8"/>
  <c r="K244" i="9"/>
  <c r="K271" i="9"/>
  <c r="K298" i="9"/>
  <c r="L20" i="43"/>
  <c r="D705" i="8"/>
  <c r="F705" i="8" s="1"/>
  <c r="D917" i="8"/>
  <c r="D945" i="8"/>
  <c r="H203" i="40"/>
  <c r="C340" i="40" s="1"/>
  <c r="K320" i="9"/>
  <c r="D435" i="8"/>
  <c r="D364" i="8"/>
  <c r="D786" i="8"/>
  <c r="D507" i="8"/>
  <c r="F408" i="8"/>
  <c r="C341" i="40"/>
  <c r="C182" i="40"/>
  <c r="B234" i="36"/>
  <c r="C234" i="36" s="1"/>
  <c r="F207" i="9"/>
  <c r="G207" i="9" s="1"/>
  <c r="B25" i="9"/>
  <c r="K21" i="9" s="1"/>
  <c r="D535" i="8"/>
  <c r="L179" i="8"/>
  <c r="D85" i="8"/>
  <c r="F209" i="9" s="1"/>
  <c r="D14" i="9"/>
  <c r="C67" i="36"/>
  <c r="C69" i="36" s="1"/>
  <c r="C226" i="35"/>
  <c r="D226" i="35" s="1"/>
  <c r="C242" i="35"/>
  <c r="D242" i="35" s="1"/>
  <c r="C236" i="35"/>
  <c r="D236" i="35" s="1"/>
  <c r="E95" i="8"/>
  <c r="D180" i="8"/>
  <c r="AA74" i="8"/>
  <c r="D23" i="36"/>
  <c r="I29" i="35"/>
  <c r="I17" i="36"/>
  <c r="I23" i="35"/>
  <c r="M5" i="39"/>
  <c r="E575" i="8"/>
  <c r="H57" i="13"/>
  <c r="N44" i="13" s="1"/>
  <c r="J239" i="35"/>
  <c r="I231" i="36"/>
  <c r="F1006" i="8"/>
  <c r="D1008" i="8" s="1"/>
  <c r="C4" i="8"/>
  <c r="G477" i="8"/>
  <c r="G479" i="8" s="1"/>
  <c r="J84" i="39"/>
  <c r="J85" i="39" s="1"/>
  <c r="C827" i="8" s="1"/>
  <c r="F412" i="8"/>
  <c r="E275" i="8"/>
  <c r="I237" i="36"/>
  <c r="C241" i="36" s="1"/>
  <c r="G241" i="36" s="1"/>
  <c r="L5" i="9"/>
  <c r="J245" i="35"/>
  <c r="E648" i="8"/>
  <c r="F692" i="8"/>
  <c r="F757" i="8" s="1"/>
  <c r="F758" i="8" s="1"/>
  <c r="F585" i="8"/>
  <c r="B407" i="8"/>
  <c r="F275" i="8"/>
  <c r="B4" i="39"/>
  <c r="F279" i="8"/>
  <c r="J223" i="35"/>
  <c r="I217" i="36"/>
  <c r="F281" i="8"/>
  <c r="D105" i="40"/>
  <c r="D220" i="40" s="1"/>
  <c r="E49" i="10"/>
  <c r="E48" i="10" s="1"/>
  <c r="E47" i="10" s="1"/>
  <c r="E46" i="10" s="1"/>
  <c r="E45" i="10" s="1"/>
  <c r="E44" i="10" s="1"/>
  <c r="E43" i="10" s="1"/>
  <c r="K5" i="9"/>
  <c r="W72" i="13"/>
  <c r="AD46" i="13" s="1"/>
  <c r="E279" i="8"/>
  <c r="C73" i="35"/>
  <c r="C76" i="35" s="1"/>
  <c r="F285" i="8"/>
  <c r="J107" i="39"/>
  <c r="J109" i="39" s="1"/>
  <c r="E285" i="8"/>
  <c r="B411" i="8"/>
  <c r="J262" i="35"/>
  <c r="D273" i="35" s="1"/>
  <c r="D274" i="35" s="1"/>
  <c r="B208" i="36"/>
  <c r="C208" i="36" s="1"/>
  <c r="C221" i="36" s="1"/>
  <c r="G221" i="36" s="1"/>
  <c r="F537" i="8"/>
  <c r="K217" i="9"/>
  <c r="D29" i="35"/>
  <c r="F575" i="8"/>
  <c r="F465" i="8"/>
  <c r="E642" i="8"/>
  <c r="F614" i="8"/>
  <c r="T10" i="8"/>
  <c r="AA28" i="8" s="1"/>
  <c r="C265" i="35"/>
  <c r="D265" i="35" s="1"/>
  <c r="B214" i="36"/>
  <c r="C214" i="36" s="1"/>
  <c r="G5" i="8"/>
  <c r="E692" i="8"/>
  <c r="J229" i="35"/>
  <c r="E232" i="35" s="1"/>
  <c r="I232" i="35" s="1"/>
  <c r="C181" i="40"/>
  <c r="F200" i="8"/>
  <c r="H57" i="40" s="1"/>
  <c r="D1006" i="8"/>
  <c r="AA41" i="8"/>
  <c r="E652" i="8"/>
  <c r="F648" i="8"/>
  <c r="F642" i="8"/>
  <c r="F646" i="8"/>
  <c r="E646" i="8"/>
  <c r="G161" i="8"/>
  <c r="H373" i="40" s="1"/>
  <c r="C2" i="9"/>
  <c r="C342" i="40"/>
  <c r="K5" i="39"/>
  <c r="F5" i="8"/>
  <c r="H211" i="40"/>
  <c r="H364" i="40" s="1"/>
  <c r="F462" i="8"/>
  <c r="D464" i="8" s="1"/>
  <c r="C2" i="8"/>
  <c r="F339" i="8"/>
  <c r="F348" i="8" s="1"/>
  <c r="F534" i="8"/>
  <c r="F420" i="8"/>
  <c r="F432" i="8"/>
  <c r="F504" i="8" s="1"/>
  <c r="F702" i="8"/>
  <c r="F914" i="8"/>
  <c r="E281" i="8"/>
  <c r="H3" i="8"/>
  <c r="L3" i="9"/>
  <c r="J92" i="39"/>
  <c r="F751" i="8"/>
  <c r="F678" i="8" s="1"/>
  <c r="G101" i="10"/>
  <c r="G116" i="10" s="1"/>
  <c r="F901" i="8"/>
  <c r="E904" i="8" s="1"/>
  <c r="C11" i="11"/>
  <c r="D895" i="8"/>
  <c r="K20" i="9"/>
  <c r="D951" i="8"/>
  <c r="J100" i="39"/>
  <c r="J101" i="39"/>
  <c r="D463" i="8"/>
  <c r="F463" i="8"/>
  <c r="F474" i="8" s="1"/>
  <c r="D474" i="8" s="1"/>
  <c r="F735" i="8"/>
  <c r="F746" i="8" s="1"/>
  <c r="D746" i="8" s="1"/>
  <c r="D735" i="8"/>
  <c r="F386" i="8"/>
  <c r="F403" i="8" s="1"/>
  <c r="D403" i="8" s="1"/>
  <c r="E386" i="8"/>
  <c r="D387" i="8"/>
  <c r="F413" i="8"/>
  <c r="G414" i="8" s="1"/>
  <c r="D385" i="8"/>
  <c r="F387" i="8"/>
  <c r="F737" i="8"/>
  <c r="F546" i="8"/>
  <c r="D546" i="8" s="1"/>
  <c r="E301" i="8"/>
  <c r="J608" i="8"/>
  <c r="F579" i="8"/>
  <c r="J86" i="39"/>
  <c r="J87" i="39" s="1"/>
  <c r="J88" i="39" s="1"/>
  <c r="J89" i="39" s="1"/>
  <c r="F805" i="8"/>
  <c r="J268" i="35"/>
  <c r="H375" i="40"/>
  <c r="E59" i="35"/>
  <c r="E67" i="35"/>
  <c r="H60" i="13" s="1"/>
  <c r="D213" i="35"/>
  <c r="F734" i="8"/>
  <c r="E581" i="8"/>
  <c r="F581" i="8"/>
  <c r="E579" i="8"/>
  <c r="E932" i="8"/>
  <c r="F932" i="8"/>
  <c r="E614" i="8"/>
  <c r="F80" i="8"/>
  <c r="K300" i="9" s="1"/>
  <c r="W61" i="13"/>
  <c r="W66" i="13" s="1"/>
  <c r="H64" i="40"/>
  <c r="H202" i="40" s="1"/>
  <c r="T11" i="8"/>
  <c r="AA36" i="8" s="1"/>
  <c r="D22" i="9"/>
  <c r="F671" i="8"/>
  <c r="Q7" i="8"/>
  <c r="V10" i="8" s="1"/>
  <c r="T12" i="8"/>
  <c r="G18" i="9"/>
  <c r="H212" i="40"/>
  <c r="H365" i="40" s="1"/>
  <c r="F189" i="8"/>
  <c r="F568" i="8"/>
  <c r="B90" i="8"/>
  <c r="C137" i="8"/>
  <c r="B95" i="8" s="1"/>
  <c r="H62" i="40"/>
  <c r="F308" i="8"/>
  <c r="B323" i="8"/>
  <c r="F613" i="8" s="1"/>
  <c r="K19" i="9" s="1"/>
  <c r="D308" i="8"/>
  <c r="AA8" i="8"/>
  <c r="AA10" i="8"/>
  <c r="E618" i="8"/>
  <c r="D560" i="8"/>
  <c r="F181" i="8"/>
  <c r="O32" i="8"/>
  <c r="O33" i="8" s="1"/>
  <c r="F618" i="8"/>
  <c r="W52" i="13"/>
  <c r="W48" i="13" s="1"/>
  <c r="AD41" i="13" s="1"/>
  <c r="F418" i="8"/>
  <c r="E568" i="8"/>
  <c r="F147" i="8"/>
  <c r="Q33" i="8"/>
  <c r="V28" i="8" s="1"/>
  <c r="AA11" i="8" s="1"/>
  <c r="H48" i="13"/>
  <c r="N42" i="13" s="1"/>
  <c r="F1014" i="8"/>
  <c r="F1032" i="8" s="1"/>
  <c r="H785" i="8"/>
  <c r="F604" i="8"/>
  <c r="D604" i="8"/>
  <c r="F437" i="8"/>
  <c r="F439" i="8" s="1"/>
  <c r="G549" i="8"/>
  <c r="G551" i="8" s="1"/>
  <c r="J42" i="8"/>
  <c r="F301" i="8"/>
  <c r="F79" i="8"/>
  <c r="BA51" i="13"/>
  <c r="F687" i="8"/>
  <c r="G101" i="8"/>
  <c r="E92" i="8"/>
  <c r="F18" i="9"/>
  <c r="E768" i="8"/>
  <c r="R81" i="8"/>
  <c r="R80" i="8" s="1"/>
  <c r="H388" i="40"/>
  <c r="F114" i="8"/>
  <c r="BJ62" i="13"/>
  <c r="F768" i="8"/>
  <c r="E61" i="36"/>
  <c r="E53" i="36"/>
  <c r="F731" i="8"/>
  <c r="F531" i="8"/>
  <c r="E175" i="8"/>
  <c r="F179" i="8"/>
  <c r="E182" i="8"/>
  <c r="E179" i="8"/>
  <c r="E101" i="8"/>
  <c r="F827" i="8" l="1"/>
  <c r="F828" i="8" s="1"/>
  <c r="J934" i="8"/>
  <c r="F46" i="8"/>
  <c r="E757" i="8"/>
  <c r="F263" i="9"/>
  <c r="F236" i="9"/>
  <c r="F290" i="9"/>
  <c r="G709" i="8"/>
  <c r="G705" i="8"/>
  <c r="E195" i="8"/>
  <c r="K273" i="9"/>
  <c r="K246" i="9"/>
  <c r="K219" i="9"/>
  <c r="L22" i="43"/>
  <c r="L48" i="43" s="1"/>
  <c r="D219" i="40"/>
  <c r="N204" i="9"/>
  <c r="O204" i="9"/>
  <c r="F1008" i="8"/>
  <c r="D1011" i="8" s="1"/>
  <c r="C70" i="36"/>
  <c r="F1029" i="8"/>
  <c r="F364" i="8"/>
  <c r="G364" i="8" s="1"/>
  <c r="F786" i="8"/>
  <c r="H786" i="8" s="1"/>
  <c r="E248" i="35"/>
  <c r="I248" i="35" s="1"/>
  <c r="E186" i="8"/>
  <c r="F903" i="8"/>
  <c r="F888" i="8"/>
  <c r="F956" i="8"/>
  <c r="F973" i="8" s="1"/>
  <c r="F974" i="8" s="1"/>
  <c r="C10" i="11"/>
  <c r="F865" i="8"/>
  <c r="L863" i="8"/>
  <c r="F879" i="8"/>
  <c r="C75" i="35"/>
  <c r="V23" i="13"/>
  <c r="F464" i="8"/>
  <c r="F467" i="8" s="1"/>
  <c r="F620" i="8"/>
  <c r="J102" i="39"/>
  <c r="J103" i="39" s="1"/>
  <c r="J104" i="39" s="1"/>
  <c r="H426" i="40"/>
  <c r="F467" i="40" s="1"/>
  <c r="G483" i="40" s="1"/>
  <c r="E484" i="40" s="1"/>
  <c r="F904" i="8"/>
  <c r="E888" i="8"/>
  <c r="F931" i="8"/>
  <c r="F945" i="8" s="1"/>
  <c r="G945" i="8" s="1"/>
  <c r="H432" i="40"/>
  <c r="F469" i="40" s="1"/>
  <c r="G501" i="40" s="1"/>
  <c r="E502" i="40" s="1"/>
  <c r="C519" i="40"/>
  <c r="K37" i="9"/>
  <c r="D536" i="8"/>
  <c r="D534" i="8"/>
  <c r="G553" i="8"/>
  <c r="F536" i="8"/>
  <c r="F539" i="8" s="1"/>
  <c r="F435" i="8"/>
  <c r="G435" i="8" s="1"/>
  <c r="F492" i="8"/>
  <c r="E423" i="8"/>
  <c r="F423" i="8"/>
  <c r="F485" i="8" s="1"/>
  <c r="F486" i="8" s="1"/>
  <c r="D462" i="8"/>
  <c r="G481" i="8"/>
  <c r="G480" i="8" s="1"/>
  <c r="F352" i="8"/>
  <c r="F342" i="8"/>
  <c r="E342" i="8"/>
  <c r="E346" i="8"/>
  <c r="E348" i="8"/>
  <c r="E352" i="8"/>
  <c r="F346" i="8"/>
  <c r="F917" i="8"/>
  <c r="G917" i="8" s="1"/>
  <c r="J94" i="39"/>
  <c r="J93" i="39"/>
  <c r="AA32" i="8"/>
  <c r="B427" i="40"/>
  <c r="M81" i="8"/>
  <c r="M80" i="8" s="1"/>
  <c r="L95" i="8" s="1"/>
  <c r="M95" i="8" s="1"/>
  <c r="AA46" i="8"/>
  <c r="F962" i="8"/>
  <c r="Q8" i="8"/>
  <c r="V11" i="8" s="1"/>
  <c r="AA31" i="8" s="1"/>
  <c r="T27" i="8"/>
  <c r="AA12" i="8" s="1"/>
  <c r="N45" i="13"/>
  <c r="D116" i="35"/>
  <c r="E118" i="35" s="1"/>
  <c r="BI99" i="13"/>
  <c r="H208" i="40"/>
  <c r="H241" i="40" s="1"/>
  <c r="F289" i="40" s="1"/>
  <c r="G319" i="40" s="1"/>
  <c r="E320" i="40" s="1"/>
  <c r="F184" i="8"/>
  <c r="F391" i="8"/>
  <c r="D391" i="8"/>
  <c r="W56" i="13"/>
  <c r="AD43" i="13" s="1"/>
  <c r="I345" i="8"/>
  <c r="J436" i="8"/>
  <c r="J493" i="8"/>
  <c r="I280" i="8"/>
  <c r="J938" i="8"/>
  <c r="J939" i="8"/>
  <c r="J508" i="8"/>
  <c r="J421" i="8"/>
  <c r="G409" i="8"/>
  <c r="AZ36" i="13"/>
  <c r="H44" i="13"/>
  <c r="N41" i="13" s="1"/>
  <c r="B79" i="35"/>
  <c r="F135" i="8"/>
  <c r="H214" i="40" s="1"/>
  <c r="D404" i="40" s="1"/>
  <c r="AD42" i="13"/>
  <c r="G87" i="35"/>
  <c r="D87" i="35"/>
  <c r="B433" i="40"/>
  <c r="B430" i="40"/>
  <c r="B436" i="40" s="1"/>
  <c r="H429" i="40"/>
  <c r="F736" i="8"/>
  <c r="D753" i="8"/>
  <c r="G752" i="8" s="1"/>
  <c r="D736" i="8"/>
  <c r="D734" i="8"/>
  <c r="F11" i="9"/>
  <c r="G82" i="8"/>
  <c r="D78" i="8" s="1"/>
  <c r="G117" i="8"/>
  <c r="E196" i="8" s="1"/>
  <c r="K16" i="9"/>
  <c r="H104" i="40"/>
  <c r="B114" i="40" s="1"/>
  <c r="B229" i="40" s="1"/>
  <c r="D104" i="40"/>
  <c r="AM61" i="13"/>
  <c r="AD44" i="13"/>
  <c r="L9" i="36"/>
  <c r="I11" i="36"/>
  <c r="I17" i="35"/>
  <c r="H56" i="40"/>
  <c r="N214" i="9"/>
  <c r="E117" i="8"/>
  <c r="AD45" i="13"/>
  <c r="AM66" i="13"/>
  <c r="AT42" i="13" s="1"/>
  <c r="W76" i="13"/>
  <c r="AD47" i="13" s="1"/>
  <c r="AA34" i="8"/>
  <c r="AA37" i="8"/>
  <c r="E184" i="8"/>
  <c r="H94" i="40"/>
  <c r="F131" i="40" s="1"/>
  <c r="H97" i="40"/>
  <c r="F129" i="40" s="1"/>
  <c r="F680" i="8"/>
  <c r="E680" i="8"/>
  <c r="E674" i="8"/>
  <c r="E620" i="8"/>
  <c r="F674" i="8"/>
  <c r="F14" i="9"/>
  <c r="G15" i="9" s="1"/>
  <c r="H66" i="40"/>
  <c r="F186" i="8"/>
  <c r="B322" i="8"/>
  <c r="F324" i="8" s="1"/>
  <c r="G552" i="8"/>
  <c r="K42" i="8"/>
  <c r="L42" i="8"/>
  <c r="H215" i="40"/>
  <c r="BB57" i="13"/>
  <c r="BD49" i="13"/>
  <c r="F622" i="8"/>
  <c r="F759" i="8" s="1"/>
  <c r="K17" i="9" s="1"/>
  <c r="E622" i="8"/>
  <c r="AA33" i="8"/>
  <c r="AA35" i="8"/>
  <c r="B73" i="36"/>
  <c r="F103" i="8"/>
  <c r="F829" i="8"/>
  <c r="F177" i="8"/>
  <c r="F801" i="8"/>
  <c r="F763" i="8"/>
  <c r="B801" i="8"/>
  <c r="B829" i="8"/>
  <c r="T28" i="8"/>
  <c r="Q31" i="8"/>
  <c r="D110" i="36"/>
  <c r="D111" i="36" s="1"/>
  <c r="F114" i="36" s="1"/>
  <c r="D81" i="36"/>
  <c r="G81" i="36"/>
  <c r="E770" i="8"/>
  <c r="F770" i="8"/>
  <c r="Q91" i="8"/>
  <c r="R91" i="8" s="1"/>
  <c r="Q92" i="8"/>
  <c r="R92" i="8" s="1"/>
  <c r="Q87" i="8"/>
  <c r="R87" i="8" s="1"/>
  <c r="Q89" i="8"/>
  <c r="R89" i="8" s="1"/>
  <c r="Q88" i="8"/>
  <c r="R88" i="8" s="1"/>
  <c r="Q85" i="8"/>
  <c r="R85" i="8" s="1"/>
  <c r="Q93" i="8"/>
  <c r="R93" i="8" s="1"/>
  <c r="Q90" i="8"/>
  <c r="R90" i="8" s="1"/>
  <c r="Q86" i="8"/>
  <c r="R86" i="8" s="1"/>
  <c r="Q94" i="8"/>
  <c r="R94" i="8" s="1"/>
  <c r="L94" i="8" l="1"/>
  <c r="M94" i="8" s="1"/>
  <c r="F1011" i="8"/>
  <c r="F1021" i="8" s="1"/>
  <c r="I963" i="8"/>
  <c r="F963" i="8"/>
  <c r="K325" i="9"/>
  <c r="J306" i="9"/>
  <c r="AA48" i="8"/>
  <c r="L24" i="43"/>
  <c r="L56" i="43"/>
  <c r="L51" i="43"/>
  <c r="F210" i="9"/>
  <c r="F212" i="9" s="1"/>
  <c r="F291" i="9"/>
  <c r="F293" i="9" s="1"/>
  <c r="K302" i="9" s="1"/>
  <c r="F264" i="9"/>
  <c r="F266" i="9" s="1"/>
  <c r="K275" i="9" s="1"/>
  <c r="F237" i="9"/>
  <c r="F239" i="9" s="1"/>
  <c r="F242" i="9" s="1"/>
  <c r="D1031" i="8"/>
  <c r="F1031" i="8"/>
  <c r="F1033" i="8" s="1"/>
  <c r="H116" i="40"/>
  <c r="H231" i="40" s="1"/>
  <c r="D290" i="40" s="1"/>
  <c r="L91" i="8"/>
  <c r="M91" i="8" s="1"/>
  <c r="L89" i="8"/>
  <c r="M89" i="8" s="1"/>
  <c r="L97" i="8"/>
  <c r="M97" i="8" s="1"/>
  <c r="D468" i="8"/>
  <c r="F468" i="8"/>
  <c r="F472" i="8"/>
  <c r="F540" i="8"/>
  <c r="F544" i="8"/>
  <c r="D540" i="8"/>
  <c r="L90" i="8"/>
  <c r="M90" i="8" s="1"/>
  <c r="L85" i="8"/>
  <c r="M85" i="8" s="1"/>
  <c r="L86" i="8"/>
  <c r="M86" i="8" s="1"/>
  <c r="J95" i="39"/>
  <c r="J96" i="39" s="1"/>
  <c r="J97" i="39" s="1"/>
  <c r="F495" i="8"/>
  <c r="E495" i="8"/>
  <c r="F507" i="8"/>
  <c r="G507" i="8" s="1"/>
  <c r="J259" i="40"/>
  <c r="F119" i="8"/>
  <c r="D195" i="8" s="1"/>
  <c r="E203" i="8" s="1"/>
  <c r="E220" i="8"/>
  <c r="E221" i="8" s="1"/>
  <c r="E223" i="8" s="1"/>
  <c r="E241" i="8" s="1"/>
  <c r="L96" i="8"/>
  <c r="M96" i="8" s="1"/>
  <c r="B220" i="8"/>
  <c r="L88" i="8"/>
  <c r="M88" i="8" s="1"/>
  <c r="L98" i="8"/>
  <c r="M98" i="8" s="1"/>
  <c r="L87" i="8"/>
  <c r="M87" i="8" s="1"/>
  <c r="L93" i="8"/>
  <c r="M93" i="8" s="1"/>
  <c r="L92" i="8"/>
  <c r="M92" i="8" s="1"/>
  <c r="B230" i="8"/>
  <c r="AA16" i="8"/>
  <c r="H244" i="40"/>
  <c r="F287" i="40" s="1"/>
  <c r="G303" i="40" s="1"/>
  <c r="E304" i="40" s="1"/>
  <c r="B245" i="40"/>
  <c r="D241" i="40"/>
  <c r="Q9" i="8"/>
  <c r="V12" i="8" s="1"/>
  <c r="AA29" i="8" s="1"/>
  <c r="B117" i="40"/>
  <c r="B232" i="40" s="1"/>
  <c r="AA52" i="8"/>
  <c r="J258" i="40"/>
  <c r="H113" i="40"/>
  <c r="H228" i="40" s="1"/>
  <c r="D289" i="40" s="1"/>
  <c r="G317" i="40" s="1"/>
  <c r="E318" i="40" s="1"/>
  <c r="H110" i="40"/>
  <c r="H130" i="40" s="1"/>
  <c r="B111" i="40"/>
  <c r="B226" i="40" s="1"/>
  <c r="H219" i="40"/>
  <c r="D214" i="35"/>
  <c r="J257" i="40"/>
  <c r="E117" i="35"/>
  <c r="D118" i="35"/>
  <c r="D117" i="35"/>
  <c r="H130" i="35" s="1"/>
  <c r="H367" i="40"/>
  <c r="J367" i="40" s="1"/>
  <c r="H370" i="40" s="1"/>
  <c r="D260" i="40"/>
  <c r="F188" i="8"/>
  <c r="F190" i="8" s="1"/>
  <c r="F191" i="8" s="1"/>
  <c r="D161" i="8"/>
  <c r="F858" i="8" s="1"/>
  <c r="E634" i="8"/>
  <c r="F634" i="8"/>
  <c r="H247" i="40" s="1"/>
  <c r="H250" i="40" s="1"/>
  <c r="H286" i="40" s="1"/>
  <c r="F296" i="40" s="1"/>
  <c r="E307" i="40" s="1"/>
  <c r="E323" i="40" s="1"/>
  <c r="D262" i="40"/>
  <c r="K259" i="40"/>
  <c r="D405" i="40"/>
  <c r="K257" i="40"/>
  <c r="H405" i="40" s="1"/>
  <c r="K258" i="40"/>
  <c r="H260" i="40" s="1"/>
  <c r="H404" i="40" s="1"/>
  <c r="BI32" i="13"/>
  <c r="H51" i="40"/>
  <c r="H69" i="40" s="1"/>
  <c r="H70" i="40" s="1"/>
  <c r="F317" i="8"/>
  <c r="G328" i="8" s="1"/>
  <c r="G329" i="8" s="1"/>
  <c r="E230" i="8"/>
  <c r="C234" i="8" s="1"/>
  <c r="E324" i="8"/>
  <c r="F331" i="8"/>
  <c r="K15" i="9" s="1"/>
  <c r="E317" i="8"/>
  <c r="F468" i="40"/>
  <c r="G485" i="40" s="1"/>
  <c r="H435" i="40"/>
  <c r="F470" i="40" s="1"/>
  <c r="F739" i="8"/>
  <c r="F744" i="8" s="1"/>
  <c r="H12" i="9"/>
  <c r="H107" i="40"/>
  <c r="H129" i="40" s="1"/>
  <c r="G147" i="40" s="1"/>
  <c r="E148" i="40" s="1"/>
  <c r="B108" i="40"/>
  <c r="B223" i="40" s="1"/>
  <c r="AT41" i="13"/>
  <c r="AM71" i="13"/>
  <c r="E188" i="8"/>
  <c r="D214" i="8"/>
  <c r="D313" i="8"/>
  <c r="F214" i="8"/>
  <c r="K11" i="9" s="1"/>
  <c r="F313" i="8"/>
  <c r="K12" i="9" s="1"/>
  <c r="D194" i="8"/>
  <c r="E146" i="40"/>
  <c r="G145" i="40"/>
  <c r="G159" i="40"/>
  <c r="E160" i="40"/>
  <c r="D321" i="8"/>
  <c r="F682" i="8"/>
  <c r="E682" i="8"/>
  <c r="F755" i="8"/>
  <c r="H204" i="40"/>
  <c r="D103" i="40"/>
  <c r="H103" i="40"/>
  <c r="M42" i="8"/>
  <c r="K18" i="8" s="1"/>
  <c r="T15" i="8" s="1"/>
  <c r="AA25" i="8" s="1"/>
  <c r="H261" i="40"/>
  <c r="H371" i="40"/>
  <c r="B155" i="36"/>
  <c r="K134" i="36"/>
  <c r="K175" i="36"/>
  <c r="B175" i="36"/>
  <c r="K155" i="36"/>
  <c r="V26" i="8"/>
  <c r="Q32" i="8"/>
  <c r="V27" i="8" s="1"/>
  <c r="AA14" i="8"/>
  <c r="AA17" i="8"/>
  <c r="F766" i="8"/>
  <c r="H382" i="40"/>
  <c r="E766" i="8"/>
  <c r="F767" i="8"/>
  <c r="E767" i="8"/>
  <c r="F104" i="8"/>
  <c r="D112" i="36"/>
  <c r="E112" i="36"/>
  <c r="F802" i="8"/>
  <c r="E111" i="36"/>
  <c r="G1021" i="8" l="1"/>
  <c r="F250" i="9"/>
  <c r="K224" i="9"/>
  <c r="K223" i="9"/>
  <c r="C17" i="11" s="1"/>
  <c r="E327" i="9"/>
  <c r="J307" i="9"/>
  <c r="J308" i="9" s="1"/>
  <c r="J309" i="9" s="1"/>
  <c r="J310" i="9" s="1"/>
  <c r="K248" i="9"/>
  <c r="K221" i="9"/>
  <c r="K304" i="9"/>
  <c r="F224" i="9"/>
  <c r="F277" i="9"/>
  <c r="B223" i="8"/>
  <c r="G149" i="40"/>
  <c r="E150" i="40" s="1"/>
  <c r="F304" i="9"/>
  <c r="C18" i="11"/>
  <c r="F305" i="9"/>
  <c r="F296" i="9"/>
  <c r="K305" i="9"/>
  <c r="D296" i="9"/>
  <c r="D215" i="9"/>
  <c r="F251" i="9"/>
  <c r="F278" i="9"/>
  <c r="K277" i="9"/>
  <c r="K278" i="9"/>
  <c r="F223" i="9"/>
  <c r="F215" i="9"/>
  <c r="K251" i="9"/>
  <c r="K250" i="9"/>
  <c r="D269" i="9"/>
  <c r="F269" i="9"/>
  <c r="D242" i="9"/>
  <c r="H802" i="8"/>
  <c r="F809" i="8"/>
  <c r="H132" i="40"/>
  <c r="G161" i="40" s="1"/>
  <c r="E162" i="40" s="1"/>
  <c r="H119" i="8"/>
  <c r="H53" i="40" s="1"/>
  <c r="H54" i="40" s="1"/>
  <c r="C80" i="8"/>
  <c r="M113" i="35"/>
  <c r="B255" i="8"/>
  <c r="M7" i="8" s="1"/>
  <c r="V7" i="8" s="1"/>
  <c r="AA40" i="8" s="1"/>
  <c r="H131" i="40"/>
  <c r="G163" i="40" s="1"/>
  <c r="E164" i="40" s="1"/>
  <c r="H225" i="40"/>
  <c r="D288" i="40" s="1"/>
  <c r="G315" i="40" s="1"/>
  <c r="H369" i="40"/>
  <c r="K121" i="35"/>
  <c r="H132" i="35"/>
  <c r="AA50" i="8"/>
  <c r="M116" i="35"/>
  <c r="K117" i="35"/>
  <c r="H368" i="40"/>
  <c r="H262" i="40"/>
  <c r="D263" i="40" s="1"/>
  <c r="H391" i="40"/>
  <c r="M322" i="8"/>
  <c r="K127" i="35"/>
  <c r="H128" i="35"/>
  <c r="K51" i="9"/>
  <c r="K313" i="9" s="1"/>
  <c r="K314" i="9" s="1"/>
  <c r="D132" i="35"/>
  <c r="K136" i="35" s="1"/>
  <c r="M358" i="35"/>
  <c r="D133" i="35"/>
  <c r="Q322" i="8"/>
  <c r="F320" i="8"/>
  <c r="F321" i="8" s="1"/>
  <c r="F328" i="8"/>
  <c r="F329" i="8" s="1"/>
  <c r="N322" i="8"/>
  <c r="D328" i="8"/>
  <c r="D329" i="8" s="1"/>
  <c r="E333" i="8" s="1"/>
  <c r="L322" i="8"/>
  <c r="E328" i="8"/>
  <c r="E329" i="8" s="1"/>
  <c r="G320" i="8"/>
  <c r="G321" i="8" s="1"/>
  <c r="F483" i="8" s="1"/>
  <c r="C484" i="8" s="1"/>
  <c r="P322" i="8"/>
  <c r="R324" i="8"/>
  <c r="E320" i="8"/>
  <c r="E321" i="8" s="1"/>
  <c r="F491" i="8" s="1"/>
  <c r="F497" i="8" s="1"/>
  <c r="B251" i="40"/>
  <c r="H222" i="40"/>
  <c r="D287" i="40" s="1"/>
  <c r="G299" i="40" s="1"/>
  <c r="E300" i="40" s="1"/>
  <c r="K128" i="35"/>
  <c r="L122" i="35"/>
  <c r="K118" i="35"/>
  <c r="N149" i="35"/>
  <c r="P149" i="35"/>
  <c r="M108" i="35"/>
  <c r="R170" i="35"/>
  <c r="N170" i="35"/>
  <c r="L149" i="35"/>
  <c r="M357" i="35"/>
  <c r="L170" i="35"/>
  <c r="P170" i="35"/>
  <c r="M354" i="35"/>
  <c r="N190" i="35"/>
  <c r="P190" i="35"/>
  <c r="M115" i="35"/>
  <c r="L190" i="35"/>
  <c r="L123" i="35"/>
  <c r="H254" i="40"/>
  <c r="H248" i="40"/>
  <c r="H392" i="40" s="1"/>
  <c r="R190" i="35"/>
  <c r="H133" i="35"/>
  <c r="H131" i="35" s="1"/>
  <c r="D129" i="35"/>
  <c r="K122" i="35" s="1"/>
  <c r="M114" i="35"/>
  <c r="H129" i="35"/>
  <c r="M118" i="35"/>
  <c r="D128" i="35"/>
  <c r="M122" i="35" s="1"/>
  <c r="M355" i="35"/>
  <c r="M107" i="35"/>
  <c r="F120" i="35"/>
  <c r="D130" i="35"/>
  <c r="E486" i="40"/>
  <c r="G499" i="40"/>
  <c r="E500" i="40" s="1"/>
  <c r="D740" i="8"/>
  <c r="F740" i="8"/>
  <c r="AT43" i="13"/>
  <c r="AL23" i="13"/>
  <c r="AW23" i="13" s="1"/>
  <c r="BI97" i="13" s="1"/>
  <c r="E202" i="8"/>
  <c r="G301" i="40"/>
  <c r="E302" i="40" s="1"/>
  <c r="F202" i="8"/>
  <c r="F203" i="8"/>
  <c r="H119" i="40"/>
  <c r="B120" i="40"/>
  <c r="B235" i="40" s="1"/>
  <c r="H218" i="40"/>
  <c r="E756" i="8"/>
  <c r="F756" i="8"/>
  <c r="G758" i="8" s="1"/>
  <c r="AA9" i="8"/>
  <c r="C838" i="8"/>
  <c r="M31" i="8"/>
  <c r="T25" i="8" s="1"/>
  <c r="AA18" i="8" s="1"/>
  <c r="D406" i="40"/>
  <c r="H406" i="40"/>
  <c r="H126" i="36"/>
  <c r="H121" i="36"/>
  <c r="D125" i="36"/>
  <c r="H125" i="36"/>
  <c r="M346" i="36"/>
  <c r="H122" i="36"/>
  <c r="H127" i="36"/>
  <c r="D122" i="36"/>
  <c r="D126" i="36"/>
  <c r="M347" i="36"/>
  <c r="M350" i="36"/>
  <c r="D121" i="36"/>
  <c r="M349" i="36"/>
  <c r="D127" i="36"/>
  <c r="H378" i="40"/>
  <c r="F787" i="8"/>
  <c r="K18" i="9" s="1"/>
  <c r="E772" i="8"/>
  <c r="F979" i="8"/>
  <c r="AA13" i="8"/>
  <c r="AA15" i="8"/>
  <c r="K156" i="36"/>
  <c r="B176" i="36"/>
  <c r="B177" i="36" s="1"/>
  <c r="B178" i="36" s="1"/>
  <c r="B179" i="36" s="1"/>
  <c r="B156" i="36"/>
  <c r="B157" i="36" s="1"/>
  <c r="B158" i="36" s="1"/>
  <c r="K176" i="36"/>
  <c r="K177" i="36" s="1"/>
  <c r="K178" i="36" s="1"/>
  <c r="K179" i="36" s="1"/>
  <c r="K180" i="36" s="1"/>
  <c r="K181" i="36" s="1"/>
  <c r="K182" i="36" s="1"/>
  <c r="K183" i="36" s="1"/>
  <c r="K135" i="36"/>
  <c r="B135" i="36" s="1"/>
  <c r="B134" i="36"/>
  <c r="H384" i="40"/>
  <c r="G160" i="8"/>
  <c r="F860" i="8" s="1"/>
  <c r="H438" i="40"/>
  <c r="H439" i="40" s="1"/>
  <c r="D438" i="40"/>
  <c r="F772" i="8"/>
  <c r="F458" i="8" l="1"/>
  <c r="D466" i="8" s="1"/>
  <c r="D333" i="8"/>
  <c r="F333" i="8" s="1"/>
  <c r="E17" i="35"/>
  <c r="E11" i="36"/>
  <c r="K333" i="9"/>
  <c r="K328" i="9"/>
  <c r="K329" i="9" s="1"/>
  <c r="K330" i="9" s="1"/>
  <c r="H55" i="40"/>
  <c r="H71" i="40" s="1"/>
  <c r="H89" i="40" s="1"/>
  <c r="D132" i="40" s="1"/>
  <c r="G155" i="40" s="1"/>
  <c r="E156" i="40" s="1"/>
  <c r="D166" i="40" s="1"/>
  <c r="C169" i="40" s="1"/>
  <c r="F216" i="9"/>
  <c r="N317" i="9"/>
  <c r="F297" i="9"/>
  <c r="F270" i="9"/>
  <c r="F243" i="9"/>
  <c r="H263" i="40"/>
  <c r="H264" i="40" s="1"/>
  <c r="K53" i="9"/>
  <c r="K130" i="35"/>
  <c r="K125" i="35"/>
  <c r="H127" i="35"/>
  <c r="K129" i="35"/>
  <c r="K57" i="9"/>
  <c r="K59" i="9" s="1"/>
  <c r="K55" i="9"/>
  <c r="F530" i="8"/>
  <c r="D542" i="8" s="1"/>
  <c r="D131" i="35"/>
  <c r="F337" i="8"/>
  <c r="F344" i="8" s="1"/>
  <c r="G363" i="8" s="1"/>
  <c r="F381" i="8"/>
  <c r="F390" i="8" s="1"/>
  <c r="F419" i="8"/>
  <c r="E425" i="8" s="1"/>
  <c r="E497" i="8"/>
  <c r="F484" i="8"/>
  <c r="G486" i="8" s="1"/>
  <c r="B395" i="40"/>
  <c r="H394" i="40"/>
  <c r="D466" i="40" s="1"/>
  <c r="F474" i="40" s="1"/>
  <c r="E481" i="40" s="1"/>
  <c r="E497" i="40" s="1"/>
  <c r="H398" i="40"/>
  <c r="L124" i="35"/>
  <c r="B181" i="35"/>
  <c r="K181" i="35"/>
  <c r="B161" i="35"/>
  <c r="K161" i="35"/>
  <c r="K140" i="35"/>
  <c r="L125" i="35"/>
  <c r="D127" i="35"/>
  <c r="D556" i="8"/>
  <c r="E270" i="8"/>
  <c r="F270" i="8"/>
  <c r="E205" i="8"/>
  <c r="F205" i="8"/>
  <c r="F206" i="8" s="1"/>
  <c r="F556" i="8"/>
  <c r="F564" i="8" s="1"/>
  <c r="H73" i="40"/>
  <c r="H74" i="40" s="1"/>
  <c r="D127" i="40" s="1"/>
  <c r="E207" i="8"/>
  <c r="F207" i="8"/>
  <c r="F208" i="8" s="1"/>
  <c r="K136" i="36"/>
  <c r="B123" i="40"/>
  <c r="B238" i="40" s="1"/>
  <c r="H234" i="40"/>
  <c r="D286" i="40" s="1"/>
  <c r="F294" i="40" s="1"/>
  <c r="E301" i="40" s="1"/>
  <c r="H122" i="40"/>
  <c r="F469" i="8"/>
  <c r="F498" i="8"/>
  <c r="E503" i="8"/>
  <c r="B508" i="8"/>
  <c r="E498" i="8"/>
  <c r="F503" i="8"/>
  <c r="G509" i="8"/>
  <c r="B180" i="36"/>
  <c r="B159" i="36"/>
  <c r="J410" i="40"/>
  <c r="J411" i="40"/>
  <c r="K408" i="40"/>
  <c r="D441" i="40"/>
  <c r="J384" i="40"/>
  <c r="L386" i="40"/>
  <c r="N386" i="40" s="1"/>
  <c r="L387" i="40" s="1"/>
  <c r="H379" i="40"/>
  <c r="B379" i="40"/>
  <c r="F774" i="8"/>
  <c r="E774" i="8"/>
  <c r="H380" i="40"/>
  <c r="K157" i="36"/>
  <c r="K35" i="9"/>
  <c r="K23" i="9"/>
  <c r="K41" i="9"/>
  <c r="K319" i="9" s="1"/>
  <c r="F41" i="9"/>
  <c r="F466" i="8" l="1"/>
  <c r="D469" i="8" s="1"/>
  <c r="D470" i="8"/>
  <c r="F470" i="8"/>
  <c r="H470" i="8" s="1"/>
  <c r="H77" i="40"/>
  <c r="D128" i="40" s="1"/>
  <c r="F136" i="40" s="1"/>
  <c r="E143" i="40" s="1"/>
  <c r="E13" i="36"/>
  <c r="E14" i="36" s="1"/>
  <c r="E30" i="36" s="1"/>
  <c r="K334" i="9"/>
  <c r="K335" i="9" s="1"/>
  <c r="C16" i="11" s="1"/>
  <c r="E19" i="35"/>
  <c r="C20" i="35" s="1"/>
  <c r="D264" i="40"/>
  <c r="K131" i="35"/>
  <c r="H80" i="40"/>
  <c r="D129" i="40" s="1"/>
  <c r="G141" i="40" s="1"/>
  <c r="E142" i="40" s="1"/>
  <c r="D152" i="40" s="1"/>
  <c r="C168" i="40" s="1"/>
  <c r="C172" i="40" s="1"/>
  <c r="K47" i="9"/>
  <c r="H245" i="36" s="1"/>
  <c r="K166" i="9"/>
  <c r="C166" i="9"/>
  <c r="K190" i="9"/>
  <c r="H86" i="40"/>
  <c r="D131" i="40" s="1"/>
  <c r="G157" i="40" s="1"/>
  <c r="E158" i="40" s="1"/>
  <c r="F166" i="40" s="1"/>
  <c r="E169" i="40" s="1"/>
  <c r="O162" i="40" s="1"/>
  <c r="R163" i="40" s="1"/>
  <c r="H83" i="40"/>
  <c r="D130" i="40" s="1"/>
  <c r="G143" i="40" s="1"/>
  <c r="E144" i="40" s="1"/>
  <c r="F152" i="40" s="1"/>
  <c r="E168" i="40" s="1"/>
  <c r="E171" i="40" s="1"/>
  <c r="C190" i="9"/>
  <c r="K140" i="9"/>
  <c r="K157" i="9"/>
  <c r="E344" i="8"/>
  <c r="D538" i="8"/>
  <c r="F538" i="8"/>
  <c r="D541" i="8" s="1"/>
  <c r="F541" i="8"/>
  <c r="H541" i="8" s="1"/>
  <c r="F542" i="8"/>
  <c r="H542" i="8" s="1"/>
  <c r="F425" i="8"/>
  <c r="E431" i="8" s="1"/>
  <c r="D383" i="8"/>
  <c r="F383" i="8"/>
  <c r="G383" i="8" s="1"/>
  <c r="F490" i="8"/>
  <c r="K182" i="35"/>
  <c r="M181" i="35"/>
  <c r="O181" i="35"/>
  <c r="S181" i="35"/>
  <c r="Q181" i="35"/>
  <c r="K162" i="35"/>
  <c r="M140" i="35"/>
  <c r="B182" i="35"/>
  <c r="B183" i="35" s="1"/>
  <c r="B184" i="35" s="1"/>
  <c r="B185" i="35" s="1"/>
  <c r="B186" i="35" s="1"/>
  <c r="B187" i="35" s="1"/>
  <c r="B188" i="35" s="1"/>
  <c r="B162" i="35"/>
  <c r="B163" i="35" s="1"/>
  <c r="B164" i="35" s="1"/>
  <c r="B165" i="35" s="1"/>
  <c r="B166" i="35" s="1"/>
  <c r="B167" i="35" s="1"/>
  <c r="K141" i="35"/>
  <c r="Q140" i="35"/>
  <c r="B140" i="35"/>
  <c r="O140" i="35"/>
  <c r="Q161" i="35"/>
  <c r="O161" i="35"/>
  <c r="M161" i="35"/>
  <c r="S161" i="35"/>
  <c r="E157" i="40"/>
  <c r="E155" i="40"/>
  <c r="G156" i="40" s="1"/>
  <c r="C136" i="40"/>
  <c r="E141" i="40" s="1"/>
  <c r="D306" i="8"/>
  <c r="E300" i="8"/>
  <c r="F277" i="8"/>
  <c r="F300" i="8"/>
  <c r="E277" i="8"/>
  <c r="F306" i="8"/>
  <c r="F307" i="8" s="1"/>
  <c r="E624" i="8"/>
  <c r="G134" i="8"/>
  <c r="H255" i="40"/>
  <c r="F624" i="8"/>
  <c r="F626" i="8" s="1"/>
  <c r="M162" i="40"/>
  <c r="B136" i="36"/>
  <c r="K137" i="36"/>
  <c r="H127" i="40"/>
  <c r="H237" i="40"/>
  <c r="D285" i="40" s="1"/>
  <c r="C294" i="40" s="1"/>
  <c r="E299" i="40" s="1"/>
  <c r="E317" i="40"/>
  <c r="G318" i="40" s="1"/>
  <c r="G302" i="40"/>
  <c r="E501" i="8"/>
  <c r="F500" i="8"/>
  <c r="E499" i="8"/>
  <c r="F501" i="8"/>
  <c r="E500" i="8"/>
  <c r="F499" i="8"/>
  <c r="F392" i="8"/>
  <c r="D401" i="8"/>
  <c r="F394" i="8"/>
  <c r="D473" i="8"/>
  <c r="D471" i="8"/>
  <c r="F471" i="8"/>
  <c r="F473" i="8" s="1"/>
  <c r="H469" i="8"/>
  <c r="E356" i="8"/>
  <c r="F349" i="8"/>
  <c r="E347" i="8"/>
  <c r="E349" i="8"/>
  <c r="F360" i="8"/>
  <c r="F345" i="8"/>
  <c r="F347" i="8"/>
  <c r="F356" i="8"/>
  <c r="B361" i="8"/>
  <c r="K311" i="9"/>
  <c r="K39" i="9"/>
  <c r="K78" i="9" s="1"/>
  <c r="K158" i="36"/>
  <c r="K266" i="40"/>
  <c r="J269" i="40"/>
  <c r="J268" i="40"/>
  <c r="B181" i="36"/>
  <c r="F2" i="11"/>
  <c r="K45" i="9"/>
  <c r="H387" i="40"/>
  <c r="H440" i="40" s="1"/>
  <c r="H386" i="40"/>
  <c r="H443" i="40" s="1"/>
  <c r="H465" i="40" s="1"/>
  <c r="C476" i="40" s="1"/>
  <c r="E487" i="40" s="1"/>
  <c r="H385" i="40"/>
  <c r="L412" i="40"/>
  <c r="H409" i="40" s="1"/>
  <c r="M412" i="40"/>
  <c r="H410" i="40" s="1"/>
  <c r="N412" i="40"/>
  <c r="H411" i="40" s="1"/>
  <c r="K412" i="40"/>
  <c r="H408" i="40" s="1"/>
  <c r="F793" i="8"/>
  <c r="E776" i="8"/>
  <c r="E859" i="8" s="1"/>
  <c r="F776" i="8"/>
  <c r="E778" i="8"/>
  <c r="F778" i="8"/>
  <c r="B381" i="40"/>
  <c r="H381" i="40"/>
  <c r="E70" i="9"/>
  <c r="K70" i="9" s="1"/>
  <c r="E68" i="9"/>
  <c r="K68" i="9" s="1"/>
  <c r="E66" i="9"/>
  <c r="K66" i="9" s="1"/>
  <c r="K80" i="9" s="1"/>
  <c r="K81" i="9" s="1"/>
  <c r="K76" i="9"/>
  <c r="K91" i="9" s="1"/>
  <c r="K112" i="9" s="1"/>
  <c r="E72" i="9"/>
  <c r="K72" i="9" s="1"/>
  <c r="E74" i="9"/>
  <c r="K74" i="9" s="1"/>
  <c r="E64" i="9"/>
  <c r="K64" i="9" s="1"/>
  <c r="B160" i="36"/>
  <c r="B477" i="8" l="1"/>
  <c r="F480" i="8" s="1"/>
  <c r="D467" i="8"/>
  <c r="D472" i="8"/>
  <c r="D14" i="36"/>
  <c r="C15" i="11"/>
  <c r="E29" i="36"/>
  <c r="H98" i="36" s="1"/>
  <c r="G98" i="36" s="1"/>
  <c r="C148" i="36" s="1"/>
  <c r="N157" i="36" s="1"/>
  <c r="E35" i="35"/>
  <c r="E20" i="35"/>
  <c r="E36" i="35" s="1"/>
  <c r="H104" i="35" s="1"/>
  <c r="G104" i="35" s="1"/>
  <c r="C154" i="35" s="1"/>
  <c r="L161" i="35" s="1"/>
  <c r="K312" i="9"/>
  <c r="C171" i="40"/>
  <c r="C173" i="40" s="1"/>
  <c r="O156" i="40"/>
  <c r="Q157" i="40" s="1"/>
  <c r="M156" i="40"/>
  <c r="P158" i="40" s="1"/>
  <c r="G144" i="40"/>
  <c r="E14" i="35"/>
  <c r="E42" i="35" s="1"/>
  <c r="H109" i="35" s="1"/>
  <c r="E8" i="36"/>
  <c r="H93" i="36" s="1"/>
  <c r="H285" i="35"/>
  <c r="H295" i="35" s="1"/>
  <c r="E172" i="40"/>
  <c r="E173" i="40" s="1"/>
  <c r="G158" i="40"/>
  <c r="D539" i="8"/>
  <c r="D545" i="8"/>
  <c r="F543" i="8"/>
  <c r="F545" i="8" s="1"/>
  <c r="D547" i="8" s="1"/>
  <c r="H383" i="8"/>
  <c r="D544" i="8"/>
  <c r="B549" i="8"/>
  <c r="F552" i="8" s="1"/>
  <c r="D543" i="8"/>
  <c r="F431" i="8"/>
  <c r="G437" i="8"/>
  <c r="E426" i="8"/>
  <c r="F426" i="8"/>
  <c r="F429" i="8" s="1"/>
  <c r="B436" i="8"/>
  <c r="K142" i="35"/>
  <c r="M141" i="35"/>
  <c r="M132" i="35"/>
  <c r="M131" i="35"/>
  <c r="K137" i="35"/>
  <c r="O141" i="35"/>
  <c r="B141" i="35"/>
  <c r="K135" i="35"/>
  <c r="Q141" i="35"/>
  <c r="K134" i="35"/>
  <c r="K163" i="35"/>
  <c r="M162" i="35"/>
  <c r="S162" i="35"/>
  <c r="Q162" i="35"/>
  <c r="O162" i="35"/>
  <c r="K183" i="35"/>
  <c r="Q182" i="35"/>
  <c r="M182" i="35"/>
  <c r="O182" i="35"/>
  <c r="S182" i="35"/>
  <c r="H448" i="40"/>
  <c r="H466" i="40" s="1"/>
  <c r="F476" i="40" s="1"/>
  <c r="E489" i="40" s="1"/>
  <c r="E505" i="40" s="1"/>
  <c r="E302" i="8"/>
  <c r="F302" i="8"/>
  <c r="F304" i="8" s="1"/>
  <c r="F305" i="8" s="1"/>
  <c r="N142" i="40"/>
  <c r="J142" i="40"/>
  <c r="G142" i="40"/>
  <c r="F628" i="8"/>
  <c r="E628" i="8"/>
  <c r="H399" i="40"/>
  <c r="F289" i="8"/>
  <c r="F282" i="8"/>
  <c r="E280" i="8"/>
  <c r="F280" i="8"/>
  <c r="E282" i="8"/>
  <c r="F278" i="8"/>
  <c r="G296" i="8" s="1"/>
  <c r="E289" i="8"/>
  <c r="H256" i="40"/>
  <c r="D256" i="40"/>
  <c r="E566" i="8"/>
  <c r="F566" i="8"/>
  <c r="G300" i="40"/>
  <c r="E315" i="40"/>
  <c r="G316" i="40" s="1"/>
  <c r="C138" i="40"/>
  <c r="E161" i="40" s="1"/>
  <c r="G162" i="40" s="1"/>
  <c r="E147" i="40"/>
  <c r="G148" i="40" s="1"/>
  <c r="B137" i="36"/>
  <c r="K138" i="36"/>
  <c r="E357" i="8"/>
  <c r="F357" i="8"/>
  <c r="D395" i="8"/>
  <c r="F395" i="8"/>
  <c r="E350" i="8"/>
  <c r="F350" i="8"/>
  <c r="F475" i="8"/>
  <c r="H475" i="8" s="1"/>
  <c r="D475" i="8"/>
  <c r="D393" i="8"/>
  <c r="F401" i="8"/>
  <c r="F393" i="8"/>
  <c r="F502" i="8"/>
  <c r="E502" i="8"/>
  <c r="E503" i="40"/>
  <c r="P116" i="9"/>
  <c r="O115" i="9" s="1"/>
  <c r="P113" i="9"/>
  <c r="O112" i="9" s="1"/>
  <c r="J113" i="9" s="1"/>
  <c r="P110" i="9"/>
  <c r="O109" i="9" s="1"/>
  <c r="E255" i="36"/>
  <c r="H255" i="36"/>
  <c r="H457" i="40"/>
  <c r="H469" i="40" s="1"/>
  <c r="G505" i="40" s="1"/>
  <c r="E506" i="40" s="1"/>
  <c r="B458" i="40"/>
  <c r="B452" i="40"/>
  <c r="H454" i="40"/>
  <c r="B455" i="40"/>
  <c r="B461" i="40" s="1"/>
  <c r="H451" i="40"/>
  <c r="H467" i="40" s="1"/>
  <c r="G487" i="40" s="1"/>
  <c r="E488" i="40" s="1"/>
  <c r="F859" i="8"/>
  <c r="E780" i="8"/>
  <c r="F780" i="8"/>
  <c r="F781" i="8" s="1"/>
  <c r="G157" i="8"/>
  <c r="B417" i="40"/>
  <c r="H416" i="40"/>
  <c r="D468" i="40" s="1"/>
  <c r="B189" i="35"/>
  <c r="E782" i="8"/>
  <c r="F782" i="8"/>
  <c r="F783" i="8" s="1"/>
  <c r="B830" i="8"/>
  <c r="F794" i="8"/>
  <c r="B794" i="8"/>
  <c r="F830" i="8"/>
  <c r="F831" i="8" s="1"/>
  <c r="B414" i="40"/>
  <c r="H413" i="40"/>
  <c r="D467" i="40" s="1"/>
  <c r="G479" i="40" s="1"/>
  <c r="E480" i="40" s="1"/>
  <c r="K159" i="36"/>
  <c r="B161" i="36"/>
  <c r="B423" i="40"/>
  <c r="H422" i="40"/>
  <c r="D470" i="40" s="1"/>
  <c r="B182" i="36"/>
  <c r="K89" i="9"/>
  <c r="K82" i="9"/>
  <c r="B168" i="35"/>
  <c r="B420" i="40"/>
  <c r="H419" i="40"/>
  <c r="D469" i="40" s="1"/>
  <c r="G497" i="40" s="1"/>
  <c r="N270" i="40"/>
  <c r="H269" i="40" s="1"/>
  <c r="L270" i="40"/>
  <c r="H267" i="40" s="1"/>
  <c r="M270" i="40"/>
  <c r="H268" i="40" s="1"/>
  <c r="K270" i="40"/>
  <c r="H266" i="40" s="1"/>
  <c r="M157" i="36" l="1"/>
  <c r="R157" i="36"/>
  <c r="F157" i="36" s="1"/>
  <c r="N158" i="36"/>
  <c r="Q155" i="36"/>
  <c r="O158" i="36"/>
  <c r="S156" i="36"/>
  <c r="L156" i="36"/>
  <c r="S158" i="36"/>
  <c r="S164" i="36"/>
  <c r="F164" i="36" s="1"/>
  <c r="L158" i="36"/>
  <c r="P158" i="36"/>
  <c r="Q157" i="36"/>
  <c r="P164" i="36"/>
  <c r="L164" i="36"/>
  <c r="R158" i="36"/>
  <c r="F158" i="36" s="1"/>
  <c r="S157" i="36"/>
  <c r="Q156" i="36"/>
  <c r="L155" i="36"/>
  <c r="Q164" i="36"/>
  <c r="P155" i="36"/>
  <c r="N156" i="36"/>
  <c r="N155" i="36"/>
  <c r="R164" i="36"/>
  <c r="M158" i="36"/>
  <c r="Q158" i="36"/>
  <c r="P157" i="36"/>
  <c r="O156" i="36"/>
  <c r="O155" i="36"/>
  <c r="S155" i="36"/>
  <c r="R155" i="36"/>
  <c r="F155" i="36" s="1"/>
  <c r="N164" i="36"/>
  <c r="P161" i="35"/>
  <c r="L157" i="36"/>
  <c r="R156" i="36"/>
  <c r="F156" i="36" s="1"/>
  <c r="O164" i="36"/>
  <c r="M156" i="36"/>
  <c r="M164" i="36"/>
  <c r="M155" i="36"/>
  <c r="P156" i="36"/>
  <c r="O157" i="36"/>
  <c r="M170" i="35"/>
  <c r="O170" i="35"/>
  <c r="Q170" i="35"/>
  <c r="N163" i="35"/>
  <c r="N162" i="35"/>
  <c r="R161" i="35"/>
  <c r="F161" i="35" s="1"/>
  <c r="N161" i="35"/>
  <c r="L162" i="35"/>
  <c r="P162" i="35"/>
  <c r="S170" i="35"/>
  <c r="F170" i="35" s="1"/>
  <c r="R162" i="35"/>
  <c r="F162" i="35" s="1"/>
  <c r="Q159" i="40"/>
  <c r="O163" i="40" s="1"/>
  <c r="O164" i="40" s="1"/>
  <c r="C14" i="11"/>
  <c r="K331" i="9"/>
  <c r="K324" i="9"/>
  <c r="C13" i="11" s="1"/>
  <c r="H99" i="35"/>
  <c r="E106" i="35" s="1"/>
  <c r="H166" i="40"/>
  <c r="H169" i="40" s="1"/>
  <c r="H172" i="40" s="1"/>
  <c r="H103" i="35"/>
  <c r="H106" i="35" s="1"/>
  <c r="J106" i="35" s="1"/>
  <c r="E34" i="35"/>
  <c r="H97" i="36"/>
  <c r="H100" i="36" s="1"/>
  <c r="J100" i="36" s="1"/>
  <c r="E36" i="36"/>
  <c r="H103" i="36" s="1"/>
  <c r="E295" i="35"/>
  <c r="E28" i="36"/>
  <c r="R163" i="35"/>
  <c r="F163" i="35" s="1"/>
  <c r="P163" i="35"/>
  <c r="L163" i="35"/>
  <c r="E428" i="8"/>
  <c r="F547" i="8"/>
  <c r="H547" i="8" s="1"/>
  <c r="E429" i="8"/>
  <c r="E427" i="8"/>
  <c r="F427" i="8"/>
  <c r="F428" i="8"/>
  <c r="K164" i="35"/>
  <c r="M163" i="35"/>
  <c r="S163" i="35"/>
  <c r="Q163" i="35"/>
  <c r="O163" i="35"/>
  <c r="K143" i="35"/>
  <c r="B142" i="35"/>
  <c r="M142" i="35"/>
  <c r="Q142" i="35"/>
  <c r="O142" i="35"/>
  <c r="S183" i="35"/>
  <c r="Q183" i="35"/>
  <c r="M183" i="35"/>
  <c r="O183" i="35"/>
  <c r="K184" i="35"/>
  <c r="H152" i="40"/>
  <c r="H168" i="40" s="1"/>
  <c r="H171" i="40" s="1"/>
  <c r="E570" i="8"/>
  <c r="F570" i="8"/>
  <c r="F290" i="8"/>
  <c r="E290" i="8"/>
  <c r="E283" i="8"/>
  <c r="F283" i="8"/>
  <c r="C400" i="40"/>
  <c r="H400" i="40"/>
  <c r="C257" i="40"/>
  <c r="H257" i="40"/>
  <c r="G327" i="40"/>
  <c r="E630" i="8"/>
  <c r="E857" i="8" s="1"/>
  <c r="F630" i="8"/>
  <c r="B138" i="36"/>
  <c r="K139" i="36"/>
  <c r="F505" i="8"/>
  <c r="G505" i="8" s="1"/>
  <c r="E505" i="8"/>
  <c r="D396" i="8"/>
  <c r="F396" i="8"/>
  <c r="F397" i="8" s="1"/>
  <c r="F399" i="8" s="1"/>
  <c r="F353" i="8"/>
  <c r="F354" i="8"/>
  <c r="E354" i="8"/>
  <c r="E353" i="8"/>
  <c r="H113" i="9"/>
  <c r="K113" i="9"/>
  <c r="K106" i="9" s="1"/>
  <c r="H468" i="40"/>
  <c r="H460" i="40"/>
  <c r="H470" i="40" s="1"/>
  <c r="G506" i="40"/>
  <c r="B278" i="40"/>
  <c r="H277" i="40"/>
  <c r="H289" i="40" s="1"/>
  <c r="G323" i="40" s="1"/>
  <c r="E498" i="40"/>
  <c r="F508" i="40" s="1"/>
  <c r="E512" i="40" s="1"/>
  <c r="N515" i="40" s="1"/>
  <c r="Q516" i="40" s="1"/>
  <c r="G498" i="40"/>
  <c r="H94" i="36"/>
  <c r="E100" i="36"/>
  <c r="F94" i="36"/>
  <c r="K179" i="9"/>
  <c r="K103" i="9"/>
  <c r="D492" i="40"/>
  <c r="C511" i="40" s="1"/>
  <c r="L508" i="40" s="1"/>
  <c r="O510" i="40" s="1"/>
  <c r="G495" i="40"/>
  <c r="E496" i="40" s="1"/>
  <c r="G481" i="40"/>
  <c r="G488" i="40"/>
  <c r="B275" i="40"/>
  <c r="H274" i="40"/>
  <c r="H288" i="40" s="1"/>
  <c r="B169" i="35"/>
  <c r="B272" i="40"/>
  <c r="H271" i="40"/>
  <c r="H287" i="40" s="1"/>
  <c r="G305" i="40" s="1"/>
  <c r="E306" i="40" s="1"/>
  <c r="B281" i="40"/>
  <c r="H280" i="40"/>
  <c r="H290" i="40" s="1"/>
  <c r="B183" i="36"/>
  <c r="B162" i="36"/>
  <c r="O159" i="36"/>
  <c r="L159" i="36"/>
  <c r="S159" i="36"/>
  <c r="N159" i="36"/>
  <c r="K160" i="36"/>
  <c r="M159" i="36"/>
  <c r="R159" i="36"/>
  <c r="F159" i="36" s="1"/>
  <c r="Q159" i="36"/>
  <c r="P159" i="36"/>
  <c r="R162" i="40" l="1"/>
  <c r="U163" i="40" s="1"/>
  <c r="H253" i="35"/>
  <c r="H107" i="35"/>
  <c r="J107" i="35" s="1"/>
  <c r="H100" i="35"/>
  <c r="J100" i="35" s="1"/>
  <c r="F100" i="35"/>
  <c r="F430" i="8"/>
  <c r="F433" i="8" s="1"/>
  <c r="G433" i="8" s="1"/>
  <c r="E430" i="8"/>
  <c r="O143" i="35"/>
  <c r="Q143" i="35"/>
  <c r="M143" i="35"/>
  <c r="B143" i="35"/>
  <c r="K144" i="35"/>
  <c r="M164" i="35"/>
  <c r="S164" i="35"/>
  <c r="Q164" i="35"/>
  <c r="O164" i="35"/>
  <c r="K165" i="35"/>
  <c r="L164" i="35"/>
  <c r="R164" i="35"/>
  <c r="F164" i="35" s="1"/>
  <c r="N164" i="35"/>
  <c r="P164" i="35"/>
  <c r="M184" i="35"/>
  <c r="S184" i="35"/>
  <c r="K185" i="35"/>
  <c r="Q184" i="35"/>
  <c r="O184" i="35"/>
  <c r="R156" i="40"/>
  <c r="O157" i="40" s="1"/>
  <c r="O159" i="40" s="1"/>
  <c r="M163" i="40" s="1"/>
  <c r="H258" i="40"/>
  <c r="H285" i="40" s="1"/>
  <c r="C296" i="40" s="1"/>
  <c r="E305" i="40" s="1"/>
  <c r="E321" i="40" s="1"/>
  <c r="B258" i="40"/>
  <c r="F286" i="8"/>
  <c r="E286" i="8"/>
  <c r="E287" i="8"/>
  <c r="F287" i="8"/>
  <c r="E610" i="8"/>
  <c r="E577" i="8"/>
  <c r="F610" i="8"/>
  <c r="F577" i="8"/>
  <c r="F578" i="8" s="1"/>
  <c r="D603" i="8"/>
  <c r="F603" i="8"/>
  <c r="F857" i="8"/>
  <c r="E632" i="8"/>
  <c r="D158" i="8"/>
  <c r="F632" i="8"/>
  <c r="F633" i="8" s="1"/>
  <c r="H401" i="40"/>
  <c r="C401" i="40"/>
  <c r="H173" i="40"/>
  <c r="H174" i="40" s="1"/>
  <c r="B139" i="36"/>
  <c r="K140" i="36"/>
  <c r="D397" i="8"/>
  <c r="E355" i="8"/>
  <c r="F355" i="8"/>
  <c r="F398" i="8"/>
  <c r="D398" i="8"/>
  <c r="D399" i="8"/>
  <c r="E324" i="40"/>
  <c r="F328" i="40" s="1"/>
  <c r="E332" i="40" s="1"/>
  <c r="N333" i="40" s="1"/>
  <c r="Q334" i="40" s="1"/>
  <c r="G324" i="40"/>
  <c r="G489" i="40"/>
  <c r="G503" i="40"/>
  <c r="R160" i="36"/>
  <c r="M160" i="36"/>
  <c r="Q160" i="36"/>
  <c r="P160" i="36"/>
  <c r="L160" i="36"/>
  <c r="O160" i="36"/>
  <c r="K161" i="36"/>
  <c r="S160" i="36"/>
  <c r="F160" i="36" s="1"/>
  <c r="N160" i="36"/>
  <c r="P98" i="9"/>
  <c r="O97" i="9" s="1"/>
  <c r="P101" i="9"/>
  <c r="O100" i="9" s="1"/>
  <c r="P104" i="9"/>
  <c r="O103" i="9" s="1"/>
  <c r="K104" i="9" s="1"/>
  <c r="B163" i="36"/>
  <c r="G321" i="40"/>
  <c r="E322" i="40" s="1"/>
  <c r="G307" i="40"/>
  <c r="J94" i="36"/>
  <c r="C131" i="36"/>
  <c r="K197" i="9"/>
  <c r="K122" i="9"/>
  <c r="K131" i="9"/>
  <c r="G122" i="9"/>
  <c r="G131" i="9"/>
  <c r="K158" i="9"/>
  <c r="K159" i="9" s="1"/>
  <c r="K167" i="9"/>
  <c r="K168" i="9" s="1"/>
  <c r="D312" i="40"/>
  <c r="C331" i="40" s="1"/>
  <c r="L328" i="40" s="1"/>
  <c r="O330" i="40" s="1"/>
  <c r="E482" i="40"/>
  <c r="G482" i="40"/>
  <c r="D272" i="35" l="1"/>
  <c r="D275" i="35" s="1"/>
  <c r="F279" i="35" s="1"/>
  <c r="H256" i="35"/>
  <c r="B259" i="35" s="1"/>
  <c r="E259" i="35" s="1"/>
  <c r="U164" i="40"/>
  <c r="U165" i="40" s="1"/>
  <c r="S166" i="40" s="1"/>
  <c r="H255" i="35"/>
  <c r="B265" i="35" s="1"/>
  <c r="E265" i="35" s="1"/>
  <c r="F265" i="35" s="1"/>
  <c r="E256" i="35"/>
  <c r="E255" i="35"/>
  <c r="C137" i="35"/>
  <c r="Q149" i="35" s="1"/>
  <c r="E433" i="8"/>
  <c r="G306" i="40"/>
  <c r="O165" i="35"/>
  <c r="Q165" i="35"/>
  <c r="K166" i="35"/>
  <c r="S165" i="35"/>
  <c r="M165" i="35"/>
  <c r="L165" i="35"/>
  <c r="R165" i="35"/>
  <c r="F165" i="35" s="1"/>
  <c r="P165" i="35"/>
  <c r="N165" i="35"/>
  <c r="Q185" i="35"/>
  <c r="S185" i="35"/>
  <c r="K186" i="35"/>
  <c r="O185" i="35"/>
  <c r="M185" i="35"/>
  <c r="Q144" i="35"/>
  <c r="B144" i="35"/>
  <c r="K145" i="35"/>
  <c r="O144" i="35"/>
  <c r="M144" i="35"/>
  <c r="Q166" i="40"/>
  <c r="F605" i="8"/>
  <c r="F607" i="8" s="1"/>
  <c r="F608" i="8" s="1"/>
  <c r="D605" i="8"/>
  <c r="B594" i="8"/>
  <c r="H598" i="8"/>
  <c r="F580" i="8"/>
  <c r="E580" i="8"/>
  <c r="F589" i="8"/>
  <c r="F582" i="8"/>
  <c r="E582" i="8"/>
  <c r="G598" i="8"/>
  <c r="E589" i="8"/>
  <c r="H402" i="40"/>
  <c r="D465" i="40" s="1"/>
  <c r="C474" i="40" s="1"/>
  <c r="E479" i="40" s="1"/>
  <c r="B402" i="40"/>
  <c r="E886" i="8"/>
  <c r="F862" i="8"/>
  <c r="F886" i="8"/>
  <c r="E862" i="8"/>
  <c r="H610" i="8"/>
  <c r="F612" i="8"/>
  <c r="F288" i="8"/>
  <c r="E288" i="8"/>
  <c r="B140" i="36"/>
  <c r="K141" i="36"/>
  <c r="N141" i="36" s="1"/>
  <c r="E176" i="40"/>
  <c r="H175" i="40"/>
  <c r="B176" i="40" s="1"/>
  <c r="F400" i="8"/>
  <c r="D400" i="8"/>
  <c r="F358" i="8"/>
  <c r="E358" i="8"/>
  <c r="K180" i="9"/>
  <c r="K181" i="9" s="1"/>
  <c r="K97" i="9"/>
  <c r="Q137" i="36"/>
  <c r="O134" i="36"/>
  <c r="O136" i="36"/>
  <c r="L136" i="36"/>
  <c r="N137" i="36"/>
  <c r="Q143" i="36"/>
  <c r="O137" i="36"/>
  <c r="M139" i="36"/>
  <c r="Q136" i="36"/>
  <c r="O135" i="36"/>
  <c r="M140" i="36"/>
  <c r="M137" i="36"/>
  <c r="Q138" i="36"/>
  <c r="O143" i="36"/>
  <c r="L143" i="36"/>
  <c r="P140" i="36"/>
  <c r="N135" i="36"/>
  <c r="O140" i="36"/>
  <c r="L137" i="36"/>
  <c r="Q135" i="36"/>
  <c r="Q139" i="36"/>
  <c r="N138" i="36"/>
  <c r="Q140" i="36"/>
  <c r="Q134" i="36"/>
  <c r="O138" i="36"/>
  <c r="L134" i="36"/>
  <c r="L139" i="36"/>
  <c r="P138" i="36"/>
  <c r="P143" i="36"/>
  <c r="N143" i="36"/>
  <c r="M136" i="36"/>
  <c r="N140" i="36"/>
  <c r="P135" i="36"/>
  <c r="P137" i="36"/>
  <c r="L135" i="36"/>
  <c r="O139" i="36"/>
  <c r="L140" i="36"/>
  <c r="N136" i="36"/>
  <c r="L138" i="36"/>
  <c r="P134" i="36"/>
  <c r="P136" i="36"/>
  <c r="N134" i="36"/>
  <c r="P139" i="36"/>
  <c r="M138" i="36"/>
  <c r="N139" i="36"/>
  <c r="M135" i="36"/>
  <c r="M134" i="36"/>
  <c r="M143" i="36"/>
  <c r="D328" i="40"/>
  <c r="C332" i="40" s="1"/>
  <c r="L333" i="40" s="1"/>
  <c r="G322" i="40"/>
  <c r="H328" i="40" s="1"/>
  <c r="H332" i="40" s="1"/>
  <c r="Q333" i="40" s="1"/>
  <c r="T334" i="40" s="1"/>
  <c r="S161" i="36"/>
  <c r="F161" i="36" s="1"/>
  <c r="P161" i="36"/>
  <c r="R161" i="36"/>
  <c r="K162" i="36"/>
  <c r="Q161" i="36"/>
  <c r="M161" i="36"/>
  <c r="N161" i="36"/>
  <c r="O161" i="36"/>
  <c r="L161" i="36"/>
  <c r="E504" i="40"/>
  <c r="G504" i="40"/>
  <c r="E308" i="40"/>
  <c r="F312" i="40" s="1"/>
  <c r="E331" i="40" s="1"/>
  <c r="N328" i="40" s="1"/>
  <c r="P329" i="40" s="1"/>
  <c r="P331" i="40" s="1"/>
  <c r="G308" i="40"/>
  <c r="E490" i="40"/>
  <c r="F492" i="40" s="1"/>
  <c r="E511" i="40" s="1"/>
  <c r="N508" i="40" s="1"/>
  <c r="P509" i="40" s="1"/>
  <c r="P511" i="40" s="1"/>
  <c r="G490" i="40"/>
  <c r="F259" i="35" l="1"/>
  <c r="G259" i="35" s="1"/>
  <c r="J263" i="35" s="1"/>
  <c r="G265" i="35"/>
  <c r="J269" i="35" s="1"/>
  <c r="U166" i="40"/>
  <c r="G214" i="35"/>
  <c r="N140" i="35"/>
  <c r="D161" i="35" s="1"/>
  <c r="L141" i="35"/>
  <c r="C162" i="35" s="1"/>
  <c r="P141" i="35"/>
  <c r="E141" i="35" s="1"/>
  <c r="P144" i="35"/>
  <c r="E144" i="35" s="1"/>
  <c r="N142" i="35"/>
  <c r="D163" i="35" s="1"/>
  <c r="P143" i="35"/>
  <c r="E143" i="35" s="1"/>
  <c r="N143" i="35"/>
  <c r="D164" i="35" s="1"/>
  <c r="M149" i="35"/>
  <c r="C149" i="35" s="1"/>
  <c r="O145" i="35"/>
  <c r="N144" i="35"/>
  <c r="D144" i="35" s="1"/>
  <c r="N141" i="35"/>
  <c r="D162" i="35" s="1"/>
  <c r="P142" i="35"/>
  <c r="E163" i="35" s="1"/>
  <c r="L140" i="35"/>
  <c r="C161" i="35" s="1"/>
  <c r="O149" i="35"/>
  <c r="D149" i="35" s="1"/>
  <c r="L144" i="35"/>
  <c r="C165" i="35" s="1"/>
  <c r="L143" i="35"/>
  <c r="C164" i="35" s="1"/>
  <c r="L142" i="35"/>
  <c r="C163" i="35" s="1"/>
  <c r="P140" i="35"/>
  <c r="E161" i="35" s="1"/>
  <c r="Q145" i="35"/>
  <c r="M145" i="35"/>
  <c r="H312" i="40"/>
  <c r="H331" i="40" s="1"/>
  <c r="Q328" i="40" s="1"/>
  <c r="N329" i="40" s="1"/>
  <c r="N331" i="40" s="1"/>
  <c r="P338" i="40" s="1"/>
  <c r="L166" i="35"/>
  <c r="R166" i="35"/>
  <c r="N166" i="35"/>
  <c r="P166" i="35"/>
  <c r="K167" i="35"/>
  <c r="M166" i="35"/>
  <c r="O166" i="35"/>
  <c r="Q166" i="35"/>
  <c r="S166" i="35"/>
  <c r="F166" i="35" s="1"/>
  <c r="P145" i="35"/>
  <c r="N145" i="35"/>
  <c r="B145" i="35"/>
  <c r="D145" i="35" s="1"/>
  <c r="L145" i="35"/>
  <c r="K146" i="35"/>
  <c r="N186" i="35"/>
  <c r="K187" i="35"/>
  <c r="P186" i="35"/>
  <c r="L186" i="35"/>
  <c r="R186" i="35"/>
  <c r="O141" i="36"/>
  <c r="P141" i="36"/>
  <c r="M141" i="36"/>
  <c r="F291" i="8"/>
  <c r="E291" i="8"/>
  <c r="F890" i="8"/>
  <c r="F891" i="8"/>
  <c r="E890" i="8"/>
  <c r="E891" i="8"/>
  <c r="E495" i="40"/>
  <c r="G496" i="40" s="1"/>
  <c r="H508" i="40" s="1"/>
  <c r="H512" i="40" s="1"/>
  <c r="Q515" i="40" s="1"/>
  <c r="T516" i="40" s="1"/>
  <c r="G480" i="40"/>
  <c r="H492" i="40" s="1"/>
  <c r="H511" i="40" s="1"/>
  <c r="Q508" i="40" s="1"/>
  <c r="N509" i="40" s="1"/>
  <c r="N511" i="40" s="1"/>
  <c r="P519" i="40" s="1"/>
  <c r="B880" i="8"/>
  <c r="F864" i="8"/>
  <c r="E864" i="8"/>
  <c r="F880" i="8"/>
  <c r="H881" i="8" s="1"/>
  <c r="E590" i="8"/>
  <c r="F590" i="8"/>
  <c r="F583" i="8"/>
  <c r="E583" i="8"/>
  <c r="F180" i="40"/>
  <c r="E181" i="40"/>
  <c r="F181" i="40"/>
  <c r="F43" i="40" s="1"/>
  <c r="F182" i="40"/>
  <c r="F45" i="40" s="1"/>
  <c r="K142" i="36"/>
  <c r="B141" i="36"/>
  <c r="Q141" i="36"/>
  <c r="L141" i="36"/>
  <c r="E182" i="40"/>
  <c r="D180" i="40"/>
  <c r="D182" i="40"/>
  <c r="J145" i="40"/>
  <c r="D181" i="40"/>
  <c r="F311" i="8" s="1"/>
  <c r="E180" i="40"/>
  <c r="F359" i="8"/>
  <c r="G359" i="8" s="1"/>
  <c r="E359" i="8"/>
  <c r="D402" i="8"/>
  <c r="F402" i="8"/>
  <c r="D508" i="40"/>
  <c r="C512" i="40" s="1"/>
  <c r="L515" i="40" s="1"/>
  <c r="C159" i="36"/>
  <c r="C138" i="36"/>
  <c r="C156" i="36"/>
  <c r="C135" i="36"/>
  <c r="E161" i="36"/>
  <c r="E140" i="36"/>
  <c r="D135" i="36"/>
  <c r="D156" i="36"/>
  <c r="E164" i="36"/>
  <c r="E143" i="36"/>
  <c r="E170" i="35"/>
  <c r="E149" i="35"/>
  <c r="C164" i="36"/>
  <c r="C143" i="36"/>
  <c r="D155" i="36"/>
  <c r="D134" i="36"/>
  <c r="D157" i="36"/>
  <c r="D136" i="36"/>
  <c r="E158" i="36"/>
  <c r="E137" i="36"/>
  <c r="C155" i="36"/>
  <c r="C134" i="36"/>
  <c r="D159" i="36"/>
  <c r="D138" i="36"/>
  <c r="C137" i="36"/>
  <c r="C158" i="36"/>
  <c r="D137" i="36"/>
  <c r="D158" i="36"/>
  <c r="Q162" i="36"/>
  <c r="K163" i="36"/>
  <c r="L162" i="36"/>
  <c r="N162" i="36"/>
  <c r="O162" i="36"/>
  <c r="S162" i="36"/>
  <c r="F162" i="36" s="1"/>
  <c r="R162" i="36"/>
  <c r="M162" i="36"/>
  <c r="P162" i="36"/>
  <c r="E157" i="36"/>
  <c r="E136" i="36"/>
  <c r="E156" i="36"/>
  <c r="E135" i="36"/>
  <c r="E160" i="36"/>
  <c r="E139" i="36"/>
  <c r="D161" i="36"/>
  <c r="D140" i="36"/>
  <c r="C160" i="36"/>
  <c r="C139" i="36"/>
  <c r="C136" i="36"/>
  <c r="C157" i="36"/>
  <c r="K149" i="9"/>
  <c r="K150" i="9" s="1"/>
  <c r="G129" i="9"/>
  <c r="G120" i="9"/>
  <c r="K129" i="9"/>
  <c r="K172" i="9"/>
  <c r="K171" i="9"/>
  <c r="K120" i="9"/>
  <c r="K125" i="9" s="1"/>
  <c r="K141" i="9"/>
  <c r="N334" i="40"/>
  <c r="N335" i="40" s="1"/>
  <c r="E155" i="36"/>
  <c r="E134" i="36"/>
  <c r="D160" i="36"/>
  <c r="D139" i="36"/>
  <c r="E159" i="36"/>
  <c r="E138" i="36"/>
  <c r="D143" i="36"/>
  <c r="D164" i="36"/>
  <c r="C161" i="36"/>
  <c r="C140" i="36"/>
  <c r="C183" i="9"/>
  <c r="K183" i="9"/>
  <c r="E312" i="8" l="1"/>
  <c r="D312" i="8"/>
  <c r="F312" i="8" s="1"/>
  <c r="D140" i="35"/>
  <c r="C142" i="35"/>
  <c r="K321" i="9"/>
  <c r="K322" i="9" s="1"/>
  <c r="K323" i="9" s="1"/>
  <c r="D142" i="35"/>
  <c r="E162" i="35"/>
  <c r="C170" i="35"/>
  <c r="C141" i="35"/>
  <c r="C140" i="35"/>
  <c r="D166" i="35"/>
  <c r="E165" i="35"/>
  <c r="E142" i="35"/>
  <c r="D165" i="35"/>
  <c r="D143" i="35"/>
  <c r="C144" i="35"/>
  <c r="D170" i="35"/>
  <c r="E140" i="35"/>
  <c r="E164" i="35"/>
  <c r="C143" i="35"/>
  <c r="D141" i="35"/>
  <c r="E166" i="35"/>
  <c r="C166" i="35"/>
  <c r="L334" i="40"/>
  <c r="T335" i="40" s="1"/>
  <c r="T337" i="40" s="1"/>
  <c r="B334" i="40" s="1"/>
  <c r="C145" i="35"/>
  <c r="E162" i="36"/>
  <c r="E145" i="35"/>
  <c r="D162" i="36"/>
  <c r="N187" i="35"/>
  <c r="K188" i="35"/>
  <c r="L187" i="35"/>
  <c r="R187" i="35"/>
  <c r="P187" i="35"/>
  <c r="N146" i="35"/>
  <c r="B146" i="35"/>
  <c r="K147" i="35"/>
  <c r="P146" i="35"/>
  <c r="L146" i="35"/>
  <c r="M146" i="35"/>
  <c r="O146" i="35"/>
  <c r="Q146" i="35"/>
  <c r="O167" i="35"/>
  <c r="Q167" i="35"/>
  <c r="R167" i="35"/>
  <c r="S167" i="35"/>
  <c r="F167" i="35" s="1"/>
  <c r="K168" i="35"/>
  <c r="L167" i="35"/>
  <c r="M167" i="35"/>
  <c r="N167" i="35"/>
  <c r="P167" i="35"/>
  <c r="C162" i="36"/>
  <c r="C141" i="36"/>
  <c r="E866" i="8"/>
  <c r="E867" i="8"/>
  <c r="F866" i="8"/>
  <c r="F867" i="8" s="1"/>
  <c r="C864" i="8"/>
  <c r="D866" i="8" s="1"/>
  <c r="E292" i="8"/>
  <c r="F292" i="8"/>
  <c r="G292" i="8" s="1"/>
  <c r="E587" i="8"/>
  <c r="F586" i="8"/>
  <c r="F587" i="8"/>
  <c r="E586" i="8"/>
  <c r="E183" i="40"/>
  <c r="F958" i="8"/>
  <c r="E892" i="8"/>
  <c r="E958" i="8"/>
  <c r="F892" i="8"/>
  <c r="D332" i="8"/>
  <c r="C46" i="40"/>
  <c r="E141" i="36"/>
  <c r="D183" i="40"/>
  <c r="E231" i="8"/>
  <c r="E232" i="8" s="1"/>
  <c r="C39" i="40"/>
  <c r="C42" i="40"/>
  <c r="B142" i="36"/>
  <c r="M142" i="36"/>
  <c r="Q142" i="36"/>
  <c r="N142" i="36"/>
  <c r="L142" i="36"/>
  <c r="O142" i="36"/>
  <c r="P142" i="36"/>
  <c r="D141" i="36"/>
  <c r="F40" i="40"/>
  <c r="E217" i="8"/>
  <c r="F404" i="8"/>
  <c r="H404" i="8" s="1"/>
  <c r="D404" i="8"/>
  <c r="L163" i="36"/>
  <c r="P163" i="36"/>
  <c r="S163" i="36"/>
  <c r="F163" i="36" s="1"/>
  <c r="O163" i="36"/>
  <c r="R163" i="36"/>
  <c r="N163" i="36"/>
  <c r="Q163" i="36"/>
  <c r="M163" i="36"/>
  <c r="K187" i="9"/>
  <c r="K188" i="9" s="1"/>
  <c r="K142" i="9"/>
  <c r="K133" i="9"/>
  <c r="G133" i="9"/>
  <c r="N516" i="40"/>
  <c r="N517" i="40" s="1"/>
  <c r="L516" i="40"/>
  <c r="T517" i="40" s="1"/>
  <c r="H287" i="35"/>
  <c r="H247" i="36"/>
  <c r="E17" i="36"/>
  <c r="E23" i="35"/>
  <c r="E142" i="36" l="1"/>
  <c r="C142" i="36"/>
  <c r="D167" i="35"/>
  <c r="C167" i="35"/>
  <c r="D146" i="35"/>
  <c r="E146" i="35"/>
  <c r="C146" i="35"/>
  <c r="P147" i="35"/>
  <c r="L147" i="35"/>
  <c r="B147" i="35"/>
  <c r="K148" i="35"/>
  <c r="N147" i="35"/>
  <c r="O147" i="35"/>
  <c r="M147" i="35"/>
  <c r="Q147" i="35"/>
  <c r="L168" i="35"/>
  <c r="Q168" i="35"/>
  <c r="K169" i="35"/>
  <c r="N168" i="35"/>
  <c r="M168" i="35"/>
  <c r="R168" i="35"/>
  <c r="P168" i="35"/>
  <c r="O168" i="35"/>
  <c r="S168" i="35"/>
  <c r="F168" i="35" s="1"/>
  <c r="P188" i="35"/>
  <c r="L188" i="35"/>
  <c r="K189" i="35"/>
  <c r="R188" i="35"/>
  <c r="N188" i="35"/>
  <c r="E167" i="35"/>
  <c r="C163" i="36"/>
  <c r="G868" i="8"/>
  <c r="F869" i="8"/>
  <c r="F870" i="8" s="1"/>
  <c r="E163" i="36"/>
  <c r="F960" i="8"/>
  <c r="E960" i="8"/>
  <c r="E588" i="8"/>
  <c r="F588" i="8"/>
  <c r="F923" i="8"/>
  <c r="F928" i="8" s="1"/>
  <c r="F895" i="8"/>
  <c r="E951" i="8"/>
  <c r="E923" i="8"/>
  <c r="F951" i="8"/>
  <c r="F953" i="8" s="1"/>
  <c r="E895" i="8"/>
  <c r="D163" i="36"/>
  <c r="R338" i="40"/>
  <c r="T338" i="40" s="1"/>
  <c r="B333" i="40" s="1"/>
  <c r="D341" i="40" s="1"/>
  <c r="F611" i="8" s="1"/>
  <c r="E218" i="8"/>
  <c r="G219" i="8" s="1"/>
  <c r="B222" i="8"/>
  <c r="E222" i="8"/>
  <c r="E226" i="8" s="1"/>
  <c r="E227" i="8" s="1"/>
  <c r="C218" i="8"/>
  <c r="D142" i="36"/>
  <c r="E240" i="8"/>
  <c r="E244" i="8" s="1"/>
  <c r="G245" i="8" s="1"/>
  <c r="B240" i="8"/>
  <c r="E234" i="8"/>
  <c r="G235" i="8" s="1"/>
  <c r="C19" i="11"/>
  <c r="C20" i="11"/>
  <c r="E25" i="35"/>
  <c r="E43" i="35"/>
  <c r="H289" i="35"/>
  <c r="H299" i="35" s="1"/>
  <c r="E289" i="35"/>
  <c r="E297" i="35"/>
  <c r="H297" i="35"/>
  <c r="I297" i="35" s="1"/>
  <c r="K191" i="9"/>
  <c r="K192" i="9"/>
  <c r="E19" i="36"/>
  <c r="E37" i="36"/>
  <c r="H249" i="36"/>
  <c r="E249" i="36"/>
  <c r="H257" i="36"/>
  <c r="I257" i="36" s="1"/>
  <c r="E257" i="36"/>
  <c r="T518" i="40"/>
  <c r="E341" i="40"/>
  <c r="F340" i="40"/>
  <c r="F191" i="40" s="1"/>
  <c r="F342" i="40"/>
  <c r="G195" i="40" s="1"/>
  <c r="F341" i="40"/>
  <c r="F193" i="40" s="1"/>
  <c r="D612" i="8" l="1"/>
  <c r="E612" i="8" s="1"/>
  <c r="C612" i="8"/>
  <c r="E896" i="8"/>
  <c r="H896" i="8" s="1"/>
  <c r="D896" i="8"/>
  <c r="E168" i="35"/>
  <c r="C168" i="35"/>
  <c r="R189" i="35"/>
  <c r="N189" i="35"/>
  <c r="L189" i="35"/>
  <c r="P189" i="35"/>
  <c r="P148" i="35"/>
  <c r="B148" i="35"/>
  <c r="L148" i="35"/>
  <c r="N148" i="35"/>
  <c r="Q148" i="35"/>
  <c r="M148" i="35"/>
  <c r="O148" i="35"/>
  <c r="O169" i="35"/>
  <c r="L169" i="35"/>
  <c r="R169" i="35"/>
  <c r="N169" i="35"/>
  <c r="S169" i="35"/>
  <c r="F169" i="35" s="1"/>
  <c r="M169" i="35"/>
  <c r="Q169" i="35"/>
  <c r="P169" i="35"/>
  <c r="C147" i="35"/>
  <c r="D147" i="35"/>
  <c r="E147" i="35"/>
  <c r="D168" i="35"/>
  <c r="D340" i="40"/>
  <c r="E188" i="40" s="1"/>
  <c r="E342" i="40"/>
  <c r="E340" i="40"/>
  <c r="D342" i="40"/>
  <c r="E955" i="8"/>
  <c r="F955" i="8"/>
  <c r="E934" i="8"/>
  <c r="F934" i="8"/>
  <c r="E965" i="8"/>
  <c r="F965" i="8"/>
  <c r="F591" i="8"/>
  <c r="E591" i="8"/>
  <c r="F900" i="8"/>
  <c r="E967" i="8"/>
  <c r="F967" i="8"/>
  <c r="F969" i="8" s="1"/>
  <c r="F971" i="8" s="1"/>
  <c r="B247" i="8"/>
  <c r="C259" i="8"/>
  <c r="K9" i="8" s="1"/>
  <c r="T9" i="8" s="1"/>
  <c r="AA39" i="8" s="1"/>
  <c r="D26" i="35"/>
  <c r="E26" i="35"/>
  <c r="E44" i="35" s="1"/>
  <c r="H110" i="35" s="1"/>
  <c r="C193" i="40"/>
  <c r="C198" i="9"/>
  <c r="C195" i="9"/>
  <c r="C196" i="9"/>
  <c r="B514" i="40"/>
  <c r="R519" i="40"/>
  <c r="T519" i="40" s="1"/>
  <c r="B513" i="40" s="1"/>
  <c r="E259" i="36"/>
  <c r="H259" i="36"/>
  <c r="I259" i="36" s="1"/>
  <c r="E20" i="36"/>
  <c r="E38" i="36" s="1"/>
  <c r="H104" i="36" s="1"/>
  <c r="D20" i="36"/>
  <c r="E299" i="35"/>
  <c r="I299" i="35"/>
  <c r="E343" i="40" l="1"/>
  <c r="D148" i="35"/>
  <c r="D169" i="35"/>
  <c r="C169" i="35"/>
  <c r="C148" i="35"/>
  <c r="E148" i="35"/>
  <c r="E169" i="35"/>
  <c r="D343" i="40"/>
  <c r="C196" i="40"/>
  <c r="F941" i="8"/>
  <c r="E936" i="8"/>
  <c r="G948" i="8"/>
  <c r="B947" i="8"/>
  <c r="F936" i="8"/>
  <c r="F977" i="8"/>
  <c r="E977" i="8"/>
  <c r="E592" i="8"/>
  <c r="F592" i="8"/>
  <c r="G592" i="8" s="1"/>
  <c r="E906" i="8"/>
  <c r="F906" i="8"/>
  <c r="G920" i="8" s="1"/>
  <c r="D519" i="40"/>
  <c r="E519" i="40"/>
  <c r="D518" i="40"/>
  <c r="D520" i="40"/>
  <c r="E518" i="40"/>
  <c r="E520" i="40"/>
  <c r="G104" i="36"/>
  <c r="C167" i="36" s="1"/>
  <c r="H106" i="36"/>
  <c r="J106" i="36" s="1"/>
  <c r="E106" i="36"/>
  <c r="F520" i="40"/>
  <c r="F518" i="40"/>
  <c r="G110" i="35"/>
  <c r="C173" i="35" s="1"/>
  <c r="H112" i="35"/>
  <c r="J112" i="35" s="1"/>
  <c r="E112" i="35"/>
  <c r="H113" i="35"/>
  <c r="J113" i="35" s="1"/>
  <c r="E908" i="8" l="1"/>
  <c r="E913" i="8"/>
  <c r="F908" i="8"/>
  <c r="B919" i="8"/>
  <c r="F913" i="8"/>
  <c r="F937" i="8"/>
  <c r="E938" i="8"/>
  <c r="F939" i="8"/>
  <c r="E937" i="8"/>
  <c r="E939" i="8"/>
  <c r="F938" i="8"/>
  <c r="D352" i="40"/>
  <c r="F636" i="8"/>
  <c r="F637" i="8" s="1"/>
  <c r="F803" i="8"/>
  <c r="S175" i="36"/>
  <c r="P177" i="36"/>
  <c r="E177" i="36" s="1"/>
  <c r="O184" i="36"/>
  <c r="D184" i="36" s="1"/>
  <c r="N180" i="36"/>
  <c r="O182" i="36"/>
  <c r="D182" i="36" s="1"/>
  <c r="L181" i="36"/>
  <c r="P182" i="36"/>
  <c r="N183" i="36"/>
  <c r="Q184" i="36"/>
  <c r="E184" i="36" s="1"/>
  <c r="M179" i="36"/>
  <c r="N177" i="36"/>
  <c r="D177" i="36" s="1"/>
  <c r="N181" i="36"/>
  <c r="P179" i="36"/>
  <c r="E179" i="36" s="1"/>
  <c r="O181" i="36"/>
  <c r="D181" i="36" s="1"/>
  <c r="S177" i="36"/>
  <c r="M178" i="36"/>
  <c r="M183" i="36"/>
  <c r="C183" i="36" s="1"/>
  <c r="N182" i="36"/>
  <c r="Q180" i="36"/>
  <c r="E180" i="36" s="1"/>
  <c r="R183" i="36"/>
  <c r="R178" i="36"/>
  <c r="M175" i="36"/>
  <c r="S183" i="36"/>
  <c r="Q175" i="36"/>
  <c r="L178" i="36"/>
  <c r="C178" i="36" s="1"/>
  <c r="O177" i="36"/>
  <c r="O176" i="36"/>
  <c r="L177" i="36"/>
  <c r="C177" i="36" s="1"/>
  <c r="P183" i="36"/>
  <c r="L183" i="36"/>
  <c r="Q182" i="36"/>
  <c r="E182" i="36" s="1"/>
  <c r="P178" i="36"/>
  <c r="E178" i="36" s="1"/>
  <c r="S181" i="36"/>
  <c r="S184" i="36"/>
  <c r="L180" i="36"/>
  <c r="O179" i="36"/>
  <c r="Q179" i="36"/>
  <c r="O178" i="36"/>
  <c r="N175" i="36"/>
  <c r="D175" i="36" s="1"/>
  <c r="S179" i="36"/>
  <c r="M184" i="36"/>
  <c r="C184" i="36" s="1"/>
  <c r="Q181" i="36"/>
  <c r="E181" i="36" s="1"/>
  <c r="M177" i="36"/>
  <c r="Q177" i="36"/>
  <c r="R175" i="36"/>
  <c r="O180" i="36"/>
  <c r="D180" i="36" s="1"/>
  <c r="P184" i="36"/>
  <c r="M181" i="36"/>
  <c r="C181" i="36" s="1"/>
  <c r="L179" i="36"/>
  <c r="C179" i="36" s="1"/>
  <c r="Q178" i="36"/>
  <c r="P181" i="36"/>
  <c r="O183" i="36"/>
  <c r="D183" i="36" s="1"/>
  <c r="L184" i="36"/>
  <c r="M180" i="36"/>
  <c r="C180" i="36" s="1"/>
  <c r="R180" i="36"/>
  <c r="R182" i="36"/>
  <c r="O175" i="36"/>
  <c r="N178" i="36"/>
  <c r="D178" i="36" s="1"/>
  <c r="R177" i="36"/>
  <c r="R176" i="36"/>
  <c r="Q183" i="36"/>
  <c r="E183" i="36" s="1"/>
  <c r="P175" i="36"/>
  <c r="E175" i="36" s="1"/>
  <c r="R181" i="36"/>
  <c r="P176" i="36"/>
  <c r="E176" i="36" s="1"/>
  <c r="N179" i="36"/>
  <c r="D179" i="36" s="1"/>
  <c r="N176" i="36"/>
  <c r="D176" i="36" s="1"/>
  <c r="N184" i="36"/>
  <c r="L182" i="36"/>
  <c r="P180" i="36"/>
  <c r="L176" i="36"/>
  <c r="C176" i="36" s="1"/>
  <c r="S176" i="36"/>
  <c r="S180" i="36"/>
  <c r="M182" i="36"/>
  <c r="C182" i="36" s="1"/>
  <c r="Q176" i="36"/>
  <c r="S182" i="36"/>
  <c r="L175" i="36"/>
  <c r="C175" i="36" s="1"/>
  <c r="R179" i="36"/>
  <c r="R184" i="36"/>
  <c r="S178" i="36"/>
  <c r="M176" i="36"/>
  <c r="D350" i="40"/>
  <c r="D521" i="40"/>
  <c r="F675" i="8"/>
  <c r="F676" i="8" s="1"/>
  <c r="G352" i="40"/>
  <c r="F806" i="8"/>
  <c r="F872" i="8"/>
  <c r="E982" i="8"/>
  <c r="E984" i="8" s="1"/>
  <c r="D353" i="40"/>
  <c r="E521" i="40"/>
  <c r="D356" i="40"/>
  <c r="E983" i="8"/>
  <c r="O190" i="35"/>
  <c r="D190" i="35" s="1"/>
  <c r="G213" i="35"/>
  <c r="G216" i="35" s="1"/>
  <c r="C232" i="35" s="1"/>
  <c r="J232" i="35" s="1"/>
  <c r="M190" i="35"/>
  <c r="C190" i="35" s="1"/>
  <c r="Q190" i="35"/>
  <c r="E190" i="35" s="1"/>
  <c r="S190" i="35"/>
  <c r="F190" i="35" s="1"/>
  <c r="N181" i="35"/>
  <c r="D181" i="35" s="1"/>
  <c r="L181" i="35"/>
  <c r="C181" i="35" s="1"/>
  <c r="R181" i="35"/>
  <c r="F181" i="35" s="1"/>
  <c r="P181" i="35"/>
  <c r="E181" i="35" s="1"/>
  <c r="L183" i="35"/>
  <c r="C183" i="35" s="1"/>
  <c r="R182" i="35"/>
  <c r="F182" i="35" s="1"/>
  <c r="N182" i="35"/>
  <c r="D182" i="35" s="1"/>
  <c r="N183" i="35"/>
  <c r="D183" i="35" s="1"/>
  <c r="L182" i="35"/>
  <c r="C182" i="35" s="1"/>
  <c r="R183" i="35"/>
  <c r="F183" i="35" s="1"/>
  <c r="P183" i="35"/>
  <c r="E183" i="35" s="1"/>
  <c r="P182" i="35"/>
  <c r="E182" i="35" s="1"/>
  <c r="R184" i="35"/>
  <c r="F184" i="35" s="1"/>
  <c r="N184" i="35"/>
  <c r="D184" i="35" s="1"/>
  <c r="P184" i="35"/>
  <c r="E184" i="35" s="1"/>
  <c r="L184" i="35"/>
  <c r="C184" i="35" s="1"/>
  <c r="N185" i="35"/>
  <c r="D185" i="35" s="1"/>
  <c r="P185" i="35"/>
  <c r="E185" i="35" s="1"/>
  <c r="L185" i="35"/>
  <c r="C185" i="35" s="1"/>
  <c r="R185" i="35"/>
  <c r="F185" i="35" s="1"/>
  <c r="M186" i="35"/>
  <c r="C186" i="35" s="1"/>
  <c r="O186" i="35"/>
  <c r="D186" i="35" s="1"/>
  <c r="Q186" i="35"/>
  <c r="E186" i="35" s="1"/>
  <c r="S186" i="35"/>
  <c r="F186" i="35" s="1"/>
  <c r="O187" i="35"/>
  <c r="D187" i="35" s="1"/>
  <c r="Q187" i="35"/>
  <c r="E187" i="35" s="1"/>
  <c r="S187" i="35"/>
  <c r="F187" i="35" s="1"/>
  <c r="M187" i="35"/>
  <c r="C187" i="35" s="1"/>
  <c r="S188" i="35"/>
  <c r="F188" i="35" s="1"/>
  <c r="Q188" i="35"/>
  <c r="E188" i="35" s="1"/>
  <c r="O188" i="35"/>
  <c r="D188" i="35" s="1"/>
  <c r="M188" i="35"/>
  <c r="C188" i="35" s="1"/>
  <c r="M189" i="35"/>
  <c r="C189" i="35" s="1"/>
  <c r="Q189" i="35"/>
  <c r="E189" i="35" s="1"/>
  <c r="O189" i="35"/>
  <c r="D189" i="35" s="1"/>
  <c r="S189" i="35"/>
  <c r="F189" i="35" s="1"/>
  <c r="G351" i="40"/>
  <c r="F795" i="8"/>
  <c r="F796" i="8" s="1"/>
  <c r="E989" i="8" l="1"/>
  <c r="F989" i="8" s="1"/>
  <c r="D989" i="8"/>
  <c r="D677" i="8"/>
  <c r="F677" i="8" s="1"/>
  <c r="E677" i="8"/>
  <c r="F178" i="36"/>
  <c r="F940" i="8"/>
  <c r="E911" i="8"/>
  <c r="F910" i="8"/>
  <c r="F909" i="8"/>
  <c r="E910" i="8"/>
  <c r="F911" i="8"/>
  <c r="E909" i="8"/>
  <c r="F182" i="36"/>
  <c r="F183" i="36"/>
  <c r="F176" i="36"/>
  <c r="C248" i="35"/>
  <c r="J248" i="35" s="1"/>
  <c r="B985" i="8"/>
  <c r="E985" i="8"/>
  <c r="F179" i="36"/>
  <c r="F184" i="36"/>
  <c r="B226" i="35"/>
  <c r="E226" i="35" s="1"/>
  <c r="F226" i="35" s="1"/>
  <c r="G226" i="35" s="1"/>
  <c r="J230" i="35" s="1"/>
  <c r="B220" i="35"/>
  <c r="E220" i="35" s="1"/>
  <c r="F220" i="35" s="1"/>
  <c r="F874" i="8"/>
  <c r="B874" i="8"/>
  <c r="F175" i="36"/>
  <c r="A214" i="36"/>
  <c r="D214" i="36" s="1"/>
  <c r="E214" i="36" s="1"/>
  <c r="F214" i="36" s="1"/>
  <c r="J218" i="36" s="1"/>
  <c r="A208" i="36"/>
  <c r="D208" i="36" s="1"/>
  <c r="E208" i="36" s="1"/>
  <c r="F181" i="36"/>
  <c r="F177" i="36"/>
  <c r="B804" i="8"/>
  <c r="F804" i="8"/>
  <c r="H805" i="8" s="1"/>
  <c r="F815" i="8"/>
  <c r="F797" i="8"/>
  <c r="H798" i="8" s="1"/>
  <c r="B797" i="8"/>
  <c r="B815" i="8"/>
  <c r="B236" i="35"/>
  <c r="E236" i="35" s="1"/>
  <c r="F236" i="35" s="1"/>
  <c r="G236" i="35" s="1"/>
  <c r="J240" i="35" s="1"/>
  <c r="B242" i="35"/>
  <c r="E242" i="35" s="1"/>
  <c r="F242" i="35" s="1"/>
  <c r="G242" i="35" s="1"/>
  <c r="J246" i="35" s="1"/>
  <c r="F808" i="8"/>
  <c r="F812" i="8" s="1"/>
  <c r="F813" i="8" s="1"/>
  <c r="B808" i="8"/>
  <c r="F688" i="8"/>
  <c r="F730" i="8"/>
  <c r="A234" i="36"/>
  <c r="D234" i="36" s="1"/>
  <c r="E234" i="36" s="1"/>
  <c r="F234" i="36" s="1"/>
  <c r="J238" i="36" s="1"/>
  <c r="A228" i="36"/>
  <c r="D228" i="36" s="1"/>
  <c r="E228" i="36" s="1"/>
  <c r="F644" i="8"/>
  <c r="F665" i="8"/>
  <c r="F666" i="8" s="1"/>
  <c r="E644" i="8"/>
  <c r="C239" i="36"/>
  <c r="H241" i="36" s="1"/>
  <c r="C219" i="36"/>
  <c r="H221" i="36" s="1"/>
  <c r="F180" i="36"/>
  <c r="E912" i="8" l="1"/>
  <c r="F912" i="8"/>
  <c r="E943" i="8"/>
  <c r="F943" i="8"/>
  <c r="G943" i="8" s="1"/>
  <c r="F228" i="36"/>
  <c r="J232" i="36" s="1"/>
  <c r="F208" i="36"/>
  <c r="J212" i="36" s="1"/>
  <c r="B876" i="8"/>
  <c r="F876" i="8"/>
  <c r="H877" i="8" s="1"/>
  <c r="D843" i="8"/>
  <c r="K33" i="8"/>
  <c r="T24" i="8" s="1"/>
  <c r="AA19" i="8" s="1"/>
  <c r="B821" i="8"/>
  <c r="L220" i="35"/>
  <c r="E987" i="8"/>
  <c r="C987" i="8"/>
  <c r="F667" i="8"/>
  <c r="F668" i="8" s="1"/>
  <c r="F670" i="8" s="1"/>
  <c r="H670" i="8" s="1"/>
  <c r="H671" i="8"/>
  <c r="F742" i="8"/>
  <c r="H742" i="8" s="1"/>
  <c r="F738" i="8"/>
  <c r="F741" i="8"/>
  <c r="D738" i="8"/>
  <c r="D742" i="8"/>
  <c r="E647" i="8"/>
  <c r="F656" i="8"/>
  <c r="E656" i="8"/>
  <c r="C661" i="8"/>
  <c r="E649" i="8"/>
  <c r="G661" i="8"/>
  <c r="F649" i="8"/>
  <c r="F645" i="8"/>
  <c r="F647" i="8"/>
  <c r="F694" i="8"/>
  <c r="E694" i="8"/>
  <c r="H820" i="8"/>
  <c r="F818" i="8"/>
  <c r="G220" i="35" l="1"/>
  <c r="J224" i="35" s="1"/>
  <c r="E915" i="8"/>
  <c r="F915" i="8"/>
  <c r="G915" i="8" s="1"/>
  <c r="D744" i="8"/>
  <c r="D739" i="8"/>
  <c r="D745" i="8"/>
  <c r="C748" i="8"/>
  <c r="F752" i="8" s="1"/>
  <c r="F650" i="8"/>
  <c r="E650" i="8"/>
  <c r="D743" i="8"/>
  <c r="F743" i="8"/>
  <c r="F745" i="8" s="1"/>
  <c r="H741" i="8"/>
  <c r="E696" i="8"/>
  <c r="F696" i="8"/>
  <c r="E701" i="8"/>
  <c r="G707" i="8"/>
  <c r="B707" i="8"/>
  <c r="F701" i="8"/>
  <c r="D741" i="8"/>
  <c r="F657" i="8"/>
  <c r="E657" i="8"/>
  <c r="D747" i="8" l="1"/>
  <c r="F747" i="8"/>
  <c r="H747" i="8" s="1"/>
  <c r="F697" i="8"/>
  <c r="E698" i="8"/>
  <c r="E699" i="8"/>
  <c r="F698" i="8"/>
  <c r="E697" i="8"/>
  <c r="F699" i="8"/>
  <c r="F653" i="8"/>
  <c r="E653" i="8"/>
  <c r="E654" i="8"/>
  <c r="F654" i="8"/>
  <c r="E655" i="8" l="1"/>
  <c r="F655" i="8"/>
  <c r="E700" i="8"/>
  <c r="F700" i="8"/>
  <c r="E703" i="8" l="1"/>
  <c r="F703" i="8"/>
  <c r="G703" i="8" s="1"/>
  <c r="E658" i="8"/>
  <c r="F658" i="8"/>
  <c r="F659" i="8" l="1"/>
  <c r="G659" i="8" s="1"/>
  <c r="E659" i="8"/>
</calcChain>
</file>

<file path=xl/sharedStrings.xml><?xml version="1.0" encoding="utf-8"?>
<sst xmlns="http://schemas.openxmlformats.org/spreadsheetml/2006/main" count="6227" uniqueCount="2103">
  <si>
    <t>1)</t>
  </si>
  <si>
    <t>Stagging height</t>
  </si>
  <si>
    <t>Meter</t>
  </si>
  <si>
    <t>2)</t>
  </si>
  <si>
    <t>3)</t>
  </si>
  <si>
    <t>KL</t>
  </si>
  <si>
    <t>4)</t>
  </si>
  <si>
    <t>5)</t>
  </si>
  <si>
    <t>Inside diameter of outer compartment</t>
  </si>
  <si>
    <t>6)</t>
  </si>
  <si>
    <t>7)</t>
  </si>
  <si>
    <t>The structural design of tank shaft, stagging dome etc. shall be based on</t>
  </si>
  <si>
    <t>the following code of practice.</t>
  </si>
  <si>
    <t>*</t>
  </si>
  <si>
    <t>IS:456-2000</t>
  </si>
  <si>
    <t>IS:1893-2002/IS:1893-1984</t>
  </si>
  <si>
    <t>IS:875</t>
  </si>
  <si>
    <t>IS:3370(Part I,II &amp; III)</t>
  </si>
  <si>
    <t>IS:1904</t>
  </si>
  <si>
    <t>D</t>
  </si>
  <si>
    <t>A</t>
  </si>
  <si>
    <t>C</t>
  </si>
  <si>
    <t>H</t>
  </si>
  <si>
    <t>8)</t>
  </si>
  <si>
    <t>9)</t>
  </si>
  <si>
    <t>10)</t>
  </si>
  <si>
    <t>11)</t>
  </si>
  <si>
    <t>13)</t>
  </si>
  <si>
    <t>14)</t>
  </si>
  <si>
    <t>15)</t>
  </si>
  <si>
    <t>12)</t>
  </si>
  <si>
    <t>Radius of curvature of bottom of dome</t>
  </si>
  <si>
    <t>R</t>
  </si>
  <si>
    <t>h</t>
  </si>
  <si>
    <t>h'</t>
  </si>
  <si>
    <t>DESIGN CALCULATION:</t>
  </si>
  <si>
    <t>A)</t>
  </si>
  <si>
    <t>CALCULATION OF CAPACITY:</t>
  </si>
  <si>
    <r>
      <t>R</t>
    </r>
    <r>
      <rPr>
        <b/>
        <vertAlign val="subscript"/>
        <sz val="10"/>
        <rFont val="Times New Roman"/>
        <family val="1"/>
      </rPr>
      <t>C</t>
    </r>
  </si>
  <si>
    <t>DESCRIPTION:</t>
  </si>
  <si>
    <t>B</t>
  </si>
  <si>
    <t>II)</t>
  </si>
  <si>
    <t>I)</t>
  </si>
  <si>
    <t>Hs</t>
  </si>
  <si>
    <r>
      <t>D</t>
    </r>
    <r>
      <rPr>
        <b/>
        <vertAlign val="subscript"/>
        <sz val="12"/>
        <rFont val="Times New Roman"/>
        <family val="1"/>
      </rPr>
      <t>io</t>
    </r>
  </si>
  <si>
    <t>Radius of curvature of bottom dome</t>
  </si>
  <si>
    <t>Outside diameter of shaft</t>
  </si>
  <si>
    <r>
      <t>D</t>
    </r>
    <r>
      <rPr>
        <b/>
        <vertAlign val="subscript"/>
        <sz val="12"/>
        <rFont val="Times New Roman"/>
        <family val="1"/>
      </rPr>
      <t>os</t>
    </r>
  </si>
  <si>
    <r>
      <t>R</t>
    </r>
    <r>
      <rPr>
        <b/>
        <vertAlign val="subscript"/>
        <sz val="12"/>
        <rFont val="Times New Roman"/>
        <family val="1"/>
      </rPr>
      <t>os</t>
    </r>
  </si>
  <si>
    <r>
      <t>R</t>
    </r>
    <r>
      <rPr>
        <b/>
        <vertAlign val="subscript"/>
        <sz val="12"/>
        <rFont val="Times New Roman"/>
        <family val="1"/>
      </rPr>
      <t>is</t>
    </r>
  </si>
  <si>
    <t>Inside radius of shaft</t>
  </si>
  <si>
    <t>Outside radius of shaft</t>
  </si>
  <si>
    <t>Heignt of bottom ring beam from base</t>
  </si>
  <si>
    <t>h"</t>
  </si>
  <si>
    <r>
      <t>h</t>
    </r>
    <r>
      <rPr>
        <b/>
        <vertAlign val="subscript"/>
        <sz val="12"/>
        <rFont val="Times New Roman"/>
        <family val="1"/>
      </rPr>
      <t>f</t>
    </r>
  </si>
  <si>
    <t>Free board</t>
  </si>
  <si>
    <t xml:space="preserve">Vertical angle of crown </t>
  </si>
  <si>
    <t>α</t>
  </si>
  <si>
    <t>θ</t>
  </si>
  <si>
    <t>Degree</t>
  </si>
  <si>
    <t xml:space="preserve">Horizontal angle of crown </t>
  </si>
  <si>
    <t>Volumn displaced by bottom dome</t>
  </si>
  <si>
    <t>NOTATIONS:</t>
  </si>
  <si>
    <r>
      <t>π/6(3*R</t>
    </r>
    <r>
      <rPr>
        <vertAlign val="subscript"/>
        <sz val="10"/>
        <rFont val="Times New Roman"/>
        <family val="1"/>
      </rPr>
      <t>os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+h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)*h</t>
    </r>
  </si>
  <si>
    <t>Capacity of inner tank</t>
  </si>
  <si>
    <t>Vi</t>
  </si>
  <si>
    <t>Capacity of outer tank</t>
  </si>
  <si>
    <t>Vo</t>
  </si>
  <si>
    <t>Cum</t>
  </si>
  <si>
    <t>16)</t>
  </si>
  <si>
    <t>17)</t>
  </si>
  <si>
    <r>
      <t>V</t>
    </r>
    <r>
      <rPr>
        <b/>
        <vertAlign val="subscript"/>
        <sz val="10"/>
        <rFont val="Times New Roman"/>
        <family val="1"/>
      </rPr>
      <t>o</t>
    </r>
  </si>
  <si>
    <r>
      <t>V</t>
    </r>
    <r>
      <rPr>
        <b/>
        <vertAlign val="subscript"/>
        <sz val="10"/>
        <rFont val="Times New Roman"/>
        <family val="1"/>
      </rPr>
      <t>d</t>
    </r>
  </si>
  <si>
    <r>
      <t>m</t>
    </r>
    <r>
      <rPr>
        <vertAlign val="superscript"/>
        <sz val="12"/>
        <rFont val="Times New Roman"/>
        <family val="1"/>
      </rPr>
      <t>3</t>
    </r>
  </si>
  <si>
    <t>m</t>
  </si>
  <si>
    <r>
      <t>V</t>
    </r>
    <r>
      <rPr>
        <b/>
        <vertAlign val="subscript"/>
        <sz val="10"/>
        <rFont val="Times New Roman"/>
        <family val="1"/>
      </rPr>
      <t>c</t>
    </r>
  </si>
  <si>
    <t>Capacity of conical portion</t>
  </si>
  <si>
    <t>B)</t>
  </si>
  <si>
    <t>DESIGN OF ROOF DOME:</t>
  </si>
  <si>
    <r>
      <t>R</t>
    </r>
    <r>
      <rPr>
        <vertAlign val="subscript"/>
        <sz val="12"/>
        <rFont val="Times New Roman"/>
        <family val="1"/>
      </rPr>
      <t>os</t>
    </r>
  </si>
  <si>
    <r>
      <t>h</t>
    </r>
    <r>
      <rPr>
        <vertAlign val="subscript"/>
        <sz val="12"/>
        <rFont val="Times New Roman"/>
        <family val="1"/>
      </rPr>
      <t>f</t>
    </r>
  </si>
  <si>
    <t>Fig.1</t>
  </si>
  <si>
    <t>18)</t>
  </si>
  <si>
    <t>Density of concrete</t>
  </si>
  <si>
    <t>Ton/cum</t>
  </si>
  <si>
    <r>
      <t>ρ</t>
    </r>
    <r>
      <rPr>
        <b/>
        <vertAlign val="subscript"/>
        <sz val="12"/>
        <rFont val="Times New Roman"/>
        <family val="1"/>
      </rPr>
      <t>conc.</t>
    </r>
  </si>
  <si>
    <t>Selfweight</t>
  </si>
  <si>
    <r>
      <t>T/m</t>
    </r>
    <r>
      <rPr>
        <vertAlign val="superscript"/>
        <sz val="12"/>
        <rFont val="Times New Roman"/>
        <family val="1"/>
      </rPr>
      <t>2</t>
    </r>
  </si>
  <si>
    <t>Live Load</t>
  </si>
  <si>
    <t>Maximum meridinal thrust at base</t>
  </si>
  <si>
    <r>
      <t>T</t>
    </r>
    <r>
      <rPr>
        <b/>
        <vertAlign val="subscript"/>
        <sz val="10"/>
        <rFont val="Times New Roman"/>
        <family val="1"/>
      </rPr>
      <t>1</t>
    </r>
  </si>
  <si>
    <t>T/m</t>
  </si>
  <si>
    <t>Maximum circumferential force at base</t>
  </si>
  <si>
    <r>
      <t>N</t>
    </r>
    <r>
      <rPr>
        <b/>
        <vertAlign val="subscript"/>
        <sz val="10"/>
        <rFont val="Times New Roman"/>
        <family val="1"/>
      </rPr>
      <t>θ</t>
    </r>
  </si>
  <si>
    <t>Meridinal stress</t>
  </si>
  <si>
    <r>
      <t>σ</t>
    </r>
    <r>
      <rPr>
        <b/>
        <vertAlign val="subscript"/>
        <sz val="10"/>
        <rFont val="Times New Roman"/>
        <family val="1"/>
      </rPr>
      <t>T1</t>
    </r>
  </si>
  <si>
    <t>Hoop stress</t>
  </si>
  <si>
    <r>
      <t>σ</t>
    </r>
    <r>
      <rPr>
        <b/>
        <vertAlign val="subscript"/>
        <sz val="10"/>
        <rFont val="Times New Roman"/>
        <family val="1"/>
      </rPr>
      <t>Nθ</t>
    </r>
  </si>
  <si>
    <r>
      <t>mm</t>
    </r>
    <r>
      <rPr>
        <vertAlign val="superscript"/>
        <sz val="12"/>
        <rFont val="Times New Roman"/>
        <family val="1"/>
      </rPr>
      <t>2</t>
    </r>
  </si>
  <si>
    <t>C)</t>
  </si>
  <si>
    <t>DESIGN OF TOP RING BEAM:</t>
  </si>
  <si>
    <t>Hoop Tension</t>
  </si>
  <si>
    <r>
      <t>F</t>
    </r>
    <r>
      <rPr>
        <b/>
        <vertAlign val="subscript"/>
        <sz val="10"/>
        <rFont val="Times New Roman"/>
        <family val="1"/>
      </rPr>
      <t>t</t>
    </r>
  </si>
  <si>
    <t>T</t>
  </si>
  <si>
    <r>
      <t>T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*cosα*Dio/2</t>
    </r>
  </si>
  <si>
    <t>Tensile stress</t>
  </si>
  <si>
    <r>
      <t>σ</t>
    </r>
    <r>
      <rPr>
        <b/>
        <vertAlign val="subscript"/>
        <sz val="10"/>
        <rFont val="Times New Roman"/>
        <family val="1"/>
      </rPr>
      <t>st</t>
    </r>
  </si>
  <si>
    <t>d</t>
  </si>
  <si>
    <t>w</t>
  </si>
  <si>
    <t>19)</t>
  </si>
  <si>
    <t>M</t>
  </si>
  <si>
    <t>D)</t>
  </si>
  <si>
    <t>DESIGN OF CYLINDRICAL WALL</t>
  </si>
  <si>
    <t xml:space="preserve">Horizontal reinforcement </t>
  </si>
  <si>
    <r>
      <t>σ</t>
    </r>
    <r>
      <rPr>
        <b/>
        <vertAlign val="subscript"/>
        <sz val="10"/>
        <rFont val="Times New Roman"/>
        <family val="1"/>
      </rPr>
      <t>ac</t>
    </r>
  </si>
  <si>
    <t>Stress of steel</t>
  </si>
  <si>
    <r>
      <t>N/mm</t>
    </r>
    <r>
      <rPr>
        <vertAlign val="superscript"/>
        <sz val="12"/>
        <rFont val="Times New Roman"/>
        <family val="1"/>
      </rPr>
      <t>2</t>
    </r>
  </si>
  <si>
    <t>Ton</t>
  </si>
  <si>
    <t>E)</t>
  </si>
  <si>
    <t>DESIGN OF BOTTOM RING BEAM</t>
  </si>
  <si>
    <t>Rc</t>
  </si>
  <si>
    <t>Fig.2</t>
  </si>
  <si>
    <r>
      <t>V</t>
    </r>
    <r>
      <rPr>
        <vertAlign val="subscript"/>
        <sz val="12"/>
        <rFont val="Times New Roman"/>
        <family val="1"/>
      </rPr>
      <t>1</t>
    </r>
  </si>
  <si>
    <t>Tsinθ=</t>
  </si>
  <si>
    <t>Tcosθ=</t>
  </si>
  <si>
    <t>H=</t>
  </si>
  <si>
    <r>
      <t>V</t>
    </r>
    <r>
      <rPr>
        <vertAlign val="subscript"/>
        <sz val="12"/>
        <rFont val="Times New Roman"/>
        <family val="1"/>
      </rPr>
      <t>1</t>
    </r>
    <r>
      <rPr>
        <sz val="12"/>
        <rFont val="Times New Roman"/>
        <family val="1"/>
      </rPr>
      <t>cosθ/sinθ</t>
    </r>
  </si>
  <si>
    <t>Fig.3</t>
  </si>
  <si>
    <t>Fig.4</t>
  </si>
  <si>
    <t>p</t>
  </si>
  <si>
    <r>
      <t>V</t>
    </r>
    <r>
      <rPr>
        <vertAlign val="subscript"/>
        <sz val="12"/>
        <rFont val="Times New Roman"/>
        <family val="1"/>
      </rPr>
      <t>2</t>
    </r>
  </si>
  <si>
    <t>* Load due to top dome</t>
  </si>
  <si>
    <t>* Load due to top ring beam</t>
  </si>
  <si>
    <t>* Load due to cylindri cal wall</t>
  </si>
  <si>
    <t>* Self weight of ring beam</t>
  </si>
  <si>
    <t>* Total load</t>
  </si>
  <si>
    <t>Hoop tension due to vertical load</t>
  </si>
  <si>
    <t>(H*D)/2</t>
  </si>
  <si>
    <t>Hoop tension due to water pressure</t>
  </si>
  <si>
    <t>(w*h*d*D)/2</t>
  </si>
  <si>
    <t>Total hoop tension</t>
  </si>
  <si>
    <t>Maximum tensile stress</t>
  </si>
  <si>
    <t>Provide</t>
  </si>
  <si>
    <t>F)</t>
  </si>
  <si>
    <t>* Self weight of dome</t>
  </si>
  <si>
    <t>* Average diamter of conical dome</t>
  </si>
  <si>
    <t>* Average depth of water</t>
  </si>
  <si>
    <t>* Load from top dome, top ring beam, cylindrical wall and bottom ring beam</t>
  </si>
  <si>
    <t>* Weight of water above conical dome</t>
  </si>
  <si>
    <t>Therefore, Total load at base of conical dome</t>
  </si>
  <si>
    <t>Load/unit length</t>
  </si>
  <si>
    <r>
      <t>V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cosecθ</t>
    </r>
  </si>
  <si>
    <t>Hoop tension</t>
  </si>
  <si>
    <t>(pcosecθ+qcotθ)D/2</t>
  </si>
  <si>
    <t xml:space="preserve">       q</t>
  </si>
  <si>
    <t xml:space="preserve">                θ</t>
  </si>
  <si>
    <t>Maximum moment</t>
  </si>
  <si>
    <t xml:space="preserve">Therefore reinforcement </t>
  </si>
  <si>
    <t>Maximum shear</t>
  </si>
  <si>
    <t>V</t>
  </si>
  <si>
    <t>Stress</t>
  </si>
  <si>
    <t>DESIGN OF CONICAL DOME</t>
  </si>
  <si>
    <t>G)</t>
  </si>
  <si>
    <t>DESIGN OF BOTTOM SPHERICAL DOME</t>
  </si>
  <si>
    <t>T1</t>
  </si>
  <si>
    <t>T2</t>
  </si>
  <si>
    <t>Fig.5</t>
  </si>
  <si>
    <t>β</t>
  </si>
  <si>
    <t>* Radius of dome</t>
  </si>
  <si>
    <t>Therefore, total weight</t>
  </si>
  <si>
    <t>W</t>
  </si>
  <si>
    <t>(wR/(1+cosβ))</t>
  </si>
  <si>
    <t>wR(cosβ-(1/1+cosβ))</t>
  </si>
  <si>
    <t>H)</t>
  </si>
  <si>
    <t>DESIGN OF BOTTOM CIRCULAR GIRDER</t>
  </si>
  <si>
    <r>
      <t>D</t>
    </r>
    <r>
      <rPr>
        <vertAlign val="subscript"/>
        <sz val="12"/>
        <rFont val="Times New Roman"/>
        <family val="1"/>
      </rPr>
      <t>IS</t>
    </r>
  </si>
  <si>
    <r>
      <t>D</t>
    </r>
    <r>
      <rPr>
        <vertAlign val="subscript"/>
        <sz val="12"/>
        <rFont val="Times New Roman"/>
        <family val="1"/>
      </rPr>
      <t>OS</t>
    </r>
  </si>
  <si>
    <r>
      <t>t/m</t>
    </r>
    <r>
      <rPr>
        <vertAlign val="superscript"/>
        <sz val="12"/>
        <rFont val="Times New Roman"/>
        <family val="1"/>
      </rPr>
      <t>2</t>
    </r>
  </si>
  <si>
    <t>Maximum meridinal thrust at base from conical dome</t>
  </si>
  <si>
    <r>
      <t>T</t>
    </r>
    <r>
      <rPr>
        <b/>
        <vertAlign val="subscript"/>
        <sz val="10"/>
        <rFont val="Times New Roman"/>
        <family val="1"/>
      </rPr>
      <t>2</t>
    </r>
  </si>
  <si>
    <t>Maximum meridinal thrust at base from spherical dome</t>
  </si>
  <si>
    <t>At</t>
  </si>
  <si>
    <t>Net horizontal force on ring beam</t>
  </si>
  <si>
    <t>Total capacity of tank</t>
  </si>
  <si>
    <t>Diameter of column support</t>
  </si>
  <si>
    <r>
      <t>(T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cosα-T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cosβ)</t>
    </r>
  </si>
  <si>
    <t>Total design load on ring girder</t>
  </si>
  <si>
    <t>(л*D*w)</t>
  </si>
  <si>
    <t>Self weight of ring girder</t>
  </si>
  <si>
    <t>Vertical load on ring girder</t>
  </si>
  <si>
    <r>
      <t>(T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sinα+T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>sinβ)</t>
    </r>
  </si>
  <si>
    <t>* Volumn of water above dome</t>
  </si>
  <si>
    <r>
      <t>A</t>
    </r>
    <r>
      <rPr>
        <b/>
        <vertAlign val="subscript"/>
        <sz val="10"/>
        <rFont val="Times New Roman"/>
        <family val="1"/>
      </rPr>
      <t>stv</t>
    </r>
  </si>
  <si>
    <r>
      <t>A</t>
    </r>
    <r>
      <rPr>
        <b/>
        <vertAlign val="subscript"/>
        <sz val="10"/>
        <rFont val="Times New Roman"/>
        <family val="1"/>
      </rPr>
      <t>sth</t>
    </r>
  </si>
  <si>
    <r>
      <t>V</t>
    </r>
    <r>
      <rPr>
        <b/>
        <vertAlign val="subscript"/>
        <sz val="10"/>
        <rFont val="Times New Roman"/>
        <family val="1"/>
      </rPr>
      <t>1</t>
    </r>
  </si>
  <si>
    <r>
      <t>H</t>
    </r>
    <r>
      <rPr>
        <b/>
        <vertAlign val="subscript"/>
        <sz val="10"/>
        <rFont val="Times New Roman"/>
        <family val="1"/>
      </rPr>
      <t>gv</t>
    </r>
  </si>
  <si>
    <r>
      <t>H</t>
    </r>
    <r>
      <rPr>
        <b/>
        <vertAlign val="subscript"/>
        <sz val="10"/>
        <rFont val="Times New Roman"/>
        <family val="1"/>
      </rPr>
      <t>gw</t>
    </r>
  </si>
  <si>
    <r>
      <t>M</t>
    </r>
    <r>
      <rPr>
        <b/>
        <vertAlign val="subscript"/>
        <sz val="10"/>
        <rFont val="Times New Roman"/>
        <family val="1"/>
      </rPr>
      <t>2</t>
    </r>
  </si>
  <si>
    <r>
      <t>M</t>
    </r>
    <r>
      <rPr>
        <b/>
        <vertAlign val="subscript"/>
        <sz val="10"/>
        <rFont val="Times New Roman"/>
        <family val="1"/>
      </rPr>
      <t>t</t>
    </r>
  </si>
  <si>
    <t>e) Shear force at support</t>
  </si>
  <si>
    <r>
      <t>V</t>
    </r>
    <r>
      <rPr>
        <b/>
        <vertAlign val="subscript"/>
        <sz val="10"/>
        <rFont val="Times New Roman"/>
        <family val="1"/>
      </rPr>
      <t>t</t>
    </r>
  </si>
  <si>
    <t>b) Maximum positive BM at span</t>
  </si>
  <si>
    <t>mm</t>
  </si>
  <si>
    <t xml:space="preserve">Reinforcement </t>
  </si>
  <si>
    <t>20)</t>
  </si>
  <si>
    <r>
      <t>T</t>
    </r>
    <r>
      <rPr>
        <b/>
        <vertAlign val="subscript"/>
        <sz val="10"/>
        <rFont val="Times New Roman"/>
        <family val="1"/>
      </rPr>
      <t>t</t>
    </r>
  </si>
  <si>
    <t>d) Maximum torsional moment</t>
  </si>
  <si>
    <t>f) Shear force at section of maximumtorsion (9.5deg from highter support)</t>
  </si>
  <si>
    <t xml:space="preserve">c) Maximum torsional </t>
  </si>
  <si>
    <t>T(1+(D/w))/1.7)</t>
  </si>
  <si>
    <t>Tm</t>
  </si>
  <si>
    <r>
      <t>A</t>
    </r>
    <r>
      <rPr>
        <b/>
        <vertAlign val="subscript"/>
        <sz val="10"/>
        <rFont val="Times New Roman"/>
        <family val="1"/>
      </rPr>
      <t>stt</t>
    </r>
  </si>
  <si>
    <r>
      <t>τ</t>
    </r>
    <r>
      <rPr>
        <b/>
        <vertAlign val="subscript"/>
        <sz val="10"/>
        <rFont val="Times New Roman"/>
        <family val="1"/>
      </rPr>
      <t>v</t>
    </r>
  </si>
  <si>
    <t>(100Ast/bd)</t>
  </si>
  <si>
    <r>
      <t>τ</t>
    </r>
    <r>
      <rPr>
        <b/>
        <vertAlign val="subscript"/>
        <sz val="10"/>
        <rFont val="Times New Roman"/>
        <family val="1"/>
      </rPr>
      <t>c</t>
    </r>
  </si>
  <si>
    <t>Therefore, spacing</t>
  </si>
  <si>
    <r>
      <t>S</t>
    </r>
    <r>
      <rPr>
        <b/>
        <vertAlign val="subscript"/>
        <sz val="10"/>
        <rFont val="Times New Roman"/>
        <family val="1"/>
      </rPr>
      <t>v</t>
    </r>
  </si>
  <si>
    <t>Equivalent shear</t>
  </si>
  <si>
    <r>
      <t>V</t>
    </r>
    <r>
      <rPr>
        <b/>
        <vertAlign val="subscript"/>
        <sz val="10"/>
        <rFont val="Times New Roman"/>
        <family val="1"/>
      </rPr>
      <t>e</t>
    </r>
  </si>
  <si>
    <t>(V+1.6T/w)</t>
  </si>
  <si>
    <r>
      <t>τ</t>
    </r>
    <r>
      <rPr>
        <b/>
        <vertAlign val="subscript"/>
        <sz val="10"/>
        <rFont val="Times New Roman"/>
        <family val="1"/>
      </rPr>
      <t>ve</t>
    </r>
  </si>
  <si>
    <t>Ve/wd</t>
  </si>
  <si>
    <r>
      <t>τ</t>
    </r>
    <r>
      <rPr>
        <b/>
        <vertAlign val="subscript"/>
        <sz val="10"/>
        <rFont val="Times New Roman"/>
        <family val="1"/>
      </rPr>
      <t>ce</t>
    </r>
  </si>
  <si>
    <t>WIND LOAD</t>
  </si>
  <si>
    <t>k1</t>
  </si>
  <si>
    <t>k2</t>
  </si>
  <si>
    <t>k3</t>
  </si>
  <si>
    <t>SEISMIC LOAD</t>
  </si>
  <si>
    <t>m/s</t>
  </si>
  <si>
    <t>ton</t>
  </si>
  <si>
    <t>Ton/sqm</t>
  </si>
  <si>
    <r>
      <t>mm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/m</t>
    </r>
  </si>
  <si>
    <t>TWL</t>
  </si>
  <si>
    <t>BOD</t>
  </si>
  <si>
    <t>t/sqm</t>
  </si>
  <si>
    <t>Total</t>
  </si>
  <si>
    <t xml:space="preserve"> </t>
  </si>
  <si>
    <t xml:space="preserve">Free Board </t>
  </si>
  <si>
    <t>r</t>
  </si>
  <si>
    <t>Radius of Dome</t>
  </si>
  <si>
    <r>
      <t>R</t>
    </r>
    <r>
      <rPr>
        <vertAlign val="subscript"/>
        <sz val="12"/>
        <rFont val="Times New Roman"/>
        <family val="1"/>
      </rPr>
      <t>io</t>
    </r>
  </si>
  <si>
    <t>rad</t>
  </si>
  <si>
    <r>
      <t>22/7.π/6(3*R</t>
    </r>
    <r>
      <rPr>
        <vertAlign val="subscript"/>
        <sz val="10"/>
        <rFont val="Times New Roman"/>
        <family val="1"/>
      </rPr>
      <t>os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+h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)*h</t>
    </r>
  </si>
  <si>
    <t>Di bottom</t>
  </si>
  <si>
    <t>Capacity of  cylindrical part of  tank</t>
  </si>
  <si>
    <t>Capacity of  tank</t>
  </si>
  <si>
    <t>Bottom dome</t>
  </si>
  <si>
    <r>
      <t>θ</t>
    </r>
    <r>
      <rPr>
        <sz val="12"/>
        <rFont val="Times New Roman"/>
        <family val="1"/>
      </rPr>
      <t>bot</t>
    </r>
  </si>
  <si>
    <t>Top dome</t>
  </si>
  <si>
    <t>r top</t>
  </si>
  <si>
    <r>
      <t>(Ribottom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+r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)/2 r</t>
    </r>
  </si>
  <si>
    <t>cos-1(Ribottom--r)/Ribottom)</t>
  </si>
  <si>
    <r>
      <t>θ</t>
    </r>
    <r>
      <rPr>
        <sz val="12"/>
        <rFont val="Times New Roman"/>
        <family val="1"/>
      </rPr>
      <t>top</t>
    </r>
  </si>
  <si>
    <t>Rct</t>
  </si>
  <si>
    <t>T/m2</t>
  </si>
  <si>
    <t xml:space="preserve">provide </t>
  </si>
  <si>
    <t>on each face</t>
  </si>
  <si>
    <t>considred 45 deg</t>
  </si>
  <si>
    <t>projection of wall from column</t>
  </si>
  <si>
    <t>considered</t>
  </si>
  <si>
    <t>n/sqmm</t>
  </si>
  <si>
    <t>Ast</t>
  </si>
  <si>
    <t>sqmm on each face</t>
  </si>
  <si>
    <t>e1 = T/As.Es</t>
  </si>
  <si>
    <t>e2 = stiffening effect of concrete for 0.2 mm crack width = 2.b.h/3.Es.As</t>
  </si>
  <si>
    <t>em = e1-e2</t>
  </si>
  <si>
    <t>Aacr</t>
  </si>
  <si>
    <t>reinf provided</t>
  </si>
  <si>
    <t>Crack Width  = 3.acr.em</t>
  </si>
  <si>
    <t>Ribottom</t>
  </si>
  <si>
    <t>2π*Ribot*h*t*w</t>
  </si>
  <si>
    <r>
      <t>π/4(Dibot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*H)-V</t>
    </r>
    <r>
      <rPr>
        <vertAlign val="subscript"/>
        <sz val="10"/>
        <rFont val="Times New Roman"/>
        <family val="1"/>
      </rPr>
      <t>d</t>
    </r>
  </si>
  <si>
    <t>dia</t>
  </si>
  <si>
    <t>Provide 10mm-4legged stirrup</t>
  </si>
  <si>
    <t>Uniform load</t>
  </si>
  <si>
    <t>a) Outer cylindrical wall</t>
  </si>
  <si>
    <r>
      <t>H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/Dt</t>
    </r>
  </si>
  <si>
    <t>Refer table 11,12,13</t>
  </si>
  <si>
    <t>Co efficient</t>
  </si>
  <si>
    <t>Considering bottom pinned</t>
  </si>
  <si>
    <t>Moment at bottom support</t>
  </si>
  <si>
    <t>Moment at span</t>
  </si>
  <si>
    <t>Axial tension Top to  0.5 H</t>
  </si>
  <si>
    <t>shear at base</t>
  </si>
  <si>
    <t xml:space="preserve">Axial Load </t>
  </si>
  <si>
    <t>t/m</t>
  </si>
  <si>
    <t>Refer table 9,10,11</t>
  </si>
  <si>
    <t>Considering bottom fixed</t>
  </si>
  <si>
    <t>Weight from cylindrical wall</t>
  </si>
  <si>
    <t>2π*Rc*h*t*2.4</t>
  </si>
  <si>
    <t>Allowable shear stress</t>
  </si>
  <si>
    <t>% of reinf</t>
  </si>
  <si>
    <t>M30 -permissible shear stresses</t>
  </si>
  <si>
    <t xml:space="preserve">Pt </t>
  </si>
  <si>
    <t>M30</t>
  </si>
  <si>
    <t>Thickness</t>
  </si>
  <si>
    <t>Water Proofing</t>
  </si>
  <si>
    <t>Snow load</t>
  </si>
  <si>
    <t xml:space="preserve">Provide minimum reinforcement of </t>
  </si>
  <si>
    <t>On Each Face</t>
  </si>
  <si>
    <t>@</t>
  </si>
  <si>
    <r>
      <t>mm</t>
    </r>
    <r>
      <rPr>
        <vertAlign val="superscript"/>
        <sz val="12"/>
        <rFont val="Times New Roman"/>
        <family val="1"/>
      </rPr>
      <t>2/</t>
    </r>
    <r>
      <rPr>
        <sz val="12"/>
        <rFont val="Times New Roman"/>
        <family val="1"/>
      </rPr>
      <t>m</t>
    </r>
  </si>
  <si>
    <t>Weight from top dome</t>
  </si>
  <si>
    <t>2π*Rc*l*w</t>
  </si>
  <si>
    <t>Snow Load</t>
  </si>
  <si>
    <t>0.9*1.44</t>
  </si>
  <si>
    <t>((0.627)*)/(2*(COS(0))^2))</t>
  </si>
  <si>
    <t>((0.627)**(TAN()^2))</t>
  </si>
  <si>
    <t>(0*10^4/1000//1000)</t>
  </si>
  <si>
    <t>Maximum Meridinal force at base</t>
  </si>
  <si>
    <t>Moment</t>
  </si>
  <si>
    <t>fy</t>
  </si>
  <si>
    <t>Ground Lvl</t>
  </si>
  <si>
    <t>Fdn Depth</t>
  </si>
  <si>
    <t>X</t>
  </si>
  <si>
    <t>Y</t>
  </si>
  <si>
    <t>WEIGHT</t>
  </si>
  <si>
    <t>top dome</t>
  </si>
  <si>
    <t>Weight from bottom ring beaml</t>
  </si>
  <si>
    <t>Weight of conocal dome</t>
  </si>
  <si>
    <t>Weight of bottom spherical dome</t>
  </si>
  <si>
    <t>Top Ring Beam</t>
  </si>
  <si>
    <t>Cyl shell</t>
  </si>
  <si>
    <t>Bot Ring Beam</t>
  </si>
  <si>
    <t>Conical shell</t>
  </si>
  <si>
    <t>Bot Ring beam</t>
  </si>
  <si>
    <t>column</t>
  </si>
  <si>
    <t>Beam</t>
  </si>
  <si>
    <t>Weight of Empty Container</t>
  </si>
  <si>
    <t>Weight of Staging</t>
  </si>
  <si>
    <t>Weight of empty container and 1/3 of staging</t>
  </si>
  <si>
    <t>Centre of Gravity ofEmpty Container from foundation top</t>
  </si>
  <si>
    <t>nos</t>
  </si>
  <si>
    <t>sets beam</t>
  </si>
  <si>
    <t>Parameter of Spring Mass Model</t>
  </si>
  <si>
    <t>Total weight of water</t>
  </si>
  <si>
    <t>Volumn of Water</t>
  </si>
  <si>
    <t>cum</t>
  </si>
  <si>
    <t>Mass of water</t>
  </si>
  <si>
    <t>kg</t>
  </si>
  <si>
    <t>h be the equivalent circular diameter</t>
  </si>
  <si>
    <t>For h/D</t>
  </si>
  <si>
    <t xml:space="preserve">Refer   Fig 2 </t>
  </si>
  <si>
    <t>per node</t>
  </si>
  <si>
    <t>mi + ms</t>
  </si>
  <si>
    <t>Deflection  from Staad</t>
  </si>
  <si>
    <t>Load applied</t>
  </si>
  <si>
    <t>Time period for impulsive mode</t>
  </si>
  <si>
    <t>sec</t>
  </si>
  <si>
    <t>Time period for convective  mode</t>
  </si>
  <si>
    <t>Design Horizontal Seismic Co efiicient</t>
  </si>
  <si>
    <t>Z</t>
  </si>
  <si>
    <t>I</t>
  </si>
  <si>
    <t>importance factor</t>
  </si>
  <si>
    <t>For SMRF</t>
  </si>
  <si>
    <t>Horizontal seismic coefficient for impulsive mode</t>
  </si>
  <si>
    <t>Horizontal seismic coefficient for convective mode</t>
  </si>
  <si>
    <t>Sa/g</t>
  </si>
  <si>
    <t>Multiplier factor</t>
  </si>
  <si>
    <t>Base Shear</t>
  </si>
  <si>
    <t>Total Base Shear</t>
  </si>
  <si>
    <t>Hoop forces  in beam</t>
  </si>
  <si>
    <t>Live load</t>
  </si>
  <si>
    <r>
      <t>w*Rct/(1+cos</t>
    </r>
    <r>
      <rPr>
        <sz val="10"/>
        <rFont val="Arial"/>
        <family val="2"/>
      </rPr>
      <t>θ</t>
    </r>
    <r>
      <rPr>
        <vertAlign val="subscript"/>
        <sz val="10"/>
        <rFont val="Arial"/>
        <family val="2"/>
      </rPr>
      <t>top</t>
    </r>
    <r>
      <rPr>
        <sz val="10"/>
        <rFont val="Times New Roman"/>
        <family val="1"/>
      </rPr>
      <t>)</t>
    </r>
  </si>
  <si>
    <t>Radius of Dome(Rct)</t>
  </si>
  <si>
    <r>
      <t>(Rio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+rtop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)/2 rtop</t>
    </r>
  </si>
  <si>
    <t>cos-1(Rct--rtop)/Rct)</t>
  </si>
  <si>
    <t>w*Rct*((cosθtop) - 1/(1+cosθtop))</t>
  </si>
  <si>
    <t>π*Dio*b*d*2.5</t>
  </si>
  <si>
    <t>Load from walk way</t>
  </si>
  <si>
    <t xml:space="preserve">Load on walk way </t>
  </si>
  <si>
    <t>Width of Walkway</t>
  </si>
  <si>
    <t>Weight from ring beam and Walkway</t>
  </si>
  <si>
    <t>Vertical Moment at support</t>
  </si>
  <si>
    <t>DESIGN DATA</t>
  </si>
  <si>
    <t>Clear cover to reinf</t>
  </si>
  <si>
    <t>Effective cover</t>
  </si>
  <si>
    <t>Sigmast on water face face</t>
  </si>
  <si>
    <t>Sigmast considered</t>
  </si>
  <si>
    <t>fck</t>
  </si>
  <si>
    <t>σcbc</t>
  </si>
  <si>
    <t xml:space="preserve">m </t>
  </si>
  <si>
    <t>Es/2*Ec</t>
  </si>
  <si>
    <t>Es</t>
  </si>
  <si>
    <t>P</t>
  </si>
  <si>
    <t>P =AXIAL LOAD</t>
  </si>
  <si>
    <t>b</t>
  </si>
  <si>
    <t>B = WIDTH</t>
  </si>
  <si>
    <t>D =DEPTH</t>
  </si>
  <si>
    <t>CLEAR COVER</t>
  </si>
  <si>
    <t>d =EFF.DEPTH</t>
  </si>
  <si>
    <t>σst</t>
  </si>
  <si>
    <t>Ast =(1-SQRT(1-((4.6*Mu)/(fck*b*d^2))))/((2/(b*d))*(fy/fck))</t>
  </si>
  <si>
    <t xml:space="preserve">AST =AREA OF STEEL </t>
  </si>
  <si>
    <t xml:space="preserve">Y= d*Ast/b/d*m (sqrt(1+2/ Ast/b/d*m) -1 ) </t>
  </si>
  <si>
    <t>Y =DPTH OF N.A</t>
  </si>
  <si>
    <t>Z = d-y/3</t>
  </si>
  <si>
    <t>fs = Tensile stress in steel in service condition = Ms/Z*As</t>
  </si>
  <si>
    <t>fcb = Compressive stress in Concrete in service condition = 2*Ms/Z*b*y</t>
  </si>
  <si>
    <t>Average elastic tensile strai in concrete</t>
  </si>
  <si>
    <t>ε2 =b*(h-y)*(h-y)/(3*Es*As*(d-y))</t>
  </si>
  <si>
    <t>εm = ε1-ε2</t>
  </si>
  <si>
    <r>
      <t>a</t>
    </r>
    <r>
      <rPr>
        <b/>
        <vertAlign val="subscript"/>
        <sz val="12"/>
        <color indexed="8"/>
        <rFont val="Arial"/>
        <family val="2"/>
      </rPr>
      <t>cr</t>
    </r>
  </si>
  <si>
    <t>SIGCBCALL=</t>
  </si>
  <si>
    <t>w = (3*acr*em)/(1+2(acr-cmin)/(h-x))</t>
  </si>
  <si>
    <t>Crck Width</t>
  </si>
  <si>
    <t>Ast Reqd</t>
  </si>
  <si>
    <t>net spacing</t>
  </si>
  <si>
    <t>minimum reinf</t>
  </si>
  <si>
    <t>Check for Shear Stress</t>
  </si>
  <si>
    <t xml:space="preserve">Shear  </t>
  </si>
  <si>
    <t>Shear stress</t>
  </si>
  <si>
    <t>Ast Reqd on each face</t>
  </si>
  <si>
    <t>Design Surface crack width w=3.acr.em</t>
  </si>
  <si>
    <t>Average surface strain em=e1-e2</t>
  </si>
  <si>
    <t>Factor due to stiffening effect of concrete=e2 =2.b.h/(3.Es.As)</t>
  </si>
  <si>
    <t>Surface Strain = e1 = es1+eg*a</t>
  </si>
  <si>
    <t>Strain gradient across the section  eg= fs1-fs2/(h-2.a).Es</t>
  </si>
  <si>
    <t>Strain associated with fs1 = es1= fs1/Es</t>
  </si>
  <si>
    <t>fs2=1/ρs2*(T/b.h-ps1 fs1)</t>
  </si>
  <si>
    <t>As2/b/d</t>
  </si>
  <si>
    <t>ρs2</t>
  </si>
  <si>
    <t>As2</t>
  </si>
  <si>
    <t>As1/b/d</t>
  </si>
  <si>
    <t>ρs1</t>
  </si>
  <si>
    <t>sqmm/m</t>
  </si>
  <si>
    <t>As1</t>
  </si>
  <si>
    <t>AST =Area of reinf due to Bending</t>
  </si>
  <si>
    <t>Steel due to Axial Tension</t>
  </si>
  <si>
    <t>M/Th</t>
  </si>
  <si>
    <t xml:space="preserve">ton                                          </t>
  </si>
  <si>
    <t>Shear</t>
  </si>
  <si>
    <t>Applied Service Rension</t>
  </si>
  <si>
    <t>Applied Service moment</t>
  </si>
  <si>
    <t>Wall section in axial Tension</t>
  </si>
  <si>
    <t>Sigmast  considered</t>
  </si>
  <si>
    <t>a = Effective cover</t>
  </si>
  <si>
    <t>On Tension Face</t>
  </si>
  <si>
    <t>On Remote Fcae</t>
  </si>
  <si>
    <t>* The circular girder is supported , using moment co-efficient</t>
  </si>
  <si>
    <t>columns</t>
  </si>
  <si>
    <t>Dia of Col</t>
  </si>
  <si>
    <t>=</t>
  </si>
  <si>
    <t>SBC</t>
  </si>
  <si>
    <t>asper soil report document</t>
  </si>
  <si>
    <t>T/M^2</t>
  </si>
  <si>
    <t>N)</t>
  </si>
  <si>
    <t>For shear</t>
  </si>
  <si>
    <t>For moment</t>
  </si>
  <si>
    <t>extra</t>
  </si>
  <si>
    <t>Shear stress (N/mm2)</t>
  </si>
  <si>
    <t>alth</t>
  </si>
  <si>
    <t>Moment check</t>
  </si>
  <si>
    <t>ast provided</t>
  </si>
  <si>
    <t>spacing</t>
  </si>
  <si>
    <t>pt</t>
  </si>
  <si>
    <r>
      <t>M</t>
    </r>
    <r>
      <rPr>
        <vertAlign val="subscript"/>
        <sz val="11"/>
        <rFont val="Arial"/>
        <family val="2"/>
      </rPr>
      <t>u</t>
    </r>
    <r>
      <rPr>
        <sz val="11"/>
        <rFont val="Arial"/>
        <family val="2"/>
      </rPr>
      <t>/bd</t>
    </r>
    <r>
      <rPr>
        <vertAlign val="superscript"/>
        <sz val="11"/>
        <rFont val="Arial"/>
        <family val="2"/>
      </rPr>
      <t>2</t>
    </r>
  </si>
  <si>
    <t>Effective thkness</t>
  </si>
  <si>
    <t>thickness</t>
  </si>
  <si>
    <t>Circumferential</t>
  </si>
  <si>
    <t>Radial</t>
  </si>
  <si>
    <t>moment in t-m/m</t>
  </si>
  <si>
    <t>%</t>
  </si>
  <si>
    <t>Minimum Reinf for raft in each face &amp; each direction</t>
  </si>
  <si>
    <t>Permissible Mu/bd2</t>
  </si>
  <si>
    <t>Facor of safety</t>
  </si>
  <si>
    <t>Maximum diameter of bar</t>
  </si>
  <si>
    <t>Clear cover to main reinf</t>
  </si>
  <si>
    <t>Provided rebars on drawings may be the same or greater than the above design requirements.</t>
  </si>
  <si>
    <t>Annular Raft</t>
  </si>
  <si>
    <t>Basic wind speed</t>
  </si>
  <si>
    <t>k4</t>
  </si>
  <si>
    <t>VZ</t>
  </si>
  <si>
    <t>Diameter  of Top portion</t>
  </si>
  <si>
    <t>Height of tank</t>
  </si>
  <si>
    <t>Wind load</t>
  </si>
  <si>
    <t>Mu/bd2(fck-25)</t>
  </si>
  <si>
    <t>fy-500</t>
  </si>
  <si>
    <t>Allowable</t>
  </si>
  <si>
    <t>total load</t>
  </si>
  <si>
    <t xml:space="preserve">Conc Capacity </t>
  </si>
  <si>
    <t>allowable comp stress</t>
  </si>
  <si>
    <t>Volumn of  Bottom Spherical dome</t>
  </si>
  <si>
    <t xml:space="preserve">Total load with water </t>
  </si>
  <si>
    <t xml:space="preserve">Total load with out water </t>
  </si>
  <si>
    <t>FOUNDATION AREA CHECK AND STAAD STRESS CHECK FOR REQUIREMENT OF MIN SIZE WITH DEAD LOAD ONLY</t>
  </si>
  <si>
    <t>ε1</t>
  </si>
  <si>
    <r>
      <t>T/A</t>
    </r>
    <r>
      <rPr>
        <b/>
        <vertAlign val="subscript"/>
        <sz val="10"/>
        <rFont val="Times New Roman"/>
        <family val="1"/>
      </rPr>
      <t>s</t>
    </r>
    <r>
      <rPr>
        <b/>
        <sz val="10"/>
        <rFont val="Times New Roman"/>
        <family val="1"/>
      </rPr>
      <t>.E</t>
    </r>
    <r>
      <rPr>
        <b/>
        <vertAlign val="subscript"/>
        <sz val="10"/>
        <rFont val="Times New Roman"/>
        <family val="1"/>
      </rPr>
      <t>s</t>
    </r>
  </si>
  <si>
    <t>ε2</t>
  </si>
  <si>
    <r>
      <t>2bh/3E</t>
    </r>
    <r>
      <rPr>
        <b/>
        <vertAlign val="subscript"/>
        <sz val="10"/>
        <rFont val="Times New Roman"/>
        <family val="1"/>
      </rPr>
      <t>s</t>
    </r>
    <r>
      <rPr>
        <b/>
        <sz val="10"/>
        <rFont val="Times New Roman"/>
        <family val="1"/>
      </rPr>
      <t>A</t>
    </r>
    <r>
      <rPr>
        <b/>
        <vertAlign val="subscript"/>
        <sz val="10"/>
        <rFont val="Times New Roman"/>
        <family val="1"/>
      </rPr>
      <t>s</t>
    </r>
  </si>
  <si>
    <t>ε1 - ε2</t>
  </si>
  <si>
    <t>Average Strain εm</t>
  </si>
  <si>
    <t>w = (3*acr*em)</t>
  </si>
  <si>
    <t>Allowable stress in steel</t>
  </si>
  <si>
    <t>Clear Cover</t>
  </si>
  <si>
    <t>0.8*fy</t>
  </si>
  <si>
    <t xml:space="preserve">Moment  </t>
  </si>
  <si>
    <t>t-m/m</t>
  </si>
  <si>
    <t>For circular shape</t>
  </si>
  <si>
    <t xml:space="preserve">Not applicable </t>
  </si>
  <si>
    <t xml:space="preserve">Taken </t>
  </si>
  <si>
    <t>n/mm2</t>
  </si>
  <si>
    <t>Check for Over turning and Sliding</t>
  </si>
  <si>
    <t xml:space="preserve">Total vertcal load </t>
  </si>
  <si>
    <t>Total load at Foundation level</t>
  </si>
  <si>
    <t>Shear due ti seismic force</t>
  </si>
  <si>
    <t>Moment at base de to seismic</t>
  </si>
  <si>
    <t>ton-m</t>
  </si>
  <si>
    <t>Coeffiient of friction</t>
  </si>
  <si>
    <t>Check for sliding</t>
  </si>
  <si>
    <t>Resisiting force</t>
  </si>
  <si>
    <t>F.O.S against sliding</t>
  </si>
  <si>
    <t>F.O.S against over turning</t>
  </si>
  <si>
    <t>Load Table</t>
  </si>
  <si>
    <t xml:space="preserve">Vertical load </t>
  </si>
  <si>
    <t>Weight of Empty cntainer</t>
  </si>
  <si>
    <t>Diameter of columns</t>
  </si>
  <si>
    <t>Load per meter on ring beam</t>
  </si>
  <si>
    <t>Weight of Water</t>
  </si>
  <si>
    <t xml:space="preserve">Column and bracing </t>
  </si>
  <si>
    <t>self weight command</t>
  </si>
  <si>
    <t>Masso of  container and 1/3 rd of staging</t>
  </si>
  <si>
    <t xml:space="preserve">Horizontal Load </t>
  </si>
  <si>
    <t>Due to Seismic</t>
  </si>
  <si>
    <r>
      <t>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/m</t>
    </r>
  </si>
  <si>
    <r>
      <t>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</t>
    </r>
  </si>
  <si>
    <r>
      <t>m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/m</t>
    </r>
  </si>
  <si>
    <r>
      <t>m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</si>
  <si>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/h</t>
    </r>
  </si>
  <si>
    <r>
      <t>h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</si>
  <si>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i</t>
    </r>
    <r>
      <rPr>
        <vertAlign val="superscript"/>
        <sz val="12"/>
        <rFont val="Times New Roman"/>
        <family val="1"/>
      </rPr>
      <t>*</t>
    </r>
    <r>
      <rPr>
        <sz val="12"/>
        <rFont val="Times New Roman"/>
        <family val="1"/>
      </rPr>
      <t>/h</t>
    </r>
  </si>
  <si>
    <r>
      <t>h</t>
    </r>
    <r>
      <rPr>
        <vertAlign val="subscript"/>
        <sz val="12"/>
        <rFont val="Times New Roman"/>
        <family val="1"/>
      </rPr>
      <t>i</t>
    </r>
    <r>
      <rPr>
        <vertAlign val="superscript"/>
        <sz val="12"/>
        <rFont val="Times New Roman"/>
        <family val="1"/>
      </rPr>
      <t>*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</si>
  <si>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/h</t>
    </r>
  </si>
  <si>
    <r>
      <t>h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 xml:space="preserve"> </t>
    </r>
  </si>
  <si>
    <r>
      <t>h</t>
    </r>
    <r>
      <rPr>
        <vertAlign val="subscript"/>
        <sz val="12"/>
        <rFont val="Times New Roman"/>
        <family val="1"/>
      </rPr>
      <t>c</t>
    </r>
    <r>
      <rPr>
        <vertAlign val="superscript"/>
        <sz val="12"/>
        <rFont val="Times New Roman"/>
        <family val="1"/>
      </rPr>
      <t>*</t>
    </r>
    <r>
      <rPr>
        <sz val="12"/>
        <rFont val="Times New Roman"/>
        <family val="1"/>
      </rPr>
      <t>/h</t>
    </r>
  </si>
  <si>
    <r>
      <t>C</t>
    </r>
    <r>
      <rPr>
        <vertAlign val="subscript"/>
        <sz val="12"/>
        <rFont val="Times New Roman"/>
        <family val="1"/>
      </rPr>
      <t>c</t>
    </r>
  </si>
  <si>
    <r>
      <t>m</t>
    </r>
    <r>
      <rPr>
        <vertAlign val="subscript"/>
        <sz val="12"/>
        <rFont val="Times New Roman"/>
        <family val="1"/>
      </rPr>
      <t>s</t>
    </r>
  </si>
  <si>
    <r>
      <t>K</t>
    </r>
    <r>
      <rPr>
        <vertAlign val="subscript"/>
        <sz val="12"/>
        <rFont val="Times New Roman"/>
        <family val="1"/>
      </rPr>
      <t>s</t>
    </r>
  </si>
  <si>
    <r>
      <t>T</t>
    </r>
    <r>
      <rPr>
        <vertAlign val="subscript"/>
        <sz val="12"/>
        <rFont val="Times New Roman"/>
        <family val="1"/>
      </rPr>
      <t>i</t>
    </r>
  </si>
  <si>
    <r>
      <t>2*</t>
    </r>
    <r>
      <rPr>
        <sz val="12"/>
        <rFont val="Arial"/>
        <family val="2"/>
      </rPr>
      <t>π</t>
    </r>
    <r>
      <rPr>
        <sz val="12"/>
        <rFont val="Times New Roman"/>
        <family val="1"/>
      </rPr>
      <t>((m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+m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)/k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)</t>
    </r>
  </si>
  <si>
    <r>
      <t>T</t>
    </r>
    <r>
      <rPr>
        <vertAlign val="subscript"/>
        <sz val="12"/>
        <rFont val="Times New Roman"/>
        <family val="1"/>
      </rPr>
      <t>c</t>
    </r>
  </si>
  <si>
    <r>
      <t>C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(D/G)^0.5)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</si>
  <si>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>i</t>
    </r>
  </si>
  <si>
    <r>
      <t>Z/2*I/R*S</t>
    </r>
    <r>
      <rPr>
        <vertAlign val="subscript"/>
        <sz val="12"/>
        <rFont val="Times New Roman"/>
        <family val="1"/>
      </rPr>
      <t>a</t>
    </r>
    <r>
      <rPr>
        <sz val="12"/>
        <rFont val="Times New Roman"/>
        <family val="1"/>
      </rPr>
      <t>/g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</si>
  <si>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>c</t>
    </r>
  </si>
  <si>
    <r>
      <t>V</t>
    </r>
    <r>
      <rPr>
        <vertAlign val="subscript"/>
        <sz val="12"/>
        <rFont val="Times New Roman"/>
        <family val="1"/>
      </rPr>
      <t>i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</si>
  <si>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 xml:space="preserve">I </t>
    </r>
    <r>
      <rPr>
        <sz val="12"/>
        <rFont val="Times New Roman"/>
        <family val="1"/>
      </rPr>
      <t>*(m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>+m</t>
    </r>
    <r>
      <rPr>
        <vertAlign val="subscript"/>
        <sz val="12"/>
        <rFont val="Times New Roman"/>
        <family val="1"/>
      </rPr>
      <t>s</t>
    </r>
    <r>
      <rPr>
        <sz val="12"/>
        <rFont val="Times New Roman"/>
        <family val="1"/>
      </rPr>
      <t>)*g</t>
    </r>
  </si>
  <si>
    <r>
      <t>V</t>
    </r>
    <r>
      <rPr>
        <vertAlign val="subscript"/>
        <sz val="12"/>
        <rFont val="Times New Roman"/>
        <family val="1"/>
      </rPr>
      <t>c</t>
    </r>
  </si>
  <si>
    <r>
      <t>(A</t>
    </r>
    <r>
      <rPr>
        <vertAlign val="subscript"/>
        <sz val="12"/>
        <rFont val="Times New Roman"/>
        <family val="1"/>
      </rPr>
      <t>h</t>
    </r>
    <r>
      <rPr>
        <sz val="12"/>
        <rFont val="Times New Roman"/>
        <family val="1"/>
      </rPr>
      <t>)</t>
    </r>
    <r>
      <rPr>
        <vertAlign val="subscript"/>
        <sz val="12"/>
        <rFont val="Times New Roman"/>
        <family val="1"/>
      </rPr>
      <t xml:space="preserve">c </t>
    </r>
    <r>
      <rPr>
        <sz val="12"/>
        <rFont val="Times New Roman"/>
        <family val="1"/>
      </rPr>
      <t>*(m</t>
    </r>
    <r>
      <rPr>
        <vertAlign val="subscript"/>
        <sz val="12"/>
        <rFont val="Times New Roman"/>
        <family val="1"/>
      </rPr>
      <t>c</t>
    </r>
    <r>
      <rPr>
        <sz val="12"/>
        <rFont val="Times New Roman"/>
        <family val="1"/>
      </rPr>
      <t>)*g</t>
    </r>
  </si>
  <si>
    <r>
      <t>(V</t>
    </r>
    <r>
      <rPr>
        <vertAlign val="subscript"/>
        <sz val="12"/>
        <rFont val="Times New Roman"/>
        <family val="1"/>
      </rPr>
      <t>i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+V</t>
    </r>
    <r>
      <rPr>
        <vertAlign val="subscript"/>
        <sz val="12"/>
        <rFont val="Times New Roman"/>
        <family val="1"/>
      </rPr>
      <t>c</t>
    </r>
    <r>
      <rPr>
        <vertAlign val="superscript"/>
        <sz val="12"/>
        <rFont val="Times New Roman"/>
        <family val="1"/>
      </rPr>
      <t>2</t>
    </r>
    <r>
      <rPr>
        <sz val="12"/>
        <rFont val="Times New Roman"/>
        <family val="1"/>
      </rPr>
      <t>)</t>
    </r>
    <r>
      <rPr>
        <vertAlign val="superscript"/>
        <sz val="12"/>
        <rFont val="Times New Roman"/>
        <family val="1"/>
      </rPr>
      <t>1/2</t>
    </r>
  </si>
  <si>
    <t>Centre of Gravity ofEmpty Container from Bottom ring beam</t>
  </si>
  <si>
    <t>Point of application of Horizontal from Bottom Rng Beam</t>
  </si>
  <si>
    <t>Number of columns</t>
  </si>
  <si>
    <t>Horizontal shear  per column node</t>
  </si>
  <si>
    <t>Moment at Bottom girder due to shear per column node</t>
  </si>
  <si>
    <t>M25</t>
  </si>
  <si>
    <t>Net Capacity</t>
  </si>
  <si>
    <t>Capacity of steel needed for tension</t>
  </si>
  <si>
    <t>Minimum Reinf</t>
  </si>
  <si>
    <t xml:space="preserve">The minimum reinf </t>
  </si>
  <si>
    <t>ton -m</t>
  </si>
  <si>
    <t>k</t>
  </si>
  <si>
    <t>1/3*22/7*K*(Dio/2)3-1/3*22/7*(Dibottom/2)3</t>
  </si>
  <si>
    <r>
      <t>π/4(Dio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*(H-h')*k</t>
    </r>
  </si>
  <si>
    <t>mm2</t>
  </si>
  <si>
    <t>Moment  &amp; Shear at   Base</t>
  </si>
  <si>
    <t>Parameter</t>
  </si>
  <si>
    <t>Design Data</t>
  </si>
  <si>
    <t>Net spacing</t>
  </si>
  <si>
    <t>t/mm2</t>
  </si>
  <si>
    <t xml:space="preserve">mm </t>
  </si>
  <si>
    <t xml:space="preserve">Span  Moment </t>
  </si>
  <si>
    <t>Pressure</t>
  </si>
  <si>
    <t>DL+LL</t>
  </si>
  <si>
    <t>Dimension less than 14 m</t>
  </si>
  <si>
    <t>on single face</t>
  </si>
  <si>
    <t>θtop</t>
  </si>
  <si>
    <t>Tensile stress checked with working stress also</t>
  </si>
  <si>
    <r>
      <t>n/mm</t>
    </r>
    <r>
      <rPr>
        <vertAlign val="superscript"/>
        <sz val="12"/>
        <rFont val="Times New Roman"/>
        <family val="1"/>
      </rPr>
      <t>2</t>
    </r>
  </si>
  <si>
    <t>Negative moment</t>
  </si>
  <si>
    <t>Posititive moment</t>
  </si>
  <si>
    <t>Torsional moment</t>
  </si>
  <si>
    <t>Numbere of Columns</t>
  </si>
  <si>
    <t>Sets of Beam includig Plinth Beam</t>
  </si>
  <si>
    <t>sets</t>
  </si>
  <si>
    <t>Summation of loads and moments</t>
  </si>
  <si>
    <t>Full capacity</t>
  </si>
  <si>
    <t>At fdn level</t>
  </si>
  <si>
    <t>Applied at</t>
  </si>
  <si>
    <t>m lvl</t>
  </si>
  <si>
    <t>WL</t>
  </si>
  <si>
    <t>Foundation at</t>
  </si>
  <si>
    <t>EL</t>
  </si>
  <si>
    <t>Seismic load</t>
  </si>
  <si>
    <t>DL + LL</t>
  </si>
  <si>
    <t>Replace by</t>
  </si>
  <si>
    <t>TM</t>
  </si>
  <si>
    <t>Depth of foundation</t>
  </si>
  <si>
    <t>Load combinations for service case</t>
  </si>
  <si>
    <t>DL + LL + EL</t>
  </si>
  <si>
    <t>Vertical Force</t>
  </si>
  <si>
    <t>Horizontal Force</t>
  </si>
  <si>
    <t>Refer SN Manohar - Tall structures</t>
  </si>
  <si>
    <t>Wall thk</t>
  </si>
  <si>
    <t>Radius inner</t>
  </si>
  <si>
    <t>Area of foundation</t>
  </si>
  <si>
    <t>FDN depth</t>
  </si>
  <si>
    <t>* Assuming uniform pressure distribution</t>
  </si>
  <si>
    <t>a</t>
  </si>
  <si>
    <t>Load</t>
  </si>
  <si>
    <t>m2</t>
  </si>
  <si>
    <t>DL + LL + WL</t>
  </si>
  <si>
    <t>Y1</t>
  </si>
  <si>
    <t>Y2</t>
  </si>
  <si>
    <t>Y3</t>
  </si>
  <si>
    <t>Y4</t>
  </si>
  <si>
    <t>Y5</t>
  </si>
  <si>
    <t>Y6</t>
  </si>
  <si>
    <t>Y7</t>
  </si>
  <si>
    <t>f</t>
  </si>
  <si>
    <t>Y8</t>
  </si>
  <si>
    <t>Axial load</t>
  </si>
  <si>
    <t>Mri</t>
  </si>
  <si>
    <t>c</t>
  </si>
  <si>
    <t>Mt</t>
  </si>
  <si>
    <t>Mr</t>
  </si>
  <si>
    <t>Axial Load, Mrb,Mt1)</t>
  </si>
  <si>
    <r>
      <t>Mr</t>
    </r>
    <r>
      <rPr>
        <sz val="10"/>
        <rFont val="Calibri"/>
        <family val="2"/>
      </rPr>
      <t>β</t>
    </r>
  </si>
  <si>
    <t>coeff</t>
  </si>
  <si>
    <t>Mt1</t>
  </si>
  <si>
    <r>
      <t>Mt</t>
    </r>
    <r>
      <rPr>
        <sz val="10"/>
        <rFont val="Calibri"/>
        <family val="2"/>
      </rPr>
      <t>β</t>
    </r>
  </si>
  <si>
    <r>
      <t>Mt</t>
    </r>
    <r>
      <rPr>
        <sz val="10"/>
        <rFont val="Arial"/>
        <family val="2"/>
      </rPr>
      <t>α</t>
    </r>
  </si>
  <si>
    <t>Axial Load</t>
  </si>
  <si>
    <t>Axial radial</t>
  </si>
  <si>
    <t>Axial tangential</t>
  </si>
  <si>
    <t>For axial loads</t>
  </si>
  <si>
    <t>For moments</t>
  </si>
  <si>
    <t>Moment radial</t>
  </si>
  <si>
    <t>Annular raft</t>
  </si>
  <si>
    <t>Full raft</t>
  </si>
  <si>
    <t>Mre</t>
  </si>
  <si>
    <t>q</t>
  </si>
  <si>
    <t>Mti</t>
  </si>
  <si>
    <t>Mte</t>
  </si>
  <si>
    <t>Qri</t>
  </si>
  <si>
    <t>Qre</t>
  </si>
  <si>
    <t>ranges from</t>
  </si>
  <si>
    <t>DL+LL+EL</t>
  </si>
  <si>
    <t>Combined</t>
  </si>
  <si>
    <t>Qr</t>
  </si>
  <si>
    <t>DL+LL+WL</t>
  </si>
  <si>
    <t>Earthquake load</t>
  </si>
  <si>
    <r>
      <t>n/mm</t>
    </r>
    <r>
      <rPr>
        <vertAlign val="superscript"/>
        <sz val="11"/>
        <color indexed="8"/>
        <rFont val="Arial"/>
        <family val="2"/>
      </rPr>
      <t>2</t>
    </r>
  </si>
  <si>
    <r>
      <t>N/MM</t>
    </r>
    <r>
      <rPr>
        <vertAlign val="superscript"/>
        <sz val="11"/>
        <color indexed="8"/>
        <rFont val="Arial"/>
        <family val="2"/>
      </rPr>
      <t>2</t>
    </r>
  </si>
  <si>
    <r>
      <t>t/mm</t>
    </r>
    <r>
      <rPr>
        <vertAlign val="superscript"/>
        <sz val="11"/>
        <color indexed="8"/>
        <rFont val="Arial"/>
        <family val="2"/>
      </rPr>
      <t>2</t>
    </r>
  </si>
  <si>
    <r>
      <t>mm</t>
    </r>
    <r>
      <rPr>
        <vertAlign val="super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>/m</t>
    </r>
  </si>
  <si>
    <r>
      <t>fs1=M/2.b.h</t>
    </r>
    <r>
      <rPr>
        <b/>
        <vertAlign val="superscript"/>
        <sz val="11"/>
        <color indexed="8"/>
        <rFont val="Arial"/>
        <family val="2"/>
      </rPr>
      <t>2</t>
    </r>
    <r>
      <rPr>
        <b/>
        <sz val="11"/>
        <color indexed="8"/>
        <rFont val="Arial"/>
        <family val="2"/>
      </rPr>
      <t xml:space="preserve"> ρs1.(0.5-a1) + T/(2.b.h .ps1)</t>
    </r>
  </si>
  <si>
    <r>
      <t>a</t>
    </r>
    <r>
      <rPr>
        <b/>
        <vertAlign val="subscript"/>
        <sz val="11"/>
        <color indexed="8"/>
        <rFont val="Arial"/>
        <family val="2"/>
      </rPr>
      <t>cr</t>
    </r>
  </si>
  <si>
    <r>
      <t>0.8*f</t>
    </r>
    <r>
      <rPr>
        <vertAlign val="subscript"/>
        <sz val="11"/>
        <color indexed="8"/>
        <rFont val="Arial"/>
        <family val="2"/>
      </rPr>
      <t>y</t>
    </r>
  </si>
  <si>
    <r>
      <t>t/m</t>
    </r>
    <r>
      <rPr>
        <vertAlign val="superscript"/>
        <sz val="11"/>
        <color indexed="8"/>
        <rFont val="Arial"/>
        <family val="2"/>
      </rPr>
      <t>3</t>
    </r>
  </si>
  <si>
    <r>
      <t>ε</t>
    </r>
    <r>
      <rPr>
        <b/>
        <vertAlign val="subscript"/>
        <sz val="11"/>
        <color indexed="8"/>
        <rFont val="Arial"/>
        <family val="2"/>
      </rPr>
      <t>1 =</t>
    </r>
    <r>
      <rPr>
        <b/>
        <sz val="11"/>
        <color indexed="8"/>
        <rFont val="Arial"/>
        <family val="2"/>
      </rPr>
      <t>( (h-y)*f</t>
    </r>
    <r>
      <rPr>
        <b/>
        <vertAlign val="subscript"/>
        <sz val="11"/>
        <color indexed="8"/>
        <rFont val="Arial"/>
        <family val="2"/>
      </rPr>
      <t>s</t>
    </r>
    <r>
      <rPr>
        <b/>
        <sz val="11"/>
        <color indexed="8"/>
        <rFont val="Arial"/>
        <family val="2"/>
      </rPr>
      <t>)/((d-y)*E</t>
    </r>
    <r>
      <rPr>
        <b/>
        <vertAlign val="subscript"/>
        <sz val="11"/>
        <color indexed="8"/>
        <rFont val="Arial"/>
        <family val="2"/>
      </rPr>
      <t>s</t>
    </r>
    <r>
      <rPr>
        <b/>
        <sz val="11"/>
        <color indexed="8"/>
        <rFont val="Arial"/>
        <family val="2"/>
      </rPr>
      <t>)</t>
    </r>
  </si>
  <si>
    <r>
      <t>V</t>
    </r>
    <r>
      <rPr>
        <b/>
        <vertAlign val="subscript"/>
        <sz val="11"/>
        <rFont val="Times New Roman"/>
        <family val="1"/>
      </rPr>
      <t>2</t>
    </r>
  </si>
  <si>
    <r>
      <t>T</t>
    </r>
    <r>
      <rPr>
        <b/>
        <vertAlign val="subscript"/>
        <sz val="11"/>
        <rFont val="Times New Roman"/>
        <family val="1"/>
      </rPr>
      <t>1</t>
    </r>
  </si>
  <si>
    <r>
      <t>V</t>
    </r>
    <r>
      <rPr>
        <vertAlign val="subscript"/>
        <sz val="11"/>
        <rFont val="Times New Roman"/>
        <family val="1"/>
      </rPr>
      <t>2</t>
    </r>
    <r>
      <rPr>
        <sz val="11"/>
        <rFont val="Times New Roman"/>
        <family val="1"/>
      </rPr>
      <t>cosecθ</t>
    </r>
  </si>
  <si>
    <r>
      <t>σ</t>
    </r>
    <r>
      <rPr>
        <b/>
        <vertAlign val="subscript"/>
        <sz val="11"/>
        <rFont val="Times New Roman"/>
        <family val="1"/>
      </rPr>
      <t>T</t>
    </r>
  </si>
  <si>
    <r>
      <t>N/mm</t>
    </r>
    <r>
      <rPr>
        <vertAlign val="superscript"/>
        <sz val="11"/>
        <rFont val="Times New Roman"/>
        <family val="1"/>
      </rPr>
      <t>2</t>
    </r>
  </si>
  <si>
    <r>
      <t>σs</t>
    </r>
    <r>
      <rPr>
        <b/>
        <vertAlign val="subscript"/>
        <sz val="11"/>
        <rFont val="Times New Roman"/>
        <family val="1"/>
      </rPr>
      <t>T</t>
    </r>
  </si>
  <si>
    <r>
      <t>A</t>
    </r>
    <r>
      <rPr>
        <b/>
        <vertAlign val="subscript"/>
        <sz val="11"/>
        <rFont val="Times New Roman"/>
        <family val="1"/>
      </rPr>
      <t>stm</t>
    </r>
  </si>
  <si>
    <r>
      <t>mm</t>
    </r>
    <r>
      <rPr>
        <vertAlign val="superscript"/>
        <sz val="11"/>
        <rFont val="Times New Roman"/>
        <family val="1"/>
      </rPr>
      <t>2</t>
    </r>
  </si>
  <si>
    <t>TOP</t>
  </si>
  <si>
    <t>Bottom</t>
  </si>
  <si>
    <t>Qti</t>
  </si>
  <si>
    <t>Qte</t>
  </si>
  <si>
    <t>Qt</t>
  </si>
  <si>
    <t>Diameter of tank including plaster</t>
  </si>
  <si>
    <t xml:space="preserve">Inside plaster </t>
  </si>
  <si>
    <t>Diameter of tank excluding plaster</t>
  </si>
  <si>
    <t>For 150 mm Dead storage</t>
  </si>
  <si>
    <t>Provide minimum 0.14% reinf.</t>
  </si>
  <si>
    <t>sqmm</t>
  </si>
  <si>
    <t>Due to wind Tank Empty</t>
  </si>
  <si>
    <t>Due to wind Tank Full</t>
  </si>
  <si>
    <t>Wind Load on Col</t>
  </si>
  <si>
    <t>Wind Load on Beam</t>
  </si>
  <si>
    <t>clear cover</t>
  </si>
  <si>
    <t>Project :</t>
  </si>
  <si>
    <t>Document No.</t>
  </si>
  <si>
    <t>Rev.</t>
  </si>
  <si>
    <t>Title :</t>
  </si>
  <si>
    <t>Design</t>
  </si>
  <si>
    <t>Check</t>
  </si>
  <si>
    <t>Date</t>
  </si>
  <si>
    <t>SKS</t>
  </si>
  <si>
    <t>JKS</t>
  </si>
  <si>
    <t>INTRODUCTION:</t>
  </si>
  <si>
    <t>General:</t>
  </si>
  <si>
    <t>This document covers the design of Elevated service reservoir (Intze Type) with</t>
  </si>
  <si>
    <t xml:space="preserve">Capacity = </t>
  </si>
  <si>
    <t xml:space="preserve">having a staging height = </t>
  </si>
  <si>
    <t xml:space="preserve">The design of OHR includes the design of Roof Dome, Cylindrical wall, Conical Dome, Bottom dome, </t>
  </si>
  <si>
    <t>Gallery Platform (Walkway Slab), Bottom and top Ring beam , Columns, Tie beams, Foundation</t>
  </si>
  <si>
    <t xml:space="preserve"> and Staircase.</t>
  </si>
  <si>
    <t>The following Primary Loads are considered in the design of the tank portion</t>
  </si>
  <si>
    <t>a) Dead Load</t>
  </si>
  <si>
    <t xml:space="preserve">b) Live Load </t>
  </si>
  <si>
    <t>c) Water Load inside the tank upto top of the cylindrical wall including free board.</t>
  </si>
  <si>
    <t>d) Wind loads</t>
  </si>
  <si>
    <t xml:space="preserve">e) Seismic loads </t>
  </si>
  <si>
    <t>f) Combination of all the above loads.</t>
  </si>
  <si>
    <t>References:</t>
  </si>
  <si>
    <t>a)</t>
  </si>
  <si>
    <t>IS:456- 2000 - Plain &amp; Reinforced Concrete - Code of Practice (Fourth revision)</t>
  </si>
  <si>
    <t>b)</t>
  </si>
  <si>
    <t xml:space="preserve">IS:3370 - 2009 - Code of practice for Concrete Structures for the Storage of Liquids </t>
  </si>
  <si>
    <t>Part I - General Requirements</t>
  </si>
  <si>
    <t>Part II - Reinforced Concrete Structures</t>
  </si>
  <si>
    <t>c)</t>
  </si>
  <si>
    <t>IS:1893 (Part: 2) - 2014 - Criteria for Earthquake resistant Design of Structures (Fifth revision)</t>
  </si>
  <si>
    <t>d)</t>
  </si>
  <si>
    <t>IS:875 - Part: 1 to 3 - 1987 :  Dead, Live and Wind Loads</t>
  </si>
  <si>
    <t>e)</t>
  </si>
  <si>
    <t>IS:13920 - Ductile detailing of RCC Structures subjected to Seismic forces - Code of Practice</t>
  </si>
  <si>
    <t>Design Philosophy :</t>
  </si>
  <si>
    <t xml:space="preserve"> and Foundation.</t>
  </si>
  <si>
    <t>Material Specifications:</t>
  </si>
  <si>
    <t>Grade of Concrete</t>
  </si>
  <si>
    <t xml:space="preserve">Grade of steel </t>
  </si>
  <si>
    <t>Fe</t>
  </si>
  <si>
    <t>Permissible Stresses in  materials</t>
  </si>
  <si>
    <t>( as per IS 3370 (Part:2) - 2009)</t>
  </si>
  <si>
    <t>Permissible Stresses in Concrete:</t>
  </si>
  <si>
    <t>Relating to Resistance to Cracking</t>
  </si>
  <si>
    <t>Direct Tension</t>
  </si>
  <si>
    <r>
      <t>N/mm</t>
    </r>
    <r>
      <rPr>
        <vertAlign val="superscript"/>
        <sz val="11"/>
        <rFont val="Calibri"/>
        <family val="2"/>
      </rPr>
      <t>2</t>
    </r>
  </si>
  <si>
    <t>(From Table:1)</t>
  </si>
  <si>
    <t>Bending Tension</t>
  </si>
  <si>
    <t>Relating to Strength Calculation</t>
  </si>
  <si>
    <t>Direct compression</t>
  </si>
  <si>
    <t>(From Table:2)</t>
  </si>
  <si>
    <t>Bending compression</t>
  </si>
  <si>
    <t>Characteristic compressive strength in concrete</t>
  </si>
  <si>
    <t>N/mm2</t>
  </si>
  <si>
    <t>(from IS: 456)</t>
  </si>
  <si>
    <t>Permissible Stresses in Steel:</t>
  </si>
  <si>
    <t xml:space="preserve">Tensile Stress in steel under bending, direct tension </t>
  </si>
  <si>
    <t>and shear  for water retaining members</t>
  </si>
  <si>
    <t>(From Table:4)</t>
  </si>
  <si>
    <t>For Staging and Foundation design strength in steel</t>
  </si>
  <si>
    <t>Analysis :</t>
  </si>
  <si>
    <t xml:space="preserve">Finite Element Analysis of  ELSR  is done by using STAAD Pro Software. </t>
  </si>
  <si>
    <t>As Per IS 1893 Part 2 : 2014, P-∆ Analysis for staging is performed.</t>
  </si>
  <si>
    <t>PROJECT</t>
  </si>
  <si>
    <t>Document no</t>
  </si>
  <si>
    <t>Revision</t>
  </si>
  <si>
    <t>TITLE</t>
  </si>
  <si>
    <t>9.0 CONTINUITY ANALYSIS -</t>
  </si>
  <si>
    <t>JUNCTION 1  - TOP DOME, RING BEAM (B1) &amp; CYLINDRICAL WALL (TOP JOINT)</t>
  </si>
  <si>
    <t>TOP JOINT</t>
  </si>
  <si>
    <t>Top Dome-</t>
  </si>
  <si>
    <t>1. Radius</t>
  </si>
  <si>
    <t>R₁</t>
  </si>
  <si>
    <t>2. Thickness</t>
  </si>
  <si>
    <t>t₁</t>
  </si>
  <si>
    <t>3. Semicentral Angle</t>
  </si>
  <si>
    <t>φ₁</t>
  </si>
  <si>
    <t>degree</t>
  </si>
  <si>
    <t>Sinφ₁</t>
  </si>
  <si>
    <t>Cosφ₁</t>
  </si>
  <si>
    <t>4. Rise</t>
  </si>
  <si>
    <t>h₁</t>
  </si>
  <si>
    <t>5. Udl</t>
  </si>
  <si>
    <t>p₁</t>
  </si>
  <si>
    <t>N/sqmm</t>
  </si>
  <si>
    <t>6. Density of water</t>
  </si>
  <si>
    <t>N/cum</t>
  </si>
  <si>
    <t>Top ring beam (B1)-</t>
  </si>
  <si>
    <t>1. Breadth</t>
  </si>
  <si>
    <t>b₁</t>
  </si>
  <si>
    <t>2. Depth</t>
  </si>
  <si>
    <t>d₁</t>
  </si>
  <si>
    <t>3.Central  Radius</t>
  </si>
  <si>
    <r>
      <t>r</t>
    </r>
    <r>
      <rPr>
        <sz val="11"/>
        <rFont val="Calibri"/>
        <family val="2"/>
      </rPr>
      <t>₁</t>
    </r>
  </si>
  <si>
    <t>Cylindrical wall-</t>
  </si>
  <si>
    <t>1. Central diameter</t>
  </si>
  <si>
    <t>t₃</t>
  </si>
  <si>
    <t>3. Height of wall</t>
  </si>
  <si>
    <t>Calculation for memberance deformation and stiffness-</t>
  </si>
  <si>
    <t>(i) Top dome</t>
  </si>
  <si>
    <r>
      <t>α</t>
    </r>
    <r>
      <rPr>
        <vertAlign val="subscript"/>
        <sz val="11"/>
        <rFont val="Calibri"/>
        <family val="2"/>
      </rPr>
      <t>1</t>
    </r>
    <r>
      <rPr>
        <vertAlign val="superscript"/>
        <sz val="11"/>
        <rFont val="Calibri"/>
        <family val="2"/>
      </rPr>
      <t>4</t>
    </r>
  </si>
  <si>
    <t>=3(R₁∕t₁)²</t>
  </si>
  <si>
    <t>3x(15.03828125∕0.15)^2</t>
  </si>
  <si>
    <t>α₁</t>
  </si>
  <si>
    <t>k₁</t>
  </si>
  <si>
    <t>=1-1∕(2α₁)xcotφ₁</t>
  </si>
  <si>
    <t>1-1∕(2x13.178)xcot26.67</t>
  </si>
  <si>
    <t>Slope at the left edge</t>
  </si>
  <si>
    <t>sinφ₁</t>
  </si>
  <si>
    <t>=2p₁R₁sinφ₁∕(Et₁)</t>
  </si>
  <si>
    <t>ψd</t>
  </si>
  <si>
    <t>/E</t>
  </si>
  <si>
    <t>2x6000x15.03828125xsin26.67∕(Ex0.15)</t>
  </si>
  <si>
    <t>radians</t>
  </si>
  <si>
    <t>(Clockwise)</t>
  </si>
  <si>
    <t>The horizontal deflection</t>
  </si>
  <si>
    <t>=p₁R₁²sinφ₁∕(Et₁)x[1∕(1+cosφ₁)-cosφ₁]</t>
  </si>
  <si>
    <t>δd</t>
  </si>
  <si>
    <t>6000x15.03828125^2xsin26.67∕(Ex0.15)x[1∕(1+cos26.67)-cos26.67]</t>
  </si>
  <si>
    <t>(inwards)</t>
  </si>
  <si>
    <t>Moment stiffness</t>
  </si>
  <si>
    <t>=ER₁t₁∕(4α₁³)x(k₁+1∕k₁)</t>
  </si>
  <si>
    <t>E</t>
  </si>
  <si>
    <t>E*15.03828125x0.15∕(4x13.178^3)x[0.924+1∕0.924]</t>
  </si>
  <si>
    <t>N-m/m/ radians</t>
  </si>
  <si>
    <t>Corresponding radial force</t>
  </si>
  <si>
    <t>=Et₁(2α₁²k₁sinφ₁)</t>
  </si>
  <si>
    <t>H'</t>
  </si>
  <si>
    <t>E*0.15∕(2x13.178^2x0.924xsin26.67)</t>
  </si>
  <si>
    <t>N/m/radian</t>
  </si>
  <si>
    <t>(Inward)</t>
  </si>
  <si>
    <t>Thrust stiffness</t>
  </si>
  <si>
    <t>=Et₁∕(α₁R₁k₁sin²φ₁)</t>
  </si>
  <si>
    <t>E*0.15∕(13.178x15.03828125x0.924xsin²26.67)</t>
  </si>
  <si>
    <t>N/m/Unit movement</t>
  </si>
  <si>
    <t>(outwards)</t>
  </si>
  <si>
    <t>Corresponding moment per unit length at edges</t>
  </si>
  <si>
    <t>=Et₁∕(2α₁²k₁sinφ₁)</t>
  </si>
  <si>
    <t>M'</t>
  </si>
  <si>
    <t>N-m/Unit displacement</t>
  </si>
  <si>
    <t>(ii) Ring Beam B1</t>
  </si>
  <si>
    <t>Radial thrust to cause unit  deflection</t>
  </si>
  <si>
    <t>=Eb₁d₁∕r₁²</t>
  </si>
  <si>
    <t>E*0.35x0.35/6.75^2</t>
  </si>
  <si>
    <t>N/m</t>
  </si>
  <si>
    <t>(Outward)</t>
  </si>
  <si>
    <t>Moment per unit cirumference to cause unit rotation</t>
  </si>
  <si>
    <t>=Eb₁d₁³∕(12r₁²)</t>
  </si>
  <si>
    <t>E*0.35*0.35^3/(12x6.75^2)</t>
  </si>
  <si>
    <t>N-m/m</t>
  </si>
  <si>
    <t>(iii) Cylinderical wall</t>
  </si>
  <si>
    <t>Water pressure at bottom of wall</t>
  </si>
  <si>
    <t>"=(12/(D²xt₃²))^¼</t>
  </si>
  <si>
    <t>=Et₃³∕12</t>
  </si>
  <si>
    <t>=2αZ</t>
  </si>
  <si>
    <t>Corresponding thrust</t>
  </si>
  <si>
    <t>=2α²Z</t>
  </si>
  <si>
    <t>=4α³Z</t>
  </si>
  <si>
    <t>The corresponding moment</t>
  </si>
  <si>
    <t>N-m/m/unit dispalcement</t>
  </si>
  <si>
    <t>(Anti Clockwise)</t>
  </si>
  <si>
    <t>Membrance displacement of the tank at bottom</t>
  </si>
  <si>
    <t>=PR∕(t₃E)</t>
  </si>
  <si>
    <t xml:space="preserve">Slope of wall </t>
  </si>
  <si>
    <t>=Displacement*1/H</t>
  </si>
  <si>
    <t>Table showing Moment stiffness, thrust stiffness etc</t>
  </si>
  <si>
    <t>Particulars</t>
  </si>
  <si>
    <t>Unit</t>
  </si>
  <si>
    <t>Beam B1</t>
  </si>
  <si>
    <t>Cylinderical wall</t>
  </si>
  <si>
    <t>Slope</t>
  </si>
  <si>
    <t>Radians</t>
  </si>
  <si>
    <t>Deflection</t>
  </si>
  <si>
    <t>N-m/m/radian</t>
  </si>
  <si>
    <t>N/m/unit displacement</t>
  </si>
  <si>
    <t>Corresponding moment</t>
  </si>
  <si>
    <t>N-m/m/unit displacement</t>
  </si>
  <si>
    <t>Reaction due to continuity</t>
  </si>
  <si>
    <t>Member</t>
  </si>
  <si>
    <t>Clockwise slope</t>
  </si>
  <si>
    <t>Inward displacement</t>
  </si>
  <si>
    <t>ψ</t>
  </si>
  <si>
    <t>δ</t>
  </si>
  <si>
    <t>Tank wall</t>
  </si>
  <si>
    <t>Clockwise moment (M)</t>
  </si>
  <si>
    <t>Dome</t>
  </si>
  <si>
    <t>Clockwise rotation</t>
  </si>
  <si>
    <t>(ψ</t>
  </si>
  <si>
    <t>/E)*</t>
  </si>
  <si>
    <t>Moment required to cause clockwise rotation without any radial dislacement of edges</t>
  </si>
  <si>
    <t>ψE</t>
  </si>
  <si>
    <t>Outward Moment</t>
  </si>
  <si>
    <t>(δ</t>
  </si>
  <si>
    <t>δE</t>
  </si>
  <si>
    <t>Wall</t>
  </si>
  <si>
    <t>Reaction due to thrust from dome</t>
  </si>
  <si>
    <t>Inward Thrust (H)</t>
  </si>
  <si>
    <t>Equation I</t>
  </si>
  <si>
    <t>-</t>
  </si>
  <si>
    <t>+</t>
  </si>
  <si>
    <t>ψE       +</t>
  </si>
  <si>
    <t>Equation II</t>
  </si>
  <si>
    <t>ψE         +</t>
  </si>
  <si>
    <t>ψ=</t>
  </si>
  <si>
    <t>δ=</t>
  </si>
  <si>
    <t>TOP JOINT-</t>
  </si>
  <si>
    <t>Area of Member</t>
  </si>
  <si>
    <t>Thrust</t>
  </si>
  <si>
    <t>Net hoop tension</t>
  </si>
  <si>
    <t>Sqm</t>
  </si>
  <si>
    <t>N-m</t>
  </si>
  <si>
    <t>N</t>
  </si>
  <si>
    <t>Top beam</t>
  </si>
  <si>
    <t>JUNCTION 2 -  CYLINDRICAL WALL, MIDDLE RING BEAM (B2) &amp; CONICAL WALL</t>
  </si>
  <si>
    <t>MIDDLE JOINT</t>
  </si>
  <si>
    <t>Cylinderical wall-</t>
  </si>
  <si>
    <r>
      <t>t</t>
    </r>
    <r>
      <rPr>
        <sz val="11"/>
        <rFont val="Calibri"/>
        <family val="2"/>
      </rPr>
      <t>₄</t>
    </r>
  </si>
  <si>
    <t>Ring beam-</t>
  </si>
  <si>
    <r>
      <t>b</t>
    </r>
    <r>
      <rPr>
        <sz val="11"/>
        <rFont val="Calibri"/>
        <family val="2"/>
      </rPr>
      <t>₂'</t>
    </r>
  </si>
  <si>
    <r>
      <t>d</t>
    </r>
    <r>
      <rPr>
        <sz val="11"/>
        <rFont val="Calibri"/>
        <family val="2"/>
      </rPr>
      <t>₂</t>
    </r>
  </si>
  <si>
    <t>3. Central Radius</t>
  </si>
  <si>
    <r>
      <t>r</t>
    </r>
    <r>
      <rPr>
        <sz val="11"/>
        <rFont val="Calibri"/>
        <family val="2"/>
      </rPr>
      <t>₂</t>
    </r>
  </si>
  <si>
    <t>Conical Dome-</t>
  </si>
  <si>
    <t>1.Thickness at top</t>
  </si>
  <si>
    <r>
      <t>t</t>
    </r>
    <r>
      <rPr>
        <sz val="11"/>
        <rFont val="Calibri"/>
        <family val="2"/>
      </rPr>
      <t>₀</t>
    </r>
  </si>
  <si>
    <t>2.Thickness at bottom</t>
  </si>
  <si>
    <r>
      <t>t</t>
    </r>
    <r>
      <rPr>
        <sz val="11"/>
        <rFont val="Calibri"/>
        <family val="2"/>
      </rPr>
      <t>₀</t>
    </r>
    <r>
      <rPr>
        <sz val="11"/>
        <rFont val="Calibri"/>
        <family val="2"/>
      </rPr>
      <t>'</t>
    </r>
  </si>
  <si>
    <t>3.Central radius of at top</t>
  </si>
  <si>
    <r>
      <t>r</t>
    </r>
    <r>
      <rPr>
        <sz val="11"/>
        <rFont val="Calibri"/>
        <family val="2"/>
      </rPr>
      <t>₀</t>
    </r>
  </si>
  <si>
    <t>4.Central radius at bottom</t>
  </si>
  <si>
    <t>r₀'</t>
  </si>
  <si>
    <t>5.Angle of inner face with vertical</t>
  </si>
  <si>
    <r>
      <t>φ</t>
    </r>
    <r>
      <rPr>
        <sz val="11"/>
        <rFont val="Calibri"/>
        <family val="2"/>
      </rPr>
      <t>₀</t>
    </r>
  </si>
  <si>
    <t>6. Slant height</t>
  </si>
  <si>
    <t>l</t>
  </si>
  <si>
    <t>(i) Cylinderical wall</t>
  </si>
  <si>
    <t>=(12/(D²xt₄²))^¼</t>
  </si>
  <si>
    <t>=Et₄³∕12</t>
  </si>
  <si>
    <t>=PR∕(t₄E)</t>
  </si>
  <si>
    <t>(ii) Ring Beam B2</t>
  </si>
  <si>
    <t>Radial thrust to cause unit deflection</t>
  </si>
  <si>
    <t>=Eb₂'d₂∕r₂²</t>
  </si>
  <si>
    <t>Radial moment to cause unit rotation</t>
  </si>
  <si>
    <t>Eb₂'d₂³∕(12r₂²)</t>
  </si>
  <si>
    <t>(iii) Conical dome</t>
  </si>
  <si>
    <t>Hoop tension at top</t>
  </si>
  <si>
    <r>
      <t>p</t>
    </r>
    <r>
      <rPr>
        <sz val="11"/>
        <rFont val="Calibri"/>
        <family val="2"/>
      </rPr>
      <t>₁</t>
    </r>
  </si>
  <si>
    <t>Hoop tension at bottom</t>
  </si>
  <si>
    <r>
      <t>p</t>
    </r>
    <r>
      <rPr>
        <sz val="11"/>
        <rFont val="Calibri"/>
        <family val="2"/>
      </rPr>
      <t>₂</t>
    </r>
  </si>
  <si>
    <t>The deflection at top</t>
  </si>
  <si>
    <t>=p₁r₀∕(Et₀)</t>
  </si>
  <si>
    <t>Slope at top edge ψ</t>
  </si>
  <si>
    <t>=-tanφ₀∕(Et₀)x(2T₂+T₁)</t>
  </si>
  <si>
    <t>Hoop tension T2</t>
  </si>
  <si>
    <t>Load of vertical wall, top dome etc on top of cone wall</t>
  </si>
  <si>
    <t>=W∕(2πr₀)</t>
  </si>
  <si>
    <t>Meridional thrust T1</t>
  </si>
  <si>
    <t xml:space="preserve"> ψ</t>
  </si>
  <si>
    <t>Δ</t>
  </si>
  <si>
    <t>=(12cot²φ₀∕t₀²)^¼</t>
  </si>
  <si>
    <t>L'</t>
  </si>
  <si>
    <t>=r₀'cosecφ₀</t>
  </si>
  <si>
    <t>L</t>
  </si>
  <si>
    <t>=l+L'</t>
  </si>
  <si>
    <t>=2Δ√L</t>
  </si>
  <si>
    <t/>
  </si>
  <si>
    <t>(Co-Effiecients for conical dome)</t>
  </si>
  <si>
    <t>(page 673, Table 22.19 BC.Punmia)</t>
  </si>
  <si>
    <t>K1</t>
  </si>
  <si>
    <t>K2</t>
  </si>
  <si>
    <t>K3</t>
  </si>
  <si>
    <t>K4</t>
  </si>
  <si>
    <t>Moment stiffness at top</t>
  </si>
  <si>
    <t>=Et₀K₄L∕((K₁K₄-K₂K₃)tan²φ₀)</t>
  </si>
  <si>
    <t>=Et₀K₂∕((K₁K₄-K₂K₃)sinφ₀tanφ₀)</t>
  </si>
  <si>
    <t>Thrust stiffness at top</t>
  </si>
  <si>
    <t>=Et₀K₁∕((K₁K₄-K₂K₃)Lsin²φ₀)</t>
  </si>
  <si>
    <t>=Et₀K₃∕((K₁K₄-K₂K₃)sinφ₀tanφ₀)</t>
  </si>
  <si>
    <t>Beam B3</t>
  </si>
  <si>
    <t>Conical wall</t>
  </si>
  <si>
    <t>M-m/m/radian</t>
  </si>
  <si>
    <t>δ     +</t>
  </si>
  <si>
    <t>Conical dome</t>
  </si>
  <si>
    <t>ψ       +</t>
  </si>
  <si>
    <t>(δ+</t>
  </si>
  <si>
    <t>δE        +</t>
  </si>
  <si>
    <t>(ψ+</t>
  </si>
  <si>
    <t>Balcony moment</t>
  </si>
  <si>
    <t>Water pressure on Beam B3</t>
  </si>
  <si>
    <t>Thrust from conical dome</t>
  </si>
  <si>
    <t>0.003347</t>
  </si>
  <si>
    <t>δE      +</t>
  </si>
  <si>
    <t>INTERMEDIATE JOINT-</t>
  </si>
  <si>
    <t>Midle ring beam</t>
  </si>
  <si>
    <t>JUNCTION 3 - CONICAL WALL, BOTTOM RING BEAM (B3) &amp; BOTTOM DOME</t>
  </si>
  <si>
    <t>BOTTOM JOINT</t>
  </si>
  <si>
    <r>
      <t>Cos</t>
    </r>
    <r>
      <rPr>
        <sz val="11"/>
        <rFont val="Calibri"/>
        <family val="2"/>
      </rPr>
      <t>φ₂</t>
    </r>
  </si>
  <si>
    <r>
      <t>Sin</t>
    </r>
    <r>
      <rPr>
        <sz val="11"/>
        <rFont val="Calibri"/>
        <family val="2"/>
      </rPr>
      <t>φ₂</t>
    </r>
  </si>
  <si>
    <r>
      <t>tan</t>
    </r>
    <r>
      <rPr>
        <sz val="11"/>
        <rFont val="Calibri"/>
        <family val="2"/>
      </rPr>
      <t>φ₂</t>
    </r>
  </si>
  <si>
    <t>Bottom Ring beam-</t>
  </si>
  <si>
    <t>b₃</t>
  </si>
  <si>
    <t>d₃</t>
  </si>
  <si>
    <r>
      <t>r</t>
    </r>
    <r>
      <rPr>
        <sz val="11"/>
        <rFont val="Calibri"/>
        <family val="2"/>
      </rPr>
      <t>₃</t>
    </r>
  </si>
  <si>
    <t>Bottom Dome-</t>
  </si>
  <si>
    <t>1. Udl on top dome</t>
  </si>
  <si>
    <t>a) Due to self weight</t>
  </si>
  <si>
    <t>N/sqm</t>
  </si>
  <si>
    <t>b) Due to weight of water</t>
  </si>
  <si>
    <t>p'</t>
  </si>
  <si>
    <t>2. Radius</t>
  </si>
  <si>
    <t>R₂</t>
  </si>
  <si>
    <t>3. Thickness</t>
  </si>
  <si>
    <t>t₂</t>
  </si>
  <si>
    <t>4. Semicentral Angle</t>
  </si>
  <si>
    <t>φ₂</t>
  </si>
  <si>
    <t>2 cos φ₂</t>
  </si>
  <si>
    <t>5. Rise of dome</t>
  </si>
  <si>
    <t>h₂</t>
  </si>
  <si>
    <t>(i) Conical dome</t>
  </si>
  <si>
    <t>The deflection at bottom</t>
  </si>
  <si>
    <t>=p₂r₀'∕(Et₀')</t>
  </si>
  <si>
    <t>Slope at bottom edge ψ</t>
  </si>
  <si>
    <t>=-tanφ₀∕(Et₀')x(2T₂+T₁)</t>
  </si>
  <si>
    <t>T₂</t>
  </si>
  <si>
    <t>Load of vertical wall, top dome, cone wall etc on bottom of cone wall</t>
  </si>
  <si>
    <t>T₁</t>
  </si>
  <si>
    <t>Δ'</t>
  </si>
  <si>
    <t>=(12cot²φ₀∕t₀'²)^¼</t>
  </si>
  <si>
    <t>Z'</t>
  </si>
  <si>
    <t>=2Δ√L'</t>
  </si>
  <si>
    <t>K1'</t>
  </si>
  <si>
    <t>K2'</t>
  </si>
  <si>
    <t>K3'</t>
  </si>
  <si>
    <t>K4'</t>
  </si>
  <si>
    <t>Check and change the vaues</t>
  </si>
  <si>
    <t xml:space="preserve">Moment stiffness </t>
  </si>
  <si>
    <t>=Et₀'K₄'L'∕((K₁'K₄'-K₂'K₃')tan²φ₀)</t>
  </si>
  <si>
    <t>=Et₀'K₂'∕((K₁'K₄'-K₂'K₃')sinφ₀tanφ₀)</t>
  </si>
  <si>
    <t>=Et₀'K₁'∕((K₁'K₄'-K₂'K₃')L'sin²φ₀)</t>
  </si>
  <si>
    <t>=Et₀'K₃'∕((K₁'K₄'-K₂'K₃')sinφ₀tanφ₀)</t>
  </si>
  <si>
    <t>(ii) Ring Beam</t>
  </si>
  <si>
    <t>=b₃d₃³∕(3r₃²)</t>
  </si>
  <si>
    <t>N-m/radian</t>
  </si>
  <si>
    <t>=b₃d₃²E∕(2r₃²)</t>
  </si>
  <si>
    <t>N/radian</t>
  </si>
  <si>
    <t xml:space="preserve">Thrust stiffness </t>
  </si>
  <si>
    <t>=b₃d₃E∕r₃²</t>
  </si>
  <si>
    <t>N/unit movement</t>
  </si>
  <si>
    <t>N-m/unit movement</t>
  </si>
  <si>
    <t>(iii) Bottom dome</t>
  </si>
  <si>
    <t>α₂</t>
  </si>
  <si>
    <t>k₂</t>
  </si>
  <si>
    <t>=(2pR₂sinφ₂)∕(Et₂)+0-(wR₂²sinφ₂)∕(Et₂)</t>
  </si>
  <si>
    <t>(Anticlockwise)</t>
  </si>
  <si>
    <t xml:space="preserve">Displacement </t>
  </si>
  <si>
    <t>=pR₂²sinφ₂∕(Et₂)[1∕(1+cosφ₂)-cosφ₂]-p'R₂²sinφ₂∕(2Et₂)+wR₂³sinφ₂∕(6Et₂(1+cosφ₂))x[2cos²φ₂+cosφ₂-3]</t>
  </si>
  <si>
    <t>=ER₂t₂∕(4α₂³)x(k₂+1∕k₂)</t>
  </si>
  <si>
    <t>Corresponding H</t>
  </si>
  <si>
    <t>=Et₂∕(2α₂²k₂sinφ₂)</t>
  </si>
  <si>
    <t>=Et₂∕(α₂R₂k₂sin²φ₂)</t>
  </si>
  <si>
    <t>N/unit displacement</t>
  </si>
  <si>
    <t>Net thrust from bottom dome</t>
  </si>
  <si>
    <t>BOTTOM JOINT-</t>
  </si>
  <si>
    <t>Bottom ring beam</t>
  </si>
  <si>
    <t>w(h)xD∕2</t>
  </si>
  <si>
    <t>K₁</t>
  </si>
  <si>
    <t>K₂</t>
  </si>
  <si>
    <t>K₃</t>
  </si>
  <si>
    <t>K₄</t>
  </si>
  <si>
    <t>Surface area</t>
  </si>
  <si>
    <t>p₂</t>
  </si>
  <si>
    <t>K₁'</t>
  </si>
  <si>
    <t>K₂'</t>
  </si>
  <si>
    <t>K₃'</t>
  </si>
  <si>
    <t>K₄'</t>
  </si>
  <si>
    <t>α24</t>
  </si>
  <si>
    <t>3(R2/t2)²</t>
  </si>
  <si>
    <t>1-1∕(2α2)xcotφ2</t>
  </si>
  <si>
    <t>Calculations as per continuity analysis-</t>
  </si>
  <si>
    <t>Hoop tension at edges as per continuity analysis</t>
  </si>
  <si>
    <t>&lt;</t>
  </si>
  <si>
    <t>mt</t>
  </si>
  <si>
    <t>Say</t>
  </si>
  <si>
    <r>
      <t>mm</t>
    </r>
    <r>
      <rPr>
        <vertAlign val="superscript"/>
        <sz val="11"/>
        <rFont val="Calibri"/>
        <family val="2"/>
      </rPr>
      <t>2</t>
    </r>
  </si>
  <si>
    <t>Provide dia of bar</t>
  </si>
  <si>
    <t>Area of each Bar</t>
  </si>
  <si>
    <t>No of hoops required</t>
  </si>
  <si>
    <t>Nos</t>
  </si>
  <si>
    <t>No of hoops provided</t>
  </si>
  <si>
    <t xml:space="preserve">Bending   Moment </t>
  </si>
  <si>
    <t>Moment due to end restraint (at Springings)  = WRt/4 √3 ( Refer Page no 552 of Timoshenko &amp; Waimnesky)</t>
  </si>
  <si>
    <t>knm</t>
  </si>
  <si>
    <t>Moment at edges as per contuinity analysis</t>
  </si>
  <si>
    <t>Maximum Value of Moment</t>
  </si>
  <si>
    <t>Depth Required  (un cracked)   = √(M/Qxb)</t>
  </si>
  <si>
    <t>Effective thickness at Springings</t>
  </si>
  <si>
    <t>Area of steel required to care the BM</t>
  </si>
  <si>
    <t>Min steel required</t>
  </si>
  <si>
    <t>Sapcing of bar required</t>
  </si>
  <si>
    <t>Sapcing of bar provided</t>
  </si>
  <si>
    <t>Parameters:</t>
  </si>
  <si>
    <t>3.1.1</t>
  </si>
  <si>
    <t>Strength parameters</t>
  </si>
  <si>
    <t>a)  Grade of Concrete:</t>
  </si>
  <si>
    <t>Direct tension stress, σct</t>
  </si>
  <si>
    <t xml:space="preserve"> N/mm²  </t>
  </si>
  <si>
    <r>
      <t xml:space="preserve">Direct compressive stress, </t>
    </r>
    <r>
      <rPr>
        <b/>
        <sz val="11"/>
        <rFont val="Calibri"/>
        <family val="2"/>
      </rPr>
      <t>σ</t>
    </r>
    <r>
      <rPr>
        <vertAlign val="subscript"/>
        <sz val="11"/>
        <rFont val="Calibri"/>
        <family val="2"/>
      </rPr>
      <t>CC</t>
    </r>
  </si>
  <si>
    <r>
      <t xml:space="preserve">Bending tensile stress, </t>
    </r>
    <r>
      <rPr>
        <b/>
        <sz val="11"/>
        <rFont val="Calibri"/>
        <family val="2"/>
      </rPr>
      <t>σ</t>
    </r>
    <r>
      <rPr>
        <vertAlign val="subscript"/>
        <sz val="11"/>
        <rFont val="Calibri"/>
        <family val="2"/>
      </rPr>
      <t>Cbt</t>
    </r>
  </si>
  <si>
    <t>Bending comp stress, σcbc</t>
  </si>
  <si>
    <r>
      <t>Characteristic comp strength f</t>
    </r>
    <r>
      <rPr>
        <vertAlign val="subscript"/>
        <sz val="11"/>
        <rFont val="Calibri"/>
        <family val="2"/>
      </rPr>
      <t>ck</t>
    </r>
  </si>
  <si>
    <t>Average Bond</t>
  </si>
  <si>
    <t>Local Bond</t>
  </si>
  <si>
    <t>(b) Grade of Steel bars:</t>
  </si>
  <si>
    <t>Tensile Stress in members under direct tension</t>
  </si>
  <si>
    <t>Tensile stress in members in bending :</t>
  </si>
  <si>
    <t>Tensile stress in Shear Reinforcement :</t>
  </si>
  <si>
    <t>Compressive stress in columns subjected to direct load</t>
  </si>
  <si>
    <t>Min Area of Reinforcement for Walls:</t>
  </si>
  <si>
    <t>Min Area of Reinforcement</t>
  </si>
  <si>
    <r>
      <t>σ</t>
    </r>
    <r>
      <rPr>
        <vertAlign val="subscript"/>
        <sz val="11"/>
        <rFont val="Calibri"/>
        <family val="2"/>
      </rPr>
      <t xml:space="preserve">st </t>
    </r>
    <r>
      <rPr>
        <sz val="11"/>
        <rFont val="Calibri"/>
        <family val="2"/>
      </rPr>
      <t xml:space="preserve"> </t>
    </r>
  </si>
  <si>
    <r>
      <t>σ</t>
    </r>
    <r>
      <rPr>
        <vertAlign val="subscript"/>
        <sz val="11"/>
        <rFont val="Calibri"/>
        <family val="2"/>
      </rPr>
      <t>cbc</t>
    </r>
  </si>
  <si>
    <r>
      <t>m  =   280 / ( 3 x σ</t>
    </r>
    <r>
      <rPr>
        <vertAlign val="subscript"/>
        <sz val="11"/>
        <rFont val="Calibri"/>
        <family val="2"/>
      </rPr>
      <t>cbc</t>
    </r>
    <r>
      <rPr>
        <sz val="11"/>
        <rFont val="Calibri"/>
        <family val="2"/>
      </rPr>
      <t xml:space="preserve"> )</t>
    </r>
  </si>
  <si>
    <t>r =   σst / σ cbc</t>
  </si>
  <si>
    <t>K =   m / ( m+r )</t>
  </si>
  <si>
    <t>j =     1 - ( K / 3 )</t>
  </si>
  <si>
    <r>
      <t xml:space="preserve">Q =  0.5 x σ </t>
    </r>
    <r>
      <rPr>
        <vertAlign val="subscript"/>
        <sz val="11"/>
        <rFont val="Calibri"/>
        <family val="2"/>
      </rPr>
      <t>cbc</t>
    </r>
    <r>
      <rPr>
        <sz val="11"/>
        <rFont val="Calibri"/>
        <family val="2"/>
      </rPr>
      <t xml:space="preserve"> x k x j</t>
    </r>
  </si>
  <si>
    <t xml:space="preserve">σst  </t>
  </si>
  <si>
    <r>
      <t>kg/cm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</t>
    </r>
  </si>
  <si>
    <t>m  =   280 / ( 3 x σcbc )</t>
  </si>
  <si>
    <t>For Un Cracked Section  :</t>
  </si>
  <si>
    <t>Permissible Bending Tension</t>
  </si>
  <si>
    <r>
      <t>M.R = Qbd</t>
    </r>
    <r>
      <rPr>
        <vertAlign val="superscript"/>
        <sz val="11"/>
        <rFont val="Calibri"/>
        <family val="2"/>
      </rPr>
      <t xml:space="preserve">2   </t>
    </r>
    <r>
      <rPr>
        <sz val="11"/>
        <rFont val="Calibri"/>
        <family val="2"/>
      </rPr>
      <t>= (1/6) xb x d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x f</t>
    </r>
  </si>
  <si>
    <t>Q = ( f / 6 )</t>
  </si>
  <si>
    <t>Considering Reinforcement, Q</t>
  </si>
  <si>
    <t>Bending due to continuity</t>
  </si>
  <si>
    <t>Nm</t>
  </si>
  <si>
    <t>Moment from continuity analysis</t>
  </si>
  <si>
    <t>Tm/m</t>
  </si>
  <si>
    <t>Moment due to continuity analysis</t>
  </si>
  <si>
    <t>Value is neglegible, hence neglected</t>
  </si>
  <si>
    <t>Hoop tension due to continuity</t>
  </si>
  <si>
    <t>Max hoop tension</t>
  </si>
  <si>
    <t>Maximum moment due to continuity</t>
  </si>
  <si>
    <t>Maximum moment for design</t>
  </si>
  <si>
    <t>Calculations as per continuity analysis</t>
  </si>
  <si>
    <t>Bending moment</t>
  </si>
  <si>
    <r>
      <t>kn/m</t>
    </r>
    <r>
      <rPr>
        <vertAlign val="superscript"/>
        <sz val="11"/>
        <rFont val="Calibri"/>
        <family val="2"/>
      </rPr>
      <t>2</t>
    </r>
  </si>
  <si>
    <t>kNm</t>
  </si>
  <si>
    <t>Moment due to continuity</t>
  </si>
  <si>
    <t>Maximum Moment</t>
  </si>
  <si>
    <t>,</t>
  </si>
  <si>
    <t>Hoop tension at edges as per contuinity analysis</t>
  </si>
  <si>
    <t>Net Hoop Tension from Bottom Dome as per contuinity analysis</t>
  </si>
  <si>
    <t>Area of hoop steel required</t>
  </si>
  <si>
    <t>Dia of bar</t>
  </si>
  <si>
    <t>Area of one bar</t>
  </si>
  <si>
    <t xml:space="preserve">mm² </t>
  </si>
  <si>
    <t>Dia of Bar</t>
  </si>
  <si>
    <t>Area of Bar</t>
  </si>
  <si>
    <t>Required Spacing</t>
  </si>
  <si>
    <t>Provide Spacing</t>
  </si>
  <si>
    <t>Provided Area of Steel</t>
  </si>
  <si>
    <t xml:space="preserve">Check for Buckling  </t>
  </si>
  <si>
    <r>
      <t>Allowable  Load per M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=  0.1xEx t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/R</t>
    </r>
    <r>
      <rPr>
        <vertAlign val="superscript"/>
        <sz val="11"/>
        <rFont val="Calibri"/>
        <family val="2"/>
      </rPr>
      <t>2</t>
    </r>
    <r>
      <rPr>
        <sz val="11"/>
        <rFont val="Calibri"/>
        <family val="2"/>
      </rPr>
      <t xml:space="preserve">   </t>
    </r>
  </si>
  <si>
    <r>
      <t xml:space="preserve">Ec   =   E </t>
    </r>
    <r>
      <rPr>
        <vertAlign val="subscript"/>
        <sz val="11"/>
        <rFont val="Calibri"/>
        <family val="2"/>
      </rPr>
      <t>steel</t>
    </r>
    <r>
      <rPr>
        <sz val="11"/>
        <rFont val="Calibri"/>
        <family val="2"/>
      </rPr>
      <t xml:space="preserve">  /m      </t>
    </r>
  </si>
  <si>
    <r>
      <t>E</t>
    </r>
    <r>
      <rPr>
        <vertAlign val="subscript"/>
        <sz val="11"/>
        <rFont val="Calibri"/>
        <family val="2"/>
      </rPr>
      <t xml:space="preserve"> steel</t>
    </r>
  </si>
  <si>
    <t xml:space="preserve">N/mm² </t>
  </si>
  <si>
    <t xml:space="preserve">t/m² </t>
  </si>
  <si>
    <t>Thrust as per continuity analysis</t>
  </si>
  <si>
    <t>Kn</t>
  </si>
  <si>
    <t>Hoop force =  Net radial thrust*Dia of Ring Beam /2</t>
  </si>
  <si>
    <t xml:space="preserve">Hoop stress  = Hoop force/(bD) </t>
  </si>
  <si>
    <t>kn/m2</t>
  </si>
  <si>
    <t>Permissible Direct compressive stress</t>
  </si>
  <si>
    <t>As per continuity analysis -</t>
  </si>
  <si>
    <t>Kn/m</t>
  </si>
  <si>
    <t>Kn-m</t>
  </si>
  <si>
    <t>Moment due to radial force</t>
  </si>
  <si>
    <t>Kn-m/m</t>
  </si>
  <si>
    <t>Rise of bending moment at every section</t>
  </si>
  <si>
    <t xml:space="preserve">col </t>
  </si>
  <si>
    <t>Pz</t>
  </si>
  <si>
    <t>Kd</t>
  </si>
  <si>
    <t>Ka</t>
  </si>
  <si>
    <t>Kc</t>
  </si>
  <si>
    <t>Circular forms</t>
  </si>
  <si>
    <t>Tributary area</t>
  </si>
  <si>
    <t>Wind pressure (Pz)</t>
  </si>
  <si>
    <t>Design Wind pressure (Pd)</t>
  </si>
  <si>
    <t>Rocky</t>
  </si>
  <si>
    <t>Medium soil</t>
  </si>
  <si>
    <t>Soft soil</t>
  </si>
  <si>
    <t>Convective</t>
  </si>
  <si>
    <t>Overturning moment</t>
  </si>
  <si>
    <t>Overturning moment in impulsive mode</t>
  </si>
  <si>
    <t>Mi*</t>
  </si>
  <si>
    <t>Mc*</t>
  </si>
  <si>
    <t>Overturning moment in convective mode</t>
  </si>
  <si>
    <t>M*</t>
  </si>
  <si>
    <t>Total overturning moment</t>
  </si>
  <si>
    <t>i)</t>
  </si>
  <si>
    <t>Impulsive Hydrodynamic Pressure :</t>
  </si>
  <si>
    <t>Lateral Impulsive hydrodynamic pressure on the wall</t>
  </si>
  <si>
    <r>
      <t>P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 xml:space="preserve"> = 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</t>
    </r>
    <r>
      <rPr>
        <sz val="12"/>
        <rFont val="Calibri"/>
        <family val="2"/>
      </rPr>
      <t>ρ</t>
    </r>
    <r>
      <rPr>
        <sz val="12"/>
        <rFont val="Calibri"/>
        <family val="2"/>
      </rPr>
      <t>gh cosФ</t>
    </r>
  </si>
  <si>
    <r>
      <t>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(y) = 0.866 (1-(y/h)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)tanh(0.866D/h)</t>
    </r>
  </si>
  <si>
    <t xml:space="preserve">Max Pressure will occur at Ф = 0 </t>
  </si>
  <si>
    <r>
      <t>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(y=0) = 0.866 (1-(0/h)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)tanh(0.866xD/h)</t>
    </r>
  </si>
  <si>
    <r>
      <t>P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(y=0)  = Q</t>
    </r>
    <r>
      <rPr>
        <vertAlign val="subscript"/>
        <sz val="12"/>
        <rFont val="Calibri"/>
        <family val="2"/>
      </rPr>
      <t>iw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ρgh cos(0)</t>
    </r>
  </si>
  <si>
    <r>
      <t>N/m</t>
    </r>
    <r>
      <rPr>
        <sz val="12"/>
        <rFont val="Calibri"/>
        <family val="2"/>
      </rPr>
      <t>²</t>
    </r>
  </si>
  <si>
    <t>Kg/m²</t>
  </si>
  <si>
    <t>Impulsive hydrodynamic Pressure in vertical direction on base slab</t>
  </si>
  <si>
    <r>
      <t>P</t>
    </r>
    <r>
      <rPr>
        <vertAlign val="subscript"/>
        <sz val="12"/>
        <rFont val="Calibri"/>
        <family val="2"/>
      </rPr>
      <t>ib</t>
    </r>
    <r>
      <rPr>
        <sz val="12"/>
        <rFont val="Calibri"/>
        <family val="2"/>
      </rPr>
      <t xml:space="preserve"> = 0.866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</t>
    </r>
    <r>
      <rPr>
        <sz val="12"/>
        <rFont val="Calibri"/>
        <family val="2"/>
      </rPr>
      <t>ρ</t>
    </r>
    <r>
      <rPr>
        <sz val="12"/>
        <rFont val="Calibri"/>
        <family val="2"/>
      </rPr>
      <t>gh Sinh(1.732*(x/h)) / Cosh(0.866*(L/h))</t>
    </r>
  </si>
  <si>
    <t xml:space="preserve"> D</t>
  </si>
  <si>
    <r>
      <t>P</t>
    </r>
    <r>
      <rPr>
        <vertAlign val="subscript"/>
        <sz val="12"/>
        <rFont val="Calibri"/>
        <family val="2"/>
      </rPr>
      <t>ib</t>
    </r>
    <r>
      <rPr>
        <sz val="12"/>
        <rFont val="Calibri"/>
        <family val="2"/>
      </rPr>
      <t xml:space="preserve"> = 0.866 A</t>
    </r>
    <r>
      <rPr>
        <vertAlign val="subscript"/>
        <sz val="12"/>
        <rFont val="Calibri"/>
        <family val="2"/>
      </rPr>
      <t>hi</t>
    </r>
    <r>
      <rPr>
        <sz val="12"/>
        <rFont val="Calibri"/>
        <family val="2"/>
      </rPr>
      <t xml:space="preserve"> </t>
    </r>
    <r>
      <rPr>
        <sz val="12"/>
        <rFont val="Calibri"/>
        <family val="2"/>
      </rPr>
      <t>ρ</t>
    </r>
    <r>
      <rPr>
        <sz val="12"/>
        <rFont val="Calibri"/>
        <family val="2"/>
      </rPr>
      <t>gh Sinh(1.732*(x/h)) / Cosh(0.866*(L'/h))</t>
    </r>
  </si>
  <si>
    <t xml:space="preserve">Considering,  x = D/4 </t>
  </si>
  <si>
    <t>ii)</t>
  </si>
  <si>
    <t>Convective Hydrodynamic Pressure :</t>
  </si>
  <si>
    <t>Lateral Convective hydrodynamic pressure on the wall</t>
  </si>
  <si>
    <r>
      <t>P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 = 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 xml:space="preserve">hc </t>
    </r>
    <r>
      <rPr>
        <sz val="12"/>
        <rFont val="Calibri"/>
        <family val="2"/>
      </rPr>
      <t xml:space="preserve"> ρgD (1- (1/3)cos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Ф)cosФ</t>
    </r>
  </si>
  <si>
    <r>
      <t>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(y) = 0.5625cosh(3.674 y/D)/cosh(3.674 h/D) </t>
    </r>
  </si>
  <si>
    <r>
      <t>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(0) = 0.5625 cosh(0)/cosh(3.674 h/D) </t>
    </r>
  </si>
  <si>
    <r>
      <t>P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 xml:space="preserve"> (y=0)= Q</t>
    </r>
    <r>
      <rPr>
        <vertAlign val="subscript"/>
        <sz val="12"/>
        <rFont val="Calibri"/>
        <family val="2"/>
      </rPr>
      <t>cw</t>
    </r>
    <r>
      <rPr>
        <sz val="12"/>
        <rFont val="Calibri"/>
        <family val="2"/>
      </rPr>
      <t>(y) A</t>
    </r>
    <r>
      <rPr>
        <vertAlign val="subscript"/>
        <sz val="12"/>
        <rFont val="Calibri"/>
        <family val="2"/>
      </rPr>
      <t xml:space="preserve">hc </t>
    </r>
    <r>
      <rPr>
        <sz val="12"/>
        <rFont val="Calibri"/>
        <family val="2"/>
      </rPr>
      <t xml:space="preserve"> ρgD (1- (1/3)cos</t>
    </r>
    <r>
      <rPr>
        <vertAlign val="superscript"/>
        <sz val="12"/>
        <rFont val="Calibri"/>
        <family val="2"/>
      </rPr>
      <t>2</t>
    </r>
    <r>
      <rPr>
        <sz val="12"/>
        <rFont val="Calibri"/>
        <family val="2"/>
      </rPr>
      <t>Ф)cosФ</t>
    </r>
  </si>
  <si>
    <t>Convective hydrodynamic Pressure in vertical direction on  base slab</t>
  </si>
  <si>
    <r>
      <t>P</t>
    </r>
    <r>
      <rPr>
        <vertAlign val="subscript"/>
        <sz val="12"/>
        <rFont val="Calibri"/>
        <family val="2"/>
      </rPr>
      <t>cb</t>
    </r>
    <r>
      <rPr>
        <sz val="12"/>
        <rFont val="Calibri"/>
        <family val="2"/>
      </rPr>
      <t xml:space="preserve"> =Q</t>
    </r>
    <r>
      <rPr>
        <vertAlign val="subscript"/>
        <sz val="12"/>
        <rFont val="Calibri"/>
        <family val="2"/>
      </rPr>
      <t>cb</t>
    </r>
    <r>
      <rPr>
        <sz val="12"/>
        <rFont val="Calibri"/>
        <family val="2"/>
      </rPr>
      <t>(x) A</t>
    </r>
    <r>
      <rPr>
        <vertAlign val="subscript"/>
        <sz val="12"/>
        <rFont val="Calibri"/>
        <family val="2"/>
      </rPr>
      <t xml:space="preserve">hc </t>
    </r>
    <r>
      <rPr>
        <sz val="12"/>
        <rFont val="Calibri"/>
        <family val="2"/>
      </rPr>
      <t>ρ</t>
    </r>
    <r>
      <rPr>
        <sz val="12"/>
        <rFont val="Calibri"/>
        <family val="2"/>
      </rPr>
      <t>gD</t>
    </r>
  </si>
  <si>
    <r>
      <t>Q</t>
    </r>
    <r>
      <rPr>
        <vertAlign val="subscript"/>
        <sz val="12"/>
        <rFont val="Calibri"/>
        <family val="2"/>
      </rPr>
      <t xml:space="preserve">cb </t>
    </r>
    <r>
      <rPr>
        <sz val="12"/>
        <rFont val="Calibri"/>
        <family val="2"/>
      </rPr>
      <t>(x)= 1.125 ((x/D)-(4/3)(x/D)</t>
    </r>
    <r>
      <rPr>
        <sz val="12"/>
        <rFont val="Calibri"/>
        <family val="2"/>
      </rPr>
      <t>³) Sech (0.367 h/D)</t>
    </r>
  </si>
  <si>
    <r>
      <t>N/m</t>
    </r>
    <r>
      <rPr>
        <vertAlign val="superscript"/>
        <sz val="12"/>
        <rFont val="Calibri"/>
        <family val="2"/>
      </rPr>
      <t>2</t>
    </r>
  </si>
  <si>
    <r>
      <t>Pressure on wall due to Inerti</t>
    </r>
    <r>
      <rPr>
        <b/>
        <sz val="12"/>
        <rFont val="Calibri"/>
        <family val="2"/>
      </rPr>
      <t xml:space="preserve">a       </t>
    </r>
    <r>
      <rPr>
        <sz val="12"/>
        <rFont val="Calibri"/>
        <family val="2"/>
      </rPr>
      <t>Pww =(Ah)I t  ρ mg</t>
    </r>
  </si>
  <si>
    <r>
      <t>Pressure due to vertical Excitation</t>
    </r>
    <r>
      <rPr>
        <b/>
        <sz val="12"/>
        <rFont val="Calibri"/>
        <family val="2"/>
      </rPr>
      <t xml:space="preserve">   </t>
    </r>
    <r>
      <rPr>
        <sz val="12"/>
        <rFont val="Calibri"/>
        <family val="2"/>
      </rPr>
      <t>Pv=   Av ρ g h (1-y/h)</t>
    </r>
  </si>
  <si>
    <t>Where     Av</t>
  </si>
  <si>
    <t>Zone factor (Z)                                (From Table-2 IS: 1893-part-1)</t>
  </si>
  <si>
    <t>Importance factor (I)                       (From Table-5 IS: 1893-Part-1)</t>
  </si>
  <si>
    <t>Response reduction factor, R          (From Table-3 IS: 1893-Part-2)</t>
  </si>
  <si>
    <t>Time period of impulsive mode, Ti</t>
  </si>
  <si>
    <t>Sa/g     (For soft  soils from Cl:6.4.5 IS1893-Part-1:2002)</t>
  </si>
  <si>
    <r>
      <t>A</t>
    </r>
    <r>
      <rPr>
        <vertAlign val="subscript"/>
        <sz val="11"/>
        <rFont val="Calibri"/>
        <family val="2"/>
      </rPr>
      <t>v =</t>
    </r>
    <r>
      <rPr>
        <vertAlign val="subscript"/>
        <sz val="14"/>
        <rFont val="Calibri"/>
        <family val="2"/>
      </rPr>
      <t xml:space="preserve"> 2/3  (Z/2 X I/R  X Sa/g)</t>
    </r>
  </si>
  <si>
    <r>
      <t xml:space="preserve">Pressure due to vertical Excitation   </t>
    </r>
    <r>
      <rPr>
        <sz val="12"/>
        <rFont val="Calibri"/>
        <family val="2"/>
      </rPr>
      <t>Pv=   Av ρ g h (1-y/h)</t>
    </r>
  </si>
  <si>
    <t xml:space="preserve">Maximum hydrodynamic pressure, </t>
  </si>
  <si>
    <t>p =√ (Piw+ Pww)2 + Pcw^2 +Pv^2</t>
  </si>
  <si>
    <t>Maximum hydrodynamic pressure on the wall at base of wall, P</t>
  </si>
  <si>
    <r>
      <t>kN/m</t>
    </r>
    <r>
      <rPr>
        <vertAlign val="superscript"/>
        <sz val="12"/>
        <rFont val="Calibri"/>
        <family val="2"/>
      </rPr>
      <t>2</t>
    </r>
  </si>
  <si>
    <r>
      <t>Maximum hydrostatic pressure at the base of the wall, P</t>
    </r>
    <r>
      <rPr>
        <vertAlign val="subscript"/>
        <sz val="11"/>
        <rFont val="Calibri"/>
        <family val="2"/>
      </rPr>
      <t>s</t>
    </r>
  </si>
  <si>
    <t xml:space="preserve">Maximum hydrodynamic pressure is about  </t>
  </si>
  <si>
    <t>of  hydrostatic pressure</t>
  </si>
  <si>
    <t>Damping in impulsive mode            (As per cl: 4.4 IS:1893-part-2-2014)</t>
  </si>
  <si>
    <t>Fig.3a</t>
  </si>
  <si>
    <t>Bracing beams</t>
  </si>
  <si>
    <t>Depth</t>
  </si>
  <si>
    <t>Width</t>
  </si>
  <si>
    <t>C/C span of bracing beam</t>
  </si>
  <si>
    <t>Angle at centre</t>
  </si>
  <si>
    <t>deg</t>
  </si>
  <si>
    <t>cover</t>
  </si>
  <si>
    <t>TOTAL REINF</t>
  </si>
  <si>
    <t xml:space="preserve"> Moment of  inertia  along  bottom.</t>
  </si>
  <si>
    <r>
      <t>mm</t>
    </r>
    <r>
      <rPr>
        <vertAlign val="superscript"/>
        <sz val="11"/>
        <rFont val="Times New Roman"/>
        <family val="1"/>
      </rPr>
      <t>4</t>
    </r>
  </si>
  <si>
    <t xml:space="preserve">  Moment of area of steel along  bottom.</t>
  </si>
  <si>
    <t xml:space="preserve"> Area </t>
  </si>
  <si>
    <t xml:space="preserve"> Equivalent arae of steel.</t>
  </si>
  <si>
    <t>Y =Depth of N.A</t>
  </si>
  <si>
    <t>C=Inertia of slab about C.L of slab.</t>
  </si>
  <si>
    <t xml:space="preserve"> Inertia of steel about neutral axis.</t>
  </si>
  <si>
    <t>IYY=Total inertia.</t>
  </si>
  <si>
    <t xml:space="preserve"> Inertia of slab about N.A.</t>
  </si>
  <si>
    <t>AREA=Total area.</t>
  </si>
  <si>
    <t>Area of Steel on each face</t>
  </si>
  <si>
    <t>dia of reinf</t>
  </si>
  <si>
    <t>Crack check</t>
  </si>
  <si>
    <t>HORIZONTAL LIMIT DESIGN OF CYLINDRICAL WALL</t>
  </si>
  <si>
    <t>HORIZONTAL WORKING DESIGN OF CYLINDRICAL WALL</t>
  </si>
  <si>
    <t>Tension</t>
  </si>
  <si>
    <t>VERTICAL LIMIT DESIGN OF CYLINDRICAL WALL</t>
  </si>
  <si>
    <t>on tension face</t>
  </si>
  <si>
    <t xml:space="preserve">              LIMIT  DESIGN OF CONICAL DOME FOR BENDING</t>
  </si>
  <si>
    <t>VERTICAL WORKING DESIGN OF CIRCULAR GIRDER AT SPAN</t>
  </si>
  <si>
    <t>IS 3370 PART 2</t>
  </si>
  <si>
    <t>IS 3370 PART 3</t>
  </si>
  <si>
    <t>(From Table:21)</t>
  </si>
  <si>
    <t>IS 456</t>
  </si>
  <si>
    <t>IS 457</t>
  </si>
  <si>
    <t>IS 3370</t>
  </si>
  <si>
    <t>m-1</t>
  </si>
  <si>
    <t>need to link with minimum reinf</t>
  </si>
  <si>
    <t xml:space="preserve">Provied minimum reimf </t>
  </si>
  <si>
    <t>d =Effective Depth</t>
  </si>
  <si>
    <t>AST =Arae of Steel on each face</t>
  </si>
  <si>
    <t>Total Reinf</t>
  </si>
  <si>
    <t xml:space="preserve"> Area of Concrete</t>
  </si>
  <si>
    <t xml:space="preserve"> Equivalent area of steel.</t>
  </si>
  <si>
    <t>σ</t>
  </si>
  <si>
    <t>σst =Allowable stress in Steel</t>
  </si>
  <si>
    <r>
      <t>(P/A)/(</t>
    </r>
    <r>
      <rPr>
        <b/>
        <sz val="16"/>
        <rFont val="Times New Roman"/>
        <family val="1"/>
      </rPr>
      <t>σ</t>
    </r>
    <r>
      <rPr>
        <b/>
        <sz val="10"/>
        <rFont val="Times New Roman"/>
        <family val="1"/>
      </rPr>
      <t>ac)</t>
    </r>
  </si>
  <si>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ac/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acc</t>
    </r>
  </si>
  <si>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bcc</t>
    </r>
  </si>
  <si>
    <r>
      <t xml:space="preserve">(M/Z)/( </t>
    </r>
    <r>
      <rPr>
        <b/>
        <sz val="16"/>
        <rFont val="Times New Roman"/>
        <family val="1"/>
      </rPr>
      <t>σ</t>
    </r>
    <r>
      <rPr>
        <b/>
        <sz val="10"/>
        <rFont val="Times New Roman"/>
        <family val="1"/>
      </rPr>
      <t>bcc)</t>
    </r>
  </si>
  <si>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ac/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 xml:space="preserve">acc +  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bc/</t>
    </r>
    <r>
      <rPr>
        <sz val="16"/>
        <color indexed="8"/>
        <rFont val="Times New Roman"/>
        <family val="1"/>
      </rPr>
      <t>σ</t>
    </r>
    <r>
      <rPr>
        <sz val="11"/>
        <color indexed="8"/>
        <rFont val="Times New Roman"/>
        <family val="1"/>
      </rPr>
      <t>bcc</t>
    </r>
  </si>
  <si>
    <t>d =Effective depth</t>
  </si>
  <si>
    <t>AST =Area of steel on each face</t>
  </si>
  <si>
    <t>Cube  of  Y</t>
  </si>
  <si>
    <t xml:space="preserve">  Square of distance of reinf from N.A  </t>
  </si>
  <si>
    <t xml:space="preserve">Moment of Inertia IY </t>
  </si>
  <si>
    <t xml:space="preserve">Equivalent area of concrete  </t>
  </si>
  <si>
    <t xml:space="preserve">Allowable tensile stress of concrete in bending </t>
  </si>
  <si>
    <t>Actual stress=P/A-M/Z  on tension side</t>
  </si>
  <si>
    <t>Cube of  (h-Y)</t>
  </si>
  <si>
    <t>VERTICAL WORKING DESIGN OF CYLINDRICAL WALL AT SUPPORT</t>
  </si>
  <si>
    <t>minimum reinf on each face</t>
  </si>
  <si>
    <t>VERTICAL WORKING DESIGN OF CYLINDRICAL WALL AT SPAN</t>
  </si>
  <si>
    <r>
      <t>mm</t>
    </r>
    <r>
      <rPr>
        <vertAlign val="superscript"/>
        <sz val="11"/>
        <rFont val="Times New Roman"/>
        <family val="1"/>
      </rPr>
      <t>3</t>
    </r>
  </si>
  <si>
    <t>on  face away from liquid</t>
  </si>
  <si>
    <t xml:space="preserve">AST =Area of steel on each face </t>
  </si>
  <si>
    <t xml:space="preserve">Total Reinf </t>
  </si>
  <si>
    <t>Required</t>
  </si>
  <si>
    <t>Slab is considered spanning between ring beam, hence</t>
  </si>
  <si>
    <t xml:space="preserve">Ref calculation for conical dome </t>
  </si>
  <si>
    <t xml:space="preserve">  WORKING DESIGN OF CONICAL DOME FOR BENDING</t>
  </si>
  <si>
    <t>Reinf Reqd</t>
  </si>
  <si>
    <t>WORKING DESIGN OF CIRCULAR GIRDER AT SUPPORT</t>
  </si>
  <si>
    <t xml:space="preserve">AST =Area of steel on tension  face </t>
  </si>
  <si>
    <t>check</t>
  </si>
  <si>
    <t>AST =Area of steel on tensile face</t>
  </si>
  <si>
    <t>AST =Area of steel on remote face</t>
  </si>
  <si>
    <t>But minimum tension reinforcement</t>
  </si>
  <si>
    <t>O</t>
  </si>
  <si>
    <t>Loading</t>
  </si>
  <si>
    <t>Moment at supp</t>
  </si>
  <si>
    <t>Bottom beam design</t>
  </si>
  <si>
    <t>Modular ratio</t>
  </si>
  <si>
    <t>Crown height from top ring beam</t>
  </si>
  <si>
    <t>Height of top ring beam from base</t>
  </si>
  <si>
    <t>Height of dome bottom from base</t>
  </si>
  <si>
    <t>a) Maximum negative BM at support ( taken at face)</t>
  </si>
  <si>
    <r>
      <t>M</t>
    </r>
    <r>
      <rPr>
        <b/>
        <vertAlign val="subscript"/>
        <sz val="12"/>
        <rFont val="Times New Roman"/>
        <family val="1"/>
      </rPr>
      <t xml:space="preserve">1 </t>
    </r>
    <r>
      <rPr>
        <b/>
        <sz val="12"/>
        <rFont val="Times New Roman"/>
        <family val="1"/>
      </rPr>
      <t>at centre of column support</t>
    </r>
  </si>
  <si>
    <t>rb1</t>
  </si>
  <si>
    <t>rb2</t>
  </si>
  <si>
    <t>rb3</t>
  </si>
  <si>
    <t>ra1</t>
  </si>
  <si>
    <t>la1</t>
  </si>
  <si>
    <t>ra2</t>
  </si>
  <si>
    <t>ra3</t>
  </si>
  <si>
    <t>na1</t>
  </si>
  <si>
    <t>na2</t>
  </si>
  <si>
    <t>na3</t>
  </si>
  <si>
    <t>e</t>
  </si>
  <si>
    <t>g</t>
  </si>
  <si>
    <t>Ring beam</t>
  </si>
  <si>
    <t>i</t>
  </si>
  <si>
    <t>j</t>
  </si>
  <si>
    <t>lb1</t>
  </si>
  <si>
    <t>nb1</t>
  </si>
  <si>
    <t>nb3</t>
  </si>
  <si>
    <t>nb2</t>
  </si>
  <si>
    <t>Bottom Girder</t>
  </si>
  <si>
    <t>n</t>
  </si>
  <si>
    <t>o</t>
  </si>
  <si>
    <t>Eq case</t>
  </si>
  <si>
    <t>WL case</t>
  </si>
  <si>
    <t>Check for radial shear at d distance from face ( Qr )</t>
  </si>
  <si>
    <t>INDEX</t>
  </si>
  <si>
    <t>Introduction</t>
  </si>
  <si>
    <t>Load Calculation</t>
  </si>
  <si>
    <t>Foundation</t>
  </si>
  <si>
    <t>Continuity Analysis</t>
  </si>
  <si>
    <t>Earthquake and Wind Load</t>
  </si>
  <si>
    <t>Annexure 2: General Arrangement and Reinforcement Detail Drawing</t>
  </si>
  <si>
    <t>Annexure 1: Staad Input File</t>
  </si>
  <si>
    <t>For Tank Structure icluding bottom Ring Beam</t>
  </si>
  <si>
    <t>For sub  Structure below  bottom Ring Beam including Column,Tie Beam and Foundation</t>
  </si>
  <si>
    <t>for zone 3</t>
  </si>
  <si>
    <t>Area already provided</t>
  </si>
  <si>
    <t>TRB1</t>
  </si>
  <si>
    <t>Opposite face min steel</t>
  </si>
  <si>
    <t>BB2</t>
  </si>
  <si>
    <t>TOP DOME</t>
  </si>
  <si>
    <t>WALL</t>
  </si>
  <si>
    <t>CONICAL DOME</t>
  </si>
  <si>
    <t>LEGEND FOR REINFORCEMENT</t>
  </si>
  <si>
    <t>BOTTOM DOME</t>
  </si>
  <si>
    <t>TOP BEAM ( TRB1)</t>
  </si>
  <si>
    <t>RING BEAM (BB2)</t>
  </si>
  <si>
    <t>3 TO 5</t>
  </si>
  <si>
    <t>6 TO 26</t>
  </si>
  <si>
    <t xml:space="preserve">Check for Shear </t>
  </si>
  <si>
    <t>% steel provided</t>
  </si>
  <si>
    <t>Permissibble shear srtess</t>
  </si>
  <si>
    <t>Shear reinf provided</t>
  </si>
  <si>
    <t>Vu</t>
  </si>
  <si>
    <t>Raft Beam</t>
  </si>
  <si>
    <t>Support Moment</t>
  </si>
  <si>
    <t>Span Mment</t>
  </si>
  <si>
    <t>Equation of parabola used for modelling domes</t>
  </si>
  <si>
    <t>x^2 = my</t>
  </si>
  <si>
    <t>interpolation of top dome</t>
  </si>
  <si>
    <t>Similarly done for bottom dome</t>
  </si>
  <si>
    <t>ht</t>
  </si>
  <si>
    <t>x</t>
  </si>
  <si>
    <t>y</t>
  </si>
  <si>
    <t>Beam dimensions</t>
  </si>
  <si>
    <t>Beam size (m)</t>
  </si>
  <si>
    <t>Cover</t>
  </si>
  <si>
    <t>Dead load</t>
  </si>
  <si>
    <t>Ton/m</t>
  </si>
  <si>
    <t>Slab</t>
  </si>
  <si>
    <t>Total load</t>
  </si>
  <si>
    <t>Total moment at support</t>
  </si>
  <si>
    <t>Allowable stress</t>
  </si>
  <si>
    <t>Ast required</t>
  </si>
  <si>
    <t>Ast provided</t>
  </si>
  <si>
    <t>DEFLECTION CHECK</t>
  </si>
  <si>
    <t>Permissible 'Span' to 'Depth' ratio</t>
  </si>
  <si>
    <t>(As per Cl. 23.2.1; Pg. 37; IS:456)</t>
  </si>
  <si>
    <t>Cantilever</t>
  </si>
  <si>
    <t>Simply supported</t>
  </si>
  <si>
    <t>Continuous</t>
  </si>
  <si>
    <t>fs = 0.58*Ast Reqd/Ast Pro</t>
  </si>
  <si>
    <t>Modified applicable ratio assuming 'Discontinuous'</t>
  </si>
  <si>
    <t>Actual 'Span' to 'Depth' ratio</t>
  </si>
  <si>
    <t>Shear check</t>
  </si>
  <si>
    <t>Shear as per is 456</t>
  </si>
  <si>
    <t>Tau v</t>
  </si>
  <si>
    <t>Permissible as per is 456</t>
  </si>
  <si>
    <t>Slab width (m)</t>
  </si>
  <si>
    <t>Slab depth</t>
  </si>
  <si>
    <t>Sloshing wave ht</t>
  </si>
  <si>
    <t>Staircase Design</t>
  </si>
  <si>
    <t>Cantilever Beam and Slab Design</t>
  </si>
  <si>
    <t>DESIGN OF CANTILEVER BEAM</t>
  </si>
  <si>
    <t>STAAD SPACE</t>
  </si>
  <si>
    <t>START JOB INFORMATION</t>
  </si>
  <si>
    <t>ENGINEER DATE 23122022</t>
  </si>
  <si>
    <t>JOB NAME Overhead tank</t>
  </si>
  <si>
    <t>END JOB INFORMATION</t>
  </si>
  <si>
    <t>INPUT WIDTH 79</t>
  </si>
  <si>
    <t>PAGE LENGTH 5000</t>
  </si>
  <si>
    <t>UNIT METER MTON</t>
  </si>
  <si>
    <t>JOINT COORDINATES CYLINDRICAL reverse</t>
  </si>
  <si>
    <t>no of col</t>
  </si>
  <si>
    <t>stg ht</t>
  </si>
  <si>
    <t>no of beam</t>
  </si>
  <si>
    <t>fdn depth</t>
  </si>
  <si>
    <t>no</t>
  </si>
  <si>
    <t>col rad</t>
  </si>
  <si>
    <t>;</t>
  </si>
  <si>
    <t>Member Inci</t>
  </si>
  <si>
    <t>* Columns</t>
  </si>
  <si>
    <t>* beams</t>
  </si>
  <si>
    <t>col size</t>
  </si>
  <si>
    <t>beam size</t>
  </si>
  <si>
    <t>depth</t>
  </si>
  <si>
    <t>width</t>
  </si>
  <si>
    <t>MEMBER PROPERTY AMERICAN</t>
  </si>
  <si>
    <t>PRIS YD</t>
  </si>
  <si>
    <t>ZD</t>
  </si>
  <si>
    <t>SUPPORTS</t>
  </si>
  <si>
    <t>DEFINE MATERIAL START</t>
  </si>
  <si>
    <t>ISOTROPIC CONCRETE</t>
  </si>
  <si>
    <t>E 2.21467e+006</t>
  </si>
  <si>
    <t>POISSON 0.17</t>
  </si>
  <si>
    <t>DENSITY 2.40262</t>
  </si>
  <si>
    <t>ALPHA 1e-005</t>
  </si>
  <si>
    <t>DAMP 0.05</t>
  </si>
  <si>
    <t>TYPE CONCRETE</t>
  </si>
  <si>
    <t>STRENGTH FCU 2812.28</t>
  </si>
  <si>
    <t>ISOTROPIC MATERIAL2</t>
  </si>
  <si>
    <t>E 2.54929e+006</t>
  </si>
  <si>
    <t>POISSON 0.156297</t>
  </si>
  <si>
    <t>DENSITY 2.44732</t>
  </si>
  <si>
    <t>END DEFINE MATERIAL</t>
  </si>
  <si>
    <t>CONSTANTS</t>
  </si>
  <si>
    <t>MATERIAL CONCRETE ALL</t>
  </si>
  <si>
    <t>MEMBER OFFSET</t>
  </si>
  <si>
    <t>start local</t>
  </si>
  <si>
    <t>end local</t>
  </si>
  <si>
    <t>MEMBER CRACKED</t>
  </si>
  <si>
    <t>REDUCTION RAX 0.700000</t>
  </si>
  <si>
    <t>REDUCTION RAX 0.350000</t>
  </si>
  <si>
    <t>LOAD 1 LOADTYPE Dead  TITLE DL</t>
  </si>
  <si>
    <t xml:space="preserve">SELFWEIGHT Y -1 </t>
  </si>
  <si>
    <t>Loads</t>
  </si>
  <si>
    <t>DL</t>
  </si>
  <si>
    <t>LOAD 2 LOADTYPE Dead  TITLE DL(EMPTY TANK)</t>
  </si>
  <si>
    <t>MEMBER LOAD</t>
  </si>
  <si>
    <t>full</t>
  </si>
  <si>
    <t>empty</t>
  </si>
  <si>
    <t>LOAD 4 LOADTYPE Dead  TITLE WL(X)</t>
  </si>
  <si>
    <t>JOINT LOAD</t>
  </si>
  <si>
    <t xml:space="preserve">wind </t>
  </si>
  <si>
    <t>force</t>
  </si>
  <si>
    <t>mom</t>
  </si>
  <si>
    <t>ethq</t>
  </si>
  <si>
    <t xml:space="preserve">T </t>
  </si>
  <si>
    <t>col</t>
  </si>
  <si>
    <t>beam</t>
  </si>
  <si>
    <t>LOAD 5 LOADTYPE Dead  TITLE WL(Z)+DL(FULL TANK)</t>
  </si>
  <si>
    <t>LOAD 6 LOADTYPE Dead  TITLE EQX+DL(FULL TANK)</t>
  </si>
  <si>
    <t>LOAD 7 LOADTYPE Dead  TITLE EQZ+DL(FULL TANK)</t>
  </si>
  <si>
    <t>LOAD COMBINATION 101</t>
  </si>
  <si>
    <t xml:space="preserve">1 1.5 </t>
  </si>
  <si>
    <t>LOAD COMBINATION 102</t>
  </si>
  <si>
    <t xml:space="preserve">2 1.5 </t>
  </si>
  <si>
    <t>LOAD COMBINATION 103</t>
  </si>
  <si>
    <t xml:space="preserve">1 1.5 4 1.5 </t>
  </si>
  <si>
    <t>LOAD COMBINATION 104</t>
  </si>
  <si>
    <t xml:space="preserve">1 1.5 5 1.5 </t>
  </si>
  <si>
    <t>LOAD COMBINATION 105</t>
  </si>
  <si>
    <t xml:space="preserve">1 1.5 4 -1.5 </t>
  </si>
  <si>
    <t>LOAD COMBINATION 106</t>
  </si>
  <si>
    <t xml:space="preserve">1 1.5 5 -1.5 </t>
  </si>
  <si>
    <t>LOAD COMBINATION 107</t>
  </si>
  <si>
    <t xml:space="preserve">2 1.5 4 1.5 </t>
  </si>
  <si>
    <t>LOAD COMBINATION 108</t>
  </si>
  <si>
    <t xml:space="preserve">2 1.5 5 1.5 </t>
  </si>
  <si>
    <t>LOAD COMBINATION 109</t>
  </si>
  <si>
    <t xml:space="preserve">2 1.5 4 -1.5 </t>
  </si>
  <si>
    <t>LOAD COMBINATION 110</t>
  </si>
  <si>
    <t xml:space="preserve">2 1.5 5 -1.5 </t>
  </si>
  <si>
    <t>LOAD COMBINATION 111</t>
  </si>
  <si>
    <t xml:space="preserve">1 0.9 4 1.5 </t>
  </si>
  <si>
    <t>LOAD COMBINATION 112</t>
  </si>
  <si>
    <t xml:space="preserve">1 0.9 5 1.5 </t>
  </si>
  <si>
    <t>LOAD COMBINATION 113</t>
  </si>
  <si>
    <t xml:space="preserve">1 0.9 4 -1.5 </t>
  </si>
  <si>
    <t>LOAD COMBINATION 114</t>
  </si>
  <si>
    <t xml:space="preserve">1 0.9 5 -1.5 </t>
  </si>
  <si>
    <t>LOAD COMBINATION 115</t>
  </si>
  <si>
    <t xml:space="preserve">2 0.9 4 1.5 </t>
  </si>
  <si>
    <t>LOAD COMBINATION 116</t>
  </si>
  <si>
    <t xml:space="preserve">2 0.9 5 1.5 </t>
  </si>
  <si>
    <t>LOAD COMBINATION 117</t>
  </si>
  <si>
    <t xml:space="preserve">2 0.9 4 -1.5 </t>
  </si>
  <si>
    <t>LOAD COMBINATION 118</t>
  </si>
  <si>
    <t xml:space="preserve">2 0.9 5 -1.5 </t>
  </si>
  <si>
    <t>LOAD COMBINATION 119</t>
  </si>
  <si>
    <t xml:space="preserve">1 1.5 6 1.5 </t>
  </si>
  <si>
    <t>LOAD COMBINATION 120</t>
  </si>
  <si>
    <t xml:space="preserve">1 1.5 7 1.5 </t>
  </si>
  <si>
    <t>LOAD COMBINATION 121</t>
  </si>
  <si>
    <t xml:space="preserve">1 1.5 6 -1.5 </t>
  </si>
  <si>
    <t>LOAD COMBINATION 122</t>
  </si>
  <si>
    <t xml:space="preserve">1 1.5 7 -1.5 </t>
  </si>
  <si>
    <t>LOAD COMBINATION 123</t>
  </si>
  <si>
    <t xml:space="preserve">2 1.5 6 1.5 </t>
  </si>
  <si>
    <t>LOAD COMBINATION 124</t>
  </si>
  <si>
    <t xml:space="preserve">2 1.5 7 1.5 </t>
  </si>
  <si>
    <t>LOAD COMBINATION 125</t>
  </si>
  <si>
    <t xml:space="preserve">2 1.5 6 -1.5 </t>
  </si>
  <si>
    <t>LOAD COMBINATION 126</t>
  </si>
  <si>
    <t xml:space="preserve">2 1.5 7 -1.5 </t>
  </si>
  <si>
    <t>LOAD COMBINATION 127</t>
  </si>
  <si>
    <t xml:space="preserve">1 0.9 6 1.5 </t>
  </si>
  <si>
    <t>LOAD COMBINATION 128</t>
  </si>
  <si>
    <t xml:space="preserve">1 0.9 7 1.5 </t>
  </si>
  <si>
    <t>LOAD COMBINATION 129</t>
  </si>
  <si>
    <t xml:space="preserve">1 0.9 6 -1.5 </t>
  </si>
  <si>
    <t>LOAD COMBINATION 130</t>
  </si>
  <si>
    <t xml:space="preserve">1 0.9 7 -1.5 </t>
  </si>
  <si>
    <t>LOAD COMBINATION 131</t>
  </si>
  <si>
    <t xml:space="preserve">2 0.9 6 1.5 </t>
  </si>
  <si>
    <t>LOAD COMBINATION 132</t>
  </si>
  <si>
    <t xml:space="preserve">2 0.9 7 1.5 </t>
  </si>
  <si>
    <t>LOAD COMBINATION 133</t>
  </si>
  <si>
    <t xml:space="preserve">2 0.9 6 -1.5 </t>
  </si>
  <si>
    <t>LOAD COMBINATION 134</t>
  </si>
  <si>
    <t xml:space="preserve">2 0.9 7 -1.5 </t>
  </si>
  <si>
    <t>LOAD COMBINATION 135</t>
  </si>
  <si>
    <t xml:space="preserve">1 1.2 4 1.2 </t>
  </si>
  <si>
    <t>LOAD COMBINATION 136</t>
  </si>
  <si>
    <t xml:space="preserve">1 1.2 5 1.2 </t>
  </si>
  <si>
    <t>LOAD COMBINATION 137</t>
  </si>
  <si>
    <t xml:space="preserve">1 1.2 4 -1.2 </t>
  </si>
  <si>
    <t>LOAD COMBINATION 138</t>
  </si>
  <si>
    <t xml:space="preserve">1 1.2 5 -1.2 </t>
  </si>
  <si>
    <t>LOAD COMBINATION 139</t>
  </si>
  <si>
    <t xml:space="preserve">2 1.2 4 1.2 </t>
  </si>
  <si>
    <t>LOAD COMBINATION 140</t>
  </si>
  <si>
    <t xml:space="preserve">2 1.2 5 1.2 </t>
  </si>
  <si>
    <t>LOAD COMBINATION 141</t>
  </si>
  <si>
    <t xml:space="preserve">2 1.2 4 -1.2 </t>
  </si>
  <si>
    <t>LOAD COMBINATION 142</t>
  </si>
  <si>
    <t xml:space="preserve">2 1.2 5 -1.2 </t>
  </si>
  <si>
    <t>LOAD COMBINATION 143</t>
  </si>
  <si>
    <t>LOAD COMBINATION 144</t>
  </si>
  <si>
    <t>LOAD COMBINATION 145</t>
  </si>
  <si>
    <t>LOAD COMBINATION 146</t>
  </si>
  <si>
    <t>LOAD COMBINATION 147</t>
  </si>
  <si>
    <t>LOAD COMBINATION 148</t>
  </si>
  <si>
    <t>LOAD COMBINATION 149</t>
  </si>
  <si>
    <t>LOAD COMBINATION 150</t>
  </si>
  <si>
    <t>LOAD COMBINATION 151</t>
  </si>
  <si>
    <t xml:space="preserve">1 1.2 6 1.2 </t>
  </si>
  <si>
    <t>LOAD COMBINATION 152</t>
  </si>
  <si>
    <t xml:space="preserve">1 1.2 7 1.2 </t>
  </si>
  <si>
    <t>LOAD COMBINATION 153</t>
  </si>
  <si>
    <t xml:space="preserve">1 1.2 6 -1.2 </t>
  </si>
  <si>
    <t>LOAD COMBINATION 154</t>
  </si>
  <si>
    <t xml:space="preserve">1 1.2 7 -1.2 </t>
  </si>
  <si>
    <t>LOAD COMBINATION 155</t>
  </si>
  <si>
    <t xml:space="preserve">2 1.2 6 1.2 </t>
  </si>
  <si>
    <t>LOAD COMBINATION 156</t>
  </si>
  <si>
    <t xml:space="preserve">2 1.2 7 1.2 </t>
  </si>
  <si>
    <t>LOAD COMBINATION 157</t>
  </si>
  <si>
    <t xml:space="preserve">2 1.2 6 -1.2 </t>
  </si>
  <si>
    <t>LOAD COMBINATION 158</t>
  </si>
  <si>
    <t xml:space="preserve">2 1.2 7 -1.2 </t>
  </si>
  <si>
    <t>LOAD COMBINATION 159</t>
  </si>
  <si>
    <t>LOAD COMBINATION 160</t>
  </si>
  <si>
    <t>LOAD COMBINATION 161</t>
  </si>
  <si>
    <t>LOAD COMBINATION 162</t>
  </si>
  <si>
    <t>LOAD COMBINATION 163</t>
  </si>
  <si>
    <t>LOAD COMBINATION 164</t>
  </si>
  <si>
    <t>LOAD COMBINATION 165</t>
  </si>
  <si>
    <t>LOAD COMBINATION 166</t>
  </si>
  <si>
    <t>*PERFORM ANALYSIS</t>
  </si>
  <si>
    <t>PDELTA 10 ANALYSIS SMALLDELTA</t>
  </si>
  <si>
    <t>LOAD LIST 101 TO 166</t>
  </si>
  <si>
    <t>START CONCRETE DESIGN</t>
  </si>
  <si>
    <t>CODE INDIAN</t>
  </si>
  <si>
    <t>UNIT MMS NEWTON</t>
  </si>
  <si>
    <t>FC 25 ALL</t>
  </si>
  <si>
    <t>FYMAIN 500 ALL</t>
  </si>
  <si>
    <t>CLEAR 45 ALL</t>
  </si>
  <si>
    <t>TRACK 2 ALL</t>
  </si>
  <si>
    <t>DESIGN COLUMN</t>
  </si>
  <si>
    <t>DESIGN BEAM</t>
  </si>
  <si>
    <t>END CONCRETE DESIGN</t>
  </si>
  <si>
    <t>PARAMETER 2</t>
  </si>
  <si>
    <t>FINISH</t>
  </si>
  <si>
    <t>SLAVE RIGID MASTER</t>
  </si>
  <si>
    <t>Joint</t>
  </si>
  <si>
    <t>bot girder</t>
  </si>
  <si>
    <t>TO</t>
  </si>
  <si>
    <t>FIXED</t>
  </si>
  <si>
    <t>JOINT</t>
  </si>
  <si>
    <t xml:space="preserve"> UNI GY</t>
  </si>
  <si>
    <t xml:space="preserve"> FX</t>
  </si>
  <si>
    <t xml:space="preserve"> MZ</t>
  </si>
  <si>
    <t xml:space="preserve"> UNI GX</t>
  </si>
  <si>
    <t xml:space="preserve"> UNI GZ</t>
  </si>
  <si>
    <t xml:space="preserve"> FZ</t>
  </si>
  <si>
    <t xml:space="preserve"> MX</t>
  </si>
  <si>
    <t>centre of mass</t>
  </si>
  <si>
    <t>LOAD 3 FOR DEFLECTION</t>
  </si>
  <si>
    <t>FOR LISP - shabd</t>
  </si>
  <si>
    <t>DWG</t>
  </si>
  <si>
    <t>EDIT</t>
  </si>
  <si>
    <t>Var name</t>
  </si>
  <si>
    <t>Bottom Dome Reinf</t>
  </si>
  <si>
    <t>CBC</t>
  </si>
  <si>
    <t>@ R =rb1</t>
  </si>
  <si>
    <t xml:space="preserve"> (nb2+nb1+nb1 )nos</t>
  </si>
  <si>
    <t>k at R=rb1(EXT)</t>
  </si>
  <si>
    <t>(nb3)  nos</t>
  </si>
  <si>
    <t>@ R =rb2</t>
  </si>
  <si>
    <t xml:space="preserve"> (nb1+nb1)nos</t>
  </si>
  <si>
    <t>@ R =rb3</t>
  </si>
  <si>
    <t>(nb1) nos</t>
  </si>
  <si>
    <t>R = rb2</t>
  </si>
  <si>
    <t>R = rb3</t>
  </si>
  <si>
    <t>m  (EXT.)</t>
  </si>
  <si>
    <t>Conical Dome Reinf</t>
  </si>
  <si>
    <t>Wall Reinf</t>
  </si>
  <si>
    <t>Top Dome Reinf</t>
  </si>
  <si>
    <t xml:space="preserve">a </t>
  </si>
  <si>
    <t>@ R =ra1</t>
  </si>
  <si>
    <t>(na3 ) nos</t>
  </si>
  <si>
    <t xml:space="preserve">b </t>
  </si>
  <si>
    <t>(na2+na1+na1) nos</t>
  </si>
  <si>
    <t>@ R =ra2</t>
  </si>
  <si>
    <t>(na1+na1 )nos</t>
  </si>
  <si>
    <t>@ R =ra3</t>
  </si>
  <si>
    <t>(na1 )nos</t>
  </si>
  <si>
    <t>R =ra2</t>
  </si>
  <si>
    <t>R=ra3</t>
  </si>
  <si>
    <t>BBC</t>
  </si>
  <si>
    <t>hs   @ sh c/c</t>
  </si>
  <si>
    <t>Cantilever Beam Reinf</t>
  </si>
  <si>
    <t>n5-is   (ALT.)</t>
  </si>
  <si>
    <t>Bottom Girder Reinf</t>
  </si>
  <si>
    <t>n3-fs</t>
  </si>
  <si>
    <t>n4-gs</t>
  </si>
  <si>
    <t>Foundation Reinf</t>
  </si>
  <si>
    <t>n2-es</t>
  </si>
  <si>
    <t xml:space="preserve">as   @ sa c/c </t>
  </si>
  <si>
    <t>@ R = r1 (n1 NOS.)</t>
  </si>
  <si>
    <t>bs   @ sb c/c (EXT.)</t>
  </si>
  <si>
    <t xml:space="preserve">@ R = r1 </t>
  </si>
  <si>
    <t xml:space="preserve">cs   @ sc c/c </t>
  </si>
  <si>
    <t xml:space="preserve"> ds   @ sd c/c </t>
  </si>
  <si>
    <t xml:space="preserve">+ bs   @ sb c/c </t>
  </si>
  <si>
    <t>Staad Input</t>
  </si>
  <si>
    <t>n10 NOS. ns</t>
  </si>
  <si>
    <t>coØ</t>
  </si>
  <si>
    <t>n11 NOS. os</t>
  </si>
  <si>
    <t>n12 NOS. ps</t>
  </si>
  <si>
    <t>n6-js  (ALT.)</t>
  </si>
  <si>
    <t>n6-js</t>
  </si>
  <si>
    <t>n8-ls  (EXT.)</t>
  </si>
  <si>
    <t>n7-ks</t>
  </si>
  <si>
    <t>n7-ks (ALT.)</t>
  </si>
  <si>
    <t>n9-ms (EXT.)</t>
  </si>
  <si>
    <t>Bottom Ring Beam</t>
  </si>
  <si>
    <t>Bottom Beam Foundation</t>
  </si>
  <si>
    <t>n13  (4L) @ s13 c/c</t>
  </si>
  <si>
    <t>FOR LISP - figure</t>
  </si>
  <si>
    <t>topbeam</t>
  </si>
  <si>
    <t>tempp1</t>
  </si>
  <si>
    <t>tempp2</t>
  </si>
  <si>
    <t>bottomringbeam</t>
  </si>
  <si>
    <t>tempp3</t>
  </si>
  <si>
    <t>tempp4</t>
  </si>
  <si>
    <t>bottomcirculargirder</t>
  </si>
  <si>
    <t>tempp5</t>
  </si>
  <si>
    <t>tempp6</t>
  </si>
  <si>
    <t>Column</t>
  </si>
  <si>
    <t>tempp7</t>
  </si>
  <si>
    <t>tempp8</t>
  </si>
  <si>
    <t>Column Tie Beam Lvl</t>
  </si>
  <si>
    <t>tempp9</t>
  </si>
  <si>
    <t>Plinth Beam</t>
  </si>
  <si>
    <t>pbpa8</t>
  </si>
  <si>
    <t>tempp10</t>
  </si>
  <si>
    <t>tempp11</t>
  </si>
  <si>
    <t>Tie Beam</t>
  </si>
  <si>
    <t>tbpa8</t>
  </si>
  <si>
    <t>tempp12</t>
  </si>
  <si>
    <t>tempp13</t>
  </si>
  <si>
    <t>No</t>
  </si>
  <si>
    <t>Dia</t>
  </si>
  <si>
    <t>(defun c:rejame()</t>
  </si>
  <si>
    <t>(setq lnjn (ssget "X" '((0 . "TEXT")))) ;input top beam value ( constant)</t>
  </si>
  <si>
    <t>(setq ctr 0 )</t>
  </si>
  <si>
    <t>(setq len ( sslength lnjn ))</t>
  </si>
  <si>
    <t>(while (/= ctr len )</t>
  </si>
  <si>
    <t xml:space="preserve"> (setq cable ( ssname lnjn ctr ))</t>
  </si>
  <si>
    <t xml:space="preserve"> (setq cablep ( entget cable ))</t>
  </si>
  <si>
    <t xml:space="preserve"> (setq blktyp ( cdr ( assoc 1 cablep)))</t>
  </si>
  <si>
    <t xml:space="preserve"> Beam Sizes and Elevation</t>
  </si>
  <si>
    <t>EL + 120.0</t>
  </si>
  <si>
    <t>Col and Beam Staad</t>
  </si>
  <si>
    <t>Cantilever Beam</t>
  </si>
  <si>
    <t>Bottom Beam</t>
  </si>
  <si>
    <t>(progn</t>
  </si>
  <si>
    <t>)</t>
  </si>
  <si>
    <t>(setq voltn ( subst ( cons 1 "</t>
  </si>
  <si>
    <t>" )(assoc 1 cablep) cablep))))</t>
  </si>
  <si>
    <t>10 dia 250 mm c/c</t>
  </si>
  <si>
    <t>@ R = 4.125</t>
  </si>
  <si>
    <t>(52+26+26) nos</t>
  </si>
  <si>
    <t>Staging height</t>
  </si>
  <si>
    <t>12 dia 125 mm c/c at R = 4.125(EXT)</t>
  </si>
  <si>
    <t>(208) nos</t>
  </si>
  <si>
    <t>@ R = 2.0625</t>
  </si>
  <si>
    <t>(26+26) nos</t>
  </si>
  <si>
    <t>@ R = 1.03125</t>
  </si>
  <si>
    <t>(26) nos</t>
  </si>
  <si>
    <t xml:space="preserve"> R = 2.0625</t>
  </si>
  <si>
    <t xml:space="preserve"> R = 1.03125</t>
  </si>
  <si>
    <t>16 dia 6 nos (EXT.)</t>
  </si>
  <si>
    <t>12 dia 125 mm c/c</t>
  </si>
  <si>
    <t>16 dia 125 mm c/c</t>
  </si>
  <si>
    <t>16 dia 150 mm c/c</t>
  </si>
  <si>
    <t>12 dia 150 mm c/c</t>
  </si>
  <si>
    <t>10 dia110 mm c/c</t>
  </si>
  <si>
    <t>10 dia 250 mm c/c + 8 dia 125 mm c/c</t>
  </si>
  <si>
    <t>8 dia125 c/c</t>
  </si>
  <si>
    <t>@ R = 6.375</t>
  </si>
  <si>
    <t>(324) nos</t>
  </si>
  <si>
    <t>(162+81+81) nos</t>
  </si>
  <si>
    <t>@ R = 3.1875</t>
  </si>
  <si>
    <t>(81+81) nos</t>
  </si>
  <si>
    <t>@ R = 1.59375</t>
  </si>
  <si>
    <t>(81) nos</t>
  </si>
  <si>
    <t xml:space="preserve"> R = 3.1875</t>
  </si>
  <si>
    <t xml:space="preserve"> R = 1.59375</t>
  </si>
  <si>
    <t>12 dia 8 nos</t>
  </si>
  <si>
    <t>6 nos12 dia</t>
  </si>
  <si>
    <t>1m</t>
  </si>
  <si>
    <t>8   @125 c/c</t>
  </si>
  <si>
    <t>4-25   (ALT.)</t>
  </si>
  <si>
    <t>6.375   @81 c/c</t>
  </si>
  <si>
    <t>@ R =  ( nos)</t>
  </si>
  <si>
    <t>3.1875   @162 c/c (EXT.)</t>
  </si>
  <si>
    <t xml:space="preserve">@ R = </t>
  </si>
  <si>
    <t>1.59375   @324 c/c</t>
  </si>
  <si>
    <t xml:space="preserve">   @ c/c</t>
  </si>
  <si>
    <t xml:space="preserve">+3.1875   @162 c/c </t>
  </si>
  <si>
    <t xml:space="preserve"> Nos. </t>
  </si>
  <si>
    <t>650Ø</t>
  </si>
  <si>
    <t xml:space="preserve"> NOS. </t>
  </si>
  <si>
    <t>-  (ALT.)</t>
  </si>
  <si>
    <t>-  (EXT.)</t>
  </si>
  <si>
    <t xml:space="preserve">12 nos 25 dia </t>
  </si>
  <si>
    <t>10  (4L) @ 100 c/c</t>
  </si>
  <si>
    <t>BB1(650X1250)</t>
  </si>
  <si>
    <t>PB1(300X450)</t>
  </si>
  <si>
    <t>TB1(300X450)</t>
  </si>
  <si>
    <t>FB1(400X600)</t>
  </si>
  <si>
    <t>EL + 120</t>
  </si>
  <si>
    <t xml:space="preserve"> (entmod voltn)</t>
  </si>
  <si>
    <t xml:space="preserve"> (entupd cable)</t>
  </si>
  <si>
    <t xml:space="preserve"> (setq ctr ( 1+ ctr))</t>
  </si>
  <si>
    <t xml:space="preserve"> )</t>
  </si>
  <si>
    <t xml:space="preserve"> (princ )</t>
  </si>
  <si>
    <t>"temp1"</t>
  </si>
  <si>
    <t>(if (= blktyp</t>
  </si>
  <si>
    <t>"temp2"</t>
  </si>
  <si>
    <t>"temp3"</t>
  </si>
  <si>
    <t>"temp4"</t>
  </si>
  <si>
    <t>"temp5"</t>
  </si>
  <si>
    <t>"temp6"</t>
  </si>
  <si>
    <t>"temp7"</t>
  </si>
  <si>
    <t>"temp8"</t>
  </si>
  <si>
    <t>"temp9"</t>
  </si>
  <si>
    <t>"temp10"</t>
  </si>
  <si>
    <t>"temp11"</t>
  </si>
  <si>
    <t>"temp12"</t>
  </si>
  <si>
    <t>"temp13"</t>
  </si>
  <si>
    <t>"temp14"</t>
  </si>
  <si>
    <t>"temp15"</t>
  </si>
  <si>
    <t>"temp16"</t>
  </si>
  <si>
    <t>"temp17"</t>
  </si>
  <si>
    <t>"temp18"</t>
  </si>
  <si>
    <t>"temp19"</t>
  </si>
  <si>
    <t>"temp20"</t>
  </si>
  <si>
    <t>"temp21"</t>
  </si>
  <si>
    <t>"temp22"</t>
  </si>
  <si>
    <t>"temp23"</t>
  </si>
  <si>
    <t>"temp24"</t>
  </si>
  <si>
    <t>"temp25"</t>
  </si>
  <si>
    <t>"temp26"</t>
  </si>
  <si>
    <t>"temp27"</t>
  </si>
  <si>
    <t>"temp28"</t>
  </si>
  <si>
    <t>"temp29"</t>
  </si>
  <si>
    <t>"temp30"</t>
  </si>
  <si>
    <t>"temp31"</t>
  </si>
  <si>
    <t>"temp32"</t>
  </si>
  <si>
    <t>"temp33"</t>
  </si>
  <si>
    <t>"temp34"</t>
  </si>
  <si>
    <t>"temp35"</t>
  </si>
  <si>
    <t>"temp36"</t>
  </si>
  <si>
    <t>"temp37"</t>
  </si>
  <si>
    <t>"temp38"</t>
  </si>
  <si>
    <t>"temp39"</t>
  </si>
  <si>
    <t>"temp40"</t>
  </si>
  <si>
    <t>"temp41"</t>
  </si>
  <si>
    <t>"temp42"</t>
  </si>
  <si>
    <t>"temp43"</t>
  </si>
  <si>
    <t>"temp44"</t>
  </si>
  <si>
    <t>"temp45"</t>
  </si>
  <si>
    <t>"temp46"</t>
  </si>
  <si>
    <t>"temp47"</t>
  </si>
  <si>
    <t>"temp48"</t>
  </si>
  <si>
    <t>"temp49"</t>
  </si>
  <si>
    <t>"temp50"</t>
  </si>
  <si>
    <t>"temp51"</t>
  </si>
  <si>
    <t>"temp52"</t>
  </si>
  <si>
    <t>"temp53"</t>
  </si>
  <si>
    <t>"temp54"</t>
  </si>
  <si>
    <t>"temp55"</t>
  </si>
  <si>
    <t>"temp56"</t>
  </si>
  <si>
    <t>"temp57"</t>
  </si>
  <si>
    <t>"temp58"</t>
  </si>
  <si>
    <t>"temp59"</t>
  </si>
  <si>
    <t>"temp60"</t>
  </si>
  <si>
    <t>"temp61"</t>
  </si>
  <si>
    <t>"temp62"</t>
  </si>
  <si>
    <t>"temp63"</t>
  </si>
  <si>
    <t>"temp64"</t>
  </si>
  <si>
    <t>"temp65"</t>
  </si>
  <si>
    <t>"temp66"</t>
  </si>
  <si>
    <t>"temp67"</t>
  </si>
  <si>
    <t>"temp68"</t>
  </si>
  <si>
    <t>"trbpa6"</t>
  </si>
  <si>
    <t>"trbpa8"</t>
  </si>
  <si>
    <t>"trbpa10"</t>
  </si>
  <si>
    <t>"trbpa12"</t>
  </si>
  <si>
    <t>"trbpa14"</t>
  </si>
  <si>
    <t>"trbpa16"</t>
  </si>
  <si>
    <t>"trbpa18"</t>
  </si>
  <si>
    <t>"trbpa20"</t>
  </si>
  <si>
    <t>"trbpa22"</t>
  </si>
  <si>
    <t>"trbpa24"</t>
  </si>
  <si>
    <t>"trbpb6"</t>
  </si>
  <si>
    <t>"trbpb8"</t>
  </si>
  <si>
    <t>"trbpb10"</t>
  </si>
  <si>
    <t>"trbpb9"</t>
  </si>
  <si>
    <t>"trbpb11"</t>
  </si>
  <si>
    <t>"trbpb12"</t>
  </si>
  <si>
    <t>"trbpb13"</t>
  </si>
  <si>
    <t>"trbpb14"</t>
  </si>
  <si>
    <t>"trbpb15"</t>
  </si>
  <si>
    <t>"brbpa12"</t>
  </si>
  <si>
    <t>"brbpa14"</t>
  </si>
  <si>
    <t>"brbpa16"</t>
  </si>
  <si>
    <t>"brbpa18"</t>
  </si>
  <si>
    <t>"brbpa20"</t>
  </si>
  <si>
    <t>"brbpa22"</t>
  </si>
  <si>
    <t>"brbpa24"</t>
  </si>
  <si>
    <t>"brbpb12"</t>
  </si>
  <si>
    <t>"brbpb14"</t>
  </si>
  <si>
    <t>"brbpb16"</t>
  </si>
  <si>
    <t>"brbpb18"</t>
  </si>
  <si>
    <t>"brbpb20"</t>
  </si>
  <si>
    <t>"brbpb22"</t>
  </si>
  <si>
    <t>"brbpb24"</t>
  </si>
  <si>
    <t>"bgbpa3"</t>
  </si>
  <si>
    <t>"bgbpa4"</t>
  </si>
  <si>
    <t>"bgbpa5"</t>
  </si>
  <si>
    <t>"bgbpa6"</t>
  </si>
  <si>
    <t>"bgbpb3"</t>
  </si>
  <si>
    <t>"bgbpb4"</t>
  </si>
  <si>
    <t>"bgbpb5"</t>
  </si>
  <si>
    <t>"bgbpb6"</t>
  </si>
  <si>
    <t>"fbbfa3"</t>
  </si>
  <si>
    <t>"fbbfa4"</t>
  </si>
  <si>
    <t>"fbbfa5"</t>
  </si>
  <si>
    <t>"fbbfa6"</t>
  </si>
  <si>
    <t>134754.0 -57546.0 0.0</t>
  </si>
  <si>
    <t>124923.0 -55554.4 0.0</t>
  </si>
  <si>
    <t>123573.0 -72092.1 0.0</t>
  </si>
  <si>
    <t>147946.0 -35196.6 0.0</t>
  </si>
  <si>
    <t>135250.0 -82805.7 0.0</t>
  </si>
  <si>
    <t>146254.0 -66619.6 0.0</t>
  </si>
  <si>
    <t>(setq ename ( ssname lnn 0 ))</t>
  </si>
  <si>
    <t>(setq lp ( entget ename))</t>
  </si>
  <si>
    <t>(entmod lpn )</t>
  </si>
  <si>
    <t>(princ))</t>
  </si>
  <si>
    <t>(defun c:fig(/ lnn ename lp lpn)</t>
  </si>
  <si>
    <t xml:space="preserve">(setq lnn (ssget "X" '((0 . "insert")(2 . </t>
  </si>
  <si>
    <t xml:space="preserve">)))) </t>
  </si>
  <si>
    <t xml:space="preserve">(setq lpn ( subst ( cons 10 ( list </t>
  </si>
  <si>
    <t>))( assoc 10 lp ) lp))</t>
  </si>
  <si>
    <t xml:space="preserve">(entmakex '((0 . "CIRCLE") (62 . 1) (10 </t>
  </si>
  <si>
    <t xml:space="preserve">) (40 . </t>
  </si>
  <si>
    <t>)))</t>
  </si>
  <si>
    <t>(princ)</t>
  </si>
  <si>
    <t>0 0 0</t>
  </si>
  <si>
    <t>27 TO 39</t>
  </si>
  <si>
    <t>"brbpa10"</t>
  </si>
  <si>
    <t>"brbpb10"</t>
  </si>
  <si>
    <t>tie beam</t>
  </si>
  <si>
    <t>No of tie beams</t>
  </si>
  <si>
    <t>CAPACITY</t>
  </si>
  <si>
    <t>DIA OF COLUMN SUPPORT</t>
  </si>
  <si>
    <t>DIA OF TANK</t>
  </si>
  <si>
    <t>HEIGHT</t>
  </si>
  <si>
    <t>Top Beam (mm)</t>
  </si>
  <si>
    <t>Ring Beam (mm)</t>
  </si>
  <si>
    <t>Bottom Girder (mm)</t>
  </si>
  <si>
    <t>Staging level</t>
  </si>
  <si>
    <t>(command "text" "" "</t>
  </si>
  <si>
    <t>" "" "250" "")(princ)</t>
  </si>
  <si>
    <t>Annexure 1A: Strong Column and Weak beam Check</t>
  </si>
  <si>
    <t xml:space="preserve">(command "line" p1 p2 "") </t>
  </si>
  <si>
    <t xml:space="preserve">(princ) </t>
  </si>
  <si>
    <t>(command ".rectang" pt1 pt2)</t>
  </si>
  <si>
    <t>(command "_.arc" "_non" pt2 "_e" "_non" pt1 "_rad" radbotdom)</t>
  </si>
  <si>
    <t>(command "line" pt1 pt2 "")</t>
  </si>
  <si>
    <t>(command ".rectang" pt1 pt2 )</t>
  </si>
  <si>
    <t>(command "_.arc" "_non" pt2 "_e" "_non" pt1 "_rad" radtopdom)</t>
  </si>
  <si>
    <t>R0</t>
  </si>
  <si>
    <t xml:space="preserve">              JMC – SPML JOINT VENTURE</t>
  </si>
  <si>
    <t>EXECUTION OF MEGA PWS TO MOHANA, DARINGABADI, GUMMA, R.UDAYGIRI AND NUAGADA BLOCK IN GAJAPATI &amp; KANDHAMAL DISTRICT INCLUDING FIVE YEARS OPERATION &amp; MAINTENANCE</t>
  </si>
  <si>
    <t xml:space="preserve">Working stress Method of Design is adopted for the design of  Water Retaining Members, </t>
  </si>
  <si>
    <t>Category-1</t>
  </si>
  <si>
    <t>CATEGORY 1</t>
  </si>
  <si>
    <t>CATEGORY 2</t>
  </si>
  <si>
    <t>CATEGORY 3</t>
  </si>
  <si>
    <t>CATEGORY 4</t>
  </si>
  <si>
    <t xml:space="preserve">Upto </t>
  </si>
  <si>
    <t>0.28% for Maximum dimension 14 m and 0.42% for upto 28 m. For intermediate it shall be evaluated</t>
  </si>
  <si>
    <t xml:space="preserve">STAGGING HT </t>
  </si>
  <si>
    <t>Point of application of Horizontal from Bottom Ring Beam</t>
  </si>
  <si>
    <t xml:space="preserve">FOR STAGGING HT </t>
  </si>
  <si>
    <t>to</t>
  </si>
  <si>
    <t>STAGING HEIGHT</t>
  </si>
  <si>
    <t>FOR TOP DOME</t>
  </si>
  <si>
    <t>Wind Speed</t>
  </si>
  <si>
    <t>Wind Pressure</t>
  </si>
  <si>
    <t xml:space="preserve">kg/sqm </t>
  </si>
  <si>
    <t>Staging centre of dome</t>
  </si>
  <si>
    <t>40 TO 46</t>
  </si>
  <si>
    <t>47 TO 52</t>
  </si>
  <si>
    <t>54 TO 57</t>
  </si>
  <si>
    <t xml:space="preserve">(setq radtopdom(strcat "7582")) </t>
  </si>
  <si>
    <t>3550 0 0</t>
  </si>
  <si>
    <t>2510.22907321224 2510.22907321224 0</t>
  </si>
  <si>
    <t>2.17367627803472E-13 3550 0</t>
  </si>
  <si>
    <t>-2510.22907321224 2510.22907321224 0</t>
  </si>
  <si>
    <t>-3550 4.34735255606944E-13 0</t>
  </si>
  <si>
    <t>-2510.22907321224 -2510.22907321224 0</t>
  </si>
  <si>
    <t>-6.52102883410416E-13 -3550 0</t>
  </si>
  <si>
    <t>2510.22907321224 -2510.22907321224 0</t>
  </si>
  <si>
    <t xml:space="preserve">(setq radbotdom(strcat "5606.86227308603")) </t>
  </si>
  <si>
    <t>0 11500 0</t>
  </si>
  <si>
    <t>3550 11500 0</t>
  </si>
  <si>
    <t>2510.22907321224 14010.2290732122 0</t>
  </si>
  <si>
    <t>2.17367627803472E-13 15050 0</t>
  </si>
  <si>
    <t>-2510.22907321224 14010.2290732122 0</t>
  </si>
  <si>
    <t>-3550 11500 0</t>
  </si>
  <si>
    <t>-2510.22907321224 8989.77092678776 0</t>
  </si>
  <si>
    <t>-6.52102883410416E-13 7950 0</t>
  </si>
  <si>
    <t>2510.22907321224 8989.77092678776 0</t>
  </si>
  <si>
    <t>0 24100 0</t>
  </si>
  <si>
    <t>3550 35800 0</t>
  </si>
  <si>
    <t>2510.22907321224 38310.2290732122 0</t>
  </si>
  <si>
    <t>2.17367627803472E-13 39350 0</t>
  </si>
  <si>
    <t>-2510.22907321224 38310.2290732122 0</t>
  </si>
  <si>
    <t>-3550 35800 0</t>
  </si>
  <si>
    <t>-2510.22907321224 33289.7709267878 0</t>
  </si>
  <si>
    <t>-6.52102883410416E-13 32250 0</t>
  </si>
  <si>
    <t>2510.22907321224 33289.7709267878 0</t>
  </si>
  <si>
    <t xml:space="preserve">(setq p1(strcat  "2625.03410292177" "," " 38425.0341029218")) </t>
  </si>
  <si>
    <t xml:space="preserve">(setq p2(strcat  "2.27308910547016E-13" "," " 39512.3588300439")) </t>
  </si>
  <si>
    <t xml:space="preserve">(setq p1(strcat  "2.27308910547016E-13" "," " 39512.3588300439")) </t>
  </si>
  <si>
    <t xml:space="preserve">(setq p2(strcat  "-2625.03410292177" "," " 38425.0341029218")) </t>
  </si>
  <si>
    <t xml:space="preserve">(setq p1(strcat  "-2625.03410292177" "," " 38425.0341029218")) </t>
  </si>
  <si>
    <t xml:space="preserve">(setq p2(strcat  "-3712.35883004386" "," " 35800")) </t>
  </si>
  <si>
    <t xml:space="preserve">(setq p1(strcat  "-3712.35883004386" "," " 35800")) </t>
  </si>
  <si>
    <t xml:space="preserve">(setq p2(strcat  "-2625.03410292177" "," " 33174.9658970782")) </t>
  </si>
  <si>
    <t xml:space="preserve">(setq p1(strcat  "-2625.03410292177" "," " 33174.9658970782")) </t>
  </si>
  <si>
    <t xml:space="preserve">(setq p2(strcat  "-6.81926731641047E-13" "," " 32087.6411699561")) </t>
  </si>
  <si>
    <t xml:space="preserve">(setq p1(strcat  "-6.81926731641047E-13" "," " 32087.6411699561")) </t>
  </si>
  <si>
    <t xml:space="preserve">(setq p2(strcat  "2625.03410292177" "," " 33174.9658970782")) </t>
  </si>
  <si>
    <t xml:space="preserve">(setq p1(strcat  "2625.03410292177" "," " 33174.9658970782")) </t>
  </si>
  <si>
    <t xml:space="preserve">(setq p2(strcat  "3712.35883004386" "," " 35800")) </t>
  </si>
  <si>
    <t xml:space="preserve">(setq p1(strcat  "3712.35883004386" "," " 35800")) </t>
  </si>
  <si>
    <t xml:space="preserve">(setq p2(strcat  "2625.03410292177" "," " 38425.0341029218")) </t>
  </si>
  <si>
    <t xml:space="preserve">(setq p1(strcat  "2395.42404350272" "," " 38195.4240435027")) </t>
  </si>
  <si>
    <t xml:space="preserve">(setq p2(strcat  "2.07426345059928E-13" "," " 39187.6411699561")) </t>
  </si>
  <si>
    <t xml:space="preserve">(setq p1(strcat  "2.07426345059928E-13" "," " 39187.6411699561")) </t>
  </si>
  <si>
    <t xml:space="preserve">(setq p2(strcat  "-2395.42404350272" "," " 38195.4240435027")) </t>
  </si>
  <si>
    <t xml:space="preserve">(setq p1(strcat  "-2395.42404350272" "," " 38195.4240435027")) </t>
  </si>
  <si>
    <t xml:space="preserve">(setq p2(strcat  "-3387.64116995614" "," " 35800")) </t>
  </si>
  <si>
    <t xml:space="preserve">(setq p1(strcat  "-3387.64116995614" "," " 35800")) </t>
  </si>
  <si>
    <t xml:space="preserve">(setq p2(strcat  "-2395.42404350272" "," " 33404.5759564973")) </t>
  </si>
  <si>
    <t xml:space="preserve">(setq p1(strcat  "-2395.42404350272" "," " 33404.5759564973")) </t>
  </si>
  <si>
    <t xml:space="preserve">(setq p2(strcat  "-6.22279035179784E-13" "," " 32412.3588300439")) </t>
  </si>
  <si>
    <t xml:space="preserve">(setq p1(strcat  "-6.22279035179784E-13" "," " 32412.3588300439")) </t>
  </si>
  <si>
    <t xml:space="preserve">(setq p2(strcat  "2395.42404350272" "," " 33404.5759564973")) </t>
  </si>
  <si>
    <t xml:space="preserve">(setq p1(strcat  "2395.42404350272" "," " 33404.5759564973")) </t>
  </si>
  <si>
    <t xml:space="preserve">(setq p2(strcat  "3387.64116995614" "," " 35800")) </t>
  </si>
  <si>
    <t xml:space="preserve">(setq p1(strcat  "3387.64116995614" "," " 35800")) </t>
  </si>
  <si>
    <t xml:space="preserve">(setq p2(strcat  "2395.42404350272" "," " 38195.4240435027")) </t>
  </si>
  <si>
    <t xml:space="preserve">(setq pt1(strcat  "-4450" "," " 44900")) </t>
  </si>
  <si>
    <t xml:space="preserve">(setq pt2(strcat  "4450" "," " 45350")) </t>
  </si>
  <si>
    <t xml:space="preserve">(setq pt2(strcat  "-2650" "," " 45350")) </t>
  </si>
  <si>
    <t xml:space="preserve">(setq pt1(strcat  "2650" "," " 44900")) </t>
  </si>
  <si>
    <t xml:space="preserve">(setq pt1(strcat  "-3850" "," " 44900")) </t>
  </si>
  <si>
    <t xml:space="preserve">(setq pt2(strcat  "-3250" "," " 45650")) </t>
  </si>
  <si>
    <t xml:space="preserve">(setq pt1(strcat  "-300" "," " 44900")) </t>
  </si>
  <si>
    <t xml:space="preserve">(setq pt2(strcat  "300" "," " 45650")) </t>
  </si>
  <si>
    <t xml:space="preserve">(setq pt1(strcat  "3250" "," " 44900")) </t>
  </si>
  <si>
    <t xml:space="preserve">(setq pt2(strcat  "3850" "," " 45650")) </t>
  </si>
  <si>
    <t xml:space="preserve">(setq pt1(strcat  "-3800" "," " 44900")) </t>
  </si>
  <si>
    <t xml:space="preserve">(setq pt2(strcat  "-3300" "," " 57900")) </t>
  </si>
  <si>
    <t xml:space="preserve">(setq pt1(strcat  "-250" "," " 44900")) </t>
  </si>
  <si>
    <t xml:space="preserve">(setq pt2(strcat  "250" "," " 57900")) </t>
  </si>
  <si>
    <t xml:space="preserve">(setq pt1(strcat  "3300" "," " 44900")) </t>
  </si>
  <si>
    <t xml:space="preserve">(setq pt2(strcat  "3800" "," " 57900")) </t>
  </si>
  <si>
    <t xml:space="preserve">(setq pt1(strcat  "-3700" "," " 47450")) </t>
  </si>
  <si>
    <t xml:space="preserve">(setq pt2(strcat  "-3400" "," " 47900")) </t>
  </si>
  <si>
    <t xml:space="preserve">(setq pt1(strcat  "-150" "," " 47450")) </t>
  </si>
  <si>
    <t xml:space="preserve">(setq pt2(strcat  "150" "," " 47900")) </t>
  </si>
  <si>
    <t xml:space="preserve">(setq pt1(strcat  "3400" "," " 47450")) </t>
  </si>
  <si>
    <t xml:space="preserve">(setq pt2(strcat  "3700" "," " 47900")) </t>
  </si>
  <si>
    <t xml:space="preserve">(setq pt1(strcat  "-3300" "," " 47450")) </t>
  </si>
  <si>
    <t xml:space="preserve">(setq pt2(strcat  "-250" "," " 47900")) </t>
  </si>
  <si>
    <t xml:space="preserve">(setq pt1(strcat  "250" "," " 47450")) </t>
  </si>
  <si>
    <t xml:space="preserve">(setq pt2(strcat  "3300" "," " 47900")) </t>
  </si>
  <si>
    <t xml:space="preserve">(setq pt1(strcat  "-3700" "," " 50783.3333333333")) </t>
  </si>
  <si>
    <t xml:space="preserve">(setq pt2(strcat  "-3400" "," " 51233.3333333333")) </t>
  </si>
  <si>
    <t xml:space="preserve">(setq pt1(strcat  "-150" "," " 50783.3333333333")) </t>
  </si>
  <si>
    <t xml:space="preserve">(setq pt2(strcat  "150" "," " 51233.3333333333")) </t>
  </si>
  <si>
    <t xml:space="preserve">(setq pt1(strcat  "3400" "," " 50783.3333333333")) </t>
  </si>
  <si>
    <t xml:space="preserve">(setq pt2(strcat  "3700" "," " 51233.3333333333")) </t>
  </si>
  <si>
    <t xml:space="preserve">(setq pt1(strcat  "-3300" "," " 50783.3333333333")) </t>
  </si>
  <si>
    <t xml:space="preserve">(setq pt2(strcat  "-250" "," " 51233.3333333333")) </t>
  </si>
  <si>
    <t xml:space="preserve">(setq pt1(strcat  "250" "," " 50783.3333333333")) </t>
  </si>
  <si>
    <t xml:space="preserve">(setq pt2(strcat  "3300" "," " 51233.3333333333")) </t>
  </si>
  <si>
    <t xml:space="preserve">(setq pt1(strcat  "-3700" "," " 54116.6666666667")) </t>
  </si>
  <si>
    <t xml:space="preserve">(setq pt2(strcat  "-3400" "," " 54566.6666666667")) </t>
  </si>
  <si>
    <t xml:space="preserve">(setq pt1(strcat  "-150" "," " 54116.6666666667")) </t>
  </si>
  <si>
    <t xml:space="preserve">(setq pt2(strcat  "150" "," " 54566.6666666667")) </t>
  </si>
  <si>
    <t xml:space="preserve">(setq pt1(strcat  "3400" "," " 54116.6666666667")) </t>
  </si>
  <si>
    <t xml:space="preserve">(setq pt2(strcat  "3700" "," " 54566.6666666667")) </t>
  </si>
  <si>
    <t xml:space="preserve">(setq pt1(strcat  "-3300" "," " 54116.6666666667")) </t>
  </si>
  <si>
    <t xml:space="preserve">(setq pt2(strcat  "-250" "," " 54566.6666666667")) </t>
  </si>
  <si>
    <t xml:space="preserve">(setq pt1(strcat  "250" "," " 54116.6666666667")) </t>
  </si>
  <si>
    <t xml:space="preserve">(setq pt2(strcat  "3300" "," " 54566.6666666667")) </t>
  </si>
  <si>
    <t xml:space="preserve">(setq pt1(strcat  "-3800" "," " 57000")) </t>
  </si>
  <si>
    <t xml:space="preserve">(setq pt1(strcat  "-3550" "," " 57900")) </t>
  </si>
  <si>
    <t xml:space="preserve">(setq pt2(strcat  "3550" "," " 57900")) </t>
  </si>
  <si>
    <t xml:space="preserve">(setq pt2(strcat  "-4550" "," " 58900")) </t>
  </si>
  <si>
    <t xml:space="preserve">(setq pt1(strcat  "-3550" "," " 57405.0252531694")) </t>
  </si>
  <si>
    <t xml:space="preserve">(setq pt2(strcat  "-5044.97474683058" "," " 58900")) </t>
  </si>
  <si>
    <t xml:space="preserve">(setq pt1(strcat  "3550" "," " 57900")) </t>
  </si>
  <si>
    <t xml:space="preserve">(setq pt2(strcat  "4550" "," " 58900")) </t>
  </si>
  <si>
    <t xml:space="preserve">(setq pt1(strcat  "3550" "," " 57405.0252531694")) </t>
  </si>
  <si>
    <t xml:space="preserve">(setq pt2(strcat  "5044.97474683058" "," " 58900")) </t>
  </si>
  <si>
    <t xml:space="preserve">(setq pt1(strcat  "-5050" "," " 58700")) </t>
  </si>
  <si>
    <t xml:space="preserve">(setq pt2(strcat  "-4550" "," " 59100")) </t>
  </si>
  <si>
    <t xml:space="preserve">(setq pt1(strcat  "5050" "," " 58700")) </t>
  </si>
  <si>
    <t xml:space="preserve">(setq pt2(strcat  "4550" "," " 59100")) </t>
  </si>
  <si>
    <t xml:space="preserve">(setq pt1(strcat  "-4750" "," " 58900")) </t>
  </si>
  <si>
    <t xml:space="preserve">(setq pt1(strcat  "4750" "," " 58900")) </t>
  </si>
  <si>
    <t xml:space="preserve">Structural Design Report of 250 KL ESR with 10 m Staging at  MOHANA A PRO ESR </t>
  </si>
  <si>
    <t>32129-MB-WSE-ESR-CV-DD-</t>
  </si>
  <si>
    <t xml:space="preserve">(setq pt2(strcat  "-4550" "," " 62900")) </t>
  </si>
  <si>
    <t xml:space="preserve">(setq pt2(strcat  "4550" "," " 62900")) </t>
  </si>
  <si>
    <t xml:space="preserve">(setq pt1(strcat  "-4850" "," " 62600")) </t>
  </si>
  <si>
    <t xml:space="preserve">(setq pt2(strcat  "4850" "," " 62900")) </t>
  </si>
  <si>
    <t xml:space="preserve">(setq pt1(strcat  "-4550" "," " 62900")) </t>
  </si>
  <si>
    <t>Depth req for this moment</t>
  </si>
  <si>
    <t>Depth req for maximum moment</t>
  </si>
  <si>
    <t>Thickness req for this moment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</si>
</sst>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164" formatCode="0.0"/>
    <numFmt numFmtId="165" formatCode="0.00_)"/>
    <numFmt numFmtId="166" formatCode="0.000000"/>
    <numFmt numFmtId="167" formatCode="0.00000"/>
    <numFmt numFmtId="168" formatCode="0.0000"/>
    <numFmt numFmtId="169" formatCode="0.000"/>
    <numFmt numFmtId="170" formatCode="0.0000000"/>
    <numFmt numFmtId="171" formatCode="0.00000000"/>
    <numFmt numFmtId="172" formatCode="0.000000000000"/>
    <numFmt numFmtId="173" formatCode="General&quot;%&quot;"/>
    <numFmt numFmtId="174" formatCode="&quot;Dio = &quot;General"/>
    <numFmt numFmtId="175" formatCode="&quot;Di bottom =  &quot;General"/>
    <numFmt numFmtId="176" formatCode="General\ &quot;deg&quot;"/>
    <numFmt numFmtId="177" formatCode="&quot;cover =  &quot;General"/>
    <numFmt numFmtId="178" formatCode="General&quot;WR&quot;"/>
    <numFmt numFmtId="179" formatCode="General&quot;t-m/m&quot;"/>
    <numFmt numFmtId="180" formatCode="General&quot;(t/m)&quot;"/>
    <numFmt numFmtId="181" formatCode="General&quot;c/c&quot;"/>
    <numFmt numFmtId="182" formatCode="General\ &quot;mm&quot;"/>
    <numFmt numFmtId="183" formatCode="General\ &quot; dia&quot;"/>
    <numFmt numFmtId="184" formatCode="&quot;X&quot;\ General"/>
    <numFmt numFmtId="185" formatCode="General\ &quot;NO&quot;"/>
    <numFmt numFmtId="186" formatCode="General\ &quot;dia&quot;"/>
    <numFmt numFmtId="187" formatCode="_-&quot;Rs&quot;* #,##0.00_-;\-&quot;Rs&quot;* #,##0.00_-;_-&quot;Rs&quot;* &quot;-&quot;??_-;_-@_-"/>
    <numFmt numFmtId="188" formatCode="0.0E+00"/>
    <numFmt numFmtId="189" formatCode="_-* #,##0.00_-;\-* #,##0.00_-;_-* &quot;-&quot;??_-;_-@_-"/>
    <numFmt numFmtId="190" formatCode="_(* #,##0.000000_);_(* \(#,##0.000000\);_(* &quot;-&quot;??_);_(@_)"/>
    <numFmt numFmtId="191" formatCode="0.000E+00"/>
    <numFmt numFmtId="192" formatCode="General\ &quot;%&quot;"/>
    <numFmt numFmtId="193" formatCode="General\ &quot;including free board&quot;"/>
    <numFmt numFmtId="194" formatCode="General\ \ &quot;N/sqmm&quot;"/>
    <numFmt numFmtId="195" formatCode="General\ &quot;mm dia&quot;"/>
    <numFmt numFmtId="196" formatCode="0&quot;cum&quot;"/>
    <numFmt numFmtId="197" formatCode="General&quot; Cum&quot;"/>
    <numFmt numFmtId="198" formatCode="&quot; M&quot;0"/>
    <numFmt numFmtId="199" formatCode="&quot; Fe&quot;0"/>
    <numFmt numFmtId="200" formatCode="0.000000E+00"/>
    <numFmt numFmtId="201" formatCode="&quot; BM=&quot;\ 0&quot; N-m&quot;"/>
    <numFmt numFmtId="202" formatCode="&quot; HT=&quot;\ 0&quot; N/m&quot;"/>
    <numFmt numFmtId="203" formatCode="&quot; Thrust=&quot;\ 0&quot; N-m&quot;"/>
    <numFmt numFmtId="204" formatCode="&quot;M &quot;0"/>
    <numFmt numFmtId="205" formatCode="&quot;Fe &quot;0"/>
    <numFmt numFmtId="206" formatCode="0\ \T"/>
    <numFmt numFmtId="207" formatCode="0&quot;%&quot;"/>
    <numFmt numFmtId="208" formatCode="&quot;Provide minimum reinforcement of&quot;\ 0.\2\8&quot;%&quot;"/>
    <numFmt numFmtId="209" formatCode="General\ &quot; m&quot;"/>
    <numFmt numFmtId="210" formatCode="General&quot; lg&quot;"/>
    <numFmt numFmtId="211" formatCode="General&quot; dia&quot;"/>
    <numFmt numFmtId="212" formatCode="General&quot; mm c/c&quot;"/>
    <numFmt numFmtId="213" formatCode="General&quot;mm dia&quot;"/>
    <numFmt numFmtId="214" formatCode="General\ &quot;nos&quot;"/>
    <numFmt numFmtId="215" formatCode="General&quot;mm2&quot;"/>
    <numFmt numFmtId="216" formatCode="General&quot; nos&quot;"/>
    <numFmt numFmtId="217" formatCode="General\ &quot;KL&quot;"/>
    <numFmt numFmtId="218" formatCode="General\ &quot;m&quot;"/>
    <numFmt numFmtId="219" formatCode="General&quot;mm&quot;"/>
  </numFmts>
  <fonts count="143" x14ac:knownFonts="1"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name val="ＭＳ 明朝"/>
      <family val="1"/>
      <charset val="128"/>
    </font>
    <font>
      <vertAlign val="superscript"/>
      <sz val="10"/>
      <name val="Times New Roman"/>
      <family val="1"/>
    </font>
    <font>
      <b/>
      <u/>
      <sz val="10"/>
      <name val="Times New Roman"/>
      <family val="1"/>
    </font>
    <font>
      <b/>
      <vertAlign val="subscript"/>
      <sz val="12"/>
      <name val="Times New Roman"/>
      <family val="1"/>
    </font>
    <font>
      <b/>
      <vertAlign val="subscript"/>
      <sz val="10"/>
      <name val="Times New Roman"/>
      <family val="1"/>
    </font>
    <font>
      <vertAlign val="subscript"/>
      <sz val="10"/>
      <name val="Times New Roman"/>
      <family val="1"/>
    </font>
    <font>
      <vertAlign val="superscript"/>
      <sz val="12"/>
      <name val="Times New Roman"/>
      <family val="1"/>
    </font>
    <font>
      <vertAlign val="subscript"/>
      <sz val="12"/>
      <name val="Times New Roman"/>
      <family val="1"/>
    </font>
    <font>
      <b/>
      <sz val="8"/>
      <name val="Times New Roman"/>
      <family val="1"/>
    </font>
    <font>
      <b/>
      <u/>
      <sz val="14"/>
      <name val="Times New Roman"/>
      <family val="1"/>
    </font>
    <font>
      <sz val="12"/>
      <name val="Arial"/>
      <family val="2"/>
    </font>
    <font>
      <b/>
      <sz val="10"/>
      <color indexed="10"/>
      <name val="Times New Roman"/>
      <family val="1"/>
    </font>
    <font>
      <b/>
      <sz val="14"/>
      <color indexed="10"/>
      <name val="Times New Roman"/>
      <family val="1"/>
    </font>
    <font>
      <sz val="10"/>
      <color indexed="10"/>
      <name val="Arial"/>
      <family val="2"/>
    </font>
    <font>
      <vertAlign val="subscript"/>
      <sz val="1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vertAlign val="subscript"/>
      <sz val="12"/>
      <color indexed="8"/>
      <name val="Arial"/>
      <family val="2"/>
    </font>
    <font>
      <sz val="12"/>
      <color indexed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10"/>
      <name val="Arial"/>
      <family val="2"/>
    </font>
    <font>
      <vertAlign val="subscript"/>
      <sz val="11"/>
      <name val="Arial"/>
      <family val="2"/>
    </font>
    <font>
      <vertAlign val="superscript"/>
      <sz val="11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b/>
      <sz val="11"/>
      <color indexed="8"/>
      <name val="Arial"/>
      <family val="2"/>
    </font>
    <font>
      <b/>
      <u/>
      <sz val="11"/>
      <color indexed="8"/>
      <name val="Arial"/>
      <family val="2"/>
    </font>
    <font>
      <sz val="11"/>
      <color indexed="8"/>
      <name val="Arial"/>
      <family val="2"/>
    </font>
    <font>
      <u/>
      <sz val="11"/>
      <color indexed="8"/>
      <name val="Arial"/>
      <family val="2"/>
    </font>
    <font>
      <sz val="11"/>
      <name val="Times New Roman"/>
      <family val="1"/>
    </font>
    <font>
      <vertAlign val="superscript"/>
      <sz val="11"/>
      <color indexed="8"/>
      <name val="Arial"/>
      <family val="2"/>
    </font>
    <font>
      <b/>
      <vertAlign val="superscript"/>
      <sz val="11"/>
      <color indexed="8"/>
      <name val="Arial"/>
      <family val="2"/>
    </font>
    <font>
      <b/>
      <vertAlign val="subscript"/>
      <sz val="11"/>
      <color indexed="8"/>
      <name val="Arial"/>
      <family val="2"/>
    </font>
    <font>
      <vertAlign val="subscript"/>
      <sz val="11"/>
      <color indexed="8"/>
      <name val="Arial"/>
      <family val="2"/>
    </font>
    <font>
      <b/>
      <vertAlign val="subscript"/>
      <sz val="11"/>
      <name val="Times New Roman"/>
      <family val="1"/>
    </font>
    <font>
      <vertAlign val="subscript"/>
      <sz val="11"/>
      <name val="Times New Roman"/>
      <family val="1"/>
    </font>
    <font>
      <vertAlign val="superscript"/>
      <sz val="11"/>
      <name val="Times New Roman"/>
      <family val="1"/>
    </font>
    <font>
      <sz val="11"/>
      <name val="Calibri"/>
      <family val="2"/>
    </font>
    <font>
      <b/>
      <sz val="11"/>
      <name val="Calibri"/>
      <family val="2"/>
    </font>
    <font>
      <b/>
      <u/>
      <sz val="11"/>
      <name val="Cambria"/>
      <family val="1"/>
    </font>
    <font>
      <sz val="11"/>
      <name val="Cambria"/>
      <family val="1"/>
    </font>
    <font>
      <b/>
      <sz val="11"/>
      <name val="Cambria"/>
      <family val="1"/>
    </font>
    <font>
      <sz val="26"/>
      <name val="Calibri"/>
      <family val="2"/>
    </font>
    <font>
      <vertAlign val="superscript"/>
      <sz val="11"/>
      <name val="Calibri"/>
      <family val="2"/>
    </font>
    <font>
      <vertAlign val="subscript"/>
      <sz val="11"/>
      <name val="Calibri"/>
      <family val="2"/>
    </font>
    <font>
      <sz val="9"/>
      <name val="Calibri"/>
      <family val="2"/>
    </font>
    <font>
      <u/>
      <sz val="11"/>
      <name val="Calibri"/>
      <family val="2"/>
    </font>
    <font>
      <b/>
      <u/>
      <sz val="11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vertAlign val="subscript"/>
      <sz val="12"/>
      <name val="Calibri"/>
      <family val="2"/>
    </font>
    <font>
      <vertAlign val="superscript"/>
      <sz val="12"/>
      <name val="Calibri"/>
      <family val="2"/>
    </font>
    <font>
      <vertAlign val="subscript"/>
      <sz val="14"/>
      <name val="Calibri"/>
      <family val="2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6"/>
      <name val="Times New Roman"/>
      <family val="1"/>
    </font>
    <font>
      <b/>
      <sz val="16"/>
      <name val="Times New Roman"/>
      <family val="1"/>
    </font>
    <font>
      <sz val="16"/>
      <color indexed="8"/>
      <name val="Times New Roman"/>
      <family val="1"/>
    </font>
    <font>
      <sz val="11"/>
      <color indexed="8"/>
      <name val="Calibri Light"/>
      <family val="2"/>
    </font>
    <font>
      <sz val="10"/>
      <name val="Calibri Light"/>
      <family val="2"/>
    </font>
    <font>
      <u/>
      <sz val="16"/>
      <name val="Times New Roman"/>
      <family val="1"/>
    </font>
    <font>
      <u/>
      <sz val="11"/>
      <name val="Arial"/>
      <family val="2"/>
    </font>
    <font>
      <i/>
      <sz val="11"/>
      <name val="Arial"/>
      <family val="2"/>
    </font>
    <font>
      <b/>
      <sz val="10"/>
      <name val="Arial"/>
      <family val="2"/>
    </font>
    <font>
      <b/>
      <i/>
      <sz val="11"/>
      <name val="Arial"/>
      <family val="2"/>
    </font>
    <font>
      <b/>
      <sz val="16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rgb="FFFF0000"/>
      <name val="Times New Roman"/>
      <family val="1"/>
    </font>
    <font>
      <sz val="10"/>
      <color rgb="FFFF0000"/>
      <name val="Times New Roman"/>
      <family val="1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</font>
    <font>
      <b/>
      <sz val="10"/>
      <color theme="1"/>
      <name val="Times New Roman"/>
      <family val="1"/>
    </font>
    <font>
      <sz val="11"/>
      <color rgb="FFFF0000"/>
      <name val="Calibri"/>
      <family val="2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C00000"/>
      <name val="Times New Roman"/>
      <family val="1"/>
    </font>
    <font>
      <b/>
      <u/>
      <sz val="16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color rgb="FFFF0000"/>
      <name val="Times New Roman"/>
      <family val="1"/>
    </font>
    <font>
      <b/>
      <sz val="11"/>
      <color rgb="FFFF0000"/>
      <name val="Cambria"/>
      <family val="1"/>
    </font>
    <font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b/>
      <i/>
      <u/>
      <sz val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theme="1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7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9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95" fillId="3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4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6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189" fontId="22" fillId="0" borderId="0" applyFont="0" applyFill="0" applyBorder="0" applyAlignment="0" applyProtection="0"/>
    <xf numFmtId="187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38" fontId="14" fillId="22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1" applyNumberFormat="0" applyAlignment="0" applyProtection="0"/>
    <xf numFmtId="10" fontId="14" fillId="23" borderId="6" applyNumberFormat="0" applyBorder="0" applyAlignment="0" applyProtection="0"/>
    <xf numFmtId="0" fontId="19" fillId="0" borderId="7" applyNumberFormat="0" applyFill="0" applyAlignment="0" applyProtection="0"/>
    <xf numFmtId="0" fontId="20" fillId="24" borderId="0" applyNumberFormat="0" applyBorder="0" applyAlignment="0" applyProtection="0"/>
    <xf numFmtId="165" fontId="21" fillId="0" borderId="0"/>
    <xf numFmtId="0" fontId="22" fillId="0" borderId="0"/>
    <xf numFmtId="0" fontId="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95" fillId="0" borderId="0"/>
    <xf numFmtId="0" fontId="95" fillId="0" borderId="0"/>
    <xf numFmtId="0" fontId="95" fillId="0" borderId="0"/>
    <xf numFmtId="0" fontId="22" fillId="0" borderId="0"/>
    <xf numFmtId="0" fontId="22" fillId="0" borderId="0"/>
    <xf numFmtId="0" fontId="22" fillId="25" borderId="8" applyNumberFormat="0" applyFont="0" applyAlignment="0" applyProtection="0"/>
    <xf numFmtId="0" fontId="23" fillId="20" borderId="9" applyNumberFormat="0" applyAlignment="0" applyProtection="0"/>
    <xf numFmtId="10" fontId="22" fillId="0" borderId="0" applyFont="0" applyFill="0" applyBorder="0" applyAlignment="0" applyProtection="0"/>
    <xf numFmtId="9" fontId="95" fillId="0" borderId="0" applyFont="0" applyFill="0" applyBorder="0" applyAlignment="0" applyProtection="0"/>
    <xf numFmtId="40" fontId="24" fillId="0" borderId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0" borderId="0"/>
  </cellStyleXfs>
  <cellXfs count="1387">
    <xf numFmtId="0" fontId="0" fillId="0" borderId="0" xfId="0"/>
    <xf numFmtId="0" fontId="3" fillId="0" borderId="6" xfId="57" applyFont="1" applyBorder="1" applyAlignment="1">
      <alignment horizontal="center" vertical="top"/>
    </xf>
    <xf numFmtId="2" fontId="3" fillId="0" borderId="6" xfId="57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6" fillId="26" borderId="6" xfId="0" applyFont="1" applyFill="1" applyBorder="1" applyAlignment="1">
      <alignment horizontal="center"/>
    </xf>
    <xf numFmtId="180" fontId="2" fillId="0" borderId="6" xfId="0" applyNumberFormat="1" applyFont="1" applyBorder="1" applyAlignment="1">
      <alignment horizontal="center" wrapText="1"/>
    </xf>
    <xf numFmtId="0" fontId="3" fillId="0" borderId="6" xfId="0" applyFont="1" applyBorder="1" applyAlignment="1">
      <alignment horizontal="right"/>
    </xf>
    <xf numFmtId="0" fontId="6" fillId="0" borderId="6" xfId="0" applyFont="1" applyBorder="1"/>
    <xf numFmtId="0" fontId="30" fillId="0" borderId="6" xfId="0" applyFont="1" applyBorder="1"/>
    <xf numFmtId="0" fontId="3" fillId="0" borderId="6" xfId="0" applyFont="1" applyBorder="1"/>
    <xf numFmtId="2" fontId="6" fillId="0" borderId="6" xfId="0" applyNumberFormat="1" applyFont="1" applyBorder="1" applyAlignment="1">
      <alignment horizontal="center"/>
    </xf>
    <xf numFmtId="0" fontId="30" fillId="0" borderId="6" xfId="0" applyFont="1" applyBorder="1" applyAlignment="1">
      <alignment horizontal="right"/>
    </xf>
    <xf numFmtId="0" fontId="2" fillId="0" borderId="6" xfId="0" applyFont="1" applyBorder="1"/>
    <xf numFmtId="0" fontId="2" fillId="0" borderId="6" xfId="0" applyFont="1" applyBorder="1" applyAlignment="1">
      <alignment horizontal="center" wrapText="1" shrinkToFit="1"/>
    </xf>
    <xf numFmtId="2" fontId="6" fillId="0" borderId="6" xfId="0" applyNumberFormat="1" applyFont="1" applyBorder="1" applyAlignment="1">
      <alignment horizontal="center" wrapText="1" shrinkToFit="1"/>
    </xf>
    <xf numFmtId="0" fontId="3" fillId="0" borderId="6" xfId="0" applyFont="1" applyBorder="1" applyAlignment="1">
      <alignment horizontal="right" wrapText="1"/>
    </xf>
    <xf numFmtId="0" fontId="2" fillId="0" borderId="6" xfId="0" applyFont="1" applyBorder="1" applyAlignment="1">
      <alignment horizontal="center" wrapText="1"/>
    </xf>
    <xf numFmtId="0" fontId="3" fillId="0" borderId="6" xfId="0" applyFont="1" applyBorder="1" applyAlignment="1">
      <alignment wrapText="1"/>
    </xf>
    <xf numFmtId="179" fontId="2" fillId="0" borderId="6" xfId="0" applyNumberFormat="1" applyFont="1" applyBorder="1" applyAlignment="1">
      <alignment horizontal="center"/>
    </xf>
    <xf numFmtId="2" fontId="6" fillId="27" borderId="6" xfId="0" applyNumberFormat="1" applyFont="1" applyFill="1" applyBorder="1" applyAlignment="1">
      <alignment horizontal="center"/>
    </xf>
    <xf numFmtId="0" fontId="2" fillId="28" borderId="6" xfId="0" applyFont="1" applyFill="1" applyBorder="1" applyAlignment="1">
      <alignment horizontal="center"/>
    </xf>
    <xf numFmtId="0" fontId="39" fillId="0" borderId="6" xfId="0" applyFont="1" applyBorder="1"/>
    <xf numFmtId="0" fontId="40" fillId="0" borderId="6" xfId="0" applyFont="1" applyBorder="1" applyAlignment="1">
      <alignment horizontal="center"/>
    </xf>
    <xf numFmtId="0" fontId="38" fillId="0" borderId="0" xfId="0" applyFont="1"/>
    <xf numFmtId="0" fontId="0" fillId="0" borderId="0" xfId="0" applyAlignment="1">
      <alignment horizontal="center"/>
    </xf>
    <xf numFmtId="0" fontId="4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2" fontId="22" fillId="0" borderId="0" xfId="0" applyNumberFormat="1" applyFont="1" applyAlignment="1">
      <alignment horizontal="center"/>
    </xf>
    <xf numFmtId="168" fontId="22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2" fontId="41" fillId="0" borderId="0" xfId="0" applyNumberFormat="1" applyFont="1" applyAlignment="1">
      <alignment horizontal="center"/>
    </xf>
    <xf numFmtId="168" fontId="41" fillId="0" borderId="0" xfId="0" applyNumberFormat="1" applyFont="1" applyAlignment="1">
      <alignment horizontal="center"/>
    </xf>
    <xf numFmtId="0" fontId="3" fillId="28" borderId="6" xfId="0" applyFont="1" applyFill="1" applyBorder="1" applyAlignment="1">
      <alignment horizontal="center"/>
    </xf>
    <xf numFmtId="0" fontId="30" fillId="28" borderId="6" xfId="0" applyFont="1" applyFill="1" applyBorder="1"/>
    <xf numFmtId="0" fontId="2" fillId="0" borderId="6" xfId="0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173" fontId="2" fillId="0" borderId="6" xfId="0" applyNumberFormat="1" applyFont="1" applyBorder="1" applyAlignment="1">
      <alignment horizontal="center"/>
    </xf>
    <xf numFmtId="0" fontId="6" fillId="27" borderId="6" xfId="0" applyFont="1" applyFill="1" applyBorder="1" applyAlignment="1">
      <alignment horizontal="center"/>
    </xf>
    <xf numFmtId="181" fontId="2" fillId="0" borderId="6" xfId="0" applyNumberFormat="1" applyFont="1" applyBorder="1" applyAlignment="1">
      <alignment horizontal="center"/>
    </xf>
    <xf numFmtId="2" fontId="40" fillId="0" borderId="6" xfId="0" applyNumberFormat="1" applyFont="1" applyBorder="1" applyAlignment="1">
      <alignment horizontal="center"/>
    </xf>
    <xf numFmtId="0" fontId="0" fillId="0" borderId="6" xfId="0" applyBorder="1"/>
    <xf numFmtId="169" fontId="2" fillId="0" borderId="6" xfId="0" applyNumberFormat="1" applyFont="1" applyBorder="1" applyAlignment="1">
      <alignment horizontal="center"/>
    </xf>
    <xf numFmtId="0" fontId="6" fillId="0" borderId="6" xfId="0" applyFont="1" applyBorder="1" applyAlignment="1">
      <alignment wrapText="1"/>
    </xf>
    <xf numFmtId="0" fontId="6" fillId="0" borderId="6" xfId="0" applyFont="1" applyBorder="1" applyAlignment="1">
      <alignment horizontal="right"/>
    </xf>
    <xf numFmtId="0" fontId="38" fillId="0" borderId="6" xfId="0" applyFont="1" applyBorder="1" applyAlignment="1">
      <alignment horizontal="center"/>
    </xf>
    <xf numFmtId="176" fontId="6" fillId="0" borderId="6" xfId="0" applyNumberFormat="1" applyFont="1" applyBorder="1"/>
    <xf numFmtId="0" fontId="6" fillId="0" borderId="6" xfId="0" applyFont="1" applyBorder="1" applyAlignment="1">
      <alignment horizontal="left"/>
    </xf>
    <xf numFmtId="164" fontId="6" fillId="0" borderId="6" xfId="0" applyNumberFormat="1" applyFont="1" applyBorder="1" applyAlignment="1">
      <alignment horizontal="center"/>
    </xf>
    <xf numFmtId="0" fontId="22" fillId="0" borderId="6" xfId="51" applyBorder="1"/>
    <xf numFmtId="0" fontId="44" fillId="26" borderId="6" xfId="51" applyFont="1" applyFill="1" applyBorder="1" applyAlignment="1">
      <alignment horizontal="center"/>
    </xf>
    <xf numFmtId="0" fontId="41" fillId="0" borderId="6" xfId="51" applyFont="1" applyBorder="1" applyAlignment="1">
      <alignment horizontal="center" wrapText="1"/>
    </xf>
    <xf numFmtId="0" fontId="43" fillId="26" borderId="6" xfId="51" applyFont="1" applyFill="1" applyBorder="1" applyAlignment="1">
      <alignment horizontal="right"/>
    </xf>
    <xf numFmtId="0" fontId="22" fillId="0" borderId="6" xfId="51" applyBorder="1" applyAlignment="1">
      <alignment horizontal="center"/>
    </xf>
    <xf numFmtId="0" fontId="47" fillId="0" borderId="6" xfId="0" applyFont="1" applyBorder="1"/>
    <xf numFmtId="2" fontId="47" fillId="0" borderId="6" xfId="0" applyNumberFormat="1" applyFont="1" applyBorder="1"/>
    <xf numFmtId="0" fontId="22" fillId="0" borderId="6" xfId="0" applyFont="1" applyBorder="1"/>
    <xf numFmtId="0" fontId="0" fillId="35" borderId="6" xfId="0" applyFill="1" applyBorder="1"/>
    <xf numFmtId="0" fontId="0" fillId="35" borderId="6" xfId="0" applyFill="1" applyBorder="1" applyAlignment="1">
      <alignment horizontal="center"/>
    </xf>
    <xf numFmtId="0" fontId="0" fillId="35" borderId="6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47" fillId="35" borderId="6" xfId="0" applyFont="1" applyFill="1" applyBorder="1" applyAlignment="1">
      <alignment horizontal="center"/>
    </xf>
    <xf numFmtId="169" fontId="47" fillId="0" borderId="6" xfId="57" applyNumberFormat="1" applyFont="1" applyBorder="1" applyAlignment="1">
      <alignment horizontal="center"/>
    </xf>
    <xf numFmtId="2" fontId="47" fillId="0" borderId="6" xfId="57" applyNumberFormat="1" applyFont="1" applyBorder="1" applyAlignment="1">
      <alignment horizontal="center"/>
    </xf>
    <xf numFmtId="0" fontId="47" fillId="0" borderId="6" xfId="57" applyFont="1" applyBorder="1" applyAlignment="1">
      <alignment horizontal="center"/>
    </xf>
    <xf numFmtId="0" fontId="47" fillId="0" borderId="6" xfId="57" applyFont="1" applyBorder="1" applyAlignment="1">
      <alignment horizontal="center" vertical="center"/>
    </xf>
    <xf numFmtId="0" fontId="47" fillId="0" borderId="6" xfId="57" applyFont="1" applyBorder="1"/>
    <xf numFmtId="0" fontId="49" fillId="0" borderId="6" xfId="57" applyFont="1" applyBorder="1"/>
    <xf numFmtId="0" fontId="47" fillId="0" borderId="6" xfId="57" applyFont="1" applyBorder="1" applyAlignment="1">
      <alignment horizontal="center" wrapText="1"/>
    </xf>
    <xf numFmtId="2" fontId="47" fillId="0" borderId="6" xfId="57" applyNumberFormat="1" applyFont="1" applyBorder="1" applyAlignment="1">
      <alignment horizontal="center" vertical="top"/>
    </xf>
    <xf numFmtId="0" fontId="47" fillId="35" borderId="6" xfId="57" applyFont="1" applyFill="1" applyBorder="1" applyAlignment="1">
      <alignment horizontal="center"/>
    </xf>
    <xf numFmtId="169" fontId="47" fillId="29" borderId="6" xfId="57" applyNumberFormat="1" applyFont="1" applyFill="1" applyBorder="1" applyAlignment="1">
      <alignment horizontal="center"/>
    </xf>
    <xf numFmtId="0" fontId="47" fillId="35" borderId="6" xfId="57" applyFont="1" applyFill="1" applyBorder="1" applyAlignment="1">
      <alignment horizontal="center" vertical="center"/>
    </xf>
    <xf numFmtId="0" fontId="47" fillId="0" borderId="6" xfId="57" applyFont="1" applyBorder="1" applyAlignment="1">
      <alignment horizontal="center" vertical="top"/>
    </xf>
    <xf numFmtId="0" fontId="48" fillId="0" borderId="6" xfId="57" applyFont="1" applyBorder="1" applyAlignment="1">
      <alignment horizontal="left" wrapText="1"/>
    </xf>
    <xf numFmtId="0" fontId="48" fillId="0" borderId="6" xfId="57" applyFont="1" applyBorder="1" applyAlignment="1">
      <alignment horizontal="left" vertical="center"/>
    </xf>
    <xf numFmtId="0" fontId="48" fillId="0" borderId="6" xfId="57" applyFont="1" applyBorder="1" applyAlignment="1">
      <alignment horizontal="center" vertical="center"/>
    </xf>
    <xf numFmtId="164" fontId="47" fillId="0" borderId="6" xfId="57" applyNumberFormat="1" applyFont="1" applyBorder="1" applyAlignment="1">
      <alignment horizontal="center"/>
    </xf>
    <xf numFmtId="0" fontId="47" fillId="26" borderId="6" xfId="57" applyFont="1" applyFill="1" applyBorder="1"/>
    <xf numFmtId="169" fontId="47" fillId="0" borderId="6" xfId="57" applyNumberFormat="1" applyFont="1" applyBorder="1" applyAlignment="1">
      <alignment horizontal="center" vertical="top"/>
    </xf>
    <xf numFmtId="0" fontId="47" fillId="0" borderId="6" xfId="57" applyFont="1" applyBorder="1" applyAlignment="1">
      <alignment horizontal="center" vertical="top" wrapText="1"/>
    </xf>
    <xf numFmtId="0" fontId="49" fillId="29" borderId="6" xfId="57" applyFont="1" applyFill="1" applyBorder="1" applyAlignment="1">
      <alignment horizontal="center" vertical="top"/>
    </xf>
    <xf numFmtId="0" fontId="47" fillId="0" borderId="6" xfId="57" applyFont="1" applyBorder="1" applyAlignment="1">
      <alignment horizontal="center" vertical="center" wrapText="1"/>
    </xf>
    <xf numFmtId="0" fontId="47" fillId="0" borderId="6" xfId="57" applyFont="1" applyBorder="1" applyAlignment="1">
      <alignment vertical="top"/>
    </xf>
    <xf numFmtId="0" fontId="5" fillId="0" borderId="6" xfId="0" applyFont="1" applyBorder="1" applyAlignment="1">
      <alignment horizontal="left"/>
    </xf>
    <xf numFmtId="164" fontId="6" fillId="0" borderId="6" xfId="0" applyNumberFormat="1" applyFont="1" applyBorder="1"/>
    <xf numFmtId="2" fontId="6" fillId="0" borderId="6" xfId="0" applyNumberFormat="1" applyFont="1" applyBorder="1" applyAlignment="1">
      <alignment horizontal="left"/>
    </xf>
    <xf numFmtId="0" fontId="6" fillId="27" borderId="6" xfId="0" applyFont="1" applyFill="1" applyBorder="1" applyAlignment="1">
      <alignment horizontal="left"/>
    </xf>
    <xf numFmtId="168" fontId="6" fillId="0" borderId="6" xfId="0" applyNumberFormat="1" applyFont="1" applyBorder="1"/>
    <xf numFmtId="0" fontId="6" fillId="27" borderId="6" xfId="0" applyFont="1" applyFill="1" applyBorder="1"/>
    <xf numFmtId="169" fontId="6" fillId="0" borderId="6" xfId="0" applyNumberFormat="1" applyFont="1" applyBorder="1" applyAlignment="1">
      <alignment horizontal="center"/>
    </xf>
    <xf numFmtId="2" fontId="6" fillId="0" borderId="6" xfId="0" applyNumberFormat="1" applyFont="1" applyBorder="1"/>
    <xf numFmtId="0" fontId="37" fillId="0" borderId="6" xfId="0" applyFont="1" applyBorder="1"/>
    <xf numFmtId="169" fontId="6" fillId="0" borderId="6" xfId="0" applyNumberFormat="1" applyFont="1" applyBorder="1"/>
    <xf numFmtId="0" fontId="4" fillId="27" borderId="6" xfId="0" applyFont="1" applyFill="1" applyBorder="1" applyAlignment="1">
      <alignment horizontal="center"/>
    </xf>
    <xf numFmtId="0" fontId="6" fillId="30" borderId="6" xfId="0" applyFont="1" applyFill="1" applyBorder="1"/>
    <xf numFmtId="0" fontId="38" fillId="0" borderId="6" xfId="0" applyFont="1" applyBorder="1"/>
    <xf numFmtId="0" fontId="96" fillId="0" borderId="6" xfId="0" applyFont="1" applyBorder="1"/>
    <xf numFmtId="0" fontId="38" fillId="0" borderId="6" xfId="0" applyFont="1" applyBorder="1" applyAlignment="1">
      <alignment horizontal="right"/>
    </xf>
    <xf numFmtId="0" fontId="38" fillId="29" borderId="6" xfId="0" applyFont="1" applyFill="1" applyBorder="1"/>
    <xf numFmtId="0" fontId="22" fillId="0" borderId="6" xfId="51" applyBorder="1" applyAlignment="1">
      <alignment wrapText="1"/>
    </xf>
    <xf numFmtId="0" fontId="41" fillId="0" borderId="6" xfId="51" applyFont="1" applyBorder="1" applyAlignment="1">
      <alignment horizontal="center"/>
    </xf>
    <xf numFmtId="2" fontId="22" fillId="0" borderId="6" xfId="51" applyNumberFormat="1" applyBorder="1" applyAlignment="1">
      <alignment horizontal="center"/>
    </xf>
    <xf numFmtId="168" fontId="22" fillId="0" borderId="6" xfId="51" applyNumberFormat="1" applyBorder="1" applyAlignment="1">
      <alignment horizontal="center"/>
    </xf>
    <xf numFmtId="2" fontId="41" fillId="0" borderId="6" xfId="51" applyNumberFormat="1" applyFont="1" applyBorder="1" applyAlignment="1">
      <alignment horizontal="center"/>
    </xf>
    <xf numFmtId="168" fontId="41" fillId="0" borderId="6" xfId="51" applyNumberFormat="1" applyFont="1" applyBorder="1" applyAlignment="1">
      <alignment horizontal="center"/>
    </xf>
    <xf numFmtId="0" fontId="41" fillId="0" borderId="6" xfId="51" applyFont="1" applyBorder="1"/>
    <xf numFmtId="168" fontId="22" fillId="0" borderId="6" xfId="51" applyNumberFormat="1" applyBorder="1" applyAlignment="1">
      <alignment horizontal="right"/>
    </xf>
    <xf numFmtId="0" fontId="30" fillId="0" borderId="6" xfId="0" applyFont="1" applyBorder="1" applyAlignment="1">
      <alignment horizontal="left"/>
    </xf>
    <xf numFmtId="0" fontId="4" fillId="0" borderId="6" xfId="0" applyFont="1" applyBorder="1"/>
    <xf numFmtId="0" fontId="36" fillId="0" borderId="6" xfId="0" applyFont="1" applyBorder="1"/>
    <xf numFmtId="0" fontId="2" fillId="28" borderId="6" xfId="0" applyFont="1" applyFill="1" applyBorder="1"/>
    <xf numFmtId="174" fontId="2" fillId="0" borderId="6" xfId="0" applyNumberFormat="1" applyFont="1" applyBorder="1" applyAlignment="1">
      <alignment horizontal="center"/>
    </xf>
    <xf numFmtId="175" fontId="2" fillId="0" borderId="6" xfId="0" applyNumberFormat="1" applyFont="1" applyBorder="1" applyAlignment="1">
      <alignment horizontal="left" wrapText="1"/>
    </xf>
    <xf numFmtId="0" fontId="3" fillId="0" borderId="6" xfId="0" applyFont="1" applyBorder="1" applyAlignment="1">
      <alignment horizontal="left" wrapText="1"/>
    </xf>
    <xf numFmtId="168" fontId="6" fillId="0" borderId="6" xfId="0" applyNumberFormat="1" applyFont="1" applyBorder="1" applyAlignment="1">
      <alignment horizontal="left"/>
    </xf>
    <xf numFmtId="0" fontId="2" fillId="0" borderId="6" xfId="0" applyFont="1" applyBorder="1" applyAlignment="1">
      <alignment horizontal="left" indent="4"/>
    </xf>
    <xf numFmtId="182" fontId="2" fillId="0" borderId="6" xfId="0" applyNumberFormat="1" applyFont="1" applyBorder="1" applyAlignment="1">
      <alignment horizontal="center"/>
    </xf>
    <xf numFmtId="184" fontId="2" fillId="0" borderId="6" xfId="0" applyNumberFormat="1" applyFont="1" applyBorder="1" applyAlignment="1">
      <alignment horizontal="left"/>
    </xf>
    <xf numFmtId="185" fontId="2" fillId="0" borderId="6" xfId="0" applyNumberFormat="1" applyFont="1" applyBorder="1" applyAlignment="1">
      <alignment horizontal="right"/>
    </xf>
    <xf numFmtId="186" fontId="2" fillId="0" borderId="6" xfId="0" applyNumberFormat="1" applyFont="1" applyBorder="1" applyAlignment="1">
      <alignment horizontal="left"/>
    </xf>
    <xf numFmtId="164" fontId="6" fillId="27" borderId="6" xfId="0" applyNumberFormat="1" applyFont="1" applyFill="1" applyBorder="1" applyAlignment="1">
      <alignment horizontal="center"/>
    </xf>
    <xf numFmtId="0" fontId="3" fillId="0" borderId="6" xfId="0" applyFont="1" applyBorder="1" applyAlignment="1">
      <alignment horizontal="left"/>
    </xf>
    <xf numFmtId="183" fontId="2" fillId="29" borderId="6" xfId="0" applyNumberFormat="1" applyFont="1" applyFill="1" applyBorder="1" applyAlignment="1">
      <alignment horizontal="right"/>
    </xf>
    <xf numFmtId="0" fontId="6" fillId="29" borderId="6" xfId="0" applyFont="1" applyFill="1" applyBorder="1" applyAlignment="1">
      <alignment horizontal="center"/>
    </xf>
    <xf numFmtId="178" fontId="2" fillId="0" borderId="6" xfId="0" applyNumberFormat="1" applyFont="1" applyBorder="1" applyAlignment="1">
      <alignment horizontal="center"/>
    </xf>
    <xf numFmtId="167" fontId="6" fillId="27" borderId="6" xfId="0" applyNumberFormat="1" applyFont="1" applyFill="1" applyBorder="1" applyAlignment="1">
      <alignment horizontal="center"/>
    </xf>
    <xf numFmtId="166" fontId="6" fillId="27" borderId="6" xfId="0" applyNumberFormat="1" applyFont="1" applyFill="1" applyBorder="1" applyAlignment="1">
      <alignment horizontal="center"/>
    </xf>
    <xf numFmtId="1" fontId="6" fillId="27" borderId="6" xfId="0" applyNumberFormat="1" applyFont="1" applyFill="1" applyBorder="1" applyAlignment="1">
      <alignment horizontal="center"/>
    </xf>
    <xf numFmtId="0" fontId="52" fillId="0" borderId="6" xfId="0" applyFont="1" applyBorder="1"/>
    <xf numFmtId="167" fontId="47" fillId="0" borderId="6" xfId="0" applyNumberFormat="1" applyFont="1" applyBorder="1"/>
    <xf numFmtId="0" fontId="2" fillId="0" borderId="11" xfId="0" applyFont="1" applyBorder="1"/>
    <xf numFmtId="0" fontId="6" fillId="22" borderId="6" xfId="0" applyFont="1" applyFill="1" applyBorder="1"/>
    <xf numFmtId="0" fontId="5" fillId="0" borderId="6" xfId="0" applyFont="1" applyBorder="1"/>
    <xf numFmtId="0" fontId="6" fillId="31" borderId="6" xfId="0" applyFont="1" applyFill="1" applyBorder="1"/>
    <xf numFmtId="0" fontId="6" fillId="35" borderId="6" xfId="0" applyFont="1" applyFill="1" applyBorder="1"/>
    <xf numFmtId="0" fontId="6" fillId="26" borderId="6" xfId="0" applyFont="1" applyFill="1" applyBorder="1"/>
    <xf numFmtId="168" fontId="6" fillId="0" borderId="6" xfId="0" applyNumberFormat="1" applyFont="1" applyBorder="1" applyAlignment="1">
      <alignment horizontal="center"/>
    </xf>
    <xf numFmtId="0" fontId="6" fillId="0" borderId="12" xfId="0" applyFont="1" applyBorder="1"/>
    <xf numFmtId="0" fontId="6" fillId="0" borderId="12" xfId="0" applyFont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15" xfId="0" applyFont="1" applyBorder="1" applyAlignment="1">
      <alignment horizontal="center"/>
    </xf>
    <xf numFmtId="168" fontId="6" fillId="0" borderId="15" xfId="0" applyNumberFormat="1" applyFont="1" applyBorder="1" applyAlignment="1">
      <alignment horizontal="center"/>
    </xf>
    <xf numFmtId="0" fontId="6" fillId="0" borderId="16" xfId="0" applyFont="1" applyBorder="1"/>
    <xf numFmtId="0" fontId="6" fillId="0" borderId="11" xfId="0" applyFont="1" applyBorder="1"/>
    <xf numFmtId="0" fontId="4" fillId="0" borderId="17" xfId="0" applyFont="1" applyBorder="1"/>
    <xf numFmtId="0" fontId="6" fillId="0" borderId="17" xfId="0" applyFont="1" applyBorder="1"/>
    <xf numFmtId="0" fontId="6" fillId="0" borderId="17" xfId="0" applyFont="1" applyBorder="1" applyAlignment="1">
      <alignment horizontal="center"/>
    </xf>
    <xf numFmtId="168" fontId="6" fillId="0" borderId="17" xfId="0" applyNumberFormat="1" applyFont="1" applyBorder="1" applyAlignment="1">
      <alignment horizontal="center"/>
    </xf>
    <xf numFmtId="0" fontId="6" fillId="35" borderId="15" xfId="0" applyFont="1" applyFill="1" applyBorder="1"/>
    <xf numFmtId="0" fontId="6" fillId="36" borderId="6" xfId="0" applyFont="1" applyFill="1" applyBorder="1"/>
    <xf numFmtId="1" fontId="6" fillId="0" borderId="6" xfId="0" applyNumberFormat="1" applyFont="1" applyBorder="1"/>
    <xf numFmtId="0" fontId="97" fillId="0" borderId="6" xfId="0" applyFont="1" applyBorder="1"/>
    <xf numFmtId="0" fontId="38" fillId="0" borderId="12" xfId="0" applyFont="1" applyBorder="1"/>
    <xf numFmtId="0" fontId="4" fillId="0" borderId="14" xfId="0" applyFont="1" applyBorder="1"/>
    <xf numFmtId="0" fontId="4" fillId="0" borderId="16" xfId="0" applyFont="1" applyBorder="1"/>
    <xf numFmtId="2" fontId="98" fillId="0" borderId="6" xfId="0" applyNumberFormat="1" applyFont="1" applyBorder="1"/>
    <xf numFmtId="1" fontId="98" fillId="0" borderId="6" xfId="0" applyNumberFormat="1" applyFont="1" applyBorder="1" applyAlignment="1">
      <alignment horizontal="right" vertical="center"/>
    </xf>
    <xf numFmtId="0" fontId="22" fillId="0" borderId="0" xfId="0" applyFont="1"/>
    <xf numFmtId="0" fontId="4" fillId="0" borderId="6" xfId="0" applyFont="1" applyBorder="1" applyAlignment="1">
      <alignment wrapText="1"/>
    </xf>
    <xf numFmtId="2" fontId="99" fillId="0" borderId="6" xfId="0" applyNumberFormat="1" applyFont="1" applyBorder="1" applyAlignment="1">
      <alignment horizontal="center"/>
    </xf>
    <xf numFmtId="2" fontId="0" fillId="0" borderId="0" xfId="0" applyNumberFormat="1"/>
    <xf numFmtId="168" fontId="97" fillId="0" borderId="6" xfId="0" applyNumberFormat="1" applyFont="1" applyBorder="1"/>
    <xf numFmtId="0" fontId="2" fillId="0" borderId="6" xfId="0" applyFont="1" applyBorder="1" applyAlignment="1">
      <alignment horizontal="left" wrapText="1" indent="2"/>
    </xf>
    <xf numFmtId="0" fontId="39" fillId="0" borderId="6" xfId="0" applyFont="1" applyBorder="1" applyAlignment="1">
      <alignment wrapText="1"/>
    </xf>
    <xf numFmtId="0" fontId="6" fillId="0" borderId="6" xfId="0" applyFont="1" applyBorder="1" applyAlignment="1">
      <alignment vertical="center" wrapText="1"/>
    </xf>
    <xf numFmtId="178" fontId="100" fillId="0" borderId="6" xfId="0" applyNumberFormat="1" applyFont="1" applyBorder="1" applyAlignment="1">
      <alignment horizontal="center"/>
    </xf>
    <xf numFmtId="0" fontId="6" fillId="0" borderId="6" xfId="0" applyFont="1" applyBorder="1" applyAlignment="1">
      <alignment horizontal="left" wrapText="1"/>
    </xf>
    <xf numFmtId="0" fontId="22" fillId="0" borderId="0" xfId="0" applyFont="1" applyAlignment="1">
      <alignment wrapText="1"/>
    </xf>
    <xf numFmtId="0" fontId="0" fillId="0" borderId="6" xfId="0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6" xfId="0" applyBorder="1" applyAlignment="1">
      <alignment wrapText="1"/>
    </xf>
    <xf numFmtId="0" fontId="2" fillId="0" borderId="6" xfId="0" applyFont="1" applyBorder="1" applyAlignment="1">
      <alignment horizontal="center" vertical="center"/>
    </xf>
    <xf numFmtId="0" fontId="101" fillId="0" borderId="6" xfId="0" applyFont="1" applyBorder="1" applyAlignment="1">
      <alignment wrapText="1"/>
    </xf>
    <xf numFmtId="0" fontId="22" fillId="0" borderId="6" xfId="0" applyFont="1" applyBorder="1" applyAlignment="1">
      <alignment wrapText="1"/>
    </xf>
    <xf numFmtId="0" fontId="6" fillId="0" borderId="6" xfId="0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2" fontId="0" fillId="0" borderId="6" xfId="0" applyNumberForma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3" fillId="37" borderId="6" xfId="0" applyFont="1" applyFill="1" applyBorder="1" applyAlignment="1">
      <alignment horizontal="center" vertical="center"/>
    </xf>
    <xf numFmtId="0" fontId="22" fillId="35" borderId="6" xfId="0" applyFont="1" applyFill="1" applyBorder="1"/>
    <xf numFmtId="0" fontId="53" fillId="0" borderId="6" xfId="0" applyFont="1" applyBorder="1" applyAlignment="1">
      <alignment wrapText="1"/>
    </xf>
    <xf numFmtId="0" fontId="22" fillId="0" borderId="6" xfId="0" applyFont="1" applyBorder="1" applyAlignment="1">
      <alignment horizontal="left" wrapText="1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3" xfId="0" applyBorder="1"/>
    <xf numFmtId="0" fontId="0" fillId="0" borderId="17" xfId="0" applyBorder="1" applyAlignment="1">
      <alignment horizontal="center"/>
    </xf>
    <xf numFmtId="0" fontId="0" fillId="0" borderId="12" xfId="0" applyBorder="1"/>
    <xf numFmtId="0" fontId="0" fillId="0" borderId="22" xfId="0" applyBorder="1"/>
    <xf numFmtId="0" fontId="0" fillId="0" borderId="17" xfId="0" applyBorder="1"/>
    <xf numFmtId="0" fontId="0" fillId="0" borderId="13" xfId="0" applyBorder="1" applyAlignment="1">
      <alignment wrapText="1"/>
    </xf>
    <xf numFmtId="0" fontId="102" fillId="0" borderId="6" xfId="0" applyFont="1" applyBorder="1" applyAlignment="1">
      <alignment horizontal="center"/>
    </xf>
    <xf numFmtId="2" fontId="0" fillId="0" borderId="6" xfId="0" applyNumberFormat="1" applyBorder="1" applyAlignment="1">
      <alignment wrapText="1"/>
    </xf>
    <xf numFmtId="169" fontId="0" fillId="0" borderId="6" xfId="0" applyNumberFormat="1" applyBorder="1" applyAlignment="1">
      <alignment wrapText="1"/>
    </xf>
    <xf numFmtId="164" fontId="46" fillId="26" borderId="13" xfId="51" applyNumberFormat="1" applyFont="1" applyFill="1" applyBorder="1" applyAlignment="1">
      <alignment horizontal="center"/>
    </xf>
    <xf numFmtId="0" fontId="46" fillId="26" borderId="11" xfId="51" applyFont="1" applyFill="1" applyBorder="1" applyAlignment="1">
      <alignment horizontal="center" wrapText="1"/>
    </xf>
    <xf numFmtId="0" fontId="55" fillId="26" borderId="6" xfId="51" applyFont="1" applyFill="1" applyBorder="1" applyAlignment="1">
      <alignment wrapText="1"/>
    </xf>
    <xf numFmtId="0" fontId="54" fillId="26" borderId="6" xfId="51" applyFont="1" applyFill="1" applyBorder="1" applyAlignment="1">
      <alignment horizontal="center" wrapText="1"/>
    </xf>
    <xf numFmtId="0" fontId="56" fillId="26" borderId="6" xfId="51" applyFont="1" applyFill="1" applyBorder="1" applyAlignment="1">
      <alignment wrapText="1"/>
    </xf>
    <xf numFmtId="0" fontId="55" fillId="26" borderId="6" xfId="51" applyFont="1" applyFill="1" applyBorder="1"/>
    <xf numFmtId="0" fontId="57" fillId="26" borderId="6" xfId="51" applyFont="1" applyFill="1" applyBorder="1"/>
    <xf numFmtId="0" fontId="47" fillId="0" borderId="6" xfId="51" applyFont="1" applyBorder="1"/>
    <xf numFmtId="0" fontId="56" fillId="26" borderId="6" xfId="51" applyFont="1" applyFill="1" applyBorder="1"/>
    <xf numFmtId="0" fontId="56" fillId="26" borderId="6" xfId="51" applyFont="1" applyFill="1" applyBorder="1" applyAlignment="1">
      <alignment horizontal="center"/>
    </xf>
    <xf numFmtId="0" fontId="54" fillId="26" borderId="6" xfId="51" applyFont="1" applyFill="1" applyBorder="1" applyAlignment="1">
      <alignment horizontal="center"/>
    </xf>
    <xf numFmtId="0" fontId="56" fillId="26" borderId="6" xfId="51" applyFont="1" applyFill="1" applyBorder="1" applyAlignment="1">
      <alignment horizontal="center" wrapText="1"/>
    </xf>
    <xf numFmtId="0" fontId="58" fillId="0" borderId="6" xfId="0" applyFont="1" applyBorder="1"/>
    <xf numFmtId="0" fontId="56" fillId="29" borderId="6" xfId="51" applyFont="1" applyFill="1" applyBorder="1" applyAlignment="1">
      <alignment horizontal="center"/>
    </xf>
    <xf numFmtId="0" fontId="56" fillId="26" borderId="6" xfId="51" applyFont="1" applyFill="1" applyBorder="1" applyAlignment="1">
      <alignment horizontal="left"/>
    </xf>
    <xf numFmtId="0" fontId="56" fillId="26" borderId="6" xfId="51" applyFont="1" applyFill="1" applyBorder="1" applyAlignment="1">
      <alignment horizontal="right"/>
    </xf>
    <xf numFmtId="0" fontId="47" fillId="0" borderId="6" xfId="51" applyFont="1" applyBorder="1" applyAlignment="1">
      <alignment horizontal="center"/>
    </xf>
    <xf numFmtId="169" fontId="56" fillId="26" borderId="6" xfId="51" applyNumberFormat="1" applyFont="1" applyFill="1" applyBorder="1" applyAlignment="1">
      <alignment horizontal="center"/>
    </xf>
    <xf numFmtId="0" fontId="56" fillId="38" borderId="13" xfId="51" applyFont="1" applyFill="1" applyBorder="1" applyAlignment="1">
      <alignment horizontal="center" wrapText="1"/>
    </xf>
    <xf numFmtId="0" fontId="47" fillId="26" borderId="6" xfId="51" applyFont="1" applyFill="1" applyBorder="1" applyAlignment="1">
      <alignment horizontal="center"/>
    </xf>
    <xf numFmtId="0" fontId="47" fillId="26" borderId="6" xfId="51" applyFont="1" applyFill="1" applyBorder="1" applyAlignment="1">
      <alignment horizontal="center" wrapText="1"/>
    </xf>
    <xf numFmtId="0" fontId="54" fillId="29" borderId="6" xfId="51" applyFont="1" applyFill="1" applyBorder="1" applyAlignment="1">
      <alignment horizontal="center" wrapText="1"/>
    </xf>
    <xf numFmtId="0" fontId="47" fillId="0" borderId="6" xfId="51" applyFont="1" applyBorder="1" applyAlignment="1">
      <alignment horizontal="center" wrapText="1"/>
    </xf>
    <xf numFmtId="1" fontId="56" fillId="29" borderId="6" xfId="51" applyNumberFormat="1" applyFont="1" applyFill="1" applyBorder="1" applyAlignment="1">
      <alignment horizontal="center" wrapText="1"/>
    </xf>
    <xf numFmtId="1" fontId="56" fillId="26" borderId="6" xfId="51" applyNumberFormat="1" applyFont="1" applyFill="1" applyBorder="1" applyAlignment="1">
      <alignment horizontal="center" wrapText="1"/>
    </xf>
    <xf numFmtId="187" fontId="56" fillId="26" borderId="6" xfId="30" applyFont="1" applyFill="1" applyBorder="1" applyAlignment="1">
      <alignment horizontal="center" wrapText="1"/>
    </xf>
    <xf numFmtId="0" fontId="54" fillId="26" borderId="6" xfId="51" applyFont="1" applyFill="1" applyBorder="1" applyAlignment="1">
      <alignment horizontal="center" vertical="center" wrapText="1"/>
    </xf>
    <xf numFmtId="164" fontId="56" fillId="26" borderId="6" xfId="51" applyNumberFormat="1" applyFont="1" applyFill="1" applyBorder="1" applyAlignment="1">
      <alignment horizontal="center" wrapText="1"/>
    </xf>
    <xf numFmtId="191" fontId="56" fillId="26" borderId="6" xfId="51" applyNumberFormat="1" applyFont="1" applyFill="1" applyBorder="1" applyAlignment="1">
      <alignment horizontal="center" wrapText="1"/>
    </xf>
    <xf numFmtId="164" fontId="49" fillId="29" borderId="6" xfId="51" applyNumberFormat="1" applyFont="1" applyFill="1" applyBorder="1" applyAlignment="1">
      <alignment horizontal="center" wrapText="1"/>
    </xf>
    <xf numFmtId="168" fontId="56" fillId="26" borderId="6" xfId="51" applyNumberFormat="1" applyFont="1" applyFill="1" applyBorder="1" applyAlignment="1">
      <alignment horizontal="center" wrapText="1"/>
    </xf>
    <xf numFmtId="169" fontId="56" fillId="26" borderId="6" xfId="51" applyNumberFormat="1" applyFont="1" applyFill="1" applyBorder="1" applyAlignment="1">
      <alignment horizontal="center" wrapText="1"/>
    </xf>
    <xf numFmtId="190" fontId="56" fillId="26" borderId="6" xfId="29" applyNumberFormat="1" applyFont="1" applyFill="1" applyBorder="1" applyAlignment="1">
      <alignment horizontal="center" wrapText="1"/>
    </xf>
    <xf numFmtId="188" fontId="56" fillId="26" borderId="6" xfId="51" applyNumberFormat="1" applyFont="1" applyFill="1" applyBorder="1" applyAlignment="1">
      <alignment horizontal="center" wrapText="1"/>
    </xf>
    <xf numFmtId="167" fontId="56" fillId="26" borderId="6" xfId="51" applyNumberFormat="1" applyFont="1" applyFill="1" applyBorder="1" applyAlignment="1">
      <alignment horizontal="center" wrapText="1"/>
    </xf>
    <xf numFmtId="166" fontId="56" fillId="26" borderId="6" xfId="51" applyNumberFormat="1" applyFont="1" applyFill="1" applyBorder="1" applyAlignment="1">
      <alignment horizontal="center" wrapText="1"/>
    </xf>
    <xf numFmtId="1" fontId="49" fillId="26" borderId="6" xfId="51" applyNumberFormat="1" applyFont="1" applyFill="1" applyBorder="1" applyAlignment="1">
      <alignment horizontal="center"/>
    </xf>
    <xf numFmtId="1" fontId="103" fillId="26" borderId="6" xfId="51" applyNumberFormat="1" applyFont="1" applyFill="1" applyBorder="1" applyAlignment="1">
      <alignment horizontal="center"/>
    </xf>
    <xf numFmtId="164" fontId="103" fillId="26" borderId="6" xfId="51" applyNumberFormat="1" applyFont="1" applyFill="1" applyBorder="1" applyAlignment="1">
      <alignment horizontal="center"/>
    </xf>
    <xf numFmtId="1" fontId="49" fillId="26" borderId="6" xfId="51" applyNumberFormat="1" applyFont="1" applyFill="1" applyBorder="1" applyAlignment="1">
      <alignment horizontal="center" wrapText="1"/>
    </xf>
    <xf numFmtId="164" fontId="49" fillId="26" borderId="6" xfId="51" applyNumberFormat="1" applyFont="1" applyFill="1" applyBorder="1" applyAlignment="1">
      <alignment horizontal="center"/>
    </xf>
    <xf numFmtId="192" fontId="54" fillId="26" borderId="6" xfId="51" applyNumberFormat="1" applyFont="1" applyFill="1" applyBorder="1" applyAlignment="1">
      <alignment horizontal="center"/>
    </xf>
    <xf numFmtId="0" fontId="49" fillId="26" borderId="6" xfId="51" applyFont="1" applyFill="1" applyBorder="1" applyAlignment="1">
      <alignment horizontal="center" wrapText="1"/>
    </xf>
    <xf numFmtId="0" fontId="49" fillId="0" borderId="6" xfId="51" applyFont="1" applyBorder="1" applyAlignment="1">
      <alignment horizontal="center" wrapText="1"/>
    </xf>
    <xf numFmtId="0" fontId="47" fillId="0" borderId="6" xfId="51" applyFont="1" applyBorder="1" applyAlignment="1">
      <alignment wrapText="1"/>
    </xf>
    <xf numFmtId="0" fontId="57" fillId="26" borderId="6" xfId="51" applyFont="1" applyFill="1" applyBorder="1" applyAlignment="1">
      <alignment wrapText="1"/>
    </xf>
    <xf numFmtId="0" fontId="104" fillId="38" borderId="6" xfId="51" applyFont="1" applyFill="1" applyBorder="1" applyAlignment="1">
      <alignment wrapText="1"/>
    </xf>
    <xf numFmtId="0" fontId="104" fillId="26" borderId="6" xfId="51" applyFont="1" applyFill="1" applyBorder="1" applyAlignment="1">
      <alignment horizontal="center" wrapText="1"/>
    </xf>
    <xf numFmtId="0" fontId="56" fillId="29" borderId="6" xfId="51" applyFont="1" applyFill="1" applyBorder="1" applyAlignment="1">
      <alignment horizontal="center" wrapText="1"/>
    </xf>
    <xf numFmtId="0" fontId="105" fillId="26" borderId="6" xfId="51" applyFont="1" applyFill="1" applyBorder="1" applyAlignment="1">
      <alignment horizontal="center" wrapText="1"/>
    </xf>
    <xf numFmtId="0" fontId="56" fillId="26" borderId="6" xfId="51" applyFont="1" applyFill="1" applyBorder="1" applyAlignment="1">
      <alignment horizontal="right" wrapText="1"/>
    </xf>
    <xf numFmtId="0" fontId="54" fillId="26" borderId="6" xfId="51" applyFont="1" applyFill="1" applyBorder="1" applyAlignment="1">
      <alignment horizontal="right" wrapText="1" shrinkToFit="1"/>
    </xf>
    <xf numFmtId="0" fontId="56" fillId="38" borderId="6" xfId="51" applyFont="1" applyFill="1" applyBorder="1" applyAlignment="1">
      <alignment wrapText="1"/>
    </xf>
    <xf numFmtId="2" fontId="56" fillId="26" borderId="6" xfId="51" applyNumberFormat="1" applyFont="1" applyFill="1" applyBorder="1" applyAlignment="1">
      <alignment horizontal="center" wrapText="1"/>
    </xf>
    <xf numFmtId="11" fontId="56" fillId="26" borderId="6" xfId="51" applyNumberFormat="1" applyFont="1" applyFill="1" applyBorder="1" applyAlignment="1">
      <alignment horizontal="center" wrapText="1"/>
    </xf>
    <xf numFmtId="0" fontId="47" fillId="26" borderId="6" xfId="51" applyFont="1" applyFill="1" applyBorder="1" applyAlignment="1">
      <alignment wrapText="1"/>
    </xf>
    <xf numFmtId="0" fontId="54" fillId="38" borderId="6" xfId="51" applyFont="1" applyFill="1" applyBorder="1" applyAlignment="1">
      <alignment horizontal="center" wrapText="1"/>
    </xf>
    <xf numFmtId="0" fontId="56" fillId="38" borderId="6" xfId="51" applyFont="1" applyFill="1" applyBorder="1" applyAlignment="1">
      <alignment horizontal="center" wrapText="1"/>
    </xf>
    <xf numFmtId="168" fontId="56" fillId="38" borderId="6" xfId="51" applyNumberFormat="1" applyFont="1" applyFill="1" applyBorder="1" applyAlignment="1">
      <alignment horizontal="center" wrapText="1"/>
    </xf>
    <xf numFmtId="0" fontId="47" fillId="38" borderId="6" xfId="51" applyFont="1" applyFill="1" applyBorder="1" applyAlignment="1">
      <alignment wrapText="1"/>
    </xf>
    <xf numFmtId="11" fontId="56" fillId="38" borderId="6" xfId="51" applyNumberFormat="1" applyFont="1" applyFill="1" applyBorder="1" applyAlignment="1">
      <alignment horizontal="center" wrapText="1"/>
    </xf>
    <xf numFmtId="164" fontId="49" fillId="26" borderId="6" xfId="51" applyNumberFormat="1" applyFont="1" applyFill="1" applyBorder="1" applyAlignment="1">
      <alignment horizontal="center" wrapText="1"/>
    </xf>
    <xf numFmtId="1" fontId="103" fillId="26" borderId="6" xfId="51" applyNumberFormat="1" applyFont="1" applyFill="1" applyBorder="1" applyAlignment="1">
      <alignment horizontal="center" wrapText="1"/>
    </xf>
    <xf numFmtId="1" fontId="49" fillId="26" borderId="6" xfId="51" applyNumberFormat="1" applyFont="1" applyFill="1" applyBorder="1" applyAlignment="1">
      <alignment wrapText="1"/>
    </xf>
    <xf numFmtId="169" fontId="49" fillId="26" borderId="6" xfId="51" applyNumberFormat="1" applyFont="1" applyFill="1" applyBorder="1" applyAlignment="1">
      <alignment horizontal="center" wrapText="1"/>
    </xf>
    <xf numFmtId="0" fontId="56" fillId="26" borderId="6" xfId="51" quotePrefix="1" applyFont="1" applyFill="1" applyBorder="1" applyAlignment="1">
      <alignment wrapText="1"/>
    </xf>
    <xf numFmtId="0" fontId="56" fillId="26" borderId="6" xfId="51" quotePrefix="1" applyFont="1" applyFill="1" applyBorder="1" applyAlignment="1">
      <alignment horizontal="center" wrapText="1"/>
    </xf>
    <xf numFmtId="0" fontId="58" fillId="0" borderId="6" xfId="0" applyFont="1" applyBorder="1" applyAlignment="1">
      <alignment horizontal="center"/>
    </xf>
    <xf numFmtId="0" fontId="24" fillId="0" borderId="6" xfId="0" applyFont="1" applyBorder="1" applyAlignment="1">
      <alignment wrapText="1"/>
    </xf>
    <xf numFmtId="0" fontId="24" fillId="0" borderId="6" xfId="0" applyFont="1" applyBorder="1" applyAlignment="1">
      <alignment horizontal="center"/>
    </xf>
    <xf numFmtId="2" fontId="58" fillId="0" borderId="6" xfId="0" applyNumberFormat="1" applyFont="1" applyBorder="1" applyAlignment="1">
      <alignment horizontal="center"/>
    </xf>
    <xf numFmtId="0" fontId="24" fillId="0" borderId="6" xfId="0" applyFont="1" applyBorder="1"/>
    <xf numFmtId="169" fontId="58" fillId="0" borderId="6" xfId="0" applyNumberFormat="1" applyFont="1" applyBorder="1" applyAlignment="1">
      <alignment horizontal="center"/>
    </xf>
    <xf numFmtId="0" fontId="24" fillId="0" borderId="6" xfId="0" applyFont="1" applyBorder="1" applyAlignment="1">
      <alignment horizontal="right"/>
    </xf>
    <xf numFmtId="0" fontId="58" fillId="0" borderId="6" xfId="0" applyFont="1" applyBorder="1" applyAlignment="1">
      <alignment horizontal="center" wrapText="1"/>
    </xf>
    <xf numFmtId="0" fontId="58" fillId="0" borderId="6" xfId="0" applyFont="1" applyBorder="1" applyAlignment="1">
      <alignment horizontal="right"/>
    </xf>
    <xf numFmtId="0" fontId="58" fillId="28" borderId="6" xfId="0" applyFont="1" applyFill="1" applyBorder="1" applyAlignment="1">
      <alignment horizontal="center"/>
    </xf>
    <xf numFmtId="177" fontId="58" fillId="0" borderId="6" xfId="0" applyNumberFormat="1" applyFont="1" applyBorder="1" applyAlignment="1">
      <alignment horizontal="center"/>
    </xf>
    <xf numFmtId="192" fontId="24" fillId="0" borderId="6" xfId="0" applyNumberFormat="1" applyFont="1" applyBorder="1" applyAlignment="1">
      <alignment horizontal="center"/>
    </xf>
    <xf numFmtId="1" fontId="58" fillId="27" borderId="6" xfId="0" applyNumberFormat="1" applyFont="1" applyFill="1" applyBorder="1" applyAlignment="1">
      <alignment horizontal="center"/>
    </xf>
    <xf numFmtId="0" fontId="54" fillId="38" borderId="6" xfId="51" applyFont="1" applyFill="1" applyBorder="1" applyAlignment="1">
      <alignment wrapText="1"/>
    </xf>
    <xf numFmtId="0" fontId="24" fillId="0" borderId="6" xfId="0" applyFont="1" applyBorder="1" applyAlignment="1">
      <alignment horizontal="right" wrapText="1"/>
    </xf>
    <xf numFmtId="0" fontId="56" fillId="26" borderId="6" xfId="51" applyFont="1" applyFill="1" applyBorder="1" applyAlignment="1">
      <alignment horizontal="center" vertical="center" wrapText="1"/>
    </xf>
    <xf numFmtId="0" fontId="99" fillId="0" borderId="6" xfId="0" applyFont="1" applyBorder="1"/>
    <xf numFmtId="0" fontId="47" fillId="0" borderId="13" xfId="57" applyFont="1" applyBorder="1"/>
    <xf numFmtId="0" fontId="47" fillId="0" borderId="23" xfId="57" applyFont="1" applyBorder="1"/>
    <xf numFmtId="0" fontId="104" fillId="0" borderId="6" xfId="0" applyFont="1" applyBorder="1"/>
    <xf numFmtId="0" fontId="52" fillId="0" borderId="6" xfId="0" applyFont="1" applyBorder="1" applyAlignment="1">
      <alignment wrapText="1"/>
    </xf>
    <xf numFmtId="0" fontId="0" fillId="35" borderId="6" xfId="0" applyFill="1" applyBorder="1" applyAlignment="1">
      <alignment wrapText="1"/>
    </xf>
    <xf numFmtId="164" fontId="0" fillId="0" borderId="6" xfId="0" applyNumberFormat="1" applyBorder="1" applyAlignment="1">
      <alignment wrapText="1"/>
    </xf>
    <xf numFmtId="0" fontId="47" fillId="0" borderId="11" xfId="57" applyFont="1" applyBorder="1"/>
    <xf numFmtId="0" fontId="48" fillId="0" borderId="6" xfId="57" applyFont="1" applyBorder="1" applyAlignment="1">
      <alignment horizontal="center" vertical="center" wrapText="1"/>
    </xf>
    <xf numFmtId="0" fontId="96" fillId="0" borderId="6" xfId="0" applyFont="1" applyBorder="1" applyAlignment="1">
      <alignment horizontal="center" vertical="center"/>
    </xf>
    <xf numFmtId="0" fontId="6" fillId="35" borderId="6" xfId="0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24" fillId="0" borderId="6" xfId="0" applyFont="1" applyBorder="1" applyAlignment="1">
      <alignment horizontal="center" vertical="center"/>
    </xf>
    <xf numFmtId="0" fontId="58" fillId="0" borderId="6" xfId="0" applyFont="1" applyBorder="1" applyAlignment="1">
      <alignment horizontal="left"/>
    </xf>
    <xf numFmtId="0" fontId="24" fillId="0" borderId="6" xfId="0" applyFont="1" applyBorder="1" applyAlignment="1">
      <alignment horizontal="left" wrapText="1"/>
    </xf>
    <xf numFmtId="0" fontId="58" fillId="0" borderId="6" xfId="0" applyFont="1" applyBorder="1" applyAlignment="1">
      <alignment horizontal="left" wrapText="1"/>
    </xf>
    <xf numFmtId="194" fontId="2" fillId="0" borderId="6" xfId="0" applyNumberFormat="1" applyFont="1" applyBorder="1" applyAlignment="1">
      <alignment horizontal="center"/>
    </xf>
    <xf numFmtId="195" fontId="2" fillId="0" borderId="6" xfId="0" applyNumberFormat="1" applyFont="1" applyBorder="1" applyAlignment="1">
      <alignment horizontal="center"/>
    </xf>
    <xf numFmtId="0" fontId="0" fillId="0" borderId="6" xfId="0" applyBorder="1" applyAlignment="1">
      <alignment horizontal="right" wrapText="1"/>
    </xf>
    <xf numFmtId="0" fontId="3" fillId="37" borderId="6" xfId="0" applyFont="1" applyFill="1" applyBorder="1" applyAlignment="1">
      <alignment horizontal="right" vertical="center"/>
    </xf>
    <xf numFmtId="0" fontId="47" fillId="0" borderId="6" xfId="57" applyFont="1" applyBorder="1" applyAlignment="1">
      <alignment horizontal="right" vertical="center" wrapText="1"/>
    </xf>
    <xf numFmtId="0" fontId="48" fillId="0" borderId="6" xfId="57" applyFont="1" applyBorder="1" applyAlignment="1">
      <alignment horizontal="right" wrapText="1"/>
    </xf>
    <xf numFmtId="0" fontId="47" fillId="0" borderId="6" xfId="57" applyFont="1" applyBorder="1" applyAlignment="1">
      <alignment horizontal="right"/>
    </xf>
    <xf numFmtId="0" fontId="47" fillId="0" borderId="6" xfId="57" applyFont="1" applyBorder="1" applyAlignment="1">
      <alignment horizontal="right" wrapText="1"/>
    </xf>
    <xf numFmtId="0" fontId="106" fillId="0" borderId="24" xfId="0" applyFont="1" applyBorder="1" applyAlignment="1">
      <alignment vertical="center"/>
    </xf>
    <xf numFmtId="0" fontId="106" fillId="0" borderId="6" xfId="0" applyFont="1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horizontal="center"/>
    </xf>
    <xf numFmtId="0" fontId="107" fillId="0" borderId="6" xfId="0" applyFont="1" applyBorder="1" applyAlignment="1">
      <alignment horizontal="center" vertical="center"/>
    </xf>
    <xf numFmtId="14" fontId="107" fillId="0" borderId="6" xfId="0" applyNumberFormat="1" applyFont="1" applyBorder="1" applyAlignment="1">
      <alignment horizontal="center" vertical="center"/>
    </xf>
    <xf numFmtId="0" fontId="107" fillId="0" borderId="25" xfId="0" applyFont="1" applyBorder="1"/>
    <xf numFmtId="0" fontId="66" fillId="0" borderId="0" xfId="0" applyFont="1" applyProtection="1">
      <protection locked="0"/>
    </xf>
    <xf numFmtId="0" fontId="66" fillId="0" borderId="0" xfId="0" applyFont="1" applyAlignment="1">
      <alignment horizontal="center" vertical="center"/>
    </xf>
    <xf numFmtId="0" fontId="66" fillId="0" borderId="0" xfId="0" applyFont="1"/>
    <xf numFmtId="0" fontId="106" fillId="0" borderId="24" xfId="0" applyFont="1" applyBorder="1" applyAlignment="1">
      <alignment vertical="center" wrapText="1"/>
    </xf>
    <xf numFmtId="0" fontId="66" fillId="0" borderId="0" xfId="0" applyFont="1" applyAlignment="1">
      <alignment vertical="center" wrapText="1"/>
    </xf>
    <xf numFmtId="0" fontId="67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4" fillId="0" borderId="6" xfId="0" applyFont="1" applyBorder="1" applyAlignment="1">
      <alignment horizontal="center" wrapText="1"/>
    </xf>
    <xf numFmtId="0" fontId="95" fillId="0" borderId="0" xfId="54"/>
    <xf numFmtId="1" fontId="108" fillId="0" borderId="0" xfId="54" applyNumberFormat="1" applyFont="1" applyAlignment="1" applyProtection="1">
      <alignment horizontal="right"/>
      <protection hidden="1"/>
    </xf>
    <xf numFmtId="0" fontId="107" fillId="0" borderId="0" xfId="54" applyFont="1" applyProtection="1">
      <protection hidden="1"/>
    </xf>
    <xf numFmtId="0" fontId="108" fillId="0" borderId="0" xfId="54" applyFont="1" applyAlignment="1" applyProtection="1">
      <alignment horizontal="left"/>
      <protection hidden="1"/>
    </xf>
    <xf numFmtId="0" fontId="109" fillId="0" borderId="6" xfId="54" applyFont="1" applyBorder="1" applyAlignment="1">
      <alignment horizontal="center" vertical="center"/>
    </xf>
    <xf numFmtId="0" fontId="108" fillId="0" borderId="0" xfId="54" applyFont="1" applyProtection="1">
      <protection hidden="1"/>
    </xf>
    <xf numFmtId="15" fontId="108" fillId="0" borderId="6" xfId="43" applyNumberFormat="1" applyFont="1" applyBorder="1" applyAlignment="1">
      <alignment horizontal="center" vertical="center" wrapText="1"/>
    </xf>
    <xf numFmtId="2" fontId="108" fillId="0" borderId="0" xfId="54" applyNumberFormat="1" applyFont="1" applyAlignment="1" applyProtection="1">
      <alignment horizontal="right"/>
      <protection hidden="1"/>
    </xf>
    <xf numFmtId="2" fontId="108" fillId="0" borderId="0" xfId="54" applyNumberFormat="1" applyFont="1" applyProtection="1">
      <protection hidden="1"/>
    </xf>
    <xf numFmtId="169" fontId="108" fillId="0" borderId="6" xfId="54" applyNumberFormat="1" applyFont="1" applyBorder="1" applyAlignment="1" applyProtection="1">
      <alignment horizontal="right"/>
      <protection hidden="1"/>
    </xf>
    <xf numFmtId="1" fontId="108" fillId="0" borderId="6" xfId="54" applyNumberFormat="1" applyFont="1" applyBorder="1" applyAlignment="1" applyProtection="1">
      <alignment horizontal="right"/>
      <protection hidden="1"/>
    </xf>
    <xf numFmtId="11" fontId="108" fillId="0" borderId="0" xfId="54" applyNumberFormat="1" applyFont="1" applyAlignment="1" applyProtection="1">
      <alignment horizontal="center"/>
      <protection hidden="1"/>
    </xf>
    <xf numFmtId="0" fontId="108" fillId="0" borderId="0" xfId="54" applyFont="1" applyAlignment="1" applyProtection="1">
      <alignment horizontal="right"/>
      <protection hidden="1"/>
    </xf>
    <xf numFmtId="0" fontId="107" fillId="0" borderId="0" xfId="54" applyFont="1" applyAlignment="1" applyProtection="1">
      <alignment horizontal="left"/>
      <protection hidden="1"/>
    </xf>
    <xf numFmtId="0" fontId="110" fillId="0" borderId="0" xfId="54" applyFont="1" applyProtection="1">
      <protection hidden="1"/>
    </xf>
    <xf numFmtId="1" fontId="108" fillId="0" borderId="26" xfId="54" applyNumberFormat="1" applyFont="1" applyBorder="1" applyProtection="1">
      <protection hidden="1"/>
    </xf>
    <xf numFmtId="0" fontId="108" fillId="0" borderId="26" xfId="54" applyFont="1" applyBorder="1" applyProtection="1">
      <protection hidden="1"/>
    </xf>
    <xf numFmtId="11" fontId="108" fillId="0" borderId="26" xfId="54" applyNumberFormat="1" applyFont="1" applyBorder="1" applyProtection="1">
      <protection hidden="1"/>
    </xf>
    <xf numFmtId="11" fontId="108" fillId="0" borderId="0" xfId="54" applyNumberFormat="1" applyFont="1" applyProtection="1">
      <protection hidden="1"/>
    </xf>
    <xf numFmtId="1" fontId="108" fillId="0" borderId="0" xfId="54" applyNumberFormat="1" applyFont="1" applyAlignment="1" applyProtection="1">
      <alignment horizontal="left"/>
      <protection hidden="1"/>
    </xf>
    <xf numFmtId="0" fontId="108" fillId="0" borderId="6" xfId="54" applyFont="1" applyBorder="1" applyProtection="1">
      <protection hidden="1"/>
    </xf>
    <xf numFmtId="0" fontId="109" fillId="0" borderId="0" xfId="54" applyFont="1" applyProtection="1">
      <protection hidden="1"/>
    </xf>
    <xf numFmtId="0" fontId="108" fillId="0" borderId="0" xfId="54" applyFont="1" applyAlignment="1" applyProtection="1">
      <alignment horizontal="center"/>
      <protection hidden="1"/>
    </xf>
    <xf numFmtId="0" fontId="111" fillId="0" borderId="0" xfId="54" applyFont="1" applyAlignment="1" applyProtection="1">
      <alignment horizontal="left"/>
      <protection hidden="1"/>
    </xf>
    <xf numFmtId="0" fontId="111" fillId="0" borderId="0" xfId="54" applyFont="1" applyProtection="1">
      <protection hidden="1"/>
    </xf>
    <xf numFmtId="1" fontId="108" fillId="0" borderId="0" xfId="54" applyNumberFormat="1" applyFont="1" applyProtection="1">
      <protection hidden="1"/>
    </xf>
    <xf numFmtId="0" fontId="108" fillId="0" borderId="0" xfId="54" quotePrefix="1" applyFont="1" applyProtection="1">
      <protection hidden="1"/>
    </xf>
    <xf numFmtId="166" fontId="108" fillId="0" borderId="0" xfId="54" applyNumberFormat="1" applyFont="1" applyProtection="1">
      <protection hidden="1"/>
    </xf>
    <xf numFmtId="11" fontId="108" fillId="0" borderId="0" xfId="54" applyNumberFormat="1" applyFont="1" applyAlignment="1" applyProtection="1">
      <alignment horizontal="right"/>
      <protection hidden="1"/>
    </xf>
    <xf numFmtId="0" fontId="112" fillId="0" borderId="6" xfId="54" applyFont="1" applyBorder="1" applyAlignment="1" applyProtection="1">
      <alignment vertical="center"/>
      <protection hidden="1"/>
    </xf>
    <xf numFmtId="0" fontId="108" fillId="0" borderId="0" xfId="54" applyFont="1" applyAlignment="1" applyProtection="1">
      <alignment vertical="center"/>
      <protection hidden="1"/>
    </xf>
    <xf numFmtId="0" fontId="113" fillId="0" borderId="6" xfId="54" applyFont="1" applyBorder="1" applyAlignment="1" applyProtection="1">
      <alignment wrapText="1"/>
      <protection hidden="1"/>
    </xf>
    <xf numFmtId="0" fontId="108" fillId="0" borderId="13" xfId="54" applyFont="1" applyBorder="1" applyProtection="1">
      <protection hidden="1"/>
    </xf>
    <xf numFmtId="0" fontId="108" fillId="0" borderId="11" xfId="54" quotePrefix="1" applyFont="1" applyBorder="1" applyProtection="1">
      <protection hidden="1"/>
    </xf>
    <xf numFmtId="0" fontId="108" fillId="0" borderId="11" xfId="54" applyFont="1" applyBorder="1" applyProtection="1">
      <protection hidden="1"/>
    </xf>
    <xf numFmtId="1" fontId="108" fillId="0" borderId="13" xfId="54" applyNumberFormat="1" applyFont="1" applyBorder="1" applyProtection="1">
      <protection hidden="1"/>
    </xf>
    <xf numFmtId="191" fontId="108" fillId="0" borderId="13" xfId="54" applyNumberFormat="1" applyFont="1" applyBorder="1" applyProtection="1">
      <protection hidden="1"/>
    </xf>
    <xf numFmtId="11" fontId="108" fillId="0" borderId="13" xfId="54" applyNumberFormat="1" applyFont="1" applyBorder="1" applyProtection="1">
      <protection hidden="1"/>
    </xf>
    <xf numFmtId="0" fontId="109" fillId="0" borderId="27" xfId="54" applyFont="1" applyBorder="1" applyProtection="1">
      <protection hidden="1"/>
    </xf>
    <xf numFmtId="0" fontId="109" fillId="0" borderId="6" xfId="54" applyFont="1" applyBorder="1" applyAlignment="1" applyProtection="1">
      <alignment vertical="center"/>
      <protection hidden="1"/>
    </xf>
    <xf numFmtId="0" fontId="107" fillId="0" borderId="17" xfId="54" applyFont="1" applyBorder="1" applyAlignment="1" applyProtection="1">
      <alignment horizontal="right"/>
      <protection hidden="1"/>
    </xf>
    <xf numFmtId="0" fontId="108" fillId="0" borderId="28" xfId="54" applyFont="1" applyBorder="1" applyAlignment="1" applyProtection="1">
      <alignment horizontal="left"/>
      <protection hidden="1"/>
    </xf>
    <xf numFmtId="0" fontId="108" fillId="0" borderId="26" xfId="54" applyFont="1" applyBorder="1" applyAlignment="1" applyProtection="1">
      <alignment horizontal="left"/>
      <protection hidden="1"/>
    </xf>
    <xf numFmtId="1" fontId="108" fillId="0" borderId="23" xfId="54" applyNumberFormat="1" applyFont="1" applyBorder="1" applyProtection="1">
      <protection hidden="1"/>
    </xf>
    <xf numFmtId="0" fontId="108" fillId="0" borderId="11" xfId="54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right"/>
      <protection hidden="1"/>
    </xf>
    <xf numFmtId="0" fontId="108" fillId="0" borderId="23" xfId="54" applyFont="1" applyBorder="1" applyProtection="1">
      <protection hidden="1"/>
    </xf>
    <xf numFmtId="0" fontId="108" fillId="0" borderId="13" xfId="54" applyFont="1" applyBorder="1" applyAlignment="1" applyProtection="1">
      <alignment horizontal="left"/>
      <protection hidden="1"/>
    </xf>
    <xf numFmtId="0" fontId="108" fillId="0" borderId="28" xfId="54" applyFont="1" applyBorder="1" applyAlignment="1" applyProtection="1">
      <alignment horizontal="right"/>
      <protection hidden="1"/>
    </xf>
    <xf numFmtId="11" fontId="108" fillId="0" borderId="26" xfId="54" applyNumberFormat="1" applyFont="1" applyBorder="1" applyAlignment="1" applyProtection="1">
      <alignment horizontal="left"/>
      <protection hidden="1"/>
    </xf>
    <xf numFmtId="0" fontId="108" fillId="0" borderId="29" xfId="54" applyFont="1" applyBorder="1" applyAlignment="1" applyProtection="1">
      <alignment horizontal="left"/>
      <protection hidden="1"/>
    </xf>
    <xf numFmtId="0" fontId="108" fillId="0" borderId="30" xfId="54" quotePrefix="1" applyFont="1" applyBorder="1" applyAlignment="1" applyProtection="1">
      <alignment horizontal="right"/>
      <protection hidden="1"/>
    </xf>
    <xf numFmtId="0" fontId="108" fillId="0" borderId="31" xfId="54" applyFont="1" applyBorder="1" applyAlignment="1" applyProtection="1">
      <alignment horizontal="right"/>
      <protection hidden="1"/>
    </xf>
    <xf numFmtId="166" fontId="108" fillId="0" borderId="26" xfId="54" applyNumberFormat="1" applyFont="1" applyBorder="1" applyAlignment="1" applyProtection="1">
      <alignment horizontal="left"/>
      <protection hidden="1"/>
    </xf>
    <xf numFmtId="200" fontId="108" fillId="0" borderId="0" xfId="54" applyNumberFormat="1" applyFont="1" applyProtection="1">
      <protection hidden="1"/>
    </xf>
    <xf numFmtId="0" fontId="108" fillId="0" borderId="32" xfId="54" quotePrefix="1" applyFont="1" applyBorder="1" applyAlignment="1" applyProtection="1">
      <alignment horizontal="right"/>
      <protection hidden="1"/>
    </xf>
    <xf numFmtId="166" fontId="108" fillId="0" borderId="27" xfId="54" applyNumberFormat="1" applyFont="1" applyBorder="1" applyProtection="1">
      <protection hidden="1"/>
    </xf>
    <xf numFmtId="0" fontId="108" fillId="0" borderId="27" xfId="54" applyFont="1" applyBorder="1" applyProtection="1">
      <protection hidden="1"/>
    </xf>
    <xf numFmtId="1" fontId="108" fillId="0" borderId="27" xfId="54" applyNumberFormat="1" applyFont="1" applyBorder="1" applyAlignment="1" applyProtection="1">
      <alignment horizontal="left"/>
      <protection hidden="1"/>
    </xf>
    <xf numFmtId="0" fontId="108" fillId="0" borderId="33" xfId="54" applyFont="1" applyBorder="1" applyAlignment="1" applyProtection="1">
      <alignment horizontal="right"/>
      <protection hidden="1"/>
    </xf>
    <xf numFmtId="167" fontId="108" fillId="0" borderId="27" xfId="54" applyNumberFormat="1" applyFont="1" applyBorder="1" applyProtection="1">
      <protection hidden="1"/>
    </xf>
    <xf numFmtId="0" fontId="108" fillId="0" borderId="13" xfId="54" applyFont="1" applyBorder="1" applyAlignment="1" applyProtection="1">
      <alignment horizontal="right"/>
      <protection hidden="1"/>
    </xf>
    <xf numFmtId="0" fontId="108" fillId="0" borderId="23" xfId="54" applyFont="1" applyBorder="1" applyAlignment="1" applyProtection="1">
      <alignment horizontal="right"/>
      <protection hidden="1"/>
    </xf>
    <xf numFmtId="0" fontId="108" fillId="0" borderId="11" xfId="54" applyFont="1" applyBorder="1" applyAlignment="1" applyProtection="1">
      <alignment horizontal="right"/>
      <protection hidden="1"/>
    </xf>
    <xf numFmtId="166" fontId="109" fillId="0" borderId="13" xfId="54" applyNumberFormat="1" applyFont="1" applyBorder="1" applyProtection="1">
      <protection hidden="1"/>
    </xf>
    <xf numFmtId="0" fontId="109" fillId="0" borderId="23" xfId="54" applyFont="1" applyBorder="1" applyProtection="1">
      <protection hidden="1"/>
    </xf>
    <xf numFmtId="166" fontId="109" fillId="0" borderId="23" xfId="54" applyNumberFormat="1" applyFont="1" applyBorder="1" applyProtection="1">
      <protection hidden="1"/>
    </xf>
    <xf numFmtId="1" fontId="109" fillId="0" borderId="11" xfId="54" applyNumberFormat="1" applyFont="1" applyBorder="1" applyProtection="1">
      <protection hidden="1"/>
    </xf>
    <xf numFmtId="191" fontId="108" fillId="0" borderId="26" xfId="54" applyNumberFormat="1" applyFont="1" applyBorder="1" applyAlignment="1" applyProtection="1">
      <alignment horizontal="left"/>
      <protection hidden="1"/>
    </xf>
    <xf numFmtId="0" fontId="109" fillId="0" borderId="0" xfId="54" applyFont="1" applyAlignment="1" applyProtection="1">
      <alignment horizontal="right"/>
      <protection hidden="1"/>
    </xf>
    <xf numFmtId="167" fontId="109" fillId="0" borderId="0" xfId="54" applyNumberFormat="1" applyFont="1" applyProtection="1">
      <protection hidden="1"/>
    </xf>
    <xf numFmtId="166" fontId="109" fillId="0" borderId="0" xfId="54" applyNumberFormat="1" applyFont="1" applyProtection="1">
      <protection hidden="1"/>
    </xf>
    <xf numFmtId="1" fontId="109" fillId="0" borderId="0" xfId="54" applyNumberFormat="1" applyFont="1" applyProtection="1">
      <protection hidden="1"/>
    </xf>
    <xf numFmtId="164" fontId="108" fillId="0" borderId="26" xfId="54" applyNumberFormat="1" applyFont="1" applyBorder="1" applyProtection="1">
      <protection hidden="1"/>
    </xf>
    <xf numFmtId="167" fontId="108" fillId="0" borderId="26" xfId="54" applyNumberFormat="1" applyFont="1" applyBorder="1" applyProtection="1">
      <protection hidden="1"/>
    </xf>
    <xf numFmtId="167" fontId="108" fillId="0" borderId="26" xfId="54" applyNumberFormat="1" applyFont="1" applyBorder="1" applyAlignment="1" applyProtection="1">
      <alignment horizontal="left"/>
      <protection hidden="1"/>
    </xf>
    <xf numFmtId="0" fontId="108" fillId="0" borderId="28" xfId="54" quotePrefix="1" applyFont="1" applyBorder="1" applyAlignment="1" applyProtection="1">
      <alignment horizontal="right"/>
      <protection hidden="1"/>
    </xf>
    <xf numFmtId="0" fontId="109" fillId="0" borderId="0" xfId="54" applyFont="1" applyAlignment="1" applyProtection="1">
      <alignment horizontal="left"/>
      <protection hidden="1"/>
    </xf>
    <xf numFmtId="168" fontId="108" fillId="0" borderId="0" xfId="54" applyNumberFormat="1" applyFont="1" applyProtection="1">
      <protection hidden="1"/>
    </xf>
    <xf numFmtId="172" fontId="108" fillId="0" borderId="0" xfId="54" applyNumberFormat="1" applyFont="1" applyProtection="1">
      <protection hidden="1"/>
    </xf>
    <xf numFmtId="1" fontId="108" fillId="0" borderId="23" xfId="54" applyNumberFormat="1" applyFont="1" applyBorder="1" applyAlignment="1" applyProtection="1">
      <alignment horizontal="right"/>
      <protection hidden="1"/>
    </xf>
    <xf numFmtId="167" fontId="109" fillId="0" borderId="6" xfId="54" applyNumberFormat="1" applyFont="1" applyBorder="1" applyProtection="1">
      <protection hidden="1"/>
    </xf>
    <xf numFmtId="166" fontId="109" fillId="0" borderId="6" xfId="54" applyNumberFormat="1" applyFont="1" applyBorder="1" applyProtection="1">
      <protection hidden="1"/>
    </xf>
    <xf numFmtId="1" fontId="109" fillId="0" borderId="6" xfId="54" applyNumberFormat="1" applyFont="1" applyBorder="1" applyProtection="1">
      <protection hidden="1"/>
    </xf>
    <xf numFmtId="0" fontId="108" fillId="0" borderId="26" xfId="54" applyFont="1" applyBorder="1" applyAlignment="1" applyProtection="1">
      <alignment horizontal="right"/>
      <protection hidden="1"/>
    </xf>
    <xf numFmtId="1" fontId="108" fillId="0" borderId="26" xfId="54" applyNumberFormat="1" applyFont="1" applyBorder="1" applyAlignment="1" applyProtection="1">
      <alignment horizontal="right"/>
      <protection hidden="1"/>
    </xf>
    <xf numFmtId="2" fontId="108" fillId="0" borderId="26" xfId="54" applyNumberFormat="1" applyFont="1" applyBorder="1" applyAlignment="1" applyProtection="1">
      <alignment horizontal="right"/>
      <protection hidden="1"/>
    </xf>
    <xf numFmtId="1" fontId="108" fillId="0" borderId="6" xfId="54" applyNumberFormat="1" applyFont="1" applyBorder="1" applyAlignment="1" applyProtection="1">
      <alignment horizontal="right" vertical="top" wrapText="1"/>
      <protection hidden="1"/>
    </xf>
    <xf numFmtId="0" fontId="108" fillId="0" borderId="6" xfId="54" applyFont="1" applyBorder="1" applyAlignment="1" applyProtection="1">
      <alignment horizontal="right" vertical="top" wrapText="1"/>
      <protection hidden="1"/>
    </xf>
    <xf numFmtId="1" fontId="110" fillId="0" borderId="6" xfId="54" applyNumberFormat="1" applyFont="1" applyBorder="1" applyAlignment="1" applyProtection="1">
      <alignment horizontal="center"/>
      <protection hidden="1"/>
    </xf>
    <xf numFmtId="0" fontId="110" fillId="0" borderId="6" xfId="54" applyFont="1" applyBorder="1" applyAlignment="1" applyProtection="1">
      <alignment horizontal="center"/>
      <protection hidden="1"/>
    </xf>
    <xf numFmtId="0" fontId="110" fillId="0" borderId="11" xfId="54" applyFont="1" applyBorder="1" applyProtection="1">
      <protection hidden="1"/>
    </xf>
    <xf numFmtId="2" fontId="108" fillId="0" borderId="6" xfId="54" applyNumberFormat="1" applyFont="1" applyBorder="1" applyAlignment="1" applyProtection="1">
      <alignment horizontal="right"/>
      <protection hidden="1"/>
    </xf>
    <xf numFmtId="1" fontId="108" fillId="0" borderId="13" xfId="54" applyNumberFormat="1" applyFont="1" applyBorder="1" applyAlignment="1" applyProtection="1">
      <alignment horizontal="right"/>
      <protection hidden="1"/>
    </xf>
    <xf numFmtId="0" fontId="110" fillId="0" borderId="11" xfId="54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center"/>
      <protection hidden="1"/>
    </xf>
    <xf numFmtId="0" fontId="110" fillId="0" borderId="0" xfId="54" applyFont="1" applyAlignment="1" applyProtection="1">
      <alignment horizontal="left"/>
      <protection hidden="1"/>
    </xf>
    <xf numFmtId="1" fontId="108" fillId="0" borderId="26" xfId="54" applyNumberFormat="1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wrapText="1"/>
      <protection hidden="1"/>
    </xf>
    <xf numFmtId="170" fontId="108" fillId="0" borderId="26" xfId="54" applyNumberFormat="1" applyFont="1" applyBorder="1" applyAlignment="1" applyProtection="1">
      <alignment horizontal="left"/>
      <protection hidden="1"/>
    </xf>
    <xf numFmtId="171" fontId="108" fillId="0" borderId="27" xfId="54" applyNumberFormat="1" applyFont="1" applyBorder="1" applyProtection="1">
      <protection hidden="1"/>
    </xf>
    <xf numFmtId="166" fontId="108" fillId="0" borderId="23" xfId="54" applyNumberFormat="1" applyFont="1" applyBorder="1" applyAlignment="1" applyProtection="1">
      <alignment horizontal="right"/>
      <protection hidden="1"/>
    </xf>
    <xf numFmtId="1" fontId="108" fillId="0" borderId="23" xfId="54" applyNumberFormat="1" applyFont="1" applyBorder="1" applyAlignment="1" applyProtection="1">
      <alignment horizontal="left"/>
      <protection hidden="1"/>
    </xf>
    <xf numFmtId="166" fontId="108" fillId="0" borderId="23" xfId="54" applyNumberFormat="1" applyFont="1" applyBorder="1" applyProtection="1">
      <protection hidden="1"/>
    </xf>
    <xf numFmtId="1" fontId="108" fillId="0" borderId="11" xfId="54" applyNumberFormat="1" applyFont="1" applyBorder="1" applyProtection="1">
      <protection hidden="1"/>
    </xf>
    <xf numFmtId="170" fontId="109" fillId="0" borderId="13" xfId="54" applyNumberFormat="1" applyFont="1" applyBorder="1" applyProtection="1">
      <protection hidden="1"/>
    </xf>
    <xf numFmtId="0" fontId="109" fillId="0" borderId="6" xfId="54" applyFont="1" applyBorder="1" applyAlignment="1" applyProtection="1">
      <alignment horizontal="right"/>
      <protection hidden="1"/>
    </xf>
    <xf numFmtId="0" fontId="109" fillId="0" borderId="6" xfId="54" applyFont="1" applyBorder="1" applyProtection="1">
      <protection hidden="1"/>
    </xf>
    <xf numFmtId="0" fontId="108" fillId="0" borderId="6" xfId="54" quotePrefix="1" applyFont="1" applyBorder="1" applyProtection="1">
      <protection hidden="1"/>
    </xf>
    <xf numFmtId="1" fontId="108" fillId="0" borderId="6" xfId="54" applyNumberFormat="1" applyFont="1" applyBorder="1" applyProtection="1">
      <protection hidden="1"/>
    </xf>
    <xf numFmtId="166" fontId="108" fillId="0" borderId="6" xfId="54" applyNumberFormat="1" applyFont="1" applyBorder="1" applyProtection="1">
      <protection hidden="1"/>
    </xf>
    <xf numFmtId="167" fontId="108" fillId="0" borderId="6" xfId="54" applyNumberFormat="1" applyFont="1" applyBorder="1" applyProtection="1">
      <protection hidden="1"/>
    </xf>
    <xf numFmtId="170" fontId="109" fillId="0" borderId="0" xfId="54" applyNumberFormat="1" applyFont="1" applyProtection="1">
      <protection hidden="1"/>
    </xf>
    <xf numFmtId="168" fontId="108" fillId="0" borderId="6" xfId="54" applyNumberFormat="1" applyFont="1" applyBorder="1" applyProtection="1">
      <protection hidden="1"/>
    </xf>
    <xf numFmtId="172" fontId="108" fillId="0" borderId="6" xfId="54" applyNumberFormat="1" applyFont="1" applyBorder="1" applyProtection="1">
      <protection hidden="1"/>
    </xf>
    <xf numFmtId="1" fontId="109" fillId="0" borderId="27" xfId="54" applyNumberFormat="1" applyFont="1" applyBorder="1" applyProtection="1">
      <protection hidden="1"/>
    </xf>
    <xf numFmtId="2" fontId="108" fillId="0" borderId="6" xfId="54" applyNumberFormat="1" applyFont="1" applyBorder="1" applyProtection="1">
      <protection hidden="1"/>
    </xf>
    <xf numFmtId="0" fontId="110" fillId="0" borderId="13" xfId="54" applyFont="1" applyBorder="1" applyProtection="1">
      <protection hidden="1"/>
    </xf>
    <xf numFmtId="0" fontId="107" fillId="0" borderId="17" xfId="54" applyFont="1" applyBorder="1" applyAlignment="1" applyProtection="1">
      <alignment horizontal="left" wrapText="1"/>
      <protection hidden="1"/>
    </xf>
    <xf numFmtId="0" fontId="108" fillId="0" borderId="29" xfId="54" applyFont="1" applyBorder="1" applyProtection="1">
      <protection hidden="1"/>
    </xf>
    <xf numFmtId="0" fontId="107" fillId="0" borderId="13" xfId="54" applyFont="1" applyBorder="1" applyAlignment="1" applyProtection="1">
      <alignment wrapText="1"/>
      <protection hidden="1"/>
    </xf>
    <xf numFmtId="0" fontId="108" fillId="0" borderId="30" xfId="54" applyFont="1" applyBorder="1" applyAlignment="1" applyProtection="1">
      <alignment horizontal="right"/>
      <protection hidden="1"/>
    </xf>
    <xf numFmtId="166" fontId="108" fillId="0" borderId="0" xfId="54" applyNumberFormat="1" applyFont="1" applyAlignment="1" applyProtection="1">
      <alignment horizontal="left"/>
      <protection hidden="1"/>
    </xf>
    <xf numFmtId="0" fontId="108" fillId="0" borderId="31" xfId="54" applyFont="1" applyBorder="1" applyAlignment="1" applyProtection="1">
      <alignment horizontal="left"/>
      <protection hidden="1"/>
    </xf>
    <xf numFmtId="170" fontId="108" fillId="0" borderId="0" xfId="54" applyNumberFormat="1" applyFont="1" applyProtection="1">
      <protection hidden="1"/>
    </xf>
    <xf numFmtId="0" fontId="109" fillId="0" borderId="13" xfId="54" applyFont="1" applyBorder="1" applyAlignment="1" applyProtection="1">
      <alignment horizontal="right"/>
      <protection hidden="1"/>
    </xf>
    <xf numFmtId="0" fontId="109" fillId="0" borderId="11" xfId="54" applyFont="1" applyBorder="1" applyAlignment="1" applyProtection="1">
      <alignment horizontal="right"/>
      <protection hidden="1"/>
    </xf>
    <xf numFmtId="11" fontId="109" fillId="0" borderId="13" xfId="54" applyNumberFormat="1" applyFont="1" applyBorder="1" applyProtection="1">
      <protection hidden="1"/>
    </xf>
    <xf numFmtId="11" fontId="109" fillId="0" borderId="23" xfId="54" applyNumberFormat="1" applyFont="1" applyBorder="1" applyProtection="1">
      <protection hidden="1"/>
    </xf>
    <xf numFmtId="167" fontId="108" fillId="0" borderId="0" xfId="54" applyNumberFormat="1" applyFont="1" applyAlignment="1" applyProtection="1">
      <alignment horizontal="left"/>
      <protection hidden="1"/>
    </xf>
    <xf numFmtId="170" fontId="108" fillId="0" borderId="27" xfId="54" applyNumberFormat="1" applyFont="1" applyBorder="1" applyProtection="1">
      <protection hidden="1"/>
    </xf>
    <xf numFmtId="0" fontId="109" fillId="0" borderId="11" xfId="54" applyFont="1" applyBorder="1" applyProtection="1">
      <protection hidden="1"/>
    </xf>
    <xf numFmtId="1" fontId="109" fillId="0" borderId="6" xfId="54" applyNumberFormat="1" applyFont="1" applyBorder="1" applyAlignment="1" applyProtection="1">
      <alignment horizontal="right" vertical="top" wrapText="1"/>
      <protection hidden="1"/>
    </xf>
    <xf numFmtId="0" fontId="109" fillId="0" borderId="6" xfId="54" applyFont="1" applyBorder="1" applyAlignment="1" applyProtection="1">
      <alignment horizontal="right" vertical="top" wrapText="1"/>
      <protection hidden="1"/>
    </xf>
    <xf numFmtId="1" fontId="113" fillId="0" borderId="6" xfId="54" applyNumberFormat="1" applyFont="1" applyBorder="1" applyAlignment="1" applyProtection="1">
      <alignment horizontal="center"/>
      <protection hidden="1"/>
    </xf>
    <xf numFmtId="0" fontId="113" fillId="0" borderId="6" xfId="54" applyFont="1" applyBorder="1" applyAlignment="1" applyProtection="1">
      <alignment horizontal="center"/>
      <protection hidden="1"/>
    </xf>
    <xf numFmtId="0" fontId="113" fillId="0" borderId="13" xfId="54" applyFont="1" applyBorder="1" applyProtection="1">
      <protection hidden="1"/>
    </xf>
    <xf numFmtId="0" fontId="113" fillId="0" borderId="11" xfId="54" applyFont="1" applyBorder="1" applyProtection="1">
      <protection hidden="1"/>
    </xf>
    <xf numFmtId="169" fontId="108" fillId="0" borderId="6" xfId="54" applyNumberFormat="1" applyFont="1" applyBorder="1" applyProtection="1">
      <protection hidden="1"/>
    </xf>
    <xf numFmtId="0" fontId="108" fillId="0" borderId="17" xfId="54" applyFont="1" applyBorder="1" applyProtection="1">
      <protection hidden="1"/>
    </xf>
    <xf numFmtId="1" fontId="108" fillId="0" borderId="17" xfId="54" applyNumberFormat="1" applyFont="1" applyBorder="1" applyProtection="1">
      <protection hidden="1"/>
    </xf>
    <xf numFmtId="164" fontId="108" fillId="0" borderId="6" xfId="54" applyNumberFormat="1" applyFont="1" applyBorder="1" applyAlignment="1" applyProtection="1">
      <alignment horizontal="right"/>
      <protection hidden="1"/>
    </xf>
    <xf numFmtId="0" fontId="95" fillId="0" borderId="0" xfId="56"/>
    <xf numFmtId="169" fontId="99" fillId="0" borderId="6" xfId="0" applyNumberFormat="1" applyFont="1" applyBorder="1" applyAlignment="1">
      <alignment horizontal="center"/>
    </xf>
    <xf numFmtId="0" fontId="95" fillId="0" borderId="0" xfId="54" applyAlignment="1">
      <alignment horizontal="center" vertical="center"/>
    </xf>
    <xf numFmtId="1" fontId="108" fillId="35" borderId="23" xfId="54" applyNumberFormat="1" applyFont="1" applyFill="1" applyBorder="1" applyAlignment="1" applyProtection="1">
      <alignment horizontal="left"/>
      <protection hidden="1"/>
    </xf>
    <xf numFmtId="0" fontId="66" fillId="0" borderId="0" xfId="43" applyFont="1"/>
    <xf numFmtId="0" fontId="108" fillId="0" borderId="0" xfId="0" applyFont="1"/>
    <xf numFmtId="0" fontId="67" fillId="0" borderId="6" xfId="43" applyFont="1" applyBorder="1" applyAlignment="1">
      <alignment horizontal="left"/>
    </xf>
    <xf numFmtId="0" fontId="67" fillId="0" borderId="6" xfId="43" applyFont="1" applyBorder="1" applyAlignment="1">
      <alignment horizontal="left" wrapText="1"/>
    </xf>
    <xf numFmtId="0" fontId="66" fillId="0" borderId="6" xfId="43" applyFont="1" applyBorder="1" applyAlignment="1">
      <alignment horizontal="left"/>
    </xf>
    <xf numFmtId="0" fontId="67" fillId="0" borderId="6" xfId="43" applyFont="1" applyBorder="1" applyAlignment="1">
      <alignment horizontal="center" wrapText="1"/>
    </xf>
    <xf numFmtId="1" fontId="66" fillId="0" borderId="6" xfId="43" applyNumberFormat="1" applyFont="1" applyBorder="1" applyAlignment="1">
      <alignment horizontal="left" wrapText="1"/>
    </xf>
    <xf numFmtId="0" fontId="66" fillId="0" borderId="6" xfId="43" applyFont="1" applyBorder="1" applyAlignment="1">
      <alignment horizontal="left" wrapText="1"/>
    </xf>
    <xf numFmtId="2" fontId="66" fillId="0" borderId="6" xfId="43" applyNumberFormat="1" applyFont="1" applyBorder="1" applyAlignment="1">
      <alignment horizontal="left" wrapText="1"/>
    </xf>
    <xf numFmtId="169" fontId="66" fillId="0" borderId="6" xfId="43" applyNumberFormat="1" applyFont="1" applyBorder="1" applyAlignment="1">
      <alignment horizontal="center" wrapText="1"/>
    </xf>
    <xf numFmtId="0" fontId="66" fillId="0" borderId="6" xfId="43" applyFont="1" applyBorder="1"/>
    <xf numFmtId="0" fontId="66" fillId="0" borderId="6" xfId="43" applyFont="1" applyBorder="1" applyAlignment="1">
      <alignment horizontal="right"/>
    </xf>
    <xf numFmtId="0" fontId="66" fillId="0" borderId="6" xfId="43" quotePrefix="1" applyFont="1" applyBorder="1" applyAlignment="1">
      <alignment horizontal="center"/>
    </xf>
    <xf numFmtId="2" fontId="67" fillId="0" borderId="6" xfId="43" applyNumberFormat="1" applyFont="1" applyBorder="1" applyAlignment="1">
      <alignment horizontal="center"/>
    </xf>
    <xf numFmtId="169" fontId="67" fillId="0" borderId="6" xfId="43" applyNumberFormat="1" applyFont="1" applyBorder="1" applyAlignment="1">
      <alignment horizontal="left" wrapText="1"/>
    </xf>
    <xf numFmtId="2" fontId="66" fillId="0" borderId="6" xfId="43" applyNumberFormat="1" applyFont="1" applyBorder="1" applyAlignment="1">
      <alignment horizontal="center" wrapText="1"/>
    </xf>
    <xf numFmtId="0" fontId="66" fillId="0" borderId="6" xfId="43" applyFont="1" applyBorder="1" applyAlignment="1">
      <alignment vertical="center"/>
    </xf>
    <xf numFmtId="2" fontId="114" fillId="0" borderId="6" xfId="43" applyNumberFormat="1" applyFont="1" applyBorder="1" applyAlignment="1">
      <alignment horizontal="center"/>
    </xf>
    <xf numFmtId="0" fontId="66" fillId="0" borderId="6" xfId="43" applyFont="1" applyBorder="1" applyAlignment="1">
      <alignment horizontal="center" wrapText="1"/>
    </xf>
    <xf numFmtId="0" fontId="75" fillId="0" borderId="6" xfId="43" applyFont="1" applyBorder="1" applyAlignment="1">
      <alignment vertical="center"/>
    </xf>
    <xf numFmtId="0" fontId="75" fillId="0" borderId="6" xfId="43" applyFont="1" applyBorder="1"/>
    <xf numFmtId="0" fontId="66" fillId="0" borderId="6" xfId="43" applyFont="1" applyBorder="1" applyAlignment="1">
      <alignment horizontal="center" vertical="center"/>
    </xf>
    <xf numFmtId="2" fontId="66" fillId="0" borderId="6" xfId="43" applyNumberFormat="1" applyFont="1" applyBorder="1" applyAlignment="1">
      <alignment horizontal="center" vertical="center"/>
    </xf>
    <xf numFmtId="0" fontId="66" fillId="0" borderId="6" xfId="43" applyFont="1" applyBorder="1" applyAlignment="1">
      <alignment horizontal="right" vertical="center"/>
    </xf>
    <xf numFmtId="0" fontId="108" fillId="0" borderId="6" xfId="0" applyFont="1" applyBorder="1"/>
    <xf numFmtId="0" fontId="108" fillId="0" borderId="6" xfId="0" applyFont="1" applyBorder="1" applyAlignment="1">
      <alignment horizontal="center"/>
    </xf>
    <xf numFmtId="0" fontId="109" fillId="0" borderId="6" xfId="0" applyFont="1" applyBorder="1"/>
    <xf numFmtId="0" fontId="67" fillId="0" borderId="6" xfId="43" applyFont="1" applyBorder="1" applyAlignment="1">
      <alignment vertical="center"/>
    </xf>
    <xf numFmtId="0" fontId="67" fillId="0" borderId="6" xfId="43" applyFont="1" applyBorder="1" applyAlignment="1">
      <alignment horizontal="center" vertical="center"/>
    </xf>
    <xf numFmtId="2" fontId="108" fillId="0" borderId="6" xfId="0" applyNumberFormat="1" applyFont="1" applyBorder="1" applyAlignment="1">
      <alignment horizontal="center"/>
    </xf>
    <xf numFmtId="2" fontId="108" fillId="0" borderId="6" xfId="0" applyNumberFormat="1" applyFont="1" applyBorder="1"/>
    <xf numFmtId="0" fontId="2" fillId="0" borderId="6" xfId="0" applyFont="1" applyBorder="1" applyAlignment="1">
      <alignment wrapText="1"/>
    </xf>
    <xf numFmtId="184" fontId="3" fillId="0" borderId="6" xfId="0" applyNumberFormat="1" applyFont="1" applyBorder="1" applyAlignment="1">
      <alignment horizontal="left"/>
    </xf>
    <xf numFmtId="0" fontId="3" fillId="0" borderId="6" xfId="0" applyFont="1" applyBorder="1" applyAlignment="1">
      <alignment horizontal="center" vertical="center"/>
    </xf>
    <xf numFmtId="0" fontId="39" fillId="0" borderId="6" xfId="0" applyFont="1" applyBorder="1" applyAlignment="1">
      <alignment horizontal="left" vertical="top" wrapText="1"/>
    </xf>
    <xf numFmtId="0" fontId="115" fillId="0" borderId="6" xfId="0" applyFont="1" applyBorder="1"/>
    <xf numFmtId="2" fontId="66" fillId="0" borderId="6" xfId="43" applyNumberFormat="1" applyFont="1" applyBorder="1" applyAlignment="1">
      <alignment horizontal="center"/>
    </xf>
    <xf numFmtId="0" fontId="66" fillId="0" borderId="6" xfId="43" applyFont="1" applyBorder="1" applyAlignment="1">
      <alignment horizontal="center"/>
    </xf>
    <xf numFmtId="1" fontId="67" fillId="0" borderId="6" xfId="43" applyNumberFormat="1" applyFont="1" applyBorder="1" applyAlignment="1">
      <alignment horizontal="center"/>
    </xf>
    <xf numFmtId="0" fontId="67" fillId="0" borderId="6" xfId="43" applyFont="1" applyBorder="1"/>
    <xf numFmtId="0" fontId="67" fillId="0" borderId="6" xfId="43" applyFont="1" applyBorder="1" applyAlignment="1">
      <alignment horizontal="center"/>
    </xf>
    <xf numFmtId="0" fontId="66" fillId="0" borderId="6" xfId="43" applyFont="1" applyBorder="1" applyAlignment="1">
      <alignment horizontal="left" vertical="center"/>
    </xf>
    <xf numFmtId="2" fontId="116" fillId="0" borderId="6" xfId="43" applyNumberFormat="1" applyFont="1" applyBorder="1" applyAlignment="1">
      <alignment horizontal="center"/>
    </xf>
    <xf numFmtId="0" fontId="108" fillId="0" borderId="6" xfId="0" applyFont="1" applyBorder="1" applyProtection="1">
      <protection hidden="1"/>
    </xf>
    <xf numFmtId="169" fontId="66" fillId="0" borderId="6" xfId="43" applyNumberFormat="1" applyFont="1" applyBorder="1" applyAlignment="1">
      <alignment horizontal="center"/>
    </xf>
    <xf numFmtId="0" fontId="66" fillId="0" borderId="6" xfId="43" quotePrefix="1" applyFont="1" applyBorder="1" applyAlignment="1">
      <alignment horizontal="left"/>
    </xf>
    <xf numFmtId="2" fontId="66" fillId="0" borderId="6" xfId="43" quotePrefix="1" applyNumberFormat="1" applyFont="1" applyBorder="1" applyAlignment="1">
      <alignment horizontal="center"/>
    </xf>
    <xf numFmtId="0" fontId="76" fillId="0" borderId="6" xfId="43" applyFont="1" applyBorder="1"/>
    <xf numFmtId="0" fontId="116" fillId="0" borderId="6" xfId="43" quotePrefix="1" applyFont="1" applyBorder="1" applyAlignment="1">
      <alignment horizontal="center"/>
    </xf>
    <xf numFmtId="164" fontId="66" fillId="0" borderId="6" xfId="43" applyNumberFormat="1" applyFont="1" applyBorder="1" applyAlignment="1">
      <alignment horizontal="center"/>
    </xf>
    <xf numFmtId="0" fontId="109" fillId="0" borderId="6" xfId="0" applyFont="1" applyBorder="1" applyAlignment="1" applyProtection="1">
      <alignment horizontal="center"/>
      <protection hidden="1"/>
    </xf>
    <xf numFmtId="0" fontId="6" fillId="0" borderId="0" xfId="0" applyFont="1"/>
    <xf numFmtId="2" fontId="108" fillId="0" borderId="0" xfId="43" applyNumberFormat="1" applyFont="1"/>
    <xf numFmtId="2" fontId="108" fillId="0" borderId="0" xfId="0" applyNumberFormat="1" applyFont="1"/>
    <xf numFmtId="2" fontId="38" fillId="0" borderId="6" xfId="0" applyNumberFormat="1" applyFont="1" applyBorder="1" applyAlignment="1">
      <alignment horizontal="center"/>
    </xf>
    <xf numFmtId="0" fontId="109" fillId="0" borderId="6" xfId="0" applyFont="1" applyBorder="1" applyAlignment="1">
      <alignment horizontal="center" vertical="center"/>
    </xf>
    <xf numFmtId="0" fontId="117" fillId="0" borderId="0" xfId="52" applyFont="1"/>
    <xf numFmtId="0" fontId="117" fillId="0" borderId="0" xfId="52" applyFont="1" applyAlignment="1">
      <alignment horizontal="center"/>
    </xf>
    <xf numFmtId="0" fontId="117" fillId="0" borderId="6" xfId="52" applyFont="1" applyBorder="1"/>
    <xf numFmtId="0" fontId="117" fillId="0" borderId="6" xfId="52" applyFont="1" applyBorder="1" applyAlignment="1">
      <alignment horizontal="center"/>
    </xf>
    <xf numFmtId="0" fontId="117" fillId="0" borderId="6" xfId="52" quotePrefix="1" applyFont="1" applyBorder="1" applyAlignment="1">
      <alignment horizontal="center"/>
    </xf>
    <xf numFmtId="169" fontId="117" fillId="0" borderId="6" xfId="52" applyNumberFormat="1" applyFont="1" applyBorder="1" applyAlignment="1">
      <alignment horizontal="center"/>
    </xf>
    <xf numFmtId="2" fontId="111" fillId="0" borderId="6" xfId="52" applyNumberFormat="1" applyFont="1" applyBorder="1" applyAlignment="1">
      <alignment horizontal="center"/>
    </xf>
    <xf numFmtId="2" fontId="117" fillId="0" borderId="6" xfId="52" applyNumberFormat="1" applyFont="1" applyBorder="1" applyAlignment="1">
      <alignment horizontal="center"/>
    </xf>
    <xf numFmtId="0" fontId="118" fillId="0" borderId="6" xfId="52" applyFont="1" applyBorder="1" applyAlignment="1">
      <alignment horizontal="right"/>
    </xf>
    <xf numFmtId="0" fontId="119" fillId="0" borderId="6" xfId="52" applyFont="1" applyBorder="1"/>
    <xf numFmtId="0" fontId="107" fillId="0" borderId="6" xfId="52" applyFont="1" applyBorder="1" applyAlignment="1">
      <alignment horizontal="right"/>
    </xf>
    <xf numFmtId="0" fontId="111" fillId="0" borderId="6" xfId="52" applyFont="1" applyBorder="1"/>
    <xf numFmtId="0" fontId="117" fillId="0" borderId="6" xfId="52" applyFont="1" applyBorder="1" applyAlignment="1">
      <alignment horizontal="left"/>
    </xf>
    <xf numFmtId="168" fontId="117" fillId="0" borderId="6" xfId="52" applyNumberFormat="1" applyFont="1" applyBorder="1" applyAlignment="1">
      <alignment horizontal="center"/>
    </xf>
    <xf numFmtId="0" fontId="117" fillId="0" borderId="6" xfId="52" applyFont="1" applyBorder="1" applyAlignment="1">
      <alignment horizontal="right"/>
    </xf>
    <xf numFmtId="0" fontId="120" fillId="0" borderId="6" xfId="52" applyFont="1" applyBorder="1"/>
    <xf numFmtId="0" fontId="108" fillId="0" borderId="6" xfId="0" applyFont="1" applyBorder="1" applyAlignment="1">
      <alignment vertical="center"/>
    </xf>
    <xf numFmtId="207" fontId="108" fillId="0" borderId="6" xfId="0" applyNumberFormat="1" applyFont="1" applyBorder="1" applyAlignment="1">
      <alignment horizontal="center" vertical="center"/>
    </xf>
    <xf numFmtId="169" fontId="108" fillId="0" borderId="6" xfId="0" applyNumberFormat="1" applyFont="1" applyBorder="1" applyAlignment="1">
      <alignment horizontal="center" vertical="center"/>
    </xf>
    <xf numFmtId="1" fontId="117" fillId="0" borderId="6" xfId="52" applyNumberFormat="1" applyFont="1" applyBorder="1" applyAlignment="1">
      <alignment horizontal="center"/>
    </xf>
    <xf numFmtId="0" fontId="107" fillId="0" borderId="6" xfId="52" applyFont="1" applyBorder="1"/>
    <xf numFmtId="0" fontId="117" fillId="0" borderId="6" xfId="52" applyFont="1" applyBorder="1" applyAlignment="1">
      <alignment vertical="top" wrapText="1"/>
    </xf>
    <xf numFmtId="0" fontId="107" fillId="0" borderId="26" xfId="46" applyFont="1" applyBorder="1" applyAlignment="1" applyProtection="1">
      <alignment vertical="center" wrapText="1"/>
      <protection locked="0"/>
    </xf>
    <xf numFmtId="0" fontId="107" fillId="0" borderId="29" xfId="46" applyFont="1" applyBorder="1" applyAlignment="1" applyProtection="1">
      <alignment vertical="center" wrapText="1"/>
      <protection locked="0"/>
    </xf>
    <xf numFmtId="0" fontId="109" fillId="0" borderId="11" xfId="0" applyFont="1" applyBorder="1" applyAlignment="1">
      <alignment vertical="center"/>
    </xf>
    <xf numFmtId="0" fontId="107" fillId="0" borderId="27" xfId="46" applyFont="1" applyBorder="1" applyAlignment="1" applyProtection="1">
      <alignment vertical="center" wrapText="1"/>
      <protection locked="0"/>
    </xf>
    <xf numFmtId="0" fontId="107" fillId="0" borderId="33" xfId="46" applyFont="1" applyBorder="1" applyAlignment="1" applyProtection="1">
      <alignment vertical="center" wrapText="1"/>
      <protection locked="0"/>
    </xf>
    <xf numFmtId="15" fontId="107" fillId="0" borderId="11" xfId="0" applyNumberFormat="1" applyFont="1" applyBorder="1" applyAlignment="1">
      <alignment vertical="center" wrapText="1"/>
    </xf>
    <xf numFmtId="0" fontId="107" fillId="0" borderId="26" xfId="0" applyFont="1" applyBorder="1" applyAlignment="1">
      <alignment vertical="center" wrapText="1"/>
    </xf>
    <xf numFmtId="0" fontId="107" fillId="0" borderId="29" xfId="0" applyFont="1" applyBorder="1" applyAlignment="1">
      <alignment vertical="center" wrapText="1"/>
    </xf>
    <xf numFmtId="0" fontId="107" fillId="0" borderId="0" xfId="0" applyFont="1" applyAlignment="1">
      <alignment vertical="center" wrapText="1"/>
    </xf>
    <xf numFmtId="0" fontId="107" fillId="0" borderId="31" xfId="0" applyFont="1" applyBorder="1" applyAlignment="1">
      <alignment vertical="center" wrapText="1"/>
    </xf>
    <xf numFmtId="0" fontId="22" fillId="38" borderId="6" xfId="0" applyFont="1" applyFill="1" applyBorder="1"/>
    <xf numFmtId="0" fontId="109" fillId="35" borderId="6" xfId="0" applyFont="1" applyFill="1" applyBorder="1"/>
    <xf numFmtId="0" fontId="66" fillId="35" borderId="6" xfId="43" applyFont="1" applyFill="1" applyBorder="1"/>
    <xf numFmtId="0" fontId="67" fillId="35" borderId="6" xfId="43" applyFont="1" applyFill="1" applyBorder="1"/>
    <xf numFmtId="164" fontId="6" fillId="0" borderId="6" xfId="0" applyNumberFormat="1" applyFont="1" applyBorder="1" applyAlignment="1">
      <alignment horizontal="left"/>
    </xf>
    <xf numFmtId="0" fontId="6" fillId="0" borderId="6" xfId="0" applyFont="1" applyBorder="1" applyAlignment="1">
      <alignment vertical="center"/>
    </xf>
    <xf numFmtId="0" fontId="2" fillId="35" borderId="6" xfId="0" applyFont="1" applyFill="1" applyBorder="1" applyAlignment="1">
      <alignment horizontal="center"/>
    </xf>
    <xf numFmtId="0" fontId="100" fillId="0" borderId="6" xfId="0" applyFont="1" applyBorder="1" applyAlignment="1">
      <alignment horizontal="center"/>
    </xf>
    <xf numFmtId="0" fontId="6" fillId="0" borderId="23" xfId="0" applyFont="1" applyBorder="1"/>
    <xf numFmtId="0" fontId="82" fillId="26" borderId="6" xfId="0" applyFont="1" applyFill="1" applyBorder="1"/>
    <xf numFmtId="2" fontId="82" fillId="26" borderId="6" xfId="0" applyNumberFormat="1" applyFont="1" applyFill="1" applyBorder="1"/>
    <xf numFmtId="0" fontId="99" fillId="0" borderId="6" xfId="0" applyFont="1" applyBorder="1" applyAlignment="1">
      <alignment horizontal="center"/>
    </xf>
    <xf numFmtId="2" fontId="83" fillId="26" borderId="6" xfId="0" applyNumberFormat="1" applyFont="1" applyFill="1" applyBorder="1"/>
    <xf numFmtId="191" fontId="82" fillId="26" borderId="6" xfId="0" applyNumberFormat="1" applyFont="1" applyFill="1" applyBorder="1"/>
    <xf numFmtId="167" fontId="82" fillId="26" borderId="6" xfId="0" applyNumberFormat="1" applyFont="1" applyFill="1" applyBorder="1"/>
    <xf numFmtId="169" fontId="82" fillId="26" borderId="6" xfId="0" applyNumberFormat="1" applyFont="1" applyFill="1" applyBorder="1" applyAlignment="1">
      <alignment horizontal="center"/>
    </xf>
    <xf numFmtId="0" fontId="58" fillId="35" borderId="6" xfId="0" applyFont="1" applyFill="1" applyBorder="1"/>
    <xf numFmtId="0" fontId="6" fillId="39" borderId="6" xfId="0" applyFont="1" applyFill="1" applyBorder="1"/>
    <xf numFmtId="0" fontId="6" fillId="39" borderId="13" xfId="0" applyFont="1" applyFill="1" applyBorder="1"/>
    <xf numFmtId="0" fontId="6" fillId="39" borderId="23" xfId="0" applyFont="1" applyFill="1" applyBorder="1"/>
    <xf numFmtId="0" fontId="6" fillId="39" borderId="11" xfId="0" applyFont="1" applyFill="1" applyBorder="1"/>
    <xf numFmtId="0" fontId="121" fillId="26" borderId="6" xfId="0" applyFont="1" applyFill="1" applyBorder="1"/>
    <xf numFmtId="0" fontId="47" fillId="0" borderId="13" xfId="51" applyFont="1" applyBorder="1"/>
    <xf numFmtId="0" fontId="47" fillId="0" borderId="23" xfId="51" applyFont="1" applyBorder="1"/>
    <xf numFmtId="0" fontId="47" fillId="0" borderId="11" xfId="51" applyFont="1" applyBorder="1"/>
    <xf numFmtId="180" fontId="56" fillId="26" borderId="6" xfId="51" applyNumberFormat="1" applyFont="1" applyFill="1" applyBorder="1" applyAlignment="1">
      <alignment horizontal="center" wrapText="1"/>
    </xf>
    <xf numFmtId="0" fontId="56" fillId="0" borderId="6" xfId="51" applyFont="1" applyBorder="1" applyAlignment="1">
      <alignment horizontal="center"/>
    </xf>
    <xf numFmtId="164" fontId="49" fillId="0" borderId="6" xfId="51" applyNumberFormat="1" applyFont="1" applyBorder="1" applyAlignment="1">
      <alignment horizontal="center"/>
    </xf>
    <xf numFmtId="0" fontId="54" fillId="0" borderId="6" xfId="51" applyFont="1" applyBorder="1" applyAlignment="1">
      <alignment horizontal="center" wrapText="1"/>
    </xf>
    <xf numFmtId="2" fontId="58" fillId="26" borderId="6" xfId="0" applyNumberFormat="1" applyFont="1" applyFill="1" applyBorder="1" applyAlignment="1">
      <alignment horizontal="center" vertical="center"/>
    </xf>
    <xf numFmtId="0" fontId="82" fillId="26" borderId="6" xfId="0" applyFont="1" applyFill="1" applyBorder="1" applyAlignment="1">
      <alignment horizontal="left" vertical="center"/>
    </xf>
    <xf numFmtId="0" fontId="58" fillId="0" borderId="6" xfId="0" applyFont="1" applyBorder="1" applyAlignment="1">
      <alignment horizontal="left" vertical="center"/>
    </xf>
    <xf numFmtId="11" fontId="82" fillId="26" borderId="6" xfId="0" applyNumberFormat="1" applyFont="1" applyFill="1" applyBorder="1" applyAlignment="1">
      <alignment horizontal="center" vertical="center"/>
    </xf>
    <xf numFmtId="0" fontId="82" fillId="32" borderId="6" xfId="0" applyFont="1" applyFill="1" applyBorder="1" applyAlignment="1">
      <alignment horizontal="center" vertical="center" wrapText="1"/>
    </xf>
    <xf numFmtId="2" fontId="82" fillId="26" borderId="6" xfId="0" applyNumberFormat="1" applyFont="1" applyFill="1" applyBorder="1" applyAlignment="1">
      <alignment horizontal="center" vertical="center"/>
    </xf>
    <xf numFmtId="2" fontId="83" fillId="35" borderId="6" xfId="0" applyNumberFormat="1" applyFont="1" applyFill="1" applyBorder="1" applyAlignment="1">
      <alignment horizontal="center" vertical="center"/>
    </xf>
    <xf numFmtId="0" fontId="58" fillId="0" borderId="6" xfId="0" applyFont="1" applyBorder="1" applyAlignment="1">
      <alignment horizontal="center" vertical="center" wrapText="1"/>
    </xf>
    <xf numFmtId="1" fontId="58" fillId="26" borderId="6" xfId="0" applyNumberFormat="1" applyFont="1" applyFill="1" applyBorder="1" applyAlignment="1">
      <alignment horizontal="center" vertical="center"/>
    </xf>
    <xf numFmtId="0" fontId="24" fillId="0" borderId="13" xfId="0" applyFont="1" applyBorder="1" applyAlignment="1">
      <alignment horizontal="left"/>
    </xf>
    <xf numFmtId="0" fontId="24" fillId="0" borderId="11" xfId="0" applyFont="1" applyBorder="1" applyAlignment="1">
      <alignment horizontal="left"/>
    </xf>
    <xf numFmtId="0" fontId="122" fillId="0" borderId="6" xfId="0" applyFont="1" applyBorder="1" applyAlignment="1">
      <alignment horizontal="center"/>
    </xf>
    <xf numFmtId="0" fontId="121" fillId="0" borderId="6" xfId="0" applyFont="1" applyBorder="1" applyAlignment="1">
      <alignment horizontal="center" wrapText="1"/>
    </xf>
    <xf numFmtId="0" fontId="58" fillId="0" borderId="6" xfId="0" applyFont="1" applyBorder="1" applyAlignment="1">
      <alignment horizontal="center" vertical="center"/>
    </xf>
    <xf numFmtId="0" fontId="47" fillId="0" borderId="6" xfId="51" applyFont="1" applyBorder="1" applyAlignment="1">
      <alignment horizontal="center" vertical="center" wrapText="1"/>
    </xf>
    <xf numFmtId="0" fontId="57" fillId="26" borderId="6" xfId="51" applyFont="1" applyFill="1" applyBorder="1" applyAlignment="1">
      <alignment horizontal="center" vertical="center" wrapText="1"/>
    </xf>
    <xf numFmtId="0" fontId="56" fillId="35" borderId="6" xfId="51" applyFont="1" applyFill="1" applyBorder="1" applyAlignment="1">
      <alignment wrapText="1"/>
    </xf>
    <xf numFmtId="0" fontId="58" fillId="40" borderId="6" xfId="0" applyFont="1" applyFill="1" applyBorder="1" applyAlignment="1">
      <alignment horizontal="center"/>
    </xf>
    <xf numFmtId="0" fontId="24" fillId="40" borderId="6" xfId="0" applyFont="1" applyFill="1" applyBorder="1" applyAlignment="1">
      <alignment horizontal="right"/>
    </xf>
    <xf numFmtId="0" fontId="24" fillId="40" borderId="6" xfId="0" applyFont="1" applyFill="1" applyBorder="1" applyAlignment="1">
      <alignment horizontal="center"/>
    </xf>
    <xf numFmtId="0" fontId="58" fillId="40" borderId="6" xfId="0" applyFont="1" applyFill="1" applyBorder="1" applyAlignment="1">
      <alignment horizontal="center" wrapText="1"/>
    </xf>
    <xf numFmtId="169" fontId="58" fillId="40" borderId="6" xfId="0" applyNumberFormat="1" applyFont="1" applyFill="1" applyBorder="1" applyAlignment="1">
      <alignment horizontal="center"/>
    </xf>
    <xf numFmtId="0" fontId="58" fillId="40" borderId="6" xfId="0" applyFont="1" applyFill="1" applyBorder="1"/>
    <xf numFmtId="0" fontId="3" fillId="0" borderId="13" xfId="0" applyFont="1" applyBorder="1" applyAlignment="1">
      <alignment wrapText="1"/>
    </xf>
    <xf numFmtId="0" fontId="3" fillId="0" borderId="23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78" fontId="2" fillId="0" borderId="23" xfId="0" applyNumberFormat="1" applyFont="1" applyBorder="1" applyAlignment="1">
      <alignment horizontal="center"/>
    </xf>
    <xf numFmtId="2" fontId="6" fillId="0" borderId="23" xfId="0" applyNumberFormat="1" applyFont="1" applyBorder="1" applyAlignment="1">
      <alignment horizontal="center"/>
    </xf>
    <xf numFmtId="0" fontId="123" fillId="27" borderId="6" xfId="0" applyFont="1" applyFill="1" applyBorder="1" applyAlignment="1">
      <alignment horizontal="center"/>
    </xf>
    <xf numFmtId="0" fontId="6" fillId="0" borderId="6" xfId="0" applyFont="1" applyBorder="1" applyAlignment="1">
      <alignment horizontal="left" indent="7"/>
    </xf>
    <xf numFmtId="0" fontId="6" fillId="35" borderId="6" xfId="0" applyFont="1" applyFill="1" applyBorder="1" applyAlignment="1">
      <alignment horizontal="left" indent="2"/>
    </xf>
    <xf numFmtId="0" fontId="124" fillId="0" borderId="6" xfId="0" applyFont="1" applyBorder="1"/>
    <xf numFmtId="0" fontId="76" fillId="0" borderId="6" xfId="43" applyFont="1" applyBorder="1" applyAlignment="1">
      <alignment horizontal="left"/>
    </xf>
    <xf numFmtId="0" fontId="76" fillId="0" borderId="6" xfId="43" applyFont="1" applyBorder="1" applyAlignment="1">
      <alignment horizontal="left" wrapText="1"/>
    </xf>
    <xf numFmtId="0" fontId="124" fillId="0" borderId="13" xfId="0" applyFont="1" applyBorder="1"/>
    <xf numFmtId="208" fontId="6" fillId="0" borderId="13" xfId="0" applyNumberFormat="1" applyFont="1" applyBorder="1" applyAlignment="1">
      <alignment horizontal="center" shrinkToFit="1"/>
    </xf>
    <xf numFmtId="0" fontId="0" fillId="0" borderId="2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192" fontId="2" fillId="0" borderId="6" xfId="0" applyNumberFormat="1" applyFont="1" applyBorder="1" applyAlignment="1">
      <alignment horizontal="center"/>
    </xf>
    <xf numFmtId="0" fontId="84" fillId="0" borderId="6" xfId="0" applyFont="1" applyBorder="1" applyAlignment="1">
      <alignment horizontal="center"/>
    </xf>
    <xf numFmtId="11" fontId="2" fillId="0" borderId="6" xfId="0" applyNumberFormat="1" applyFont="1" applyBorder="1" applyAlignment="1">
      <alignment horizontal="center" wrapText="1"/>
    </xf>
    <xf numFmtId="180" fontId="49" fillId="0" borderId="6" xfId="51" applyNumberFormat="1" applyFont="1" applyBorder="1" applyAlignment="1">
      <alignment horizontal="center" wrapText="1"/>
    </xf>
    <xf numFmtId="0" fontId="83" fillId="26" borderId="6" xfId="0" applyFont="1" applyFill="1" applyBorder="1"/>
    <xf numFmtId="2" fontId="3" fillId="0" borderId="6" xfId="0" applyNumberFormat="1" applyFont="1" applyBorder="1" applyAlignment="1">
      <alignment wrapText="1"/>
    </xf>
    <xf numFmtId="2" fontId="3" fillId="0" borderId="6" xfId="0" applyNumberFormat="1" applyFont="1" applyBorder="1" applyAlignment="1">
      <alignment horizontal="center" wrapText="1"/>
    </xf>
    <xf numFmtId="0" fontId="125" fillId="0" borderId="6" xfId="0" applyFont="1" applyBorder="1"/>
    <xf numFmtId="0" fontId="89" fillId="0" borderId="6" xfId="0" applyFont="1" applyBorder="1" applyAlignment="1">
      <alignment horizontal="center"/>
    </xf>
    <xf numFmtId="2" fontId="126" fillId="0" borderId="6" xfId="0" applyNumberFormat="1" applyFont="1" applyBorder="1" applyAlignment="1">
      <alignment horizontal="center"/>
    </xf>
    <xf numFmtId="2" fontId="6" fillId="0" borderId="6" xfId="0" applyNumberFormat="1" applyFont="1" applyBorder="1" applyAlignment="1">
      <alignment horizontal="right"/>
    </xf>
    <xf numFmtId="164" fontId="99" fillId="27" borderId="6" xfId="0" applyNumberFormat="1" applyFont="1" applyFill="1" applyBorder="1"/>
    <xf numFmtId="1" fontId="99" fillId="27" borderId="6" xfId="0" applyNumberFormat="1" applyFont="1" applyFill="1" applyBorder="1"/>
    <xf numFmtId="2" fontId="99" fillId="27" borderId="6" xfId="0" applyNumberFormat="1" applyFont="1" applyFill="1" applyBorder="1"/>
    <xf numFmtId="2" fontId="82" fillId="26" borderId="6" xfId="0" applyNumberFormat="1" applyFont="1" applyFill="1" applyBorder="1" applyAlignment="1">
      <alignment horizontal="center"/>
    </xf>
    <xf numFmtId="0" fontId="0" fillId="0" borderId="6" xfId="0" applyBorder="1" applyAlignment="1">
      <alignment vertical="center" wrapText="1"/>
    </xf>
    <xf numFmtId="0" fontId="6" fillId="0" borderId="34" xfId="0" applyFont="1" applyBorder="1"/>
    <xf numFmtId="0" fontId="6" fillId="0" borderId="35" xfId="0" applyFont="1" applyBorder="1"/>
    <xf numFmtId="0" fontId="6" fillId="0" borderId="18" xfId="0" applyFont="1" applyBorder="1"/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13" xfId="0" applyFont="1" applyBorder="1" applyAlignment="1">
      <alignment horizontal="center"/>
    </xf>
    <xf numFmtId="0" fontId="6" fillId="0" borderId="39" xfId="0" applyFont="1" applyBorder="1"/>
    <xf numFmtId="0" fontId="6" fillId="0" borderId="40" xfId="0" applyFont="1" applyBorder="1"/>
    <xf numFmtId="0" fontId="127" fillId="0" borderId="6" xfId="0" applyFont="1" applyBorder="1"/>
    <xf numFmtId="209" fontId="6" fillId="0" borderId="6" xfId="0" applyNumberFormat="1" applyFont="1" applyBorder="1"/>
    <xf numFmtId="0" fontId="6" fillId="0" borderId="0" xfId="0" applyFont="1" applyAlignment="1">
      <alignment horizontal="center"/>
    </xf>
    <xf numFmtId="0" fontId="4" fillId="0" borderId="24" xfId="0" applyFont="1" applyBorder="1"/>
    <xf numFmtId="0" fontId="6" fillId="0" borderId="41" xfId="0" applyFont="1" applyBorder="1"/>
    <xf numFmtId="0" fontId="108" fillId="0" borderId="6" xfId="54" applyFont="1" applyBorder="1" applyAlignment="1" applyProtection="1">
      <alignment horizontal="center" vertical="center"/>
      <protection hidden="1"/>
    </xf>
    <xf numFmtId="0" fontId="90" fillId="0" borderId="6" xfId="57" applyFont="1" applyBorder="1"/>
    <xf numFmtId="0" fontId="67" fillId="0" borderId="6" xfId="0" applyFont="1" applyBorder="1" applyAlignment="1">
      <alignment horizontal="left" vertical="center"/>
    </xf>
    <xf numFmtId="0" fontId="66" fillId="0" borderId="6" xfId="0" applyFont="1" applyBorder="1" applyAlignment="1" applyProtection="1">
      <alignment horizontal="left" vertical="center"/>
      <protection locked="0"/>
    </xf>
    <xf numFmtId="0" fontId="66" fillId="0" borderId="6" xfId="0" applyFont="1" applyBorder="1" applyAlignment="1">
      <alignment vertical="center"/>
    </xf>
    <xf numFmtId="169" fontId="66" fillId="0" borderId="6" xfId="0" applyNumberFormat="1" applyFont="1" applyBorder="1" applyAlignment="1">
      <alignment horizontal="center" vertical="center"/>
    </xf>
    <xf numFmtId="0" fontId="70" fillId="0" borderId="6" xfId="0" applyFont="1" applyBorder="1" applyAlignment="1">
      <alignment horizontal="left" vertical="center"/>
    </xf>
    <xf numFmtId="0" fontId="66" fillId="0" borderId="6" xfId="0" applyFont="1" applyBorder="1" applyAlignment="1">
      <alignment horizontal="left" vertical="center"/>
    </xf>
    <xf numFmtId="0" fontId="71" fillId="0" borderId="6" xfId="0" applyFont="1" applyBorder="1" applyAlignment="1">
      <alignment horizontal="center" vertical="center"/>
    </xf>
    <xf numFmtId="0" fontId="66" fillId="0" borderId="6" xfId="0" applyFont="1" applyBorder="1" applyProtection="1">
      <protection locked="0"/>
    </xf>
    <xf numFmtId="196" fontId="66" fillId="0" borderId="6" xfId="0" applyNumberFormat="1" applyFont="1" applyBorder="1" applyAlignment="1">
      <alignment horizontal="left" vertical="center"/>
    </xf>
    <xf numFmtId="0" fontId="67" fillId="0" borderId="6" xfId="0" applyFont="1" applyBorder="1" applyAlignment="1" applyProtection="1">
      <alignment horizontal="center" vertical="center"/>
      <protection locked="0"/>
    </xf>
    <xf numFmtId="0" fontId="67" fillId="0" borderId="6" xfId="0" applyFont="1" applyBorder="1" applyAlignment="1" applyProtection="1">
      <alignment vertical="center"/>
      <protection locked="0"/>
    </xf>
    <xf numFmtId="169" fontId="66" fillId="0" borderId="6" xfId="0" applyNumberFormat="1" applyFont="1" applyBorder="1" applyAlignment="1">
      <alignment horizontal="left" vertical="center"/>
    </xf>
    <xf numFmtId="0" fontId="66" fillId="0" borderId="6" xfId="0" applyFont="1" applyBorder="1" applyAlignment="1" applyProtection="1">
      <alignment horizontal="center" vertical="center"/>
      <protection locked="0"/>
    </xf>
    <xf numFmtId="0" fontId="66" fillId="0" borderId="6" xfId="0" applyFont="1" applyBorder="1" applyAlignment="1">
      <alignment horizontal="left"/>
    </xf>
    <xf numFmtId="0" fontId="66" fillId="0" borderId="6" xfId="0" applyFont="1" applyBorder="1" applyAlignment="1">
      <alignment horizontal="center"/>
    </xf>
    <xf numFmtId="0" fontId="66" fillId="0" borderId="6" xfId="0" applyFont="1" applyBorder="1" applyAlignment="1">
      <alignment horizontal="left" vertical="top"/>
    </xf>
    <xf numFmtId="0" fontId="66" fillId="0" borderId="6" xfId="0" applyFont="1" applyBorder="1" applyAlignment="1" applyProtection="1">
      <alignment vertical="center"/>
      <protection locked="0"/>
    </xf>
    <xf numFmtId="0" fontId="66" fillId="0" borderId="6" xfId="0" applyFont="1" applyBorder="1" applyAlignment="1">
      <alignment horizontal="left" vertical="top" wrapText="1"/>
    </xf>
    <xf numFmtId="0" fontId="128" fillId="0" borderId="6" xfId="0" applyFont="1" applyBorder="1" applyAlignment="1">
      <alignment horizontal="left" vertical="center"/>
    </xf>
    <xf numFmtId="0" fontId="114" fillId="0" borderId="6" xfId="0" applyFont="1" applyBorder="1" applyAlignment="1">
      <alignment vertical="center"/>
    </xf>
    <xf numFmtId="0" fontId="116" fillId="0" borderId="6" xfId="0" applyFont="1" applyBorder="1" applyAlignment="1" applyProtection="1">
      <alignment horizontal="left" vertical="center"/>
      <protection locked="0"/>
    </xf>
    <xf numFmtId="0" fontId="116" fillId="0" borderId="6" xfId="0" applyFont="1" applyBorder="1" applyAlignment="1">
      <alignment vertical="center"/>
    </xf>
    <xf numFmtId="169" fontId="116" fillId="0" borderId="6" xfId="0" applyNumberFormat="1" applyFont="1" applyBorder="1" applyAlignment="1">
      <alignment horizontal="left" vertical="center"/>
    </xf>
    <xf numFmtId="0" fontId="66" fillId="0" borderId="6" xfId="0" applyFont="1" applyBorder="1" applyAlignment="1" applyProtection="1">
      <alignment horizontal="right"/>
      <protection locked="0"/>
    </xf>
    <xf numFmtId="1" fontId="66" fillId="0" borderId="6" xfId="0" applyNumberFormat="1" applyFont="1" applyBorder="1" applyAlignment="1">
      <alignment horizontal="center" vertical="center"/>
    </xf>
    <xf numFmtId="198" fontId="67" fillId="0" borderId="6" xfId="0" applyNumberFormat="1" applyFont="1" applyBorder="1" applyAlignment="1" applyProtection="1">
      <alignment horizontal="left" vertical="center"/>
      <protection locked="0"/>
    </xf>
    <xf numFmtId="0" fontId="67" fillId="0" borderId="6" xfId="0" applyFont="1" applyBorder="1" applyAlignment="1">
      <alignment vertical="center"/>
    </xf>
    <xf numFmtId="0" fontId="66" fillId="0" borderId="6" xfId="0" applyFont="1" applyBorder="1"/>
    <xf numFmtId="169" fontId="66" fillId="0" borderId="6" xfId="0" applyNumberFormat="1" applyFont="1" applyBorder="1" applyAlignment="1">
      <alignment horizontal="left"/>
    </xf>
    <xf numFmtId="0" fontId="116" fillId="0" borderId="6" xfId="0" applyFont="1" applyBorder="1" applyAlignment="1">
      <alignment horizontal="left" vertical="center" wrapText="1"/>
    </xf>
    <xf numFmtId="164" fontId="66" fillId="0" borderId="6" xfId="0" applyNumberFormat="1" applyFont="1" applyBorder="1"/>
    <xf numFmtId="0" fontId="67" fillId="0" borderId="6" xfId="0" applyFont="1" applyBorder="1" applyAlignment="1" applyProtection="1">
      <alignment horizontal="left" vertical="center"/>
      <protection locked="0"/>
    </xf>
    <xf numFmtId="199" fontId="67" fillId="0" borderId="6" xfId="0" applyNumberFormat="1" applyFont="1" applyBorder="1" applyAlignment="1">
      <alignment horizontal="left" vertical="center"/>
    </xf>
    <xf numFmtId="0" fontId="76" fillId="0" borderId="6" xfId="43" applyFont="1" applyBorder="1" applyAlignment="1" applyProtection="1">
      <alignment horizontal="left" vertical="center"/>
      <protection locked="0"/>
    </xf>
    <xf numFmtId="204" fontId="67" fillId="0" borderId="6" xfId="43" applyNumberFormat="1" applyFont="1" applyBorder="1" applyAlignment="1" applyProtection="1">
      <alignment horizontal="center" vertical="center"/>
      <protection locked="0"/>
    </xf>
    <xf numFmtId="205" fontId="67" fillId="0" borderId="6" xfId="43" applyNumberFormat="1" applyFont="1" applyBorder="1" applyAlignment="1" applyProtection="1">
      <alignment horizontal="center" vertical="center"/>
      <protection locked="0"/>
    </xf>
    <xf numFmtId="206" fontId="66" fillId="0" borderId="6" xfId="43" applyNumberFormat="1" applyFont="1" applyBorder="1"/>
    <xf numFmtId="0" fontId="114" fillId="0" borderId="6" xfId="43" applyFont="1" applyBorder="1" applyAlignment="1">
      <alignment horizontal="center" vertical="center"/>
    </xf>
    <xf numFmtId="0" fontId="116" fillId="0" borderId="6" xfId="43" applyFont="1" applyBorder="1" applyAlignment="1">
      <alignment horizontal="left" vertical="center"/>
    </xf>
    <xf numFmtId="169" fontId="66" fillId="0" borderId="6" xfId="43" applyNumberFormat="1" applyFont="1" applyBorder="1" applyAlignment="1">
      <alignment horizontal="center" vertical="center"/>
    </xf>
    <xf numFmtId="0" fontId="66" fillId="0" borderId="6" xfId="43" quotePrefix="1" applyFont="1" applyBorder="1" applyAlignment="1">
      <alignment horizontal="center" vertical="center"/>
    </xf>
    <xf numFmtId="0" fontId="106" fillId="0" borderId="37" xfId="0" applyFont="1" applyBorder="1" applyAlignment="1">
      <alignment vertical="center"/>
    </xf>
    <xf numFmtId="0" fontId="109" fillId="0" borderId="35" xfId="0" applyFont="1" applyBorder="1" applyAlignment="1">
      <alignment horizontal="center" vertical="center"/>
    </xf>
    <xf numFmtId="0" fontId="107" fillId="0" borderId="35" xfId="0" applyFont="1" applyBorder="1" applyAlignment="1">
      <alignment horizontal="center" vertical="center"/>
    </xf>
    <xf numFmtId="0" fontId="107" fillId="0" borderId="18" xfId="0" applyFont="1" applyBorder="1" applyAlignment="1">
      <alignment horizontal="center" vertical="center"/>
    </xf>
    <xf numFmtId="0" fontId="67" fillId="0" borderId="24" xfId="0" applyFont="1" applyBorder="1" applyAlignment="1">
      <alignment horizontal="center"/>
    </xf>
    <xf numFmtId="0" fontId="68" fillId="0" borderId="36" xfId="0" applyFont="1" applyBorder="1" applyAlignment="1">
      <alignment horizontal="left"/>
    </xf>
    <xf numFmtId="0" fontId="69" fillId="0" borderId="36" xfId="0" applyFont="1" applyBorder="1" applyAlignment="1">
      <alignment horizontal="left"/>
    </xf>
    <xf numFmtId="0" fontId="67" fillId="0" borderId="36" xfId="0" applyFont="1" applyBorder="1" applyAlignment="1">
      <alignment horizontal="left" vertical="center"/>
    </xf>
    <xf numFmtId="0" fontId="66" fillId="0" borderId="36" xfId="0" applyFont="1" applyBorder="1" applyAlignment="1" applyProtection="1">
      <alignment horizontal="left" vertical="center"/>
      <protection locked="0"/>
    </xf>
    <xf numFmtId="0" fontId="66" fillId="0" borderId="36" xfId="0" applyFont="1" applyBorder="1" applyAlignment="1">
      <alignment vertical="center"/>
    </xf>
    <xf numFmtId="169" fontId="66" fillId="0" borderId="36" xfId="0" applyNumberFormat="1" applyFont="1" applyBorder="1" applyAlignment="1">
      <alignment horizontal="center" vertical="center"/>
    </xf>
    <xf numFmtId="0" fontId="66" fillId="0" borderId="37" xfId="0" applyFont="1" applyBorder="1" applyAlignment="1">
      <alignment horizontal="center" vertical="center"/>
    </xf>
    <xf numFmtId="0" fontId="67" fillId="0" borderId="34" xfId="0" applyFont="1" applyBorder="1" applyAlignment="1">
      <alignment horizontal="center" vertical="center"/>
    </xf>
    <xf numFmtId="0" fontId="66" fillId="0" borderId="35" xfId="0" applyFont="1" applyBorder="1" applyAlignment="1">
      <alignment horizontal="center" vertical="center"/>
    </xf>
    <xf numFmtId="0" fontId="66" fillId="0" borderId="34" xfId="0" applyFont="1" applyBorder="1" applyAlignment="1" applyProtection="1">
      <alignment horizontal="center"/>
      <protection locked="0"/>
    </xf>
    <xf numFmtId="0" fontId="66" fillId="0" borderId="34" xfId="0" applyFont="1" applyBorder="1" applyAlignment="1" applyProtection="1">
      <alignment horizontal="center" vertical="center"/>
      <protection locked="0"/>
    </xf>
    <xf numFmtId="0" fontId="66" fillId="0" borderId="35" xfId="0" applyFont="1" applyBorder="1" applyProtection="1">
      <protection locked="0"/>
    </xf>
    <xf numFmtId="0" fontId="66" fillId="0" borderId="34" xfId="0" applyFont="1" applyBorder="1" applyProtection="1">
      <protection locked="0"/>
    </xf>
    <xf numFmtId="0" fontId="66" fillId="0" borderId="35" xfId="0" applyFont="1" applyBorder="1" applyAlignment="1">
      <alignment horizontal="left" vertical="top" wrapText="1"/>
    </xf>
    <xf numFmtId="0" fontId="114" fillId="0" borderId="34" xfId="0" applyFont="1" applyBorder="1" applyAlignment="1" applyProtection="1">
      <alignment horizontal="center" vertical="center"/>
      <protection locked="0"/>
    </xf>
    <xf numFmtId="0" fontId="116" fillId="0" borderId="35" xfId="0" applyFont="1" applyBorder="1" applyAlignment="1">
      <alignment horizontal="center" vertical="center"/>
    </xf>
    <xf numFmtId="0" fontId="116" fillId="0" borderId="34" xfId="0" applyFont="1" applyBorder="1" applyAlignment="1" applyProtection="1">
      <alignment horizontal="center" vertical="center"/>
      <protection locked="0"/>
    </xf>
    <xf numFmtId="0" fontId="66" fillId="0" borderId="35" xfId="0" applyFont="1" applyBorder="1" applyAlignment="1">
      <alignment vertical="center"/>
    </xf>
    <xf numFmtId="169" fontId="66" fillId="0" borderId="35" xfId="0" applyNumberFormat="1" applyFont="1" applyBorder="1" applyAlignment="1">
      <alignment horizontal="left" vertical="center"/>
    </xf>
    <xf numFmtId="0" fontId="67" fillId="0" borderId="34" xfId="0" applyFont="1" applyBorder="1" applyAlignment="1" applyProtection="1">
      <alignment horizontal="center"/>
      <protection locked="0"/>
    </xf>
    <xf numFmtId="164" fontId="67" fillId="0" borderId="34" xfId="43" applyNumberFormat="1" applyFont="1" applyBorder="1" applyAlignment="1" applyProtection="1">
      <alignment horizontal="right" vertical="center"/>
      <protection locked="0"/>
    </xf>
    <xf numFmtId="0" fontId="108" fillId="0" borderId="35" xfId="0" applyFont="1" applyBorder="1"/>
    <xf numFmtId="0" fontId="66" fillId="0" borderId="34" xfId="43" applyFont="1" applyBorder="1"/>
    <xf numFmtId="0" fontId="66" fillId="0" borderId="34" xfId="43" applyFont="1" applyBorder="1" applyAlignment="1">
      <alignment vertical="center"/>
    </xf>
    <xf numFmtId="0" fontId="66" fillId="0" borderId="41" xfId="0" applyFont="1" applyBorder="1" applyAlignment="1">
      <alignment horizontal="center" vertical="center"/>
    </xf>
    <xf numFmtId="0" fontId="66" fillId="0" borderId="18" xfId="0" applyFont="1" applyBorder="1" applyAlignment="1">
      <alignment vertical="center"/>
    </xf>
    <xf numFmtId="0" fontId="66" fillId="0" borderId="38" xfId="0" applyFont="1" applyBorder="1" applyAlignment="1">
      <alignment vertical="center"/>
    </xf>
    <xf numFmtId="164" fontId="67" fillId="0" borderId="42" xfId="43" applyNumberFormat="1" applyFont="1" applyBorder="1" applyAlignment="1" applyProtection="1">
      <alignment horizontal="right" vertical="center"/>
      <protection locked="0"/>
    </xf>
    <xf numFmtId="0" fontId="76" fillId="0" borderId="17" xfId="43" applyFont="1" applyBorder="1" applyAlignment="1" applyProtection="1">
      <alignment horizontal="left" vertical="center"/>
      <protection locked="0"/>
    </xf>
    <xf numFmtId="0" fontId="108" fillId="0" borderId="17" xfId="0" applyFont="1" applyBorder="1"/>
    <xf numFmtId="0" fontId="108" fillId="0" borderId="43" xfId="0" applyFont="1" applyBorder="1"/>
    <xf numFmtId="0" fontId="67" fillId="0" borderId="41" xfId="0" applyFont="1" applyBorder="1" applyAlignment="1" applyProtection="1">
      <alignment horizontal="center"/>
      <protection locked="0"/>
    </xf>
    <xf numFmtId="0" fontId="67" fillId="0" borderId="18" xfId="0" applyFont="1" applyBorder="1" applyAlignment="1">
      <alignment vertical="center"/>
    </xf>
    <xf numFmtId="0" fontId="66" fillId="0" borderId="18" xfId="0" applyFont="1" applyBorder="1" applyProtection="1">
      <protection locked="0"/>
    </xf>
    <xf numFmtId="0" fontId="66" fillId="0" borderId="18" xfId="0" applyFont="1" applyBorder="1" applyAlignment="1" applyProtection="1">
      <alignment horizontal="center" vertical="center"/>
      <protection locked="0"/>
    </xf>
    <xf numFmtId="169" fontId="66" fillId="0" borderId="38" xfId="0" applyNumberFormat="1" applyFont="1" applyBorder="1" applyAlignment="1">
      <alignment horizontal="left" vertical="center"/>
    </xf>
    <xf numFmtId="0" fontId="106" fillId="0" borderId="37" xfId="0" applyFont="1" applyBorder="1" applyAlignment="1">
      <alignment vertical="center" wrapText="1"/>
    </xf>
    <xf numFmtId="0" fontId="109" fillId="0" borderId="35" xfId="0" applyFont="1" applyBorder="1" applyAlignment="1">
      <alignment horizontal="center" vertical="center" wrapText="1"/>
    </xf>
    <xf numFmtId="0" fontId="107" fillId="0" borderId="35" xfId="46" applyFont="1" applyBorder="1" applyAlignment="1" applyProtection="1">
      <alignment horizontal="center" vertical="center" wrapText="1"/>
      <protection locked="0"/>
    </xf>
    <xf numFmtId="0" fontId="107" fillId="0" borderId="18" xfId="0" applyFont="1" applyBorder="1" applyAlignment="1">
      <alignment horizontal="center" vertical="center" wrapText="1"/>
    </xf>
    <xf numFmtId="14" fontId="107" fillId="0" borderId="38" xfId="0" applyNumberFormat="1" applyFont="1" applyBorder="1" applyAlignment="1">
      <alignment horizontal="center" vertical="center" wrapText="1"/>
    </xf>
    <xf numFmtId="0" fontId="0" fillId="0" borderId="25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46" xfId="0" applyBorder="1" applyAlignment="1">
      <alignment wrapText="1"/>
    </xf>
    <xf numFmtId="0" fontId="0" fillId="0" borderId="47" xfId="0" applyBorder="1" applyAlignment="1">
      <alignment wrapText="1"/>
    </xf>
    <xf numFmtId="0" fontId="0" fillId="0" borderId="48" xfId="0" applyBorder="1" applyAlignment="1">
      <alignment wrapText="1"/>
    </xf>
    <xf numFmtId="0" fontId="0" fillId="0" borderId="25" xfId="0" applyBorder="1"/>
    <xf numFmtId="0" fontId="0" fillId="0" borderId="44" xfId="0" applyBorder="1"/>
    <xf numFmtId="0" fontId="0" fillId="0" borderId="45" xfId="0" applyBorder="1"/>
    <xf numFmtId="14" fontId="129" fillId="0" borderId="38" xfId="0" applyNumberFormat="1" applyFont="1" applyBorder="1" applyAlignment="1">
      <alignment horizontal="center" vertical="center"/>
    </xf>
    <xf numFmtId="0" fontId="126" fillId="0" borderId="35" xfId="46" applyFont="1" applyBorder="1" applyAlignment="1" applyProtection="1">
      <alignment horizontal="center" vertical="center" wrapText="1"/>
      <protection locked="0"/>
    </xf>
    <xf numFmtId="0" fontId="126" fillId="0" borderId="18" xfId="0" applyFont="1" applyBorder="1" applyAlignment="1">
      <alignment horizontal="center" vertical="center"/>
    </xf>
    <xf numFmtId="14" fontId="126" fillId="0" borderId="38" xfId="0" applyNumberFormat="1" applyFont="1" applyBorder="1" applyAlignment="1">
      <alignment horizontal="center" vertical="center"/>
    </xf>
    <xf numFmtId="0" fontId="109" fillId="0" borderId="6" xfId="0" applyFont="1" applyBorder="1" applyAlignment="1">
      <alignment horizontal="center" vertical="center" wrapText="1"/>
    </xf>
    <xf numFmtId="0" fontId="108" fillId="0" borderId="6" xfId="54" applyFont="1" applyBorder="1" applyAlignment="1" applyProtection="1">
      <alignment horizontal="left"/>
      <protection hidden="1"/>
    </xf>
    <xf numFmtId="0" fontId="47" fillId="0" borderId="0" xfId="0" applyFont="1" applyAlignment="1">
      <alignment wrapText="1"/>
    </xf>
    <xf numFmtId="0" fontId="0" fillId="0" borderId="28" xfId="0" applyBorder="1"/>
    <xf numFmtId="0" fontId="0" fillId="0" borderId="26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09" fillId="0" borderId="30" xfId="54" applyFont="1" applyBorder="1" applyProtection="1">
      <protection hidden="1"/>
    </xf>
    <xf numFmtId="0" fontId="130" fillId="0" borderId="0" xfId="54" applyFont="1" applyProtection="1">
      <protection hidden="1"/>
    </xf>
    <xf numFmtId="0" fontId="108" fillId="0" borderId="0" xfId="54" quotePrefix="1" applyFont="1" applyAlignment="1" applyProtection="1">
      <alignment horizontal="right"/>
      <protection hidden="1"/>
    </xf>
    <xf numFmtId="0" fontId="95" fillId="0" borderId="31" xfId="54" applyBorder="1"/>
    <xf numFmtId="0" fontId="109" fillId="0" borderId="30" xfId="56" applyFont="1" applyBorder="1" applyProtection="1">
      <protection hidden="1"/>
    </xf>
    <xf numFmtId="0" fontId="109" fillId="0" borderId="0" xfId="56" applyFont="1" applyProtection="1">
      <protection hidden="1"/>
    </xf>
    <xf numFmtId="0" fontId="108" fillId="0" borderId="0" xfId="56" applyFont="1" applyAlignment="1" applyProtection="1">
      <alignment horizontal="center"/>
      <protection hidden="1"/>
    </xf>
    <xf numFmtId="0" fontId="95" fillId="0" borderId="31" xfId="56" applyBorder="1"/>
    <xf numFmtId="0" fontId="107" fillId="0" borderId="0" xfId="56" applyFont="1" applyAlignment="1" applyProtection="1">
      <alignment horizontal="left"/>
      <protection hidden="1"/>
    </xf>
    <xf numFmtId="0" fontId="131" fillId="0" borderId="0" xfId="56" applyFont="1" applyAlignment="1" applyProtection="1">
      <alignment horizontal="left" vertical="top"/>
      <protection hidden="1"/>
    </xf>
    <xf numFmtId="0" fontId="107" fillId="0" borderId="30" xfId="56" applyFont="1" applyBorder="1" applyAlignment="1" applyProtection="1">
      <alignment horizontal="center"/>
      <protection hidden="1"/>
    </xf>
    <xf numFmtId="0" fontId="107" fillId="0" borderId="0" xfId="56" applyFont="1" applyProtection="1">
      <protection hidden="1"/>
    </xf>
    <xf numFmtId="0" fontId="107" fillId="0" borderId="30" xfId="56" applyFont="1" applyBorder="1" applyProtection="1">
      <protection hidden="1"/>
    </xf>
    <xf numFmtId="0" fontId="108" fillId="0" borderId="0" xfId="56" applyFont="1" applyAlignment="1" applyProtection="1">
      <alignment horizontal="right"/>
      <protection hidden="1"/>
    </xf>
    <xf numFmtId="0" fontId="95" fillId="0" borderId="30" xfId="56" applyBorder="1"/>
    <xf numFmtId="0" fontId="107" fillId="0" borderId="0" xfId="56" applyFont="1" applyAlignment="1" applyProtection="1">
      <alignment horizontal="center"/>
      <protection hidden="1"/>
    </xf>
    <xf numFmtId="0" fontId="107" fillId="0" borderId="30" xfId="56" applyFont="1" applyBorder="1" applyAlignment="1" applyProtection="1">
      <alignment horizontal="right"/>
      <protection hidden="1"/>
    </xf>
    <xf numFmtId="0" fontId="108" fillId="0" borderId="30" xfId="56" applyFont="1" applyBorder="1" applyAlignment="1" applyProtection="1">
      <alignment horizontal="center"/>
      <protection hidden="1"/>
    </xf>
    <xf numFmtId="0" fontId="107" fillId="0" borderId="0" xfId="56" applyFont="1" applyAlignment="1" applyProtection="1">
      <alignment horizontal="right"/>
      <protection hidden="1"/>
    </xf>
    <xf numFmtId="0" fontId="108" fillId="0" borderId="30" xfId="56" applyFont="1" applyBorder="1" applyAlignment="1" applyProtection="1">
      <alignment horizontal="right"/>
      <protection hidden="1"/>
    </xf>
    <xf numFmtId="0" fontId="110" fillId="0" borderId="30" xfId="56" applyFont="1" applyBorder="1" applyProtection="1">
      <protection hidden="1"/>
    </xf>
    <xf numFmtId="0" fontId="107" fillId="0" borderId="31" xfId="56" applyFont="1" applyBorder="1" applyAlignment="1" applyProtection="1">
      <alignment horizontal="center"/>
      <protection hidden="1"/>
    </xf>
    <xf numFmtId="0" fontId="107" fillId="0" borderId="0" xfId="56" applyFont="1" applyAlignment="1" applyProtection="1">
      <alignment horizontal="left" vertical="center"/>
      <protection hidden="1"/>
    </xf>
    <xf numFmtId="0" fontId="110" fillId="0" borderId="0" xfId="56" applyFont="1" applyAlignment="1" applyProtection="1">
      <alignment horizontal="center" vertical="center" wrapText="1"/>
      <protection hidden="1"/>
    </xf>
    <xf numFmtId="0" fontId="107" fillId="0" borderId="0" xfId="56" applyFont="1" applyAlignment="1" applyProtection="1">
      <alignment vertical="top"/>
      <protection hidden="1"/>
    </xf>
    <xf numFmtId="0" fontId="95" fillId="0" borderId="30" xfId="54" applyBorder="1"/>
    <xf numFmtId="0" fontId="107" fillId="0" borderId="0" xfId="54" applyFont="1" applyAlignment="1" applyProtection="1">
      <alignment horizontal="left" vertical="center"/>
      <protection hidden="1"/>
    </xf>
    <xf numFmtId="0" fontId="110" fillId="0" borderId="0" xfId="54" applyFont="1" applyAlignment="1" applyProtection="1">
      <alignment horizontal="center" vertical="center" wrapText="1"/>
      <protection hidden="1"/>
    </xf>
    <xf numFmtId="0" fontId="107" fillId="0" borderId="0" xfId="54" applyFont="1" applyAlignment="1" applyProtection="1">
      <alignment vertical="top"/>
      <protection hidden="1"/>
    </xf>
    <xf numFmtId="0" fontId="111" fillId="0" borderId="31" xfId="54" applyFont="1" applyBorder="1" applyAlignment="1" applyProtection="1">
      <alignment horizontal="left"/>
      <protection hidden="1"/>
    </xf>
    <xf numFmtId="0" fontId="107" fillId="0" borderId="0" xfId="54" applyFont="1" applyAlignment="1" applyProtection="1">
      <alignment horizontal="right"/>
      <protection hidden="1"/>
    </xf>
    <xf numFmtId="0" fontId="107" fillId="0" borderId="0" xfId="54" applyFont="1" applyAlignment="1" applyProtection="1">
      <alignment horizontal="center"/>
      <protection hidden="1"/>
    </xf>
    <xf numFmtId="0" fontId="107" fillId="0" borderId="30" xfId="54" applyFont="1" applyBorder="1" applyAlignment="1" applyProtection="1">
      <alignment horizontal="left"/>
      <protection hidden="1"/>
    </xf>
    <xf numFmtId="0" fontId="107" fillId="0" borderId="30" xfId="54" applyFont="1" applyBorder="1" applyAlignment="1" applyProtection="1">
      <alignment horizontal="center"/>
      <protection hidden="1"/>
    </xf>
    <xf numFmtId="0" fontId="53" fillId="0" borderId="0" xfId="54" applyFont="1" applyAlignment="1" applyProtection="1">
      <alignment horizontal="left" vertical="top"/>
      <protection hidden="1"/>
    </xf>
    <xf numFmtId="0" fontId="132" fillId="0" borderId="0" xfId="54" applyFont="1" applyProtection="1">
      <protection hidden="1"/>
    </xf>
    <xf numFmtId="0" fontId="108" fillId="0" borderId="30" xfId="54" applyFont="1" applyBorder="1" applyProtection="1">
      <protection hidden="1"/>
    </xf>
    <xf numFmtId="169" fontId="108" fillId="0" borderId="0" xfId="54" applyNumberFormat="1" applyFont="1" applyProtection="1">
      <protection hidden="1"/>
    </xf>
    <xf numFmtId="0" fontId="108" fillId="0" borderId="31" xfId="54" applyFont="1" applyBorder="1" applyProtection="1">
      <protection hidden="1"/>
    </xf>
    <xf numFmtId="0" fontId="131" fillId="0" borderId="31" xfId="54" applyFont="1" applyBorder="1" applyProtection="1">
      <protection hidden="1"/>
    </xf>
    <xf numFmtId="169" fontId="108" fillId="0" borderId="0" xfId="54" applyNumberFormat="1" applyFont="1" applyAlignment="1" applyProtection="1">
      <alignment horizontal="right"/>
      <protection hidden="1"/>
    </xf>
    <xf numFmtId="0" fontId="109" fillId="0" borderId="32" xfId="54" applyFont="1" applyBorder="1" applyProtection="1">
      <protection hidden="1"/>
    </xf>
    <xf numFmtId="0" fontId="108" fillId="0" borderId="27" xfId="54" quotePrefix="1" applyFont="1" applyBorder="1" applyAlignment="1" applyProtection="1">
      <alignment horizontal="right"/>
      <protection hidden="1"/>
    </xf>
    <xf numFmtId="0" fontId="108" fillId="0" borderId="27" xfId="54" applyFont="1" applyBorder="1" applyAlignment="1" applyProtection="1">
      <alignment horizontal="right"/>
      <protection hidden="1"/>
    </xf>
    <xf numFmtId="0" fontId="95" fillId="0" borderId="33" xfId="54" applyBorder="1"/>
    <xf numFmtId="0" fontId="108" fillId="0" borderId="28" xfId="54" applyFont="1" applyBorder="1" applyProtection="1">
      <protection hidden="1"/>
    </xf>
    <xf numFmtId="0" fontId="107" fillId="0" borderId="26" xfId="54" applyFont="1" applyBorder="1" applyProtection="1">
      <protection hidden="1"/>
    </xf>
    <xf numFmtId="0" fontId="95" fillId="0" borderId="26" xfId="54" applyBorder="1"/>
    <xf numFmtId="0" fontId="131" fillId="0" borderId="29" xfId="54" applyFont="1" applyBorder="1" applyProtection="1">
      <protection hidden="1"/>
    </xf>
    <xf numFmtId="0" fontId="110" fillId="0" borderId="31" xfId="54" applyFont="1" applyBorder="1" applyProtection="1">
      <protection hidden="1"/>
    </xf>
    <xf numFmtId="167" fontId="108" fillId="0" borderId="0" xfId="54" applyNumberFormat="1" applyFont="1" applyProtection="1">
      <protection hidden="1"/>
    </xf>
    <xf numFmtId="0" fontId="110" fillId="0" borderId="0" xfId="54" applyFont="1" applyAlignment="1" applyProtection="1">
      <alignment horizontal="right"/>
      <protection hidden="1"/>
    </xf>
    <xf numFmtId="0" fontId="108" fillId="0" borderId="31" xfId="54" quotePrefix="1" applyFont="1" applyBorder="1" applyProtection="1">
      <protection hidden="1"/>
    </xf>
    <xf numFmtId="0" fontId="108" fillId="0" borderId="30" xfId="54" applyFont="1" applyBorder="1" applyAlignment="1" applyProtection="1">
      <alignment horizontal="left"/>
      <protection hidden="1"/>
    </xf>
    <xf numFmtId="0" fontId="107" fillId="0" borderId="0" xfId="54" quotePrefix="1" applyFont="1" applyProtection="1">
      <protection hidden="1"/>
    </xf>
    <xf numFmtId="0" fontId="110" fillId="0" borderId="0" xfId="54" applyFont="1" applyAlignment="1" applyProtection="1">
      <alignment horizontal="center"/>
      <protection hidden="1"/>
    </xf>
    <xf numFmtId="0" fontId="108" fillId="0" borderId="31" xfId="54" applyFont="1" applyBorder="1" applyAlignment="1" applyProtection="1">
      <alignment horizontal="center"/>
      <protection hidden="1"/>
    </xf>
    <xf numFmtId="1" fontId="108" fillId="0" borderId="31" xfId="54" applyNumberFormat="1" applyFont="1" applyBorder="1" applyProtection="1">
      <protection hidden="1"/>
    </xf>
    <xf numFmtId="11" fontId="108" fillId="0" borderId="31" xfId="54" applyNumberFormat="1" applyFont="1" applyBorder="1" applyProtection="1">
      <protection hidden="1"/>
    </xf>
    <xf numFmtId="0" fontId="108" fillId="0" borderId="13" xfId="54" applyFont="1" applyBorder="1" applyAlignment="1" applyProtection="1">
      <alignment vertical="center"/>
      <protection hidden="1"/>
    </xf>
    <xf numFmtId="166" fontId="108" fillId="0" borderId="23" xfId="54" applyNumberFormat="1" applyFont="1" applyBorder="1" applyAlignment="1" applyProtection="1">
      <alignment horizontal="left"/>
      <protection hidden="1"/>
    </xf>
    <xf numFmtId="0" fontId="108" fillId="0" borderId="13" xfId="54" quotePrefix="1" applyFont="1" applyBorder="1" applyAlignment="1" applyProtection="1">
      <alignment horizontal="right"/>
      <protection hidden="1"/>
    </xf>
    <xf numFmtId="0" fontId="95" fillId="0" borderId="29" xfId="54" applyBorder="1"/>
    <xf numFmtId="0" fontId="109" fillId="0" borderId="30" xfId="54" applyFont="1" applyBorder="1" applyAlignment="1" applyProtection="1">
      <alignment horizontal="right"/>
      <protection hidden="1"/>
    </xf>
    <xf numFmtId="1" fontId="109" fillId="0" borderId="0" xfId="54" applyNumberFormat="1" applyFont="1" applyAlignment="1" applyProtection="1">
      <alignment horizontal="right"/>
      <protection hidden="1"/>
    </xf>
    <xf numFmtId="1" fontId="109" fillId="0" borderId="30" xfId="54" applyNumberFormat="1" applyFont="1" applyBorder="1" applyProtection="1">
      <protection hidden="1"/>
    </xf>
    <xf numFmtId="2" fontId="108" fillId="0" borderId="31" xfId="54" applyNumberFormat="1" applyFont="1" applyBorder="1" applyProtection="1">
      <protection hidden="1"/>
    </xf>
    <xf numFmtId="167" fontId="108" fillId="0" borderId="31" xfId="54" applyNumberFormat="1" applyFont="1" applyBorder="1" applyProtection="1">
      <protection hidden="1"/>
    </xf>
    <xf numFmtId="0" fontId="108" fillId="0" borderId="32" xfId="54" applyFont="1" applyBorder="1" applyAlignment="1" applyProtection="1">
      <alignment horizontal="left"/>
      <protection hidden="1"/>
    </xf>
    <xf numFmtId="0" fontId="108" fillId="0" borderId="27" xfId="54" applyFont="1" applyBorder="1" applyAlignment="1" applyProtection="1">
      <alignment horizontal="left"/>
      <protection hidden="1"/>
    </xf>
    <xf numFmtId="1" fontId="108" fillId="0" borderId="27" xfId="54" applyNumberFormat="1" applyFont="1" applyBorder="1" applyAlignment="1" applyProtection="1">
      <alignment horizontal="right"/>
      <protection hidden="1"/>
    </xf>
    <xf numFmtId="0" fontId="95" fillId="0" borderId="27" xfId="54" applyBorder="1"/>
    <xf numFmtId="0" fontId="95" fillId="0" borderId="28" xfId="54" applyBorder="1"/>
    <xf numFmtId="0" fontId="107" fillId="0" borderId="26" xfId="54" applyFont="1" applyBorder="1" applyAlignment="1" applyProtection="1">
      <alignment horizontal="right"/>
      <protection hidden="1"/>
    </xf>
    <xf numFmtId="0" fontId="109" fillId="0" borderId="26" xfId="54" applyFont="1" applyBorder="1" applyProtection="1">
      <protection hidden="1"/>
    </xf>
    <xf numFmtId="202" fontId="107" fillId="0" borderId="31" xfId="54" applyNumberFormat="1" applyFont="1" applyBorder="1" applyProtection="1">
      <protection hidden="1"/>
    </xf>
    <xf numFmtId="201" fontId="107" fillId="0" borderId="0" xfId="54" applyNumberFormat="1" applyFont="1" applyAlignment="1" applyProtection="1">
      <alignment horizontal="center"/>
      <protection hidden="1"/>
    </xf>
    <xf numFmtId="0" fontId="107" fillId="0" borderId="31" xfId="54" applyFont="1" applyBorder="1" applyProtection="1">
      <protection hidden="1"/>
    </xf>
    <xf numFmtId="1" fontId="108" fillId="0" borderId="30" xfId="54" applyNumberFormat="1" applyFont="1" applyBorder="1" applyAlignment="1" applyProtection="1">
      <alignment horizontal="right"/>
      <protection hidden="1"/>
    </xf>
    <xf numFmtId="164" fontId="108" fillId="0" borderId="0" xfId="54" applyNumberFormat="1" applyFont="1" applyAlignment="1" applyProtection="1">
      <alignment horizontal="right"/>
      <protection hidden="1"/>
    </xf>
    <xf numFmtId="0" fontId="66" fillId="0" borderId="30" xfId="54" applyFont="1" applyBorder="1" applyAlignment="1" applyProtection="1">
      <alignment horizontal="right"/>
      <protection hidden="1"/>
    </xf>
    <xf numFmtId="0" fontId="95" fillId="0" borderId="32" xfId="54" applyBorder="1"/>
    <xf numFmtId="11" fontId="108" fillId="0" borderId="27" xfId="54" applyNumberFormat="1" applyFont="1" applyBorder="1" applyAlignment="1" applyProtection="1">
      <alignment horizontal="right"/>
      <protection hidden="1"/>
    </xf>
    <xf numFmtId="0" fontId="108" fillId="0" borderId="33" xfId="54" applyFont="1" applyBorder="1" applyProtection="1">
      <protection hidden="1"/>
    </xf>
    <xf numFmtId="1" fontId="110" fillId="0" borderId="0" xfId="54" applyNumberFormat="1" applyFont="1" applyAlignment="1" applyProtection="1">
      <alignment horizontal="right"/>
      <protection hidden="1"/>
    </xf>
    <xf numFmtId="0" fontId="66" fillId="0" borderId="30" xfId="54" applyFont="1" applyBorder="1" applyAlignment="1" applyProtection="1">
      <alignment horizontal="left"/>
      <protection hidden="1"/>
    </xf>
    <xf numFmtId="0" fontId="66" fillId="0" borderId="0" xfId="54" applyFont="1" applyAlignment="1" applyProtection="1">
      <alignment horizontal="right"/>
      <protection hidden="1"/>
    </xf>
    <xf numFmtId="1" fontId="108" fillId="0" borderId="0" xfId="54" quotePrefix="1" applyNumberFormat="1" applyFont="1" applyAlignment="1" applyProtection="1">
      <alignment horizontal="right"/>
      <protection hidden="1"/>
    </xf>
    <xf numFmtId="1" fontId="110" fillId="0" borderId="31" xfId="54" applyNumberFormat="1" applyFont="1" applyBorder="1" applyAlignment="1" applyProtection="1">
      <alignment horizontal="center"/>
      <protection hidden="1"/>
    </xf>
    <xf numFmtId="1" fontId="108" fillId="0" borderId="31" xfId="54" applyNumberFormat="1" applyFont="1" applyBorder="1" applyAlignment="1" applyProtection="1">
      <alignment horizontal="left"/>
      <protection hidden="1"/>
    </xf>
    <xf numFmtId="2" fontId="107" fillId="0" borderId="27" xfId="54" applyNumberFormat="1" applyFont="1" applyBorder="1" applyAlignment="1" applyProtection="1">
      <alignment horizontal="left"/>
      <protection hidden="1"/>
    </xf>
    <xf numFmtId="1" fontId="108" fillId="0" borderId="27" xfId="54" quotePrefix="1" applyNumberFormat="1" applyFont="1" applyBorder="1" applyAlignment="1" applyProtection="1">
      <alignment horizontal="right"/>
      <protection hidden="1"/>
    </xf>
    <xf numFmtId="169" fontId="108" fillId="0" borderId="27" xfId="54" applyNumberFormat="1" applyFont="1" applyBorder="1" applyAlignment="1" applyProtection="1">
      <alignment horizontal="right"/>
      <protection hidden="1"/>
    </xf>
    <xf numFmtId="1" fontId="108" fillId="0" borderId="33" xfId="54" applyNumberFormat="1" applyFont="1" applyBorder="1" applyAlignment="1" applyProtection="1">
      <alignment horizontal="left"/>
      <protection hidden="1"/>
    </xf>
    <xf numFmtId="0" fontId="108" fillId="38" borderId="22" xfId="54" applyFont="1" applyFill="1" applyBorder="1" applyAlignment="1" applyProtection="1">
      <alignment vertical="center"/>
      <protection hidden="1"/>
    </xf>
    <xf numFmtId="0" fontId="108" fillId="38" borderId="17" xfId="54" applyFont="1" applyFill="1" applyBorder="1" applyAlignment="1" applyProtection="1">
      <alignment vertical="center"/>
      <protection hidden="1"/>
    </xf>
    <xf numFmtId="0" fontId="108" fillId="0" borderId="11" xfId="54" applyFont="1" applyBorder="1" applyAlignment="1" applyProtection="1">
      <alignment horizontal="center"/>
      <protection hidden="1"/>
    </xf>
    <xf numFmtId="1" fontId="108" fillId="0" borderId="26" xfId="54" quotePrefix="1" applyNumberFormat="1" applyFont="1" applyBorder="1" applyAlignment="1" applyProtection="1">
      <alignment horizontal="right"/>
      <protection hidden="1"/>
    </xf>
    <xf numFmtId="1" fontId="108" fillId="0" borderId="29" xfId="54" applyNumberFormat="1" applyFont="1" applyBorder="1" applyAlignment="1" applyProtection="1">
      <alignment horizontal="left"/>
      <protection hidden="1"/>
    </xf>
    <xf numFmtId="0" fontId="131" fillId="0" borderId="0" xfId="54" applyFont="1" applyProtection="1">
      <protection hidden="1"/>
    </xf>
    <xf numFmtId="0" fontId="108" fillId="0" borderId="6" xfId="54" applyFont="1" applyBorder="1" applyAlignment="1" applyProtection="1">
      <alignment vertical="center"/>
      <protection hidden="1"/>
    </xf>
    <xf numFmtId="0" fontId="108" fillId="38" borderId="13" xfId="54" applyFont="1" applyFill="1" applyBorder="1" applyAlignment="1" applyProtection="1">
      <alignment vertical="center"/>
      <protection hidden="1"/>
    </xf>
    <xf numFmtId="0" fontId="108" fillId="38" borderId="11" xfId="54" applyFont="1" applyFill="1" applyBorder="1" applyAlignment="1" applyProtection="1">
      <alignment vertical="center"/>
      <protection hidden="1"/>
    </xf>
    <xf numFmtId="0" fontId="108" fillId="0" borderId="23" xfId="54" applyFont="1" applyBorder="1" applyAlignment="1" applyProtection="1">
      <alignment horizontal="left"/>
      <protection hidden="1"/>
    </xf>
    <xf numFmtId="11" fontId="108" fillId="0" borderId="23" xfId="54" applyNumberFormat="1" applyFont="1" applyBorder="1" applyAlignment="1" applyProtection="1">
      <alignment horizontal="left"/>
      <protection hidden="1"/>
    </xf>
    <xf numFmtId="11" fontId="108" fillId="0" borderId="33" xfId="54" applyNumberFormat="1" applyFont="1" applyBorder="1" applyProtection="1">
      <protection hidden="1"/>
    </xf>
    <xf numFmtId="0" fontId="108" fillId="38" borderId="12" xfId="54" applyFont="1" applyFill="1" applyBorder="1" applyAlignment="1" applyProtection="1">
      <alignment vertical="center"/>
      <protection hidden="1"/>
    </xf>
    <xf numFmtId="0" fontId="108" fillId="0" borderId="29" xfId="54" applyFont="1" applyBorder="1" applyAlignment="1" applyProtection="1">
      <alignment horizontal="right"/>
      <protection hidden="1"/>
    </xf>
    <xf numFmtId="1" fontId="109" fillId="0" borderId="32" xfId="54" applyNumberFormat="1" applyFont="1" applyBorder="1" applyProtection="1">
      <protection hidden="1"/>
    </xf>
    <xf numFmtId="0" fontId="53" fillId="0" borderId="0" xfId="54" applyFont="1" applyAlignment="1" applyProtection="1">
      <alignment horizontal="left"/>
      <protection hidden="1"/>
    </xf>
    <xf numFmtId="0" fontId="53" fillId="0" borderId="0" xfId="54" applyFont="1" applyAlignment="1" applyProtection="1">
      <alignment vertical="top"/>
      <protection hidden="1"/>
    </xf>
    <xf numFmtId="2" fontId="107" fillId="0" borderId="0" xfId="54" applyNumberFormat="1" applyFont="1" applyAlignment="1" applyProtection="1">
      <alignment horizontal="left"/>
      <protection hidden="1"/>
    </xf>
    <xf numFmtId="0" fontId="108" fillId="0" borderId="0" xfId="54" applyFont="1" applyAlignment="1" applyProtection="1">
      <alignment horizontal="center" vertical="center"/>
      <protection hidden="1"/>
    </xf>
    <xf numFmtId="0" fontId="107" fillId="0" borderId="27" xfId="54" applyFont="1" applyBorder="1" applyProtection="1">
      <protection hidden="1"/>
    </xf>
    <xf numFmtId="0" fontId="107" fillId="0" borderId="26" xfId="54" applyFont="1" applyBorder="1" applyAlignment="1" applyProtection="1">
      <alignment horizontal="left"/>
      <protection hidden="1"/>
    </xf>
    <xf numFmtId="0" fontId="108" fillId="0" borderId="26" xfId="54" quotePrefix="1" applyFont="1" applyBorder="1" applyAlignment="1" applyProtection="1">
      <alignment horizontal="right"/>
      <protection hidden="1"/>
    </xf>
    <xf numFmtId="0" fontId="110" fillId="0" borderId="29" xfId="54" applyFont="1" applyBorder="1" applyProtection="1">
      <protection hidden="1"/>
    </xf>
    <xf numFmtId="11" fontId="110" fillId="0" borderId="0" xfId="54" applyNumberFormat="1" applyFont="1" applyAlignment="1" applyProtection="1">
      <alignment horizontal="center"/>
      <protection hidden="1"/>
    </xf>
    <xf numFmtId="0" fontId="66" fillId="0" borderId="30" xfId="54" applyFont="1" applyBorder="1" applyProtection="1">
      <protection hidden="1"/>
    </xf>
    <xf numFmtId="0" fontId="53" fillId="0" borderId="0" xfId="54" applyFont="1" applyProtection="1">
      <protection hidden="1"/>
    </xf>
    <xf numFmtId="0" fontId="53" fillId="0" borderId="0" xfId="54" applyFont="1" applyAlignment="1" applyProtection="1">
      <alignment horizontal="left" vertical="top" wrapText="1"/>
      <protection hidden="1"/>
    </xf>
    <xf numFmtId="11" fontId="108" fillId="0" borderId="27" xfId="54" applyNumberFormat="1" applyFont="1" applyBorder="1" applyProtection="1">
      <protection hidden="1"/>
    </xf>
    <xf numFmtId="0" fontId="108" fillId="0" borderId="6" xfId="54" applyFont="1" applyBorder="1" applyAlignment="1" applyProtection="1">
      <alignment vertical="center" wrapText="1"/>
      <protection hidden="1"/>
    </xf>
    <xf numFmtId="0" fontId="108" fillId="38" borderId="22" xfId="54" applyFont="1" applyFill="1" applyBorder="1" applyAlignment="1" applyProtection="1">
      <alignment vertical="center" wrapText="1"/>
      <protection hidden="1"/>
    </xf>
    <xf numFmtId="0" fontId="108" fillId="38" borderId="17" xfId="54" applyFont="1" applyFill="1" applyBorder="1" applyAlignment="1" applyProtection="1">
      <alignment vertical="center" wrapText="1"/>
      <protection hidden="1"/>
    </xf>
    <xf numFmtId="0" fontId="108" fillId="0" borderId="23" xfId="54" applyFont="1" applyBorder="1" applyAlignment="1" applyProtection="1">
      <alignment vertical="center"/>
      <protection hidden="1"/>
    </xf>
    <xf numFmtId="0" fontId="108" fillId="0" borderId="11" xfId="54" applyFont="1" applyBorder="1" applyAlignment="1" applyProtection="1">
      <alignment vertical="center"/>
      <protection hidden="1"/>
    </xf>
    <xf numFmtId="0" fontId="108" fillId="38" borderId="12" xfId="54" applyFont="1" applyFill="1" applyBorder="1" applyAlignment="1" applyProtection="1">
      <alignment vertical="center" wrapText="1"/>
      <protection hidden="1"/>
    </xf>
    <xf numFmtId="0" fontId="108" fillId="38" borderId="23" xfId="54" applyFont="1" applyFill="1" applyBorder="1" applyAlignment="1" applyProtection="1">
      <alignment vertical="center"/>
      <protection hidden="1"/>
    </xf>
    <xf numFmtId="0" fontId="109" fillId="0" borderId="30" xfId="54" applyFont="1" applyBorder="1" applyAlignment="1" applyProtection="1">
      <alignment horizontal="left"/>
      <protection hidden="1"/>
    </xf>
    <xf numFmtId="0" fontId="109" fillId="0" borderId="28" xfId="54" applyFont="1" applyBorder="1" applyProtection="1">
      <protection hidden="1"/>
    </xf>
    <xf numFmtId="0" fontId="108" fillId="0" borderId="0" xfId="54" quotePrefix="1" applyFont="1" applyAlignment="1" applyProtection="1">
      <alignment horizontal="left"/>
      <protection hidden="1"/>
    </xf>
    <xf numFmtId="0" fontId="107" fillId="0" borderId="31" xfId="54" applyFont="1" applyBorder="1" applyAlignment="1" applyProtection="1">
      <alignment horizontal="left"/>
      <protection hidden="1"/>
    </xf>
    <xf numFmtId="164" fontId="108" fillId="0" borderId="0" xfId="54" applyNumberFormat="1" applyFont="1" applyProtection="1">
      <protection hidden="1"/>
    </xf>
    <xf numFmtId="0" fontId="131" fillId="0" borderId="33" xfId="54" applyFont="1" applyBorder="1" applyProtection="1">
      <protection hidden="1"/>
    </xf>
    <xf numFmtId="0" fontId="6" fillId="0" borderId="43" xfId="0" applyFont="1" applyBorder="1"/>
    <xf numFmtId="0" fontId="6" fillId="0" borderId="49" xfId="0" applyFont="1" applyBorder="1"/>
    <xf numFmtId="0" fontId="6" fillId="0" borderId="22" xfId="0" applyFont="1" applyBorder="1"/>
    <xf numFmtId="0" fontId="6" fillId="0" borderId="50" xfId="0" applyFont="1" applyBorder="1"/>
    <xf numFmtId="0" fontId="4" fillId="0" borderId="42" xfId="0" applyFont="1" applyBorder="1"/>
    <xf numFmtId="0" fontId="66" fillId="0" borderId="6" xfId="0" applyFont="1" applyBorder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2" fontId="66" fillId="0" borderId="6" xfId="43" applyNumberFormat="1" applyFont="1" applyBorder="1" applyAlignment="1">
      <alignment horizontal="left"/>
    </xf>
    <xf numFmtId="0" fontId="66" fillId="35" borderId="6" xfId="43" quotePrefix="1" applyFont="1" applyFill="1" applyBorder="1" applyAlignment="1">
      <alignment horizontal="center"/>
    </xf>
    <xf numFmtId="0" fontId="6" fillId="0" borderId="34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41" xfId="0" applyFont="1" applyBorder="1" applyAlignment="1">
      <alignment horizontal="center" vertical="top"/>
    </xf>
    <xf numFmtId="209" fontId="6" fillId="0" borderId="17" xfId="0" applyNumberFormat="1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6" xfId="0" applyFont="1" applyBorder="1" applyAlignment="1">
      <alignment horizontal="left" vertical="center" wrapText="1"/>
    </xf>
    <xf numFmtId="210" fontId="121" fillId="26" borderId="6" xfId="0" applyNumberFormat="1" applyFont="1" applyFill="1" applyBorder="1" applyAlignment="1">
      <alignment horizontal="center" vertical="center"/>
    </xf>
    <xf numFmtId="211" fontId="121" fillId="26" borderId="6" xfId="0" applyNumberFormat="1" applyFont="1" applyFill="1" applyBorder="1" applyAlignment="1">
      <alignment horizontal="center" vertical="center"/>
    </xf>
    <xf numFmtId="212" fontId="101" fillId="0" borderId="6" xfId="0" applyNumberFormat="1" applyFont="1" applyBorder="1" applyAlignment="1">
      <alignment horizontal="center" vertical="center" wrapText="1"/>
    </xf>
    <xf numFmtId="0" fontId="121" fillId="26" borderId="6" xfId="0" applyFont="1" applyFill="1" applyBorder="1" applyAlignment="1">
      <alignment horizontal="center"/>
    </xf>
    <xf numFmtId="0" fontId="0" fillId="0" borderId="11" xfId="0" applyBorder="1" applyAlignment="1">
      <alignment wrapText="1"/>
    </xf>
    <xf numFmtId="0" fontId="38" fillId="0" borderId="6" xfId="0" applyFont="1" applyBorder="1" applyAlignment="1">
      <alignment wrapText="1"/>
    </xf>
    <xf numFmtId="0" fontId="48" fillId="0" borderId="6" xfId="0" applyFont="1" applyBorder="1"/>
    <xf numFmtId="0" fontId="47" fillId="0" borderId="6" xfId="0" applyFont="1" applyBorder="1" applyAlignment="1">
      <alignment horizontal="center" vertical="center"/>
    </xf>
    <xf numFmtId="0" fontId="47" fillId="0" borderId="0" xfId="0" applyFont="1"/>
    <xf numFmtId="0" fontId="47" fillId="0" borderId="6" xfId="0" applyFont="1" applyBorder="1" applyAlignment="1">
      <alignment horizontal="center"/>
    </xf>
    <xf numFmtId="169" fontId="47" fillId="0" borderId="6" xfId="0" applyNumberFormat="1" applyFont="1" applyBorder="1" applyAlignment="1">
      <alignment horizontal="center"/>
    </xf>
    <xf numFmtId="0" fontId="47" fillId="0" borderId="13" xfId="0" applyFont="1" applyBorder="1" applyAlignment="1">
      <alignment wrapText="1"/>
    </xf>
    <xf numFmtId="0" fontId="47" fillId="35" borderId="6" xfId="0" applyFont="1" applyFill="1" applyBorder="1"/>
    <xf numFmtId="0" fontId="47" fillId="0" borderId="6" xfId="0" applyFont="1" applyBorder="1" applyAlignment="1">
      <alignment wrapText="1"/>
    </xf>
    <xf numFmtId="0" fontId="47" fillId="0" borderId="13" xfId="0" applyFont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7" fillId="0" borderId="11" xfId="0" applyFont="1" applyBorder="1" applyAlignment="1">
      <alignment horizontal="center"/>
    </xf>
    <xf numFmtId="164" fontId="47" fillId="0" borderId="6" xfId="0" applyNumberFormat="1" applyFont="1" applyBorder="1"/>
    <xf numFmtId="0" fontId="47" fillId="0" borderId="23" xfId="0" applyFont="1" applyBorder="1" applyAlignment="1">
      <alignment wrapText="1"/>
    </xf>
    <xf numFmtId="0" fontId="47" fillId="0" borderId="11" xfId="0" applyFont="1" applyBorder="1" applyAlignment="1">
      <alignment wrapText="1"/>
    </xf>
    <xf numFmtId="213" fontId="47" fillId="35" borderId="6" xfId="0" applyNumberFormat="1" applyFont="1" applyFill="1" applyBorder="1" applyAlignment="1">
      <alignment wrapText="1"/>
    </xf>
    <xf numFmtId="214" fontId="47" fillId="35" borderId="6" xfId="0" applyNumberFormat="1" applyFont="1" applyFill="1" applyBorder="1" applyAlignment="1">
      <alignment wrapText="1"/>
    </xf>
    <xf numFmtId="215" fontId="47" fillId="0" borderId="6" xfId="0" applyNumberFormat="1" applyFont="1" applyBorder="1"/>
    <xf numFmtId="0" fontId="22" fillId="0" borderId="6" xfId="58" applyBorder="1" applyAlignment="1">
      <alignment vertical="top" wrapText="1" shrinkToFit="1"/>
    </xf>
    <xf numFmtId="0" fontId="22" fillId="0" borderId="6" xfId="58" applyBorder="1" applyAlignment="1">
      <alignment vertical="top"/>
    </xf>
    <xf numFmtId="0" fontId="22" fillId="0" borderId="6" xfId="58" applyBorder="1" applyAlignment="1">
      <alignment horizontal="center" vertical="top"/>
    </xf>
    <xf numFmtId="0" fontId="22" fillId="0" borderId="6" xfId="46" applyBorder="1"/>
    <xf numFmtId="0" fontId="22" fillId="0" borderId="6" xfId="58" applyBorder="1" applyAlignment="1">
      <alignment horizontal="center" vertical="center"/>
    </xf>
    <xf numFmtId="0" fontId="22" fillId="33" borderId="6" xfId="58" applyFill="1" applyBorder="1" applyAlignment="1">
      <alignment horizontal="center" vertical="top"/>
    </xf>
    <xf numFmtId="2" fontId="22" fillId="33" borderId="6" xfId="58" applyNumberFormat="1" applyFill="1" applyBorder="1" applyAlignment="1">
      <alignment horizontal="center" vertical="top"/>
    </xf>
    <xf numFmtId="2" fontId="22" fillId="35" borderId="6" xfId="58" applyNumberFormat="1" applyFill="1" applyBorder="1" applyAlignment="1">
      <alignment horizontal="center" vertical="top"/>
    </xf>
    <xf numFmtId="2" fontId="22" fillId="0" borderId="6" xfId="58" applyNumberFormat="1" applyBorder="1" applyAlignment="1">
      <alignment vertical="top" wrapText="1"/>
    </xf>
    <xf numFmtId="2" fontId="22" fillId="0" borderId="6" xfId="58" applyNumberFormat="1" applyBorder="1" applyAlignment="1">
      <alignment horizontal="center" vertical="top"/>
    </xf>
    <xf numFmtId="169" fontId="22" fillId="0" borderId="6" xfId="58" applyNumberFormat="1" applyBorder="1" applyAlignment="1">
      <alignment horizontal="center" vertical="top"/>
    </xf>
    <xf numFmtId="0" fontId="92" fillId="0" borderId="6" xfId="58" applyFont="1" applyBorder="1" applyAlignment="1">
      <alignment horizontal="right" vertical="top" wrapText="1"/>
    </xf>
    <xf numFmtId="0" fontId="92" fillId="0" borderId="6" xfId="58" applyFont="1" applyBorder="1" applyAlignment="1">
      <alignment horizontal="center" vertical="top"/>
    </xf>
    <xf numFmtId="0" fontId="47" fillId="35" borderId="6" xfId="0" applyFont="1" applyFill="1" applyBorder="1" applyAlignment="1">
      <alignment horizontal="center" vertical="center"/>
    </xf>
    <xf numFmtId="0" fontId="93" fillId="0" borderId="11" xfId="0" applyFont="1" applyBorder="1" applyAlignment="1">
      <alignment wrapText="1"/>
    </xf>
    <xf numFmtId="0" fontId="47" fillId="0" borderId="13" xfId="0" applyFont="1" applyBorder="1"/>
    <xf numFmtId="0" fontId="47" fillId="0" borderId="11" xfId="0" applyFont="1" applyBorder="1"/>
    <xf numFmtId="0" fontId="47" fillId="0" borderId="6" xfId="0" applyFont="1" applyBorder="1" applyAlignment="1">
      <alignment horizontal="center" vertical="center" wrapText="1"/>
    </xf>
    <xf numFmtId="216" fontId="47" fillId="35" borderId="6" xfId="0" applyNumberFormat="1" applyFont="1" applyFill="1" applyBorder="1"/>
    <xf numFmtId="0" fontId="47" fillId="0" borderId="13" xfId="0" applyFont="1" applyBorder="1" applyAlignment="1">
      <alignment horizontal="left"/>
    </xf>
    <xf numFmtId="0" fontId="0" fillId="0" borderId="6" xfId="0" applyBorder="1" applyAlignment="1">
      <alignment horizontal="center" vertical="center"/>
    </xf>
    <xf numFmtId="0" fontId="0" fillId="35" borderId="0" xfId="0" applyFill="1"/>
    <xf numFmtId="0" fontId="0" fillId="0" borderId="0" xfId="0" applyAlignment="1">
      <alignment horizontal="center" vertical="center"/>
    </xf>
    <xf numFmtId="0" fontId="0" fillId="38" borderId="0" xfId="0" applyFill="1"/>
    <xf numFmtId="0" fontId="0" fillId="35" borderId="0" xfId="0" applyFill="1" applyAlignment="1">
      <alignment horizontal="center" vertical="center"/>
    </xf>
    <xf numFmtId="0" fontId="6" fillId="0" borderId="23" xfId="0" applyFont="1" applyBorder="1" applyAlignment="1">
      <alignment horizontal="center" wrapText="1"/>
    </xf>
    <xf numFmtId="0" fontId="67" fillId="0" borderId="51" xfId="0" applyFont="1" applyBorder="1" applyAlignment="1">
      <alignment horizontal="center" vertical="center"/>
    </xf>
    <xf numFmtId="0" fontId="6" fillId="0" borderId="24" xfId="0" applyFont="1" applyBorder="1" applyAlignment="1">
      <alignment horizontal="left"/>
    </xf>
    <xf numFmtId="0" fontId="6" fillId="0" borderId="37" xfId="0" applyFont="1" applyBorder="1" applyAlignment="1">
      <alignment horizontal="left"/>
    </xf>
    <xf numFmtId="0" fontId="6" fillId="0" borderId="34" xfId="0" applyFont="1" applyBorder="1" applyAlignment="1">
      <alignment horizontal="left"/>
    </xf>
    <xf numFmtId="0" fontId="6" fillId="0" borderId="35" xfId="0" applyFont="1" applyBorder="1" applyAlignment="1">
      <alignment horizontal="left"/>
    </xf>
    <xf numFmtId="0" fontId="6" fillId="0" borderId="34" xfId="0" applyFont="1" applyBorder="1" applyAlignment="1">
      <alignment horizontal="left" vertical="center"/>
    </xf>
    <xf numFmtId="0" fontId="6" fillId="0" borderId="35" xfId="0" applyFont="1" applyBorder="1" applyAlignment="1">
      <alignment horizontal="left" vertical="center"/>
    </xf>
    <xf numFmtId="209" fontId="6" fillId="0" borderId="35" xfId="0" applyNumberFormat="1" applyFont="1" applyBorder="1" applyAlignment="1">
      <alignment horizontal="left"/>
    </xf>
    <xf numFmtId="0" fontId="6" fillId="0" borderId="24" xfId="0" applyFont="1" applyBorder="1"/>
    <xf numFmtId="0" fontId="6" fillId="0" borderId="38" xfId="0" applyFont="1" applyBorder="1" applyAlignment="1">
      <alignment horizontal="left"/>
    </xf>
    <xf numFmtId="0" fontId="6" fillId="0" borderId="41" xfId="0" applyFont="1" applyBorder="1" applyAlignment="1">
      <alignment horizontal="left"/>
    </xf>
    <xf numFmtId="0" fontId="6" fillId="0" borderId="52" xfId="0" applyFont="1" applyBorder="1"/>
    <xf numFmtId="17" fontId="6" fillId="0" borderId="35" xfId="0" applyNumberFormat="1" applyFont="1" applyBorder="1"/>
    <xf numFmtId="0" fontId="94" fillId="0" borderId="14" xfId="0" applyFont="1" applyBorder="1" applyAlignment="1">
      <alignment vertical="center"/>
    </xf>
    <xf numFmtId="0" fontId="94" fillId="0" borderId="16" xfId="0" applyFont="1" applyBorder="1" applyAlignment="1">
      <alignment vertical="center"/>
    </xf>
    <xf numFmtId="0" fontId="6" fillId="0" borderId="53" xfId="0" applyFont="1" applyBorder="1" applyAlignment="1">
      <alignment vertical="center"/>
    </xf>
    <xf numFmtId="0" fontId="6" fillId="0" borderId="42" xfId="0" applyFont="1" applyBorder="1" applyAlignment="1">
      <alignment vertical="center"/>
    </xf>
    <xf numFmtId="0" fontId="6" fillId="0" borderId="54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0" fontId="6" fillId="0" borderId="33" xfId="0" applyFont="1" applyBorder="1" applyAlignment="1">
      <alignment horizontal="left" vertical="center"/>
    </xf>
    <xf numFmtId="0" fontId="6" fillId="0" borderId="34" xfId="0" applyFont="1" applyBorder="1" applyAlignment="1">
      <alignment vertical="center"/>
    </xf>
    <xf numFmtId="0" fontId="6" fillId="0" borderId="55" xfId="0" applyFont="1" applyBorder="1"/>
    <xf numFmtId="0" fontId="6" fillId="0" borderId="20" xfId="0" applyFont="1" applyBorder="1"/>
    <xf numFmtId="0" fontId="6" fillId="41" borderId="0" xfId="0" applyFont="1" applyFill="1"/>
    <xf numFmtId="0" fontId="6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/>
    <xf numFmtId="0" fontId="6" fillId="0" borderId="0" xfId="0" applyFont="1" applyAlignment="1">
      <alignment horizontal="center" vertical="center"/>
    </xf>
    <xf numFmtId="0" fontId="4" fillId="0" borderId="56" xfId="0" applyFont="1" applyBorder="1"/>
    <xf numFmtId="0" fontId="4" fillId="0" borderId="57" xfId="0" applyFont="1" applyBorder="1"/>
    <xf numFmtId="0" fontId="6" fillId="0" borderId="42" xfId="0" applyFont="1" applyBorder="1"/>
    <xf numFmtId="0" fontId="6" fillId="0" borderId="58" xfId="0" applyFont="1" applyBorder="1"/>
    <xf numFmtId="0" fontId="6" fillId="0" borderId="59" xfId="0" applyFont="1" applyBorder="1"/>
    <xf numFmtId="0" fontId="101" fillId="0" borderId="0" xfId="0" applyFont="1"/>
    <xf numFmtId="16" fontId="0" fillId="0" borderId="0" xfId="0" applyNumberFormat="1"/>
    <xf numFmtId="0" fontId="22" fillId="0" borderId="13" xfId="0" applyFont="1" applyBorder="1" applyAlignment="1">
      <alignment wrapText="1"/>
    </xf>
    <xf numFmtId="0" fontId="0" fillId="0" borderId="0" xfId="0" applyAlignment="1">
      <alignment horizontal="left"/>
    </xf>
    <xf numFmtId="0" fontId="101" fillId="0" borderId="6" xfId="0" applyFont="1" applyBorder="1" applyAlignment="1">
      <alignment horizontal="center"/>
    </xf>
    <xf numFmtId="0" fontId="101" fillId="0" borderId="6" xfId="0" applyFont="1" applyBorder="1"/>
    <xf numFmtId="0" fontId="22" fillId="0" borderId="0" xfId="0" quotePrefix="1" applyFont="1"/>
    <xf numFmtId="217" fontId="0" fillId="0" borderId="13" xfId="0" applyNumberFormat="1" applyBorder="1" applyAlignment="1">
      <alignment horizontal="center"/>
    </xf>
    <xf numFmtId="218" fontId="0" fillId="0" borderId="13" xfId="0" applyNumberFormat="1" applyBorder="1" applyAlignment="1">
      <alignment horizontal="center"/>
    </xf>
    <xf numFmtId="217" fontId="0" fillId="35" borderId="13" xfId="0" applyNumberFormat="1" applyFill="1" applyBorder="1" applyAlignment="1">
      <alignment horizontal="center"/>
    </xf>
    <xf numFmtId="0" fontId="133" fillId="0" borderId="13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216" fontId="2" fillId="29" borderId="6" xfId="0" applyNumberFormat="1" applyFont="1" applyFill="1" applyBorder="1" applyAlignment="1">
      <alignment horizontal="center"/>
    </xf>
    <xf numFmtId="0" fontId="134" fillId="26" borderId="6" xfId="0" applyFont="1" applyFill="1" applyBorder="1"/>
    <xf numFmtId="0" fontId="92" fillId="0" borderId="13" xfId="58" applyFont="1" applyBorder="1" applyAlignment="1">
      <alignment horizontal="left" vertical="top"/>
    </xf>
    <xf numFmtId="0" fontId="92" fillId="0" borderId="23" xfId="58" applyFont="1" applyBorder="1" applyAlignment="1">
      <alignment horizontal="left" vertical="top"/>
    </xf>
    <xf numFmtId="0" fontId="92" fillId="0" borderId="11" xfId="58" applyFont="1" applyBorder="1" applyAlignment="1">
      <alignment horizontal="left" vertical="top"/>
    </xf>
    <xf numFmtId="0" fontId="99" fillId="27" borderId="6" xfId="0" applyFont="1" applyFill="1" applyBorder="1" applyAlignment="1">
      <alignment horizontal="left"/>
    </xf>
    <xf numFmtId="0" fontId="96" fillId="0" borderId="6" xfId="0" applyFont="1" applyBorder="1" applyAlignment="1">
      <alignment horizontal="left"/>
    </xf>
    <xf numFmtId="0" fontId="139" fillId="35" borderId="6" xfId="0" applyFont="1" applyFill="1" applyBorder="1"/>
    <xf numFmtId="0" fontId="4" fillId="35" borderId="6" xfId="0" applyFont="1" applyFill="1" applyBorder="1"/>
    <xf numFmtId="0" fontId="52" fillId="35" borderId="6" xfId="0" applyFont="1" applyFill="1" applyBorder="1"/>
    <xf numFmtId="0" fontId="139" fillId="35" borderId="6" xfId="0" applyFont="1" applyFill="1" applyBorder="1" applyAlignment="1">
      <alignment horizontal="left"/>
    </xf>
    <xf numFmtId="0" fontId="139" fillId="0" borderId="6" xfId="0" applyFont="1" applyBorder="1"/>
    <xf numFmtId="0" fontId="52" fillId="0" borderId="6" xfId="0" applyFont="1" applyBorder="1" applyAlignment="1">
      <alignment horizontal="center"/>
    </xf>
    <xf numFmtId="0" fontId="140" fillId="0" borderId="6" xfId="0" applyFont="1" applyBorder="1"/>
    <xf numFmtId="15" fontId="107" fillId="0" borderId="6" xfId="43" applyNumberFormat="1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>
      <alignment horizontal="center" wrapText="1"/>
    </xf>
    <xf numFmtId="219" fontId="2" fillId="0" borderId="6" xfId="0" applyNumberFormat="1" applyFont="1" applyBorder="1" applyAlignment="1">
      <alignment horizontal="center"/>
    </xf>
    <xf numFmtId="0" fontId="4" fillId="35" borderId="6" xfId="0" applyFont="1" applyFill="1" applyBorder="1" applyAlignment="1">
      <alignment horizontal="center"/>
    </xf>
    <xf numFmtId="219" fontId="0" fillId="0" borderId="11" xfId="0" applyNumberFormat="1" applyBorder="1" applyAlignment="1">
      <alignment horizontal="left"/>
    </xf>
    <xf numFmtId="0" fontId="141" fillId="35" borderId="6" xfId="0" applyFont="1" applyFill="1" applyBorder="1" applyAlignment="1">
      <alignment horizontal="center"/>
    </xf>
    <xf numFmtId="219" fontId="2" fillId="0" borderId="6" xfId="0" applyNumberFormat="1" applyFont="1" applyBorder="1" applyAlignment="1">
      <alignment horizontal="center" wrapText="1"/>
    </xf>
    <xf numFmtId="219" fontId="115" fillId="35" borderId="6" xfId="0" applyNumberFormat="1" applyFont="1" applyFill="1" applyBorder="1" applyAlignment="1">
      <alignment horizontal="center"/>
    </xf>
    <xf numFmtId="219" fontId="58" fillId="0" borderId="6" xfId="0" applyNumberFormat="1" applyFont="1" applyBorder="1" applyAlignment="1">
      <alignment horizontal="center"/>
    </xf>
    <xf numFmtId="0" fontId="24" fillId="35" borderId="6" xfId="0" applyFont="1" applyFill="1" applyBorder="1" applyAlignment="1">
      <alignment horizontal="center"/>
    </xf>
    <xf numFmtId="0" fontId="3" fillId="0" borderId="13" xfId="0" applyFont="1" applyBorder="1" applyAlignment="1">
      <alignment horizontal="left" vertical="top"/>
    </xf>
    <xf numFmtId="178" fontId="142" fillId="0" borderId="23" xfId="0" applyNumberFormat="1" applyFont="1" applyBorder="1" applyAlignment="1">
      <alignment horizontal="center" wrapText="1"/>
    </xf>
    <xf numFmtId="219" fontId="2" fillId="0" borderId="23" xfId="0" applyNumberFormat="1" applyFont="1" applyBorder="1" applyAlignment="1">
      <alignment horizontal="center"/>
    </xf>
    <xf numFmtId="0" fontId="109" fillId="0" borderId="34" xfId="46" applyFont="1" applyBorder="1" applyAlignment="1" applyProtection="1">
      <alignment horizontal="center" vertical="center"/>
      <protection locked="0"/>
    </xf>
    <xf numFmtId="0" fontId="109" fillId="0" borderId="41" xfId="46" applyFont="1" applyBorder="1" applyAlignment="1" applyProtection="1">
      <alignment horizontal="center" vertical="center"/>
      <protection locked="0"/>
    </xf>
    <xf numFmtId="0" fontId="136" fillId="0" borderId="6" xfId="0" applyFont="1" applyBorder="1" applyAlignment="1">
      <alignment horizontal="center" vertical="center" wrapText="1"/>
    </xf>
    <xf numFmtId="0" fontId="136" fillId="0" borderId="18" xfId="0" applyFont="1" applyBorder="1" applyAlignment="1">
      <alignment horizontal="center" vertical="center" wrapText="1"/>
    </xf>
    <xf numFmtId="0" fontId="135" fillId="0" borderId="62" xfId="0" applyFont="1" applyBorder="1" applyAlignment="1">
      <alignment horizontal="center" vertical="center"/>
    </xf>
    <xf numFmtId="0" fontId="135" fillId="0" borderId="63" xfId="0" applyFont="1" applyBorder="1" applyAlignment="1">
      <alignment horizontal="center" vertical="center"/>
    </xf>
    <xf numFmtId="0" fontId="135" fillId="0" borderId="55" xfId="0" applyFont="1" applyBorder="1" applyAlignment="1">
      <alignment horizontal="center" vertical="center"/>
    </xf>
    <xf numFmtId="0" fontId="136" fillId="0" borderId="6" xfId="46" applyFont="1" applyBorder="1" applyAlignment="1" applyProtection="1">
      <alignment horizontal="center" vertical="center" wrapText="1"/>
      <protection locked="0"/>
    </xf>
    <xf numFmtId="0" fontId="109" fillId="0" borderId="6" xfId="0" applyFont="1" applyBorder="1" applyAlignment="1">
      <alignment horizontal="center" vertical="center"/>
    </xf>
    <xf numFmtId="15" fontId="126" fillId="0" borderId="6" xfId="0" applyNumberFormat="1" applyFont="1" applyBorder="1" applyAlignment="1">
      <alignment horizontal="center" vertical="center" wrapText="1"/>
    </xf>
    <xf numFmtId="0" fontId="48" fillId="0" borderId="28" xfId="0" applyFont="1" applyBorder="1" applyAlignment="1">
      <alignment horizontal="center" vertical="center" wrapText="1"/>
    </xf>
    <xf numFmtId="0" fontId="48" fillId="0" borderId="29" xfId="0" applyFont="1" applyBorder="1" applyAlignment="1">
      <alignment horizontal="center" vertical="center" wrapText="1"/>
    </xf>
    <xf numFmtId="0" fontId="48" fillId="0" borderId="30" xfId="0" applyFont="1" applyBorder="1" applyAlignment="1">
      <alignment horizontal="center" vertical="center" wrapText="1"/>
    </xf>
    <xf numFmtId="0" fontId="48" fillId="0" borderId="31" xfId="0" applyFont="1" applyBorder="1" applyAlignment="1">
      <alignment horizontal="center" vertical="center" wrapText="1"/>
    </xf>
    <xf numFmtId="0" fontId="48" fillId="0" borderId="32" xfId="0" applyFont="1" applyBorder="1" applyAlignment="1">
      <alignment horizontal="center" vertical="center" wrapText="1"/>
    </xf>
    <xf numFmtId="0" fontId="48" fillId="0" borderId="33" xfId="0" applyFont="1" applyBorder="1" applyAlignment="1">
      <alignment horizontal="center" vertical="center" wrapText="1"/>
    </xf>
    <xf numFmtId="0" fontId="47" fillId="0" borderId="32" xfId="0" applyFont="1" applyBorder="1" applyAlignment="1">
      <alignment wrapText="1"/>
    </xf>
    <xf numFmtId="0" fontId="47" fillId="0" borderId="33" xfId="0" applyFont="1" applyBorder="1" applyAlignment="1">
      <alignment wrapText="1"/>
    </xf>
    <xf numFmtId="0" fontId="106" fillId="0" borderId="36" xfId="0" applyFont="1" applyBorder="1" applyAlignment="1">
      <alignment horizontal="center" vertical="center" wrapText="1"/>
    </xf>
    <xf numFmtId="0" fontId="109" fillId="0" borderId="34" xfId="46" applyFont="1" applyBorder="1" applyAlignment="1" applyProtection="1">
      <alignment horizontal="center" vertical="center" wrapText="1"/>
      <protection locked="0"/>
    </xf>
    <xf numFmtId="0" fontId="107" fillId="0" borderId="6" xfId="46" applyFont="1" applyBorder="1" applyAlignment="1" applyProtection="1">
      <alignment horizontal="center" vertical="center" wrapText="1"/>
      <protection locked="0"/>
    </xf>
    <xf numFmtId="0" fontId="109" fillId="0" borderId="6" xfId="0" applyFont="1" applyBorder="1" applyAlignment="1">
      <alignment horizontal="center" vertical="center" wrapText="1"/>
    </xf>
    <xf numFmtId="15" fontId="107" fillId="0" borderId="6" xfId="0" applyNumberFormat="1" applyFont="1" applyBorder="1" applyAlignment="1">
      <alignment horizontal="center" vertical="center" wrapText="1"/>
    </xf>
    <xf numFmtId="0" fontId="109" fillId="0" borderId="41" xfId="46" applyFont="1" applyBorder="1" applyAlignment="1" applyProtection="1">
      <alignment horizontal="center" vertical="center" wrapText="1"/>
      <protection locked="0"/>
    </xf>
    <xf numFmtId="0" fontId="107" fillId="0" borderId="28" xfId="0" applyFont="1" applyBorder="1" applyAlignment="1">
      <alignment horizontal="center" vertical="center" wrapText="1"/>
    </xf>
    <xf numFmtId="0" fontId="107" fillId="0" borderId="26" xfId="0" applyFont="1" applyBorder="1" applyAlignment="1">
      <alignment horizontal="center" vertical="center" wrapText="1"/>
    </xf>
    <xf numFmtId="0" fontId="107" fillId="0" borderId="29" xfId="0" applyFont="1" applyBorder="1" applyAlignment="1">
      <alignment horizontal="center" vertical="center" wrapText="1"/>
    </xf>
    <xf numFmtId="0" fontId="107" fillId="0" borderId="60" xfId="0" applyFont="1" applyBorder="1" applyAlignment="1">
      <alignment horizontal="center" vertical="center" wrapText="1"/>
    </xf>
    <xf numFmtId="0" fontId="107" fillId="0" borderId="47" xfId="0" applyFont="1" applyBorder="1" applyAlignment="1">
      <alignment horizontal="center" vertical="center" wrapText="1"/>
    </xf>
    <xf numFmtId="0" fontId="107" fillId="0" borderId="61" xfId="0" applyFont="1" applyBorder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66" fillId="0" borderId="13" xfId="0" applyFont="1" applyBorder="1" applyAlignment="1" applyProtection="1">
      <alignment wrapText="1"/>
      <protection locked="0"/>
    </xf>
    <xf numFmtId="0" fontId="0" fillId="0" borderId="23" xfId="0" applyBorder="1" applyAlignment="1">
      <alignment wrapText="1"/>
    </xf>
    <xf numFmtId="0" fontId="0" fillId="0" borderId="11" xfId="0" applyBorder="1" applyAlignment="1">
      <alignment wrapText="1"/>
    </xf>
    <xf numFmtId="0" fontId="108" fillId="0" borderId="6" xfId="0" applyFont="1" applyBorder="1" applyAlignment="1">
      <alignment wrapText="1"/>
    </xf>
    <xf numFmtId="0" fontId="0" fillId="0" borderId="35" xfId="0" applyBorder="1" applyAlignment="1">
      <alignment wrapText="1"/>
    </xf>
    <xf numFmtId="0" fontId="0" fillId="0" borderId="6" xfId="0" applyBorder="1" applyAlignment="1">
      <alignment wrapText="1"/>
    </xf>
    <xf numFmtId="197" fontId="67" fillId="0" borderId="6" xfId="0" applyNumberFormat="1" applyFont="1" applyBorder="1" applyAlignment="1" applyProtection="1">
      <alignment horizontal="center" vertical="center"/>
      <protection locked="0"/>
    </xf>
    <xf numFmtId="0" fontId="66" fillId="0" borderId="6" xfId="0" applyFont="1" applyBorder="1" applyAlignment="1">
      <alignment horizontal="left" vertical="center"/>
    </xf>
    <xf numFmtId="0" fontId="66" fillId="0" borderId="35" xfId="0" applyFont="1" applyBorder="1" applyAlignment="1">
      <alignment horizontal="left" vertical="center"/>
    </xf>
    <xf numFmtId="0" fontId="106" fillId="0" borderId="36" xfId="0" applyFont="1" applyBorder="1" applyAlignment="1">
      <alignment horizontal="center" vertical="center"/>
    </xf>
    <xf numFmtId="0" fontId="109" fillId="0" borderId="53" xfId="46" applyFont="1" applyBorder="1" applyAlignment="1" applyProtection="1">
      <alignment horizontal="left" vertical="center"/>
      <protection locked="0"/>
    </xf>
    <xf numFmtId="0" fontId="109" fillId="0" borderId="42" xfId="46" applyFont="1" applyBorder="1" applyAlignment="1" applyProtection="1">
      <alignment horizontal="left" vertical="center"/>
      <protection locked="0"/>
    </xf>
    <xf numFmtId="0" fontId="107" fillId="0" borderId="28" xfId="46" applyFont="1" applyBorder="1" applyAlignment="1" applyProtection="1">
      <alignment horizontal="center" vertical="center" wrapText="1"/>
      <protection locked="0"/>
    </xf>
    <xf numFmtId="0" fontId="107" fillId="0" borderId="26" xfId="46" applyFont="1" applyBorder="1" applyAlignment="1" applyProtection="1">
      <alignment horizontal="center" vertical="center" wrapText="1"/>
      <protection locked="0"/>
    </xf>
    <xf numFmtId="0" fontId="107" fillId="0" borderId="29" xfId="46" applyFont="1" applyBorder="1" applyAlignment="1" applyProtection="1">
      <alignment horizontal="center" vertical="center" wrapText="1"/>
      <protection locked="0"/>
    </xf>
    <xf numFmtId="0" fontId="107" fillId="0" borderId="32" xfId="46" applyFont="1" applyBorder="1" applyAlignment="1" applyProtection="1">
      <alignment horizontal="center" vertical="center" wrapText="1"/>
      <protection locked="0"/>
    </xf>
    <xf numFmtId="0" fontId="107" fillId="0" borderId="27" xfId="46" applyFont="1" applyBorder="1" applyAlignment="1" applyProtection="1">
      <alignment horizontal="center" vertical="center" wrapText="1"/>
      <protection locked="0"/>
    </xf>
    <xf numFmtId="0" fontId="107" fillId="0" borderId="33" xfId="46" applyFont="1" applyBorder="1" applyAlignment="1" applyProtection="1">
      <alignment horizontal="center" vertical="center" wrapText="1"/>
      <protection locked="0"/>
    </xf>
    <xf numFmtId="0" fontId="109" fillId="0" borderId="13" xfId="0" applyFont="1" applyBorder="1" applyAlignment="1">
      <alignment horizontal="center" vertical="center"/>
    </xf>
    <xf numFmtId="0" fontId="109" fillId="0" borderId="11" xfId="0" applyFont="1" applyBorder="1" applyAlignment="1">
      <alignment horizontal="center" vertical="center"/>
    </xf>
    <xf numFmtId="15" fontId="107" fillId="0" borderId="13" xfId="0" applyNumberFormat="1" applyFont="1" applyBorder="1" applyAlignment="1">
      <alignment horizontal="center" vertical="center" wrapText="1"/>
    </xf>
    <xf numFmtId="15" fontId="107" fillId="0" borderId="11" xfId="0" applyNumberFormat="1" applyFont="1" applyBorder="1" applyAlignment="1">
      <alignment horizontal="center" vertical="center" wrapText="1"/>
    </xf>
    <xf numFmtId="0" fontId="109" fillId="0" borderId="58" xfId="46" applyFont="1" applyBorder="1" applyAlignment="1" applyProtection="1">
      <alignment horizontal="left" vertical="center"/>
      <protection locked="0"/>
    </xf>
    <xf numFmtId="0" fontId="129" fillId="0" borderId="28" xfId="0" applyFont="1" applyBorder="1" applyAlignment="1">
      <alignment horizontal="center" vertical="center" wrapText="1"/>
    </xf>
    <xf numFmtId="0" fontId="129" fillId="0" borderId="26" xfId="0" applyFont="1" applyBorder="1" applyAlignment="1">
      <alignment horizontal="center" vertical="center" wrapText="1"/>
    </xf>
    <xf numFmtId="0" fontId="129" fillId="0" borderId="29" xfId="0" applyFont="1" applyBorder="1" applyAlignment="1">
      <alignment horizontal="center" vertical="center" wrapText="1"/>
    </xf>
    <xf numFmtId="0" fontId="129" fillId="0" borderId="60" xfId="0" applyFont="1" applyBorder="1" applyAlignment="1">
      <alignment horizontal="center" vertical="center" wrapText="1"/>
    </xf>
    <xf numFmtId="0" fontId="129" fillId="0" borderId="47" xfId="0" applyFont="1" applyBorder="1" applyAlignment="1">
      <alignment horizontal="center" vertical="center" wrapText="1"/>
    </xf>
    <xf numFmtId="0" fontId="129" fillId="0" borderId="61" xfId="0" applyFont="1" applyBorder="1" applyAlignment="1">
      <alignment horizontal="center" vertical="center" wrapText="1"/>
    </xf>
    <xf numFmtId="0" fontId="47" fillId="0" borderId="13" xfId="0" applyFont="1" applyBorder="1" applyAlignment="1">
      <alignment horizontal="center" wrapText="1"/>
    </xf>
    <xf numFmtId="0" fontId="47" fillId="0" borderId="11" xfId="0" applyFont="1" applyBorder="1" applyAlignment="1">
      <alignment horizontal="center" wrapText="1"/>
    </xf>
    <xf numFmtId="0" fontId="47" fillId="0" borderId="13" xfId="0" applyFont="1" applyBorder="1" applyAlignment="1">
      <alignment horizontal="left" wrapText="1"/>
    </xf>
    <xf numFmtId="0" fontId="47" fillId="0" borderId="23" xfId="0" applyFont="1" applyBorder="1" applyAlignment="1">
      <alignment horizontal="left" wrapText="1"/>
    </xf>
    <xf numFmtId="0" fontId="47" fillId="0" borderId="11" xfId="0" applyFont="1" applyBorder="1" applyAlignment="1">
      <alignment horizontal="left" wrapText="1"/>
    </xf>
    <xf numFmtId="0" fontId="47" fillId="0" borderId="23" xfId="0" applyFont="1" applyBorder="1" applyAlignment="1">
      <alignment horizontal="center" wrapText="1"/>
    </xf>
    <xf numFmtId="0" fontId="22" fillId="0" borderId="6" xfId="58" applyBorder="1" applyAlignment="1">
      <alignment horizontal="right" vertical="top" wrapText="1"/>
    </xf>
    <xf numFmtId="0" fontId="22" fillId="0" borderId="6" xfId="58" applyBorder="1" applyAlignment="1">
      <alignment horizontal="right" vertical="top"/>
    </xf>
    <xf numFmtId="0" fontId="22" fillId="0" borderId="6" xfId="46" applyBorder="1" applyAlignment="1">
      <alignment horizontal="right" vertical="top"/>
    </xf>
    <xf numFmtId="0" fontId="91" fillId="0" borderId="13" xfId="0" applyFont="1" applyBorder="1" applyAlignment="1">
      <alignment horizontal="left" wrapText="1"/>
    </xf>
    <xf numFmtId="0" fontId="91" fillId="0" borderId="23" xfId="0" applyFont="1" applyBorder="1" applyAlignment="1">
      <alignment horizontal="left" wrapText="1"/>
    </xf>
    <xf numFmtId="0" fontId="91" fillId="0" borderId="11" xfId="0" applyFont="1" applyBorder="1" applyAlignment="1">
      <alignment horizontal="left" wrapText="1"/>
    </xf>
    <xf numFmtId="0" fontId="22" fillId="0" borderId="6" xfId="58" applyBorder="1" applyAlignment="1">
      <alignment horizontal="center" vertical="top" wrapText="1"/>
    </xf>
    <xf numFmtId="0" fontId="22" fillId="0" borderId="6" xfId="58" applyBorder="1" applyAlignment="1">
      <alignment horizontal="left" vertical="top" wrapText="1"/>
    </xf>
    <xf numFmtId="0" fontId="47" fillId="0" borderId="13" xfId="0" applyFont="1" applyBorder="1" applyAlignment="1">
      <alignment horizontal="center"/>
    </xf>
    <xf numFmtId="0" fontId="47" fillId="0" borderId="11" xfId="0" applyFont="1" applyBorder="1" applyAlignment="1">
      <alignment horizontal="center"/>
    </xf>
    <xf numFmtId="0" fontId="22" fillId="0" borderId="13" xfId="58" applyBorder="1" applyAlignment="1">
      <alignment horizontal="center" vertical="top" wrapText="1"/>
    </xf>
    <xf numFmtId="0" fontId="22" fillId="0" borderId="11" xfId="58" applyBorder="1" applyAlignment="1">
      <alignment horizontal="center" vertical="top" wrapText="1"/>
    </xf>
    <xf numFmtId="0" fontId="48" fillId="0" borderId="13" xfId="0" applyFont="1" applyBorder="1" applyAlignment="1">
      <alignment horizontal="left" wrapText="1"/>
    </xf>
    <xf numFmtId="0" fontId="48" fillId="0" borderId="23" xfId="0" applyFont="1" applyBorder="1" applyAlignment="1">
      <alignment horizontal="left" wrapText="1"/>
    </xf>
    <xf numFmtId="0" fontId="47" fillId="0" borderId="23" xfId="0" applyFont="1" applyBorder="1" applyAlignment="1">
      <alignment horizontal="center"/>
    </xf>
    <xf numFmtId="0" fontId="106" fillId="0" borderId="13" xfId="0" applyFont="1" applyBorder="1" applyAlignment="1">
      <alignment horizontal="center" vertical="center"/>
    </xf>
    <xf numFmtId="0" fontId="106" fillId="0" borderId="11" xfId="0" applyFont="1" applyBorder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0" fontId="109" fillId="0" borderId="6" xfId="46" applyFont="1" applyBorder="1" applyAlignment="1" applyProtection="1">
      <alignment horizontal="center" vertical="center"/>
      <protection locked="0"/>
    </xf>
    <xf numFmtId="193" fontId="6" fillId="0" borderId="13" xfId="0" applyNumberFormat="1" applyFont="1" applyBorder="1" applyAlignment="1">
      <alignment horizontal="left" wrapText="1"/>
    </xf>
    <xf numFmtId="0" fontId="4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6" xfId="0" applyFont="1" applyBorder="1" applyAlignment="1">
      <alignment vertical="center" wrapText="1"/>
    </xf>
    <xf numFmtId="0" fontId="2" fillId="0" borderId="13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7" fillId="0" borderId="6" xfId="0" applyFont="1" applyBorder="1" applyAlignment="1">
      <alignment horizontal="left" wrapText="1"/>
    </xf>
    <xf numFmtId="0" fontId="6" fillId="0" borderId="13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107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66" fillId="0" borderId="6" xfId="43" applyFont="1" applyBorder="1" applyAlignment="1">
      <alignment vertical="center" wrapText="1"/>
    </xf>
    <xf numFmtId="0" fontId="137" fillId="0" borderId="6" xfId="0" applyFont="1" applyBorder="1" applyAlignment="1">
      <alignment horizontal="left" wrapText="1"/>
    </xf>
    <xf numFmtId="0" fontId="66" fillId="0" borderId="6" xfId="43" applyFont="1" applyBorder="1" applyAlignment="1">
      <alignment horizontal="left" wrapText="1"/>
    </xf>
    <xf numFmtId="0" fontId="107" fillId="0" borderId="6" xfId="0" applyFont="1" applyBorder="1" applyAlignment="1">
      <alignment horizontal="center"/>
    </xf>
    <xf numFmtId="0" fontId="2" fillId="28" borderId="13" xfId="0" applyFont="1" applyFill="1" applyBorder="1" applyAlignment="1">
      <alignment horizontal="center"/>
    </xf>
    <xf numFmtId="0" fontId="2" fillId="28" borderId="11" xfId="0" applyFont="1" applyFill="1" applyBorder="1" applyAlignment="1">
      <alignment horizontal="center"/>
    </xf>
    <xf numFmtId="0" fontId="56" fillId="38" borderId="13" xfId="51" applyFont="1" applyFill="1" applyBorder="1" applyAlignment="1">
      <alignment wrapText="1"/>
    </xf>
    <xf numFmtId="0" fontId="56" fillId="38" borderId="13" xfId="51" applyFont="1" applyFill="1" applyBorder="1" applyAlignment="1">
      <alignment horizontal="center" vertical="center" wrapText="1"/>
    </xf>
    <xf numFmtId="0" fontId="56" fillId="38" borderId="11" xfId="51" applyFont="1" applyFill="1" applyBorder="1" applyAlignment="1">
      <alignment horizontal="center" vertical="center" wrapText="1"/>
    </xf>
    <xf numFmtId="169" fontId="56" fillId="26" borderId="13" xfId="51" applyNumberFormat="1" applyFont="1" applyFill="1" applyBorder="1" applyAlignment="1">
      <alignment horizontal="center"/>
    </xf>
    <xf numFmtId="169" fontId="56" fillId="26" borderId="11" xfId="51" applyNumberFormat="1" applyFont="1" applyFill="1" applyBorder="1" applyAlignment="1">
      <alignment horizontal="center"/>
    </xf>
    <xf numFmtId="0" fontId="108" fillId="0" borderId="6" xfId="0" applyFont="1" applyBorder="1" applyAlignment="1">
      <alignment horizontal="left" wrapText="1"/>
    </xf>
    <xf numFmtId="0" fontId="3" fillId="0" borderId="13" xfId="0" applyFont="1" applyBorder="1" applyAlignment="1">
      <alignment horizontal="left" vertical="center" wrapText="1" indent="2"/>
    </xf>
    <xf numFmtId="0" fontId="2" fillId="0" borderId="23" xfId="0" applyFont="1" applyBorder="1" applyAlignment="1">
      <alignment horizontal="left" vertical="center" wrapText="1" indent="2"/>
    </xf>
    <xf numFmtId="0" fontId="2" fillId="0" borderId="11" xfId="0" applyFont="1" applyBorder="1" applyAlignment="1">
      <alignment horizontal="left" vertical="center" wrapText="1" indent="2"/>
    </xf>
    <xf numFmtId="0" fontId="2" fillId="0" borderId="13" xfId="0" applyFont="1" applyBorder="1" applyAlignment="1">
      <alignment horizontal="center" wrapText="1"/>
    </xf>
    <xf numFmtId="0" fontId="54" fillId="38" borderId="13" xfId="51" applyFont="1" applyFill="1" applyBorder="1" applyAlignment="1">
      <alignment horizontal="center"/>
    </xf>
    <xf numFmtId="0" fontId="54" fillId="38" borderId="23" xfId="51" applyFont="1" applyFill="1" applyBorder="1" applyAlignment="1">
      <alignment horizontal="center"/>
    </xf>
    <xf numFmtId="0" fontId="54" fillId="38" borderId="11" xfId="51" applyFont="1" applyFill="1" applyBorder="1" applyAlignment="1">
      <alignment horizontal="center"/>
    </xf>
    <xf numFmtId="0" fontId="56" fillId="38" borderId="6" xfId="51" applyFont="1" applyFill="1" applyBorder="1" applyAlignment="1">
      <alignment horizontal="center"/>
    </xf>
    <xf numFmtId="0" fontId="58" fillId="0" borderId="13" xfId="0" applyFont="1" applyBorder="1" applyAlignment="1">
      <alignment horizontal="left" wrapText="1"/>
    </xf>
    <xf numFmtId="0" fontId="22" fillId="0" borderId="11" xfId="0" applyFont="1" applyBorder="1" applyAlignment="1">
      <alignment horizontal="left" wrapText="1"/>
    </xf>
    <xf numFmtId="0" fontId="55" fillId="26" borderId="13" xfId="51" applyFont="1" applyFill="1" applyBorder="1" applyAlignment="1">
      <alignment horizontal="left" wrapText="1"/>
    </xf>
    <xf numFmtId="0" fontId="55" fillId="26" borderId="11" xfId="51" applyFont="1" applyFill="1" applyBorder="1" applyAlignment="1">
      <alignment horizontal="left" wrapText="1"/>
    </xf>
    <xf numFmtId="0" fontId="54" fillId="38" borderId="13" xfId="51" applyFont="1" applyFill="1" applyBorder="1" applyAlignment="1">
      <alignment horizontal="center" wrapText="1"/>
    </xf>
    <xf numFmtId="0" fontId="54" fillId="38" borderId="23" xfId="51" applyFont="1" applyFill="1" applyBorder="1" applyAlignment="1">
      <alignment horizontal="center" wrapText="1"/>
    </xf>
    <xf numFmtId="0" fontId="54" fillId="38" borderId="11" xfId="51" applyFont="1" applyFill="1" applyBorder="1" applyAlignment="1">
      <alignment horizontal="center" wrapText="1"/>
    </xf>
    <xf numFmtId="0" fontId="54" fillId="29" borderId="13" xfId="51" applyFont="1" applyFill="1" applyBorder="1" applyAlignment="1">
      <alignment horizontal="center" wrapText="1"/>
    </xf>
    <xf numFmtId="0" fontId="54" fillId="29" borderId="11" xfId="51" applyFont="1" applyFill="1" applyBorder="1" applyAlignment="1">
      <alignment horizontal="center" wrapText="1"/>
    </xf>
    <xf numFmtId="0" fontId="58" fillId="0" borderId="13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114" fillId="0" borderId="6" xfId="43" applyFont="1" applyBorder="1" applyAlignment="1">
      <alignment horizontal="left" wrapText="1"/>
    </xf>
    <xf numFmtId="0" fontId="66" fillId="0" borderId="6" xfId="43" quotePrefix="1" applyFont="1" applyBorder="1" applyAlignment="1">
      <alignment horizontal="left"/>
    </xf>
    <xf numFmtId="0" fontId="3" fillId="0" borderId="6" xfId="0" applyFont="1" applyBorder="1" applyAlignment="1">
      <alignment horizontal="center" wrapText="1"/>
    </xf>
    <xf numFmtId="208" fontId="6" fillId="0" borderId="13" xfId="0" applyNumberFormat="1" applyFont="1" applyBorder="1" applyAlignment="1">
      <alignment wrapText="1"/>
    </xf>
    <xf numFmtId="0" fontId="2" fillId="28" borderId="13" xfId="0" applyFont="1" applyFill="1" applyBorder="1" applyAlignment="1">
      <alignment horizontal="center" wrapText="1"/>
    </xf>
    <xf numFmtId="0" fontId="54" fillId="0" borderId="13" xfId="51" applyFont="1" applyBorder="1" applyAlignment="1">
      <alignment horizontal="center" wrapText="1"/>
    </xf>
    <xf numFmtId="0" fontId="54" fillId="0" borderId="23" xfId="51" applyFont="1" applyBorder="1" applyAlignment="1">
      <alignment horizontal="center" wrapText="1"/>
    </xf>
    <xf numFmtId="0" fontId="54" fillId="0" borderId="11" xfId="51" applyFont="1" applyBorder="1" applyAlignment="1">
      <alignment horizontal="center" wrapText="1"/>
    </xf>
    <xf numFmtId="0" fontId="67" fillId="0" borderId="56" xfId="0" applyFont="1" applyBorder="1" applyAlignment="1">
      <alignment horizontal="center" vertical="center"/>
    </xf>
    <xf numFmtId="0" fontId="67" fillId="0" borderId="71" xfId="0" applyFont="1" applyBorder="1" applyAlignment="1">
      <alignment horizontal="center" vertical="center"/>
    </xf>
    <xf numFmtId="0" fontId="67" fillId="0" borderId="57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71" xfId="0" applyFont="1" applyBorder="1" applyAlignment="1">
      <alignment horizontal="center"/>
    </xf>
    <xf numFmtId="0" fontId="4" fillId="0" borderId="57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0" fontId="6" fillId="0" borderId="64" xfId="0" applyFont="1" applyBorder="1" applyAlignment="1">
      <alignment horizontal="center"/>
    </xf>
    <xf numFmtId="0" fontId="6" fillId="0" borderId="23" xfId="0" applyFont="1" applyBorder="1" applyAlignment="1">
      <alignment horizontal="center" wrapText="1"/>
    </xf>
    <xf numFmtId="0" fontId="6" fillId="0" borderId="65" xfId="0" applyFont="1" applyBorder="1" applyAlignment="1">
      <alignment horizontal="center" wrapText="1"/>
    </xf>
    <xf numFmtId="0" fontId="6" fillId="0" borderId="66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87" fillId="26" borderId="13" xfId="0" applyFont="1" applyFill="1" applyBorder="1" applyAlignment="1">
      <alignment wrapText="1"/>
    </xf>
    <xf numFmtId="0" fontId="88" fillId="0" borderId="11" xfId="0" applyFont="1" applyBorder="1" applyAlignment="1">
      <alignment wrapText="1"/>
    </xf>
    <xf numFmtId="0" fontId="6" fillId="0" borderId="1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65" xfId="0" applyFont="1" applyBorder="1" applyAlignment="1">
      <alignment horizontal="center"/>
    </xf>
    <xf numFmtId="0" fontId="6" fillId="0" borderId="68" xfId="0" applyFont="1" applyBorder="1" applyAlignment="1">
      <alignment horizontal="center"/>
    </xf>
    <xf numFmtId="0" fontId="6" fillId="0" borderId="69" xfId="0" applyFont="1" applyBorder="1" applyAlignment="1">
      <alignment horizontal="center"/>
    </xf>
    <xf numFmtId="0" fontId="6" fillId="0" borderId="70" xfId="0" applyFont="1" applyBorder="1" applyAlignment="1">
      <alignment horizontal="center"/>
    </xf>
    <xf numFmtId="0" fontId="6" fillId="0" borderId="67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94" fillId="0" borderId="14" xfId="0" applyFont="1" applyBorder="1" applyAlignment="1">
      <alignment horizontal="center" vertical="center"/>
    </xf>
    <xf numFmtId="0" fontId="94" fillId="0" borderId="16" xfId="0" applyFont="1" applyBorder="1" applyAlignment="1">
      <alignment horizontal="center" vertical="center"/>
    </xf>
    <xf numFmtId="0" fontId="109" fillId="0" borderId="0" xfId="54" applyFont="1" applyAlignment="1" applyProtection="1">
      <alignment horizontal="left"/>
      <protection hidden="1"/>
    </xf>
    <xf numFmtId="0" fontId="109" fillId="0" borderId="31" xfId="54" applyFont="1" applyBorder="1" applyAlignment="1" applyProtection="1">
      <alignment horizontal="left"/>
      <protection hidden="1"/>
    </xf>
    <xf numFmtId="0" fontId="109" fillId="0" borderId="13" xfId="54" applyFont="1" applyBorder="1" applyAlignment="1" applyProtection="1">
      <alignment horizontal="center" vertical="center" wrapText="1"/>
      <protection hidden="1"/>
    </xf>
    <xf numFmtId="0" fontId="109" fillId="0" borderId="23" xfId="54" applyFont="1" applyBorder="1" applyAlignment="1" applyProtection="1">
      <alignment horizontal="center" vertical="center" wrapText="1"/>
      <protection hidden="1"/>
    </xf>
    <xf numFmtId="0" fontId="109" fillId="0" borderId="11" xfId="54" applyFont="1" applyBorder="1" applyAlignment="1" applyProtection="1">
      <alignment horizontal="center" vertical="center" wrapText="1"/>
      <protection hidden="1"/>
    </xf>
    <xf numFmtId="0" fontId="107" fillId="0" borderId="0" xfId="54" applyFont="1" applyAlignment="1" applyProtection="1">
      <alignment horizontal="right"/>
      <protection hidden="1"/>
    </xf>
    <xf numFmtId="0" fontId="111" fillId="0" borderId="13" xfId="54" applyFont="1" applyBorder="1" applyAlignment="1" applyProtection="1">
      <alignment horizontal="center" vertical="center"/>
      <protection hidden="1"/>
    </xf>
    <xf numFmtId="0" fontId="111" fillId="0" borderId="23" xfId="54" applyFont="1" applyBorder="1" applyAlignment="1" applyProtection="1">
      <alignment horizontal="center" vertical="center"/>
      <protection hidden="1"/>
    </xf>
    <xf numFmtId="0" fontId="111" fillId="0" borderId="11" xfId="54" applyFont="1" applyBorder="1" applyAlignment="1" applyProtection="1">
      <alignment horizontal="center" vertical="center"/>
      <protection hidden="1"/>
    </xf>
    <xf numFmtId="1" fontId="111" fillId="0" borderId="13" xfId="54" applyNumberFormat="1" applyFont="1" applyBorder="1" applyAlignment="1" applyProtection="1">
      <alignment horizontal="center" vertical="center"/>
      <protection hidden="1"/>
    </xf>
    <xf numFmtId="1" fontId="111" fillId="0" borderId="23" xfId="54" applyNumberFormat="1" applyFont="1" applyBorder="1" applyAlignment="1" applyProtection="1">
      <alignment horizontal="center" vertical="center"/>
      <protection hidden="1"/>
    </xf>
    <xf numFmtId="1" fontId="111" fillId="0" borderId="11" xfId="54" applyNumberFormat="1" applyFont="1" applyBorder="1" applyAlignment="1" applyProtection="1">
      <alignment horizontal="center" vertical="center"/>
      <protection hidden="1"/>
    </xf>
    <xf numFmtId="201" fontId="107" fillId="0" borderId="0" xfId="54" applyNumberFormat="1" applyFont="1" applyAlignment="1" applyProtection="1">
      <alignment horizontal="center"/>
      <protection hidden="1"/>
    </xf>
    <xf numFmtId="202" fontId="107" fillId="0" borderId="0" xfId="54" applyNumberFormat="1" applyFont="1" applyAlignment="1" applyProtection="1">
      <alignment horizontal="center"/>
      <protection hidden="1"/>
    </xf>
    <xf numFmtId="0" fontId="109" fillId="0" borderId="6" xfId="54" applyFont="1" applyBorder="1" applyAlignment="1" applyProtection="1">
      <alignment horizontal="center" vertical="center"/>
      <protection hidden="1"/>
    </xf>
    <xf numFmtId="0" fontId="108" fillId="0" borderId="12" xfId="54" applyFont="1" applyBorder="1" applyAlignment="1" applyProtection="1">
      <alignment horizontal="center" vertical="center"/>
      <protection hidden="1"/>
    </xf>
    <xf numFmtId="0" fontId="108" fillId="0" borderId="22" xfId="54" applyFont="1" applyBorder="1" applyAlignment="1" applyProtection="1">
      <alignment horizontal="center" vertical="center"/>
      <protection hidden="1"/>
    </xf>
    <xf numFmtId="0" fontId="108" fillId="0" borderId="17" xfId="54" applyFont="1" applyBorder="1" applyAlignment="1" applyProtection="1">
      <alignment horizontal="center" vertical="center"/>
      <protection hidden="1"/>
    </xf>
    <xf numFmtId="0" fontId="108" fillId="0" borderId="28" xfId="54" applyFont="1" applyBorder="1" applyAlignment="1" applyProtection="1">
      <alignment horizontal="center" vertical="center"/>
      <protection hidden="1"/>
    </xf>
    <xf numFmtId="0" fontId="108" fillId="0" borderId="29" xfId="54" applyFont="1" applyBorder="1" applyAlignment="1" applyProtection="1">
      <alignment horizontal="center" vertical="center"/>
      <protection hidden="1"/>
    </xf>
    <xf numFmtId="0" fontId="108" fillId="0" borderId="32" xfId="54" applyFont="1" applyBorder="1" applyAlignment="1" applyProtection="1">
      <alignment horizontal="center" vertical="center"/>
      <protection hidden="1"/>
    </xf>
    <xf numFmtId="0" fontId="108" fillId="0" borderId="33" xfId="54" applyFont="1" applyBorder="1" applyAlignment="1" applyProtection="1">
      <alignment horizontal="center" vertical="center"/>
      <protection hidden="1"/>
    </xf>
    <xf numFmtId="0" fontId="108" fillId="0" borderId="30" xfId="54" applyFont="1" applyBorder="1" applyAlignment="1" applyProtection="1">
      <alignment horizontal="center" vertical="center"/>
      <protection hidden="1"/>
    </xf>
    <xf numFmtId="0" fontId="108" fillId="0" borderId="31" xfId="54" applyFont="1" applyBorder="1" applyAlignment="1" applyProtection="1">
      <alignment horizontal="center" vertical="center"/>
      <protection hidden="1"/>
    </xf>
    <xf numFmtId="0" fontId="110" fillId="0" borderId="6" xfId="54" applyFont="1" applyBorder="1" applyAlignment="1" applyProtection="1">
      <alignment horizontal="left"/>
      <protection hidden="1"/>
    </xf>
    <xf numFmtId="201" fontId="107" fillId="0" borderId="0" xfId="54" applyNumberFormat="1" applyFont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center"/>
      <protection hidden="1"/>
    </xf>
    <xf numFmtId="15" fontId="107" fillId="0" borderId="6" xfId="43" applyNumberFormat="1" applyFont="1" applyBorder="1" applyAlignment="1" applyProtection="1">
      <alignment horizontal="center" vertical="center" wrapText="1"/>
      <protection locked="0"/>
    </xf>
    <xf numFmtId="0" fontId="107" fillId="0" borderId="6" xfId="43" applyFont="1" applyBorder="1" applyAlignment="1" applyProtection="1">
      <alignment horizontal="center" vertical="center" wrapText="1"/>
      <protection locked="0"/>
    </xf>
    <xf numFmtId="0" fontId="108" fillId="0" borderId="12" xfId="43" applyFont="1" applyBorder="1" applyAlignment="1">
      <alignment horizontal="center" vertical="center"/>
    </xf>
    <xf numFmtId="0" fontId="108" fillId="0" borderId="17" xfId="43" applyFont="1" applyBorder="1" applyAlignment="1">
      <alignment horizontal="center" vertical="center"/>
    </xf>
    <xf numFmtId="0" fontId="109" fillId="0" borderId="12" xfId="43" applyFont="1" applyBorder="1" applyAlignment="1">
      <alignment horizontal="left" vertical="center"/>
    </xf>
    <xf numFmtId="0" fontId="109" fillId="0" borderId="17" xfId="43" applyFont="1" applyBorder="1" applyAlignment="1">
      <alignment horizontal="left" vertical="center"/>
    </xf>
    <xf numFmtId="0" fontId="109" fillId="0" borderId="6" xfId="43" applyFont="1" applyBorder="1" applyAlignment="1">
      <alignment horizontal="left" vertical="center"/>
    </xf>
    <xf numFmtId="0" fontId="109" fillId="0" borderId="6" xfId="43" applyFont="1" applyBorder="1" applyAlignment="1">
      <alignment horizontal="center" vertical="center"/>
    </xf>
    <xf numFmtId="0" fontId="106" fillId="0" borderId="6" xfId="43" applyFont="1" applyBorder="1" applyAlignment="1">
      <alignment horizontal="center" vertical="center"/>
    </xf>
    <xf numFmtId="0" fontId="108" fillId="0" borderId="6" xfId="43" applyFont="1" applyBorder="1" applyAlignment="1" applyProtection="1">
      <alignment horizontal="center" vertical="center" wrapText="1"/>
      <protection locked="0"/>
    </xf>
    <xf numFmtId="0" fontId="108" fillId="0" borderId="13" xfId="54" applyFont="1" applyBorder="1" applyAlignment="1" applyProtection="1">
      <alignment horizontal="center" vertical="center"/>
      <protection hidden="1"/>
    </xf>
    <xf numFmtId="0" fontId="108" fillId="0" borderId="11" xfId="54" applyFont="1" applyBorder="1" applyAlignment="1" applyProtection="1">
      <alignment horizontal="center" vertical="center"/>
      <protection hidden="1"/>
    </xf>
    <xf numFmtId="0" fontId="110" fillId="0" borderId="13" xfId="54" applyFont="1" applyBorder="1" applyAlignment="1" applyProtection="1">
      <alignment horizontal="left" vertical="top" wrapText="1"/>
      <protection hidden="1"/>
    </xf>
    <xf numFmtId="0" fontId="110" fillId="0" borderId="23" xfId="54" applyFont="1" applyBorder="1" applyAlignment="1" applyProtection="1">
      <alignment horizontal="left" vertical="top" wrapText="1"/>
      <protection hidden="1"/>
    </xf>
    <xf numFmtId="0" fontId="110" fillId="0" borderId="11" xfId="54" applyFont="1" applyBorder="1" applyAlignment="1" applyProtection="1">
      <alignment horizontal="left" vertical="top" wrapText="1"/>
      <protection hidden="1"/>
    </xf>
    <xf numFmtId="0" fontId="109" fillId="0" borderId="13" xfId="54" applyFont="1" applyBorder="1" applyAlignment="1" applyProtection="1">
      <alignment horizontal="left"/>
      <protection hidden="1"/>
    </xf>
    <xf numFmtId="0" fontId="109" fillId="0" borderId="23" xfId="54" applyFont="1" applyBorder="1" applyAlignment="1" applyProtection="1">
      <alignment horizontal="left"/>
      <protection hidden="1"/>
    </xf>
    <xf numFmtId="0" fontId="109" fillId="0" borderId="11" xfId="54" applyFont="1" applyBorder="1" applyAlignment="1" applyProtection="1">
      <alignment horizontal="left"/>
      <protection hidden="1"/>
    </xf>
    <xf numFmtId="1" fontId="108" fillId="0" borderId="6" xfId="54" applyNumberFormat="1" applyFont="1" applyBorder="1" applyAlignment="1" applyProtection="1">
      <alignment horizontal="center" vertical="top" wrapText="1"/>
      <protection hidden="1"/>
    </xf>
    <xf numFmtId="0" fontId="108" fillId="0" borderId="13" xfId="54" applyFont="1" applyBorder="1" applyAlignment="1" applyProtection="1">
      <alignment horizontal="center" vertical="top" wrapText="1"/>
      <protection hidden="1"/>
    </xf>
    <xf numFmtId="0" fontId="108" fillId="0" borderId="11" xfId="54" applyFont="1" applyBorder="1" applyAlignment="1" applyProtection="1">
      <alignment horizontal="center" vertical="top" wrapText="1"/>
      <protection hidden="1"/>
    </xf>
    <xf numFmtId="1" fontId="108" fillId="0" borderId="6" xfId="54" applyNumberFormat="1" applyFont="1" applyBorder="1" applyAlignment="1" applyProtection="1">
      <alignment horizontal="left"/>
      <protection hidden="1"/>
    </xf>
    <xf numFmtId="0" fontId="108" fillId="0" borderId="6" xfId="54" applyFont="1" applyBorder="1" applyAlignment="1" applyProtection="1">
      <alignment horizontal="left"/>
      <protection hidden="1"/>
    </xf>
    <xf numFmtId="0" fontId="109" fillId="0" borderId="30" xfId="54" applyFont="1" applyBorder="1" applyAlignment="1" applyProtection="1">
      <alignment horizontal="left"/>
      <protection hidden="1"/>
    </xf>
    <xf numFmtId="0" fontId="108" fillId="0" borderId="0" xfId="54" applyFont="1" applyAlignment="1" applyProtection="1">
      <alignment horizontal="left"/>
      <protection hidden="1"/>
    </xf>
    <xf numFmtId="202" fontId="107" fillId="0" borderId="0" xfId="54" applyNumberFormat="1" applyFont="1" applyAlignment="1" applyProtection="1">
      <alignment horizontal="left"/>
      <protection hidden="1"/>
    </xf>
    <xf numFmtId="201" fontId="107" fillId="0" borderId="0" xfId="54" applyNumberFormat="1" applyFont="1" applyAlignment="1" applyProtection="1">
      <alignment horizontal="center" wrapText="1"/>
      <protection hidden="1"/>
    </xf>
    <xf numFmtId="0" fontId="108" fillId="0" borderId="12" xfId="54" applyFont="1" applyBorder="1" applyAlignment="1" applyProtection="1">
      <alignment horizontal="center" vertical="center" wrapText="1"/>
      <protection hidden="1"/>
    </xf>
    <xf numFmtId="0" fontId="108" fillId="0" borderId="22" xfId="54" applyFont="1" applyBorder="1" applyAlignment="1" applyProtection="1">
      <alignment horizontal="center" vertical="center" wrapText="1"/>
      <protection hidden="1"/>
    </xf>
    <xf numFmtId="0" fontId="108" fillId="0" borderId="17" xfId="54" applyFont="1" applyBorder="1" applyAlignment="1" applyProtection="1">
      <alignment horizontal="center" vertical="center" wrapText="1"/>
      <protection hidden="1"/>
    </xf>
    <xf numFmtId="0" fontId="109" fillId="0" borderId="6" xfId="54" applyFont="1" applyBorder="1" applyAlignment="1" applyProtection="1">
      <alignment horizontal="left"/>
      <protection hidden="1"/>
    </xf>
    <xf numFmtId="201" fontId="107" fillId="0" borderId="0" xfId="54" applyNumberFormat="1" applyFont="1" applyAlignment="1" applyProtection="1">
      <alignment horizontal="left" vertical="center"/>
      <protection hidden="1"/>
    </xf>
    <xf numFmtId="203" fontId="107" fillId="0" borderId="0" xfId="54" applyNumberFormat="1" applyFont="1" applyAlignment="1" applyProtection="1">
      <alignment horizontal="center"/>
      <protection hidden="1"/>
    </xf>
    <xf numFmtId="0" fontId="110" fillId="0" borderId="26" xfId="54" applyFont="1" applyBorder="1" applyAlignment="1" applyProtection="1">
      <alignment horizontal="right"/>
      <protection hidden="1"/>
    </xf>
    <xf numFmtId="0" fontId="109" fillId="0" borderId="0" xfId="54" applyFont="1" applyAlignment="1" applyProtection="1">
      <alignment horizontal="center" vertical="center"/>
      <protection hidden="1"/>
    </xf>
    <xf numFmtId="0" fontId="110" fillId="0" borderId="0" xfId="54" applyFont="1" applyAlignment="1" applyProtection="1">
      <alignment horizontal="right"/>
      <protection hidden="1"/>
    </xf>
    <xf numFmtId="0" fontId="74" fillId="0" borderId="0" xfId="54" applyFont="1" applyAlignment="1" applyProtection="1">
      <alignment horizontal="left" vertical="top" wrapText="1"/>
      <protection hidden="1"/>
    </xf>
    <xf numFmtId="0" fontId="107" fillId="0" borderId="0" xfId="54" applyFont="1" applyAlignment="1" applyProtection="1">
      <alignment horizontal="center" wrapText="1"/>
      <protection hidden="1"/>
    </xf>
    <xf numFmtId="0" fontId="108" fillId="0" borderId="6" xfId="54" applyFont="1" applyBorder="1" applyAlignment="1" applyProtection="1">
      <alignment horizontal="center" vertical="center" wrapText="1"/>
      <protection hidden="1"/>
    </xf>
    <xf numFmtId="0" fontId="108" fillId="0" borderId="6" xfId="54" applyFont="1" applyBorder="1" applyAlignment="1" applyProtection="1">
      <alignment horizontal="center" vertical="center"/>
      <protection hidden="1"/>
    </xf>
    <xf numFmtId="1" fontId="109" fillId="0" borderId="6" xfId="54" applyNumberFormat="1" applyFont="1" applyBorder="1" applyAlignment="1" applyProtection="1">
      <alignment horizontal="center" vertical="top" wrapText="1"/>
      <protection hidden="1"/>
    </xf>
    <xf numFmtId="0" fontId="108" fillId="0" borderId="26" xfId="54" applyFont="1" applyBorder="1" applyAlignment="1" applyProtection="1">
      <alignment horizontal="center" vertical="center"/>
      <protection hidden="1"/>
    </xf>
    <xf numFmtId="0" fontId="108" fillId="0" borderId="0" xfId="54" applyFont="1" applyAlignment="1" applyProtection="1">
      <alignment horizontal="center" vertical="center"/>
      <protection hidden="1"/>
    </xf>
    <xf numFmtId="0" fontId="109" fillId="0" borderId="13" xfId="54" applyFont="1" applyBorder="1" applyAlignment="1" applyProtection="1">
      <alignment horizontal="center" vertical="top" wrapText="1"/>
      <protection hidden="1"/>
    </xf>
    <xf numFmtId="0" fontId="109" fillId="0" borderId="11" xfId="54" applyFont="1" applyBorder="1" applyAlignment="1" applyProtection="1">
      <alignment horizontal="center" vertical="top" wrapText="1"/>
      <protection hidden="1"/>
    </xf>
    <xf numFmtId="0" fontId="6" fillId="0" borderId="13" xfId="0" applyFont="1" applyBorder="1" applyAlignment="1">
      <alignment horizontal="right" wrapText="1"/>
    </xf>
    <xf numFmtId="0" fontId="38" fillId="0" borderId="23" xfId="0" applyFont="1" applyBorder="1" applyAlignment="1">
      <alignment horizontal="right" wrapText="1"/>
    </xf>
    <xf numFmtId="0" fontId="38" fillId="0" borderId="11" xfId="0" applyFont="1" applyBorder="1" applyAlignment="1">
      <alignment horizontal="right" wrapText="1"/>
    </xf>
    <xf numFmtId="0" fontId="6" fillId="0" borderId="6" xfId="0" applyFont="1" applyBorder="1" applyAlignment="1">
      <alignment horizontal="center" wrapText="1"/>
    </xf>
    <xf numFmtId="0" fontId="38" fillId="0" borderId="6" xfId="0" applyFont="1" applyBorder="1" applyAlignment="1">
      <alignment horizontal="center" wrapText="1"/>
    </xf>
    <xf numFmtId="0" fontId="6" fillId="0" borderId="6" xfId="0" applyFont="1" applyBorder="1" applyAlignment="1">
      <alignment wrapText="1"/>
    </xf>
    <xf numFmtId="0" fontId="38" fillId="0" borderId="6" xfId="0" applyFont="1" applyBorder="1" applyAlignment="1">
      <alignment wrapText="1"/>
    </xf>
    <xf numFmtId="0" fontId="4" fillId="0" borderId="17" xfId="0" applyFont="1" applyBorder="1" applyAlignment="1">
      <alignment wrapText="1"/>
    </xf>
    <xf numFmtId="0" fontId="6" fillId="0" borderId="17" xfId="0" applyFont="1" applyBorder="1" applyAlignment="1">
      <alignment wrapText="1"/>
    </xf>
    <xf numFmtId="0" fontId="38" fillId="0" borderId="13" xfId="0" applyFont="1" applyBorder="1" applyAlignment="1">
      <alignment horizontal="left" wrapText="1"/>
    </xf>
    <xf numFmtId="0" fontId="38" fillId="0" borderId="11" xfId="0" applyFont="1" applyBorder="1" applyAlignment="1">
      <alignment horizontal="left" wrapText="1"/>
    </xf>
    <xf numFmtId="0" fontId="38" fillId="0" borderId="6" xfId="0" applyFont="1" applyBorder="1" applyAlignment="1">
      <alignment horizontal="left" wrapText="1"/>
    </xf>
    <xf numFmtId="0" fontId="38" fillId="0" borderId="13" xfId="0" applyFont="1" applyBorder="1" applyAlignment="1">
      <alignment horizontal="right" wrapText="1"/>
    </xf>
    <xf numFmtId="0" fontId="38" fillId="0" borderId="23" xfId="0" applyFont="1" applyBorder="1" applyAlignment="1">
      <alignment wrapText="1"/>
    </xf>
    <xf numFmtId="0" fontId="38" fillId="0" borderId="11" xfId="0" applyFont="1" applyBorder="1" applyAlignment="1">
      <alignment wrapText="1"/>
    </xf>
    <xf numFmtId="0" fontId="4" fillId="0" borderId="56" xfId="0" applyFont="1" applyBorder="1" applyAlignment="1">
      <alignment wrapText="1"/>
    </xf>
    <xf numFmtId="0" fontId="38" fillId="0" borderId="71" xfId="0" applyFont="1" applyBorder="1" applyAlignment="1">
      <alignment wrapText="1"/>
    </xf>
    <xf numFmtId="0" fontId="38" fillId="0" borderId="7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3" xfId="0" applyFont="1" applyBorder="1" applyAlignment="1">
      <alignment wrapText="1"/>
    </xf>
    <xf numFmtId="0" fontId="6" fillId="0" borderId="13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06" fillId="0" borderId="23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0" fontId="117" fillId="0" borderId="6" xfId="52" applyFont="1" applyBorder="1" applyAlignment="1">
      <alignment horizontal="left" vertical="top" wrapText="1"/>
    </xf>
    <xf numFmtId="0" fontId="111" fillId="0" borderId="6" xfId="52" applyFont="1" applyBorder="1" applyAlignment="1">
      <alignment horizontal="left" vertical="top" wrapText="1"/>
    </xf>
    <xf numFmtId="0" fontId="117" fillId="0" borderId="13" xfId="52" applyFont="1" applyBorder="1" applyAlignment="1">
      <alignment horizontal="left" wrapText="1"/>
    </xf>
    <xf numFmtId="0" fontId="117" fillId="0" borderId="23" xfId="52" applyFont="1" applyBorder="1" applyAlignment="1">
      <alignment horizontal="left" wrapText="1"/>
    </xf>
    <xf numFmtId="0" fontId="117" fillId="0" borderId="11" xfId="52" applyFont="1" applyBorder="1" applyAlignment="1">
      <alignment horizontal="left" wrapText="1"/>
    </xf>
    <xf numFmtId="0" fontId="107" fillId="0" borderId="30" xfId="46" applyFont="1" applyBorder="1" applyAlignment="1" applyProtection="1">
      <alignment horizontal="center" vertical="center" wrapText="1"/>
      <protection locked="0"/>
    </xf>
    <xf numFmtId="0" fontId="107" fillId="0" borderId="0" xfId="46" applyFont="1" applyAlignment="1" applyProtection="1">
      <alignment horizontal="center" vertical="center" wrapText="1"/>
      <protection locked="0"/>
    </xf>
    <xf numFmtId="0" fontId="107" fillId="0" borderId="31" xfId="46" applyFont="1" applyBorder="1" applyAlignment="1" applyProtection="1">
      <alignment horizontal="center" vertical="center" wrapText="1"/>
      <protection locked="0"/>
    </xf>
    <xf numFmtId="0" fontId="22" fillId="0" borderId="6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6" fillId="0" borderId="11" xfId="0" applyFont="1" applyBorder="1" applyAlignment="1">
      <alignment horizontal="center" wrapText="1"/>
    </xf>
    <xf numFmtId="0" fontId="6" fillId="0" borderId="13" xfId="0" applyFont="1" applyBorder="1" applyAlignment="1">
      <alignment horizontal="left" wrapText="1"/>
    </xf>
    <xf numFmtId="0" fontId="6" fillId="0" borderId="23" xfId="0" applyFont="1" applyBorder="1" applyAlignment="1">
      <alignment horizontal="left" wrapText="1"/>
    </xf>
    <xf numFmtId="0" fontId="6" fillId="0" borderId="11" xfId="0" applyFont="1" applyBorder="1" applyAlignment="1">
      <alignment horizontal="left" wrapText="1"/>
    </xf>
    <xf numFmtId="0" fontId="47" fillId="0" borderId="28" xfId="0" applyFont="1" applyBorder="1" applyAlignment="1">
      <alignment wrapText="1"/>
    </xf>
    <xf numFmtId="0" fontId="0" fillId="0" borderId="26" xfId="0" applyBorder="1" applyAlignment="1">
      <alignment wrapText="1"/>
    </xf>
    <xf numFmtId="0" fontId="0" fillId="0" borderId="29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27" xfId="0" applyBorder="1" applyAlignment="1">
      <alignment wrapText="1"/>
    </xf>
    <xf numFmtId="0" fontId="0" fillId="0" borderId="33" xfId="0" applyBorder="1" applyAlignment="1">
      <alignment wrapText="1"/>
    </xf>
    <xf numFmtId="0" fontId="108" fillId="0" borderId="28" xfId="43" applyFont="1" applyBorder="1" applyAlignment="1">
      <alignment horizontal="center" vertical="center"/>
    </xf>
    <xf numFmtId="0" fontId="108" fillId="0" borderId="29" xfId="43" applyFont="1" applyBorder="1" applyAlignment="1">
      <alignment horizontal="center" vertical="center"/>
    </xf>
    <xf numFmtId="0" fontId="108" fillId="0" borderId="32" xfId="43" applyFont="1" applyBorder="1" applyAlignment="1">
      <alignment horizontal="center" vertical="center"/>
    </xf>
    <xf numFmtId="0" fontId="108" fillId="0" borderId="33" xfId="43" applyFont="1" applyBorder="1" applyAlignment="1">
      <alignment horizontal="center" vertical="center"/>
    </xf>
    <xf numFmtId="0" fontId="0" fillId="0" borderId="13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02" fillId="0" borderId="6" xfId="0" applyFont="1" applyBorder="1" applyAlignment="1">
      <alignment horizontal="center"/>
    </xf>
    <xf numFmtId="0" fontId="30" fillId="37" borderId="6" xfId="0" applyFont="1" applyFill="1" applyBorder="1" applyAlignment="1">
      <alignment horizontal="center" vertical="center" wrapText="1"/>
    </xf>
    <xf numFmtId="0" fontId="106" fillId="0" borderId="28" xfId="43" applyFont="1" applyBorder="1" applyAlignment="1">
      <alignment horizontal="center" vertical="center"/>
    </xf>
    <xf numFmtId="0" fontId="106" fillId="0" borderId="26" xfId="43" applyFont="1" applyBorder="1" applyAlignment="1">
      <alignment horizontal="center" vertical="center"/>
    </xf>
    <xf numFmtId="0" fontId="106" fillId="0" borderId="29" xfId="43" applyFont="1" applyBorder="1" applyAlignment="1">
      <alignment horizontal="center" vertical="center"/>
    </xf>
    <xf numFmtId="0" fontId="106" fillId="0" borderId="32" xfId="43" applyFont="1" applyBorder="1" applyAlignment="1">
      <alignment horizontal="center" vertical="center"/>
    </xf>
    <xf numFmtId="0" fontId="106" fillId="0" borderId="27" xfId="43" applyFont="1" applyBorder="1" applyAlignment="1">
      <alignment horizontal="center" vertical="center"/>
    </xf>
    <xf numFmtId="0" fontId="106" fillId="0" borderId="33" xfId="43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108" fillId="0" borderId="28" xfId="43" applyFont="1" applyBorder="1" applyAlignment="1" applyProtection="1">
      <alignment horizontal="center" vertical="center" wrapText="1"/>
      <protection locked="0"/>
    </xf>
    <xf numFmtId="0" fontId="108" fillId="0" borderId="26" xfId="43" applyFont="1" applyBorder="1" applyAlignment="1" applyProtection="1">
      <alignment horizontal="center" vertical="center" wrapText="1"/>
      <protection locked="0"/>
    </xf>
    <xf numFmtId="0" fontId="108" fillId="0" borderId="29" xfId="43" applyFont="1" applyBorder="1" applyAlignment="1" applyProtection="1">
      <alignment horizontal="center" vertical="center" wrapText="1"/>
      <protection locked="0"/>
    </xf>
    <xf numFmtId="0" fontId="108" fillId="0" borderId="32" xfId="43" applyFont="1" applyBorder="1" applyAlignment="1" applyProtection="1">
      <alignment horizontal="center" vertical="center" wrapText="1"/>
      <protection locked="0"/>
    </xf>
    <xf numFmtId="0" fontId="108" fillId="0" borderId="27" xfId="43" applyFont="1" applyBorder="1" applyAlignment="1" applyProtection="1">
      <alignment horizontal="center" vertical="center" wrapText="1"/>
      <protection locked="0"/>
    </xf>
    <xf numFmtId="0" fontId="108" fillId="0" borderId="33" xfId="43" applyFont="1" applyBorder="1" applyAlignment="1" applyProtection="1">
      <alignment horizontal="center" vertical="center" wrapText="1"/>
      <protection locked="0"/>
    </xf>
    <xf numFmtId="0" fontId="109" fillId="0" borderId="28" xfId="43" applyFont="1" applyBorder="1" applyAlignment="1">
      <alignment horizontal="center" vertical="center"/>
    </xf>
    <xf numFmtId="0" fontId="109" fillId="0" borderId="29" xfId="43" applyFont="1" applyBorder="1" applyAlignment="1">
      <alignment horizontal="center" vertical="center"/>
    </xf>
    <xf numFmtId="0" fontId="109" fillId="0" borderId="32" xfId="43" applyFont="1" applyBorder="1" applyAlignment="1">
      <alignment horizontal="center" vertical="center"/>
    </xf>
    <xf numFmtId="0" fontId="109" fillId="0" borderId="33" xfId="43" applyFont="1" applyBorder="1" applyAlignment="1">
      <alignment horizontal="center" vertical="center"/>
    </xf>
    <xf numFmtId="0" fontId="0" fillId="0" borderId="13" xfId="0" applyBorder="1" applyAlignment="1">
      <alignment wrapText="1"/>
    </xf>
    <xf numFmtId="0" fontId="109" fillId="0" borderId="13" xfId="43" applyFont="1" applyBorder="1" applyAlignment="1">
      <alignment horizontal="center" vertical="center"/>
    </xf>
    <xf numFmtId="0" fontId="109" fillId="0" borderId="11" xfId="43" applyFont="1" applyBorder="1" applyAlignment="1">
      <alignment horizontal="center" vertical="center"/>
    </xf>
    <xf numFmtId="15" fontId="107" fillId="0" borderId="13" xfId="43" applyNumberFormat="1" applyFont="1" applyBorder="1" applyAlignment="1" applyProtection="1">
      <alignment horizontal="center" vertical="center" wrapText="1"/>
      <protection locked="0"/>
    </xf>
    <xf numFmtId="15" fontId="107" fillId="0" borderId="11" xfId="43" applyNumberFormat="1" applyFont="1" applyBorder="1" applyAlignment="1" applyProtection="1">
      <alignment horizontal="center" vertical="center" wrapText="1"/>
      <protection locked="0"/>
    </xf>
    <xf numFmtId="0" fontId="30" fillId="37" borderId="13" xfId="0" applyFont="1" applyFill="1" applyBorder="1" applyAlignment="1">
      <alignment horizontal="left" vertical="center" wrapText="1"/>
    </xf>
    <xf numFmtId="0" fontId="30" fillId="37" borderId="23" xfId="0" applyFont="1" applyFill="1" applyBorder="1" applyAlignment="1">
      <alignment horizontal="left" vertical="center" wrapText="1"/>
    </xf>
    <xf numFmtId="0" fontId="30" fillId="37" borderId="11" xfId="0" applyFont="1" applyFill="1" applyBorder="1" applyAlignment="1">
      <alignment horizontal="left" vertical="center" wrapText="1"/>
    </xf>
    <xf numFmtId="0" fontId="47" fillId="0" borderId="13" xfId="57" applyFont="1" applyBorder="1" applyAlignment="1">
      <alignment horizontal="left" vertical="top" wrapText="1"/>
    </xf>
    <xf numFmtId="0" fontId="47" fillId="0" borderId="23" xfId="57" applyFont="1" applyBorder="1" applyAlignment="1">
      <alignment horizontal="left" vertical="top" wrapText="1"/>
    </xf>
    <xf numFmtId="0" fontId="47" fillId="0" borderId="11" xfId="57" applyFont="1" applyBorder="1" applyAlignment="1">
      <alignment horizontal="left" vertical="top" wrapText="1"/>
    </xf>
    <xf numFmtId="0" fontId="133" fillId="0" borderId="13" xfId="0" applyFont="1" applyBorder="1" applyAlignment="1">
      <alignment horizontal="center" wrapText="1"/>
    </xf>
    <xf numFmtId="0" fontId="133" fillId="0" borderId="11" xfId="0" applyFont="1" applyBorder="1" applyAlignment="1">
      <alignment horizontal="center" wrapText="1"/>
    </xf>
    <xf numFmtId="0" fontId="4" fillId="0" borderId="6" xfId="0" applyFont="1" applyBorder="1" applyAlignment="1">
      <alignment wrapText="1"/>
    </xf>
    <xf numFmtId="0" fontId="47" fillId="0" borderId="13" xfId="57" applyFont="1" applyBorder="1"/>
    <xf numFmtId="0" fontId="47" fillId="0" borderId="23" xfId="57" applyFont="1" applyBorder="1"/>
    <xf numFmtId="0" fontId="47" fillId="0" borderId="11" xfId="57" applyFont="1" applyBorder="1"/>
    <xf numFmtId="0" fontId="47" fillId="0" borderId="6" xfId="57" applyFont="1" applyBorder="1" applyAlignment="1">
      <alignment horizontal="center" wrapText="1"/>
    </xf>
    <xf numFmtId="0" fontId="47" fillId="0" borderId="13" xfId="0" applyFont="1" applyBorder="1" applyAlignment="1">
      <alignment wrapText="1"/>
    </xf>
  </cellXfs>
  <cellStyles count="69">
    <cellStyle name="20% - Accent1" xfId="1" builtinId="30" customBuiltin="1"/>
    <cellStyle name="20% - Accent2" xfId="2" builtinId="34" customBuiltin="1"/>
    <cellStyle name="20% - Accent2 2 2 3" xfId="3" xr:uid="{00000000-0005-0000-0000-000002000000}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d" xfId="26" builtinId="27" customBuiltin="1"/>
    <cellStyle name="Calculation" xfId="27" builtinId="22" customBuiltin="1"/>
    <cellStyle name="Check Cell" xfId="28" builtinId="23" customBuiltin="1"/>
    <cellStyle name="Comma 2" xfId="29" xr:uid="{00000000-0005-0000-0000-00001C000000}"/>
    <cellStyle name="Currency 2" xfId="30" xr:uid="{00000000-0005-0000-0000-00001D000000}"/>
    <cellStyle name="Explanatory Text" xfId="31" builtinId="53" customBuiltin="1"/>
    <cellStyle name="Good" xfId="32" builtinId="26" customBuiltin="1"/>
    <cellStyle name="Grey" xfId="33" xr:uid="{00000000-0005-0000-0000-000020000000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Input [yellow]" xfId="39" xr:uid="{00000000-0005-0000-0000-000026000000}"/>
    <cellStyle name="Linked Cell" xfId="40" builtinId="24" customBuiltin="1"/>
    <cellStyle name="Neutral" xfId="41" builtinId="28" customBuiltin="1"/>
    <cellStyle name="Normal" xfId="0" builtinId="0"/>
    <cellStyle name="Normal - Style1" xfId="42" xr:uid="{00000000-0005-0000-0000-00002A000000}"/>
    <cellStyle name="Normal 10 2 2" xfId="43" xr:uid="{00000000-0005-0000-0000-00002B000000}"/>
    <cellStyle name="Normal 2" xfId="44" xr:uid="{00000000-0005-0000-0000-00002C000000}"/>
    <cellStyle name="Normal 2 10" xfId="45" xr:uid="{00000000-0005-0000-0000-00002D000000}"/>
    <cellStyle name="Normal 2 2" xfId="46" xr:uid="{00000000-0005-0000-0000-00002E000000}"/>
    <cellStyle name="Normal 2 3" xfId="47" xr:uid="{00000000-0005-0000-0000-00002F000000}"/>
    <cellStyle name="Normal 2 4" xfId="48" xr:uid="{00000000-0005-0000-0000-000030000000}"/>
    <cellStyle name="Normal 2 5" xfId="49" xr:uid="{00000000-0005-0000-0000-000031000000}"/>
    <cellStyle name="Normal 22" xfId="50" xr:uid="{00000000-0005-0000-0000-000032000000}"/>
    <cellStyle name="Normal 3" xfId="51" xr:uid="{00000000-0005-0000-0000-000033000000}"/>
    <cellStyle name="Normal 3 2 2" xfId="52" xr:uid="{00000000-0005-0000-0000-000034000000}"/>
    <cellStyle name="Normal 3 4" xfId="53" xr:uid="{00000000-0005-0000-0000-000035000000}"/>
    <cellStyle name="Normal 4" xfId="54" xr:uid="{00000000-0005-0000-0000-000036000000}"/>
    <cellStyle name="Normal 5" xfId="55" xr:uid="{00000000-0005-0000-0000-000037000000}"/>
    <cellStyle name="Normal 6" xfId="56" xr:uid="{00000000-0005-0000-0000-000038000000}"/>
    <cellStyle name="Normal_valve chamber1" xfId="57" xr:uid="{00000000-0005-0000-0000-000039000000}"/>
    <cellStyle name="Normal_valve chamber1 2" xfId="58" xr:uid="{00000000-0005-0000-0000-00003A000000}"/>
    <cellStyle name="Note" xfId="59" builtinId="10" customBuiltin="1"/>
    <cellStyle name="Output" xfId="60" builtinId="21" customBuiltin="1"/>
    <cellStyle name="Percent [2]" xfId="61" xr:uid="{00000000-0005-0000-0000-00003D000000}"/>
    <cellStyle name="Percent 2 2" xfId="62" xr:uid="{00000000-0005-0000-0000-00003E000000}"/>
    <cellStyle name="Times New Roman" xfId="63" xr:uid="{00000000-0005-0000-0000-00003F000000}"/>
    <cellStyle name="Title" xfId="64" builtinId="15" customBuiltin="1"/>
    <cellStyle name="Title 2" xfId="65" xr:uid="{00000000-0005-0000-0000-000041000000}"/>
    <cellStyle name="Total" xfId="66" builtinId="25" customBuiltin="1"/>
    <cellStyle name="Warning Text" xfId="67" builtinId="11" customBuiltin="1"/>
    <cellStyle name="標準_SUMMARY_1" xfId="68" xr:uid="{00000000-0005-0000-0000-000044000000}"/>
  </cellStyles>
  <dxfs count="20"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 patternType="none">
          <bgColor indexed="65"/>
        </patternFill>
      </fill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122464</xdr:colOff>
      <xdr:row>6</xdr:row>
      <xdr:rowOff>13607</xdr:rowOff>
    </xdr:from>
    <xdr:to>
      <xdr:col>6</xdr:col>
      <xdr:colOff>1088571</xdr:colOff>
      <xdr:row>42</xdr:row>
      <xdr:rowOff>149679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64" y="3279321"/>
          <a:ext cx="5878286" cy="60143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0</xdr:row>
          <xdr:rowOff>104775</xdr:rowOff>
        </xdr:from>
        <xdr:to>
          <xdr:col>2</xdr:col>
          <xdr:colOff>485775</xdr:colOff>
          <xdr:row>0</xdr:row>
          <xdr:rowOff>466725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0</xdr:row>
          <xdr:rowOff>104775</xdr:rowOff>
        </xdr:from>
        <xdr:to>
          <xdr:col>2</xdr:col>
          <xdr:colOff>485775</xdr:colOff>
          <xdr:row>0</xdr:row>
          <xdr:rowOff>466725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161925</xdr:rowOff>
        </xdr:from>
        <xdr:to>
          <xdr:col>4</xdr:col>
          <xdr:colOff>466725</xdr:colOff>
          <xdr:row>0</xdr:row>
          <xdr:rowOff>523875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179</xdr:row>
      <xdr:rowOff>304800</xdr:rowOff>
    </xdr:from>
    <xdr:to>
      <xdr:col>3</xdr:col>
      <xdr:colOff>733425</xdr:colOff>
      <xdr:row>181</xdr:row>
      <xdr:rowOff>190500</xdr:rowOff>
    </xdr:to>
    <xdr:sp macro="" textlink="">
      <xdr:nvSpPr>
        <xdr:cNvPr id="1454871" name="Line 25">
          <a:extLst>
            <a:ext uri="{FF2B5EF4-FFF2-40B4-BE49-F238E27FC236}">
              <a16:creationId xmlns:a16="http://schemas.microsoft.com/office/drawing/2014/main" id="{00000000-0008-0000-0300-000017331600}"/>
            </a:ext>
          </a:extLst>
        </xdr:cNvPr>
        <xdr:cNvSpPr>
          <a:spLocks noChangeShapeType="1"/>
        </xdr:cNvSpPr>
      </xdr:nvSpPr>
      <xdr:spPr bwMode="auto">
        <a:xfrm>
          <a:off x="3114675" y="39319200"/>
          <a:ext cx="638175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742950</xdr:colOff>
      <xdr:row>179</xdr:row>
      <xdr:rowOff>276225</xdr:rowOff>
    </xdr:from>
    <xdr:to>
      <xdr:col>4</xdr:col>
      <xdr:colOff>295275</xdr:colOff>
      <xdr:row>181</xdr:row>
      <xdr:rowOff>200025</xdr:rowOff>
    </xdr:to>
    <xdr:sp macro="" textlink="">
      <xdr:nvSpPr>
        <xdr:cNvPr id="1454872" name="Line 26">
          <a:extLst>
            <a:ext uri="{FF2B5EF4-FFF2-40B4-BE49-F238E27FC236}">
              <a16:creationId xmlns:a16="http://schemas.microsoft.com/office/drawing/2014/main" id="{00000000-0008-0000-0300-000018331600}"/>
            </a:ext>
          </a:extLst>
        </xdr:cNvPr>
        <xdr:cNvSpPr>
          <a:spLocks noChangeShapeType="1"/>
        </xdr:cNvSpPr>
      </xdr:nvSpPr>
      <xdr:spPr bwMode="auto">
        <a:xfrm flipV="1">
          <a:off x="3762375" y="39290625"/>
          <a:ext cx="72390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179</xdr:row>
      <xdr:rowOff>66675</xdr:rowOff>
    </xdr:from>
    <xdr:to>
      <xdr:col>3</xdr:col>
      <xdr:colOff>85725</xdr:colOff>
      <xdr:row>179</xdr:row>
      <xdr:rowOff>276225</xdr:rowOff>
    </xdr:to>
    <xdr:sp macro="" textlink="">
      <xdr:nvSpPr>
        <xdr:cNvPr id="1454873" name="Line 27">
          <a:extLst>
            <a:ext uri="{FF2B5EF4-FFF2-40B4-BE49-F238E27FC236}">
              <a16:creationId xmlns:a16="http://schemas.microsoft.com/office/drawing/2014/main" id="{00000000-0008-0000-0300-000019331600}"/>
            </a:ext>
          </a:extLst>
        </xdr:cNvPr>
        <xdr:cNvSpPr>
          <a:spLocks noChangeShapeType="1"/>
        </xdr:cNvSpPr>
      </xdr:nvSpPr>
      <xdr:spPr bwMode="auto">
        <a:xfrm flipV="1">
          <a:off x="3105150" y="390810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276225</xdr:colOff>
      <xdr:row>179</xdr:row>
      <xdr:rowOff>66675</xdr:rowOff>
    </xdr:from>
    <xdr:to>
      <xdr:col>4</xdr:col>
      <xdr:colOff>276225</xdr:colOff>
      <xdr:row>179</xdr:row>
      <xdr:rowOff>266700</xdr:rowOff>
    </xdr:to>
    <xdr:sp macro="" textlink="">
      <xdr:nvSpPr>
        <xdr:cNvPr id="1454874" name="Line 28">
          <a:extLst>
            <a:ext uri="{FF2B5EF4-FFF2-40B4-BE49-F238E27FC236}">
              <a16:creationId xmlns:a16="http://schemas.microsoft.com/office/drawing/2014/main" id="{00000000-0008-0000-0300-00001A331600}"/>
            </a:ext>
          </a:extLst>
        </xdr:cNvPr>
        <xdr:cNvSpPr>
          <a:spLocks noChangeShapeType="1"/>
        </xdr:cNvSpPr>
      </xdr:nvSpPr>
      <xdr:spPr bwMode="auto">
        <a:xfrm flipV="1">
          <a:off x="4467225" y="390810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179</xdr:row>
      <xdr:rowOff>152400</xdr:rowOff>
    </xdr:from>
    <xdr:to>
      <xdr:col>4</xdr:col>
      <xdr:colOff>276225</xdr:colOff>
      <xdr:row>179</xdr:row>
      <xdr:rowOff>152400</xdr:rowOff>
    </xdr:to>
    <xdr:sp macro="" textlink="">
      <xdr:nvSpPr>
        <xdr:cNvPr id="1454875" name="Line 29">
          <a:extLst>
            <a:ext uri="{FF2B5EF4-FFF2-40B4-BE49-F238E27FC236}">
              <a16:creationId xmlns:a16="http://schemas.microsoft.com/office/drawing/2014/main" id="{00000000-0008-0000-0300-00001B331600}"/>
            </a:ext>
          </a:extLst>
        </xdr:cNvPr>
        <xdr:cNvSpPr>
          <a:spLocks noChangeShapeType="1"/>
        </xdr:cNvSpPr>
      </xdr:nvSpPr>
      <xdr:spPr bwMode="auto">
        <a:xfrm>
          <a:off x="3114675" y="39166800"/>
          <a:ext cx="1352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333375</xdr:rowOff>
    </xdr:from>
    <xdr:to>
      <xdr:col>3</xdr:col>
      <xdr:colOff>495300</xdr:colOff>
      <xdr:row>181</xdr:row>
      <xdr:rowOff>247650</xdr:rowOff>
    </xdr:to>
    <xdr:sp macro="" textlink="">
      <xdr:nvSpPr>
        <xdr:cNvPr id="1454876" name="Line 30">
          <a:extLst>
            <a:ext uri="{FF2B5EF4-FFF2-40B4-BE49-F238E27FC236}">
              <a16:creationId xmlns:a16="http://schemas.microsoft.com/office/drawing/2014/main" id="{00000000-0008-0000-0300-00001C331600}"/>
            </a:ext>
          </a:extLst>
        </xdr:cNvPr>
        <xdr:cNvSpPr>
          <a:spLocks noChangeShapeType="1"/>
        </xdr:cNvSpPr>
      </xdr:nvSpPr>
      <xdr:spPr bwMode="auto">
        <a:xfrm>
          <a:off x="3514725" y="396906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1000125</xdr:colOff>
      <xdr:row>180</xdr:row>
      <xdr:rowOff>314325</xdr:rowOff>
    </xdr:from>
    <xdr:to>
      <xdr:col>3</xdr:col>
      <xdr:colOff>1000125</xdr:colOff>
      <xdr:row>181</xdr:row>
      <xdr:rowOff>238125</xdr:rowOff>
    </xdr:to>
    <xdr:sp macro="" textlink="">
      <xdr:nvSpPr>
        <xdr:cNvPr id="1454877" name="Line 31">
          <a:extLst>
            <a:ext uri="{FF2B5EF4-FFF2-40B4-BE49-F238E27FC236}">
              <a16:creationId xmlns:a16="http://schemas.microsoft.com/office/drawing/2014/main" id="{00000000-0008-0000-0300-00001D331600}"/>
            </a:ext>
          </a:extLst>
        </xdr:cNvPr>
        <xdr:cNvSpPr>
          <a:spLocks noChangeShapeType="1"/>
        </xdr:cNvSpPr>
      </xdr:nvSpPr>
      <xdr:spPr bwMode="auto">
        <a:xfrm>
          <a:off x="4019550" y="396716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181</xdr:row>
      <xdr:rowOff>142875</xdr:rowOff>
    </xdr:from>
    <xdr:to>
      <xdr:col>3</xdr:col>
      <xdr:colOff>1009650</xdr:colOff>
      <xdr:row>181</xdr:row>
      <xdr:rowOff>142875</xdr:rowOff>
    </xdr:to>
    <xdr:sp macro="" textlink="">
      <xdr:nvSpPr>
        <xdr:cNvPr id="1454878" name="Line 32">
          <a:extLst>
            <a:ext uri="{FF2B5EF4-FFF2-40B4-BE49-F238E27FC236}">
              <a16:creationId xmlns:a16="http://schemas.microsoft.com/office/drawing/2014/main" id="{00000000-0008-0000-0300-00001E331600}"/>
            </a:ext>
          </a:extLst>
        </xdr:cNvPr>
        <xdr:cNvSpPr>
          <a:spLocks noChangeShapeType="1"/>
        </xdr:cNvSpPr>
      </xdr:nvSpPr>
      <xdr:spPr bwMode="auto">
        <a:xfrm>
          <a:off x="3524250" y="39843075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190500</xdr:rowOff>
    </xdr:from>
    <xdr:to>
      <xdr:col>3</xdr:col>
      <xdr:colOff>990600</xdr:colOff>
      <xdr:row>180</xdr:row>
      <xdr:rowOff>333375</xdr:rowOff>
    </xdr:to>
    <xdr:sp macro="" textlink="">
      <xdr:nvSpPr>
        <xdr:cNvPr id="1454879" name="Freeform 34">
          <a:extLst>
            <a:ext uri="{FF2B5EF4-FFF2-40B4-BE49-F238E27FC236}">
              <a16:creationId xmlns:a16="http://schemas.microsoft.com/office/drawing/2014/main" id="{00000000-0008-0000-0300-00001F331600}"/>
            </a:ext>
          </a:extLst>
        </xdr:cNvPr>
        <xdr:cNvSpPr>
          <a:spLocks/>
        </xdr:cNvSpPr>
      </xdr:nvSpPr>
      <xdr:spPr bwMode="auto">
        <a:xfrm>
          <a:off x="3514725" y="39547800"/>
          <a:ext cx="495300" cy="142875"/>
        </a:xfrm>
        <a:custGeom>
          <a:avLst/>
          <a:gdLst>
            <a:gd name="T0" fmla="*/ 0 w 58"/>
            <a:gd name="T1" fmla="*/ 2147483646 h 12"/>
            <a:gd name="T2" fmla="*/ 2147483646 w 58"/>
            <a:gd name="T3" fmla="*/ 2147483646 h 12"/>
            <a:gd name="T4" fmla="*/ 2147483646 w 58"/>
            <a:gd name="T5" fmla="*/ 2147483646 h 12"/>
            <a:gd name="T6" fmla="*/ 0 60000 65536"/>
            <a:gd name="T7" fmla="*/ 0 60000 65536"/>
            <a:gd name="T8" fmla="*/ 0 60000 65536"/>
            <a:gd name="T9" fmla="*/ 0 w 58"/>
            <a:gd name="T10" fmla="*/ 0 h 12"/>
            <a:gd name="T11" fmla="*/ 58 w 58"/>
            <a:gd name="T12" fmla="*/ 12 h 1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58" h="12">
              <a:moveTo>
                <a:pt x="0" y="8"/>
              </a:moveTo>
              <a:cubicBezTo>
                <a:pt x="11" y="4"/>
                <a:pt x="22" y="0"/>
                <a:pt x="32" y="1"/>
              </a:cubicBezTo>
              <a:cubicBezTo>
                <a:pt x="42" y="2"/>
                <a:pt x="54" y="10"/>
                <a:pt x="58" y="12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895350</xdr:colOff>
      <xdr:row>193</xdr:row>
      <xdr:rowOff>9525</xdr:rowOff>
    </xdr:from>
    <xdr:to>
      <xdr:col>4</xdr:col>
      <xdr:colOff>1019175</xdr:colOff>
      <xdr:row>195</xdr:row>
      <xdr:rowOff>104775</xdr:rowOff>
    </xdr:to>
    <xdr:sp macro="" textlink="">
      <xdr:nvSpPr>
        <xdr:cNvPr id="1454880" name="Freeform 35">
          <a:extLst>
            <a:ext uri="{FF2B5EF4-FFF2-40B4-BE49-F238E27FC236}">
              <a16:creationId xmlns:a16="http://schemas.microsoft.com/office/drawing/2014/main" id="{00000000-0008-0000-0300-000020331600}"/>
            </a:ext>
          </a:extLst>
        </xdr:cNvPr>
        <xdr:cNvSpPr>
          <a:spLocks/>
        </xdr:cNvSpPr>
      </xdr:nvSpPr>
      <xdr:spPr bwMode="auto">
        <a:xfrm rot="396078">
          <a:off x="3914775" y="43986450"/>
          <a:ext cx="1295400" cy="495300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828675</xdr:colOff>
      <xdr:row>192</xdr:row>
      <xdr:rowOff>190500</xdr:rowOff>
    </xdr:from>
    <xdr:to>
      <xdr:col>3</xdr:col>
      <xdr:colOff>828675</xdr:colOff>
      <xdr:row>200</xdr:row>
      <xdr:rowOff>0</xdr:rowOff>
    </xdr:to>
    <xdr:sp macro="" textlink="">
      <xdr:nvSpPr>
        <xdr:cNvPr id="1454881" name="Line 37">
          <a:extLst>
            <a:ext uri="{FF2B5EF4-FFF2-40B4-BE49-F238E27FC236}">
              <a16:creationId xmlns:a16="http://schemas.microsoft.com/office/drawing/2014/main" id="{00000000-0008-0000-0300-000021331600}"/>
            </a:ext>
          </a:extLst>
        </xdr:cNvPr>
        <xdr:cNvSpPr>
          <a:spLocks noChangeShapeType="1"/>
        </xdr:cNvSpPr>
      </xdr:nvSpPr>
      <xdr:spPr bwMode="auto">
        <a:xfrm>
          <a:off x="3848100" y="43967400"/>
          <a:ext cx="0" cy="1247775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194</xdr:row>
      <xdr:rowOff>142875</xdr:rowOff>
    </xdr:from>
    <xdr:to>
      <xdr:col>4</xdr:col>
      <xdr:colOff>314325</xdr:colOff>
      <xdr:row>197</xdr:row>
      <xdr:rowOff>0</xdr:rowOff>
    </xdr:to>
    <xdr:sp macro="" textlink="">
      <xdr:nvSpPr>
        <xdr:cNvPr id="1454882" name="Line 38">
          <a:extLst>
            <a:ext uri="{FF2B5EF4-FFF2-40B4-BE49-F238E27FC236}">
              <a16:creationId xmlns:a16="http://schemas.microsoft.com/office/drawing/2014/main" id="{00000000-0008-0000-0300-000022331600}"/>
            </a:ext>
          </a:extLst>
        </xdr:cNvPr>
        <xdr:cNvSpPr>
          <a:spLocks noChangeShapeType="1"/>
        </xdr:cNvSpPr>
      </xdr:nvSpPr>
      <xdr:spPr bwMode="auto">
        <a:xfrm flipH="1" flipV="1">
          <a:off x="4286250" y="44319825"/>
          <a:ext cx="219075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195</xdr:row>
      <xdr:rowOff>19050</xdr:rowOff>
    </xdr:from>
    <xdr:to>
      <xdr:col>4</xdr:col>
      <xdr:colOff>152400</xdr:colOff>
      <xdr:row>195</xdr:row>
      <xdr:rowOff>28575</xdr:rowOff>
    </xdr:to>
    <xdr:sp macro="" textlink="">
      <xdr:nvSpPr>
        <xdr:cNvPr id="1454883" name="Line 40">
          <a:extLst>
            <a:ext uri="{FF2B5EF4-FFF2-40B4-BE49-F238E27FC236}">
              <a16:creationId xmlns:a16="http://schemas.microsoft.com/office/drawing/2014/main" id="{00000000-0008-0000-0300-000023331600}"/>
            </a:ext>
          </a:extLst>
        </xdr:cNvPr>
        <xdr:cNvSpPr>
          <a:spLocks noChangeShapeType="1"/>
        </xdr:cNvSpPr>
      </xdr:nvSpPr>
      <xdr:spPr bwMode="auto">
        <a:xfrm flipV="1">
          <a:off x="3724275" y="44396025"/>
          <a:ext cx="6191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1162050</xdr:colOff>
      <xdr:row>194</xdr:row>
      <xdr:rowOff>114300</xdr:rowOff>
    </xdr:from>
    <xdr:to>
      <xdr:col>4</xdr:col>
      <xdr:colOff>47625</xdr:colOff>
      <xdr:row>195</xdr:row>
      <xdr:rowOff>104775</xdr:rowOff>
    </xdr:to>
    <xdr:sp macro="" textlink="">
      <xdr:nvSpPr>
        <xdr:cNvPr id="1454884" name="Line 41">
          <a:extLst>
            <a:ext uri="{FF2B5EF4-FFF2-40B4-BE49-F238E27FC236}">
              <a16:creationId xmlns:a16="http://schemas.microsoft.com/office/drawing/2014/main" id="{00000000-0008-0000-0300-000024331600}"/>
            </a:ext>
          </a:extLst>
        </xdr:cNvPr>
        <xdr:cNvSpPr>
          <a:spLocks noChangeShapeType="1"/>
        </xdr:cNvSpPr>
      </xdr:nvSpPr>
      <xdr:spPr bwMode="auto">
        <a:xfrm>
          <a:off x="4181475" y="44291250"/>
          <a:ext cx="571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664</xdr:row>
      <xdr:rowOff>123825</xdr:rowOff>
    </xdr:from>
    <xdr:to>
      <xdr:col>3</xdr:col>
      <xdr:colOff>685800</xdr:colOff>
      <xdr:row>666</xdr:row>
      <xdr:rowOff>47625</xdr:rowOff>
    </xdr:to>
    <xdr:sp macro="" textlink="">
      <xdr:nvSpPr>
        <xdr:cNvPr id="1454885" name="Line 54">
          <a:extLst>
            <a:ext uri="{FF2B5EF4-FFF2-40B4-BE49-F238E27FC236}">
              <a16:creationId xmlns:a16="http://schemas.microsoft.com/office/drawing/2014/main" id="{00000000-0008-0000-0300-000025331600}"/>
            </a:ext>
          </a:extLst>
        </xdr:cNvPr>
        <xdr:cNvSpPr>
          <a:spLocks noChangeShapeType="1"/>
        </xdr:cNvSpPr>
      </xdr:nvSpPr>
      <xdr:spPr bwMode="auto">
        <a:xfrm>
          <a:off x="3105150" y="13755052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257175</xdr:colOff>
      <xdr:row>664</xdr:row>
      <xdr:rowOff>47625</xdr:rowOff>
    </xdr:from>
    <xdr:to>
      <xdr:col>3</xdr:col>
      <xdr:colOff>838200</xdr:colOff>
      <xdr:row>665</xdr:row>
      <xdr:rowOff>533400</xdr:rowOff>
    </xdr:to>
    <xdr:sp macro="" textlink="">
      <xdr:nvSpPr>
        <xdr:cNvPr id="1454886" name="Line 55">
          <a:extLst>
            <a:ext uri="{FF2B5EF4-FFF2-40B4-BE49-F238E27FC236}">
              <a16:creationId xmlns:a16="http://schemas.microsoft.com/office/drawing/2014/main" id="{00000000-0008-0000-0300-000026331600}"/>
            </a:ext>
          </a:extLst>
        </xdr:cNvPr>
        <xdr:cNvSpPr>
          <a:spLocks noChangeShapeType="1"/>
        </xdr:cNvSpPr>
      </xdr:nvSpPr>
      <xdr:spPr bwMode="auto">
        <a:xfrm>
          <a:off x="3276600" y="1375505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457200</xdr:colOff>
      <xdr:row>664</xdr:row>
      <xdr:rowOff>95250</xdr:rowOff>
    </xdr:from>
    <xdr:to>
      <xdr:col>3</xdr:col>
      <xdr:colOff>838200</xdr:colOff>
      <xdr:row>665</xdr:row>
      <xdr:rowOff>0</xdr:rowOff>
    </xdr:to>
    <xdr:sp macro="" textlink="">
      <xdr:nvSpPr>
        <xdr:cNvPr id="1454887" name="Line 56">
          <a:extLst>
            <a:ext uri="{FF2B5EF4-FFF2-40B4-BE49-F238E27FC236}">
              <a16:creationId xmlns:a16="http://schemas.microsoft.com/office/drawing/2014/main" id="{00000000-0008-0000-0300-000027331600}"/>
            </a:ext>
          </a:extLst>
        </xdr:cNvPr>
        <xdr:cNvSpPr>
          <a:spLocks noChangeShapeType="1"/>
        </xdr:cNvSpPr>
      </xdr:nvSpPr>
      <xdr:spPr bwMode="auto">
        <a:xfrm flipH="1">
          <a:off x="3476625" y="13755052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665</xdr:row>
      <xdr:rowOff>123825</xdr:rowOff>
    </xdr:from>
    <xdr:to>
      <xdr:col>3</xdr:col>
      <xdr:colOff>333375</xdr:colOff>
      <xdr:row>665</xdr:row>
      <xdr:rowOff>323850</xdr:rowOff>
    </xdr:to>
    <xdr:sp macro="" textlink="">
      <xdr:nvSpPr>
        <xdr:cNvPr id="1454888" name="Line 57">
          <a:extLst>
            <a:ext uri="{FF2B5EF4-FFF2-40B4-BE49-F238E27FC236}">
              <a16:creationId xmlns:a16="http://schemas.microsoft.com/office/drawing/2014/main" id="{00000000-0008-0000-0300-000028331600}"/>
            </a:ext>
          </a:extLst>
        </xdr:cNvPr>
        <xdr:cNvSpPr>
          <a:spLocks noChangeShapeType="1"/>
        </xdr:cNvSpPr>
      </xdr:nvSpPr>
      <xdr:spPr bwMode="auto">
        <a:xfrm flipV="1">
          <a:off x="3019425" y="13755052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123825</xdr:colOff>
      <xdr:row>319</xdr:row>
      <xdr:rowOff>295275</xdr:rowOff>
    </xdr:from>
    <xdr:to>
      <xdr:col>1</xdr:col>
      <xdr:colOff>200025</xdr:colOff>
      <xdr:row>324</xdr:row>
      <xdr:rowOff>171450</xdr:rowOff>
    </xdr:to>
    <xdr:sp macro="" textlink="">
      <xdr:nvSpPr>
        <xdr:cNvPr id="1454889" name="Rectangle 67">
          <a:extLst>
            <a:ext uri="{FF2B5EF4-FFF2-40B4-BE49-F238E27FC236}">
              <a16:creationId xmlns:a16="http://schemas.microsoft.com/office/drawing/2014/main" id="{00000000-0008-0000-0300-000029331600}"/>
            </a:ext>
          </a:extLst>
        </xdr:cNvPr>
        <xdr:cNvSpPr>
          <a:spLocks noChangeArrowheads="1"/>
        </xdr:cNvSpPr>
      </xdr:nvSpPr>
      <xdr:spPr bwMode="auto">
        <a:xfrm>
          <a:off x="542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885825</xdr:colOff>
      <xdr:row>319</xdr:row>
      <xdr:rowOff>295275</xdr:rowOff>
    </xdr:from>
    <xdr:to>
      <xdr:col>1</xdr:col>
      <xdr:colOff>962025</xdr:colOff>
      <xdr:row>324</xdr:row>
      <xdr:rowOff>171450</xdr:rowOff>
    </xdr:to>
    <xdr:sp macro="" textlink="">
      <xdr:nvSpPr>
        <xdr:cNvPr id="1454890" name="Rectangle 68">
          <a:extLst>
            <a:ext uri="{FF2B5EF4-FFF2-40B4-BE49-F238E27FC236}">
              <a16:creationId xmlns:a16="http://schemas.microsoft.com/office/drawing/2014/main" id="{00000000-0008-0000-0300-00002A331600}"/>
            </a:ext>
          </a:extLst>
        </xdr:cNvPr>
        <xdr:cNvSpPr>
          <a:spLocks noChangeArrowheads="1"/>
        </xdr:cNvSpPr>
      </xdr:nvSpPr>
      <xdr:spPr bwMode="auto">
        <a:xfrm>
          <a:off x="1304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190500</xdr:colOff>
      <xdr:row>322</xdr:row>
      <xdr:rowOff>180975</xdr:rowOff>
    </xdr:from>
    <xdr:to>
      <xdr:col>1</xdr:col>
      <xdr:colOff>923925</xdr:colOff>
      <xdr:row>322</xdr:row>
      <xdr:rowOff>180975</xdr:rowOff>
    </xdr:to>
    <xdr:sp macro="" textlink="">
      <xdr:nvSpPr>
        <xdr:cNvPr id="1454891" name="Line 69">
          <a:extLst>
            <a:ext uri="{FF2B5EF4-FFF2-40B4-BE49-F238E27FC236}">
              <a16:creationId xmlns:a16="http://schemas.microsoft.com/office/drawing/2014/main" id="{00000000-0008-0000-0300-00002B331600}"/>
            </a:ext>
          </a:extLst>
        </xdr:cNvPr>
        <xdr:cNvSpPr>
          <a:spLocks noChangeShapeType="1"/>
        </xdr:cNvSpPr>
      </xdr:nvSpPr>
      <xdr:spPr bwMode="auto">
        <a:xfrm>
          <a:off x="609600" y="78085950"/>
          <a:ext cx="733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1133475</xdr:colOff>
      <xdr:row>319</xdr:row>
      <xdr:rowOff>285750</xdr:rowOff>
    </xdr:from>
    <xdr:to>
      <xdr:col>1</xdr:col>
      <xdr:colOff>1133475</xdr:colOff>
      <xdr:row>324</xdr:row>
      <xdr:rowOff>161925</xdr:rowOff>
    </xdr:to>
    <xdr:sp macro="" textlink="">
      <xdr:nvSpPr>
        <xdr:cNvPr id="1454892" name="Line 70">
          <a:extLst>
            <a:ext uri="{FF2B5EF4-FFF2-40B4-BE49-F238E27FC236}">
              <a16:creationId xmlns:a16="http://schemas.microsoft.com/office/drawing/2014/main" id="{00000000-0008-0000-0300-00002C331600}"/>
            </a:ext>
          </a:extLst>
        </xdr:cNvPr>
        <xdr:cNvSpPr>
          <a:spLocks noChangeShapeType="1"/>
        </xdr:cNvSpPr>
      </xdr:nvSpPr>
      <xdr:spPr bwMode="auto">
        <a:xfrm>
          <a:off x="1552575" y="77504925"/>
          <a:ext cx="0" cy="962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219075</xdr:colOff>
      <xdr:row>324</xdr:row>
      <xdr:rowOff>85725</xdr:rowOff>
    </xdr:from>
    <xdr:to>
      <xdr:col>1</xdr:col>
      <xdr:colOff>133350</xdr:colOff>
      <xdr:row>324</xdr:row>
      <xdr:rowOff>85725</xdr:rowOff>
    </xdr:to>
    <xdr:sp macro="" textlink="">
      <xdr:nvSpPr>
        <xdr:cNvPr id="1454893" name="Line 71">
          <a:extLst>
            <a:ext uri="{FF2B5EF4-FFF2-40B4-BE49-F238E27FC236}">
              <a16:creationId xmlns:a16="http://schemas.microsoft.com/office/drawing/2014/main" id="{00000000-0008-0000-0300-00002D331600}"/>
            </a:ext>
          </a:extLst>
        </xdr:cNvPr>
        <xdr:cNvSpPr>
          <a:spLocks noChangeShapeType="1"/>
        </xdr:cNvSpPr>
      </xdr:nvSpPr>
      <xdr:spPr bwMode="auto">
        <a:xfrm>
          <a:off x="219075" y="7839075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219075</xdr:colOff>
      <xdr:row>324</xdr:row>
      <xdr:rowOff>95250</xdr:rowOff>
    </xdr:from>
    <xdr:to>
      <xdr:col>1</xdr:col>
      <xdr:colOff>485775</xdr:colOff>
      <xdr:row>324</xdr:row>
      <xdr:rowOff>95250</xdr:rowOff>
    </xdr:to>
    <xdr:sp macro="" textlink="">
      <xdr:nvSpPr>
        <xdr:cNvPr id="1454894" name="Line 72">
          <a:extLst>
            <a:ext uri="{FF2B5EF4-FFF2-40B4-BE49-F238E27FC236}">
              <a16:creationId xmlns:a16="http://schemas.microsoft.com/office/drawing/2014/main" id="{00000000-0008-0000-0300-00002E331600}"/>
            </a:ext>
          </a:extLst>
        </xdr:cNvPr>
        <xdr:cNvSpPr>
          <a:spLocks noChangeShapeType="1"/>
        </xdr:cNvSpPr>
      </xdr:nvSpPr>
      <xdr:spPr bwMode="auto">
        <a:xfrm flipH="1">
          <a:off x="638175" y="784002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192</xdr:row>
      <xdr:rowOff>123825</xdr:rowOff>
    </xdr:from>
    <xdr:to>
      <xdr:col>4</xdr:col>
      <xdr:colOff>971550</xdr:colOff>
      <xdr:row>194</xdr:row>
      <xdr:rowOff>114300</xdr:rowOff>
    </xdr:to>
    <xdr:sp macro="" textlink="">
      <xdr:nvSpPr>
        <xdr:cNvPr id="1454895" name="Line 186">
          <a:extLst>
            <a:ext uri="{FF2B5EF4-FFF2-40B4-BE49-F238E27FC236}">
              <a16:creationId xmlns:a16="http://schemas.microsoft.com/office/drawing/2014/main" id="{00000000-0008-0000-0300-00002F331600}"/>
            </a:ext>
          </a:extLst>
        </xdr:cNvPr>
        <xdr:cNvSpPr>
          <a:spLocks noChangeShapeType="1"/>
        </xdr:cNvSpPr>
      </xdr:nvSpPr>
      <xdr:spPr bwMode="auto">
        <a:xfrm flipV="1">
          <a:off x="3857625" y="43900725"/>
          <a:ext cx="1304925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194</xdr:row>
      <xdr:rowOff>200025</xdr:rowOff>
    </xdr:from>
    <xdr:to>
      <xdr:col>3</xdr:col>
      <xdr:colOff>1162050</xdr:colOff>
      <xdr:row>195</xdr:row>
      <xdr:rowOff>0</xdr:rowOff>
    </xdr:to>
    <xdr:sp macro="" textlink="">
      <xdr:nvSpPr>
        <xdr:cNvPr id="1454896" name="Line 203">
          <a:extLst>
            <a:ext uri="{FF2B5EF4-FFF2-40B4-BE49-F238E27FC236}">
              <a16:creationId xmlns:a16="http://schemas.microsoft.com/office/drawing/2014/main" id="{00000000-0008-0000-0300-000030331600}"/>
            </a:ext>
          </a:extLst>
        </xdr:cNvPr>
        <xdr:cNvSpPr>
          <a:spLocks noChangeShapeType="1"/>
        </xdr:cNvSpPr>
      </xdr:nvSpPr>
      <xdr:spPr bwMode="auto">
        <a:xfrm flipV="1">
          <a:off x="3333750" y="44376975"/>
          <a:ext cx="847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194</xdr:row>
      <xdr:rowOff>19050</xdr:rowOff>
    </xdr:from>
    <xdr:to>
      <xdr:col>4</xdr:col>
      <xdr:colOff>400050</xdr:colOff>
      <xdr:row>195</xdr:row>
      <xdr:rowOff>152629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4038600" y="6486525"/>
          <a:ext cx="0" cy="3238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193</xdr:row>
      <xdr:rowOff>152400</xdr:rowOff>
    </xdr:from>
    <xdr:to>
      <xdr:col>4</xdr:col>
      <xdr:colOff>609600</xdr:colOff>
      <xdr:row>195</xdr:row>
      <xdr:rowOff>104775</xdr:rowOff>
    </xdr:to>
    <xdr:sp macro="" textlink="">
      <xdr:nvSpPr>
        <xdr:cNvPr id="1454898" name="Line 118">
          <a:extLst>
            <a:ext uri="{FF2B5EF4-FFF2-40B4-BE49-F238E27FC236}">
              <a16:creationId xmlns:a16="http://schemas.microsoft.com/office/drawing/2014/main" id="{00000000-0008-0000-0300-000032331600}"/>
            </a:ext>
          </a:extLst>
        </xdr:cNvPr>
        <xdr:cNvSpPr>
          <a:spLocks noChangeShapeType="1"/>
        </xdr:cNvSpPr>
      </xdr:nvSpPr>
      <xdr:spPr bwMode="auto">
        <a:xfrm flipH="1" flipV="1">
          <a:off x="4800600" y="44129325"/>
          <a:ext cx="0" cy="35242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416111</xdr:colOff>
      <xdr:row>179</xdr:row>
      <xdr:rowOff>326652</xdr:rowOff>
    </xdr:from>
    <xdr:to>
      <xdr:col>4</xdr:col>
      <xdr:colOff>416111</xdr:colOff>
      <xdr:row>181</xdr:row>
      <xdr:rowOff>12841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4146176" y="2767853"/>
          <a:ext cx="0" cy="3697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373</xdr:row>
      <xdr:rowOff>85725</xdr:rowOff>
    </xdr:from>
    <xdr:to>
      <xdr:col>4</xdr:col>
      <xdr:colOff>0</xdr:colOff>
      <xdr:row>376</xdr:row>
      <xdr:rowOff>0</xdr:rowOff>
    </xdr:to>
    <xdr:grpSp>
      <xdr:nvGrpSpPr>
        <xdr:cNvPr id="1454900" name="Group 458">
          <a:extLst>
            <a:ext uri="{FF2B5EF4-FFF2-40B4-BE49-F238E27FC236}">
              <a16:creationId xmlns:a16="http://schemas.microsoft.com/office/drawing/2014/main" id="{00000000-0008-0000-0300-000034331600}"/>
            </a:ext>
          </a:extLst>
        </xdr:cNvPr>
        <xdr:cNvGrpSpPr>
          <a:grpSpLocks/>
        </xdr:cNvGrpSpPr>
      </xdr:nvGrpSpPr>
      <xdr:grpSpPr bwMode="auto">
        <a:xfrm>
          <a:off x="3135086" y="89589429"/>
          <a:ext cx="1055914" cy="0"/>
          <a:chOff x="6546850" y="3419475"/>
          <a:chExt cx="1695450" cy="1631950"/>
        </a:xfrm>
      </xdr:grpSpPr>
      <xdr:sp macro="" textlink="">
        <xdr:nvSpPr>
          <xdr:cNvPr id="1456410" name="Rectangle 132">
            <a:extLst>
              <a:ext uri="{FF2B5EF4-FFF2-40B4-BE49-F238E27FC236}">
                <a16:creationId xmlns:a16="http://schemas.microsoft.com/office/drawing/2014/main" id="{00000000-0008-0000-0300-00001A391600}"/>
              </a:ext>
            </a:extLst>
          </xdr:cNvPr>
          <xdr:cNvSpPr>
            <a:spLocks noChangeArrowheads="1"/>
          </xdr:cNvSpPr>
        </xdr:nvSpPr>
        <xdr:spPr bwMode="auto">
          <a:xfrm>
            <a:off x="6572250" y="3419475"/>
            <a:ext cx="1085850" cy="16319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411" name="Line 133">
            <a:extLst>
              <a:ext uri="{FF2B5EF4-FFF2-40B4-BE49-F238E27FC236}">
                <a16:creationId xmlns:a16="http://schemas.microsoft.com/office/drawing/2014/main" id="{00000000-0008-0000-0300-00001B391600}"/>
              </a:ext>
            </a:extLst>
          </xdr:cNvPr>
          <xdr:cNvSpPr>
            <a:spLocks noChangeShapeType="1"/>
          </xdr:cNvSpPr>
        </xdr:nvSpPr>
        <xdr:spPr bwMode="auto">
          <a:xfrm>
            <a:off x="6578600" y="4962525"/>
            <a:ext cx="1663700" cy="0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12" name="Line 134">
            <a:extLst>
              <a:ext uri="{FF2B5EF4-FFF2-40B4-BE49-F238E27FC236}">
                <a16:creationId xmlns:a16="http://schemas.microsoft.com/office/drawing/2014/main" id="{00000000-0008-0000-0300-00001C391600}"/>
              </a:ext>
            </a:extLst>
          </xdr:cNvPr>
          <xdr:cNvSpPr>
            <a:spLocks noChangeShapeType="1"/>
          </xdr:cNvSpPr>
        </xdr:nvSpPr>
        <xdr:spPr bwMode="auto">
          <a:xfrm>
            <a:off x="6546850" y="3654425"/>
            <a:ext cx="1606550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13" name="AutoShape 135">
            <a:extLst>
              <a:ext uri="{FF2B5EF4-FFF2-40B4-BE49-F238E27FC236}">
                <a16:creationId xmlns:a16="http://schemas.microsoft.com/office/drawing/2014/main" id="{00000000-0008-0000-0300-00001D391600}"/>
              </a:ext>
            </a:extLst>
          </xdr:cNvPr>
          <xdr:cNvSpPr>
            <a:spLocks noChangeArrowheads="1"/>
          </xdr:cNvSpPr>
        </xdr:nvSpPr>
        <xdr:spPr bwMode="auto">
          <a:xfrm rot="8602188">
            <a:off x="6775450" y="3978275"/>
            <a:ext cx="349250" cy="508000"/>
          </a:xfrm>
          <a:prstGeom prst="curvedRightArrow">
            <a:avLst>
              <a:gd name="adj1" fmla="val 112034"/>
              <a:gd name="adj2" fmla="val 17569"/>
              <a:gd name="adj3" fmla="val 33333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0</xdr:colOff>
      <xdr:row>1035</xdr:row>
      <xdr:rowOff>0</xdr:rowOff>
    </xdr:from>
    <xdr:to>
      <xdr:col>7</xdr:col>
      <xdr:colOff>0</xdr:colOff>
      <xdr:row>1035</xdr:row>
      <xdr:rowOff>0</xdr:rowOff>
    </xdr:to>
    <xdr:sp macro="" textlink="">
      <xdr:nvSpPr>
        <xdr:cNvPr id="1454901" name="Line 58">
          <a:extLst>
            <a:ext uri="{FF2B5EF4-FFF2-40B4-BE49-F238E27FC236}">
              <a16:creationId xmlns:a16="http://schemas.microsoft.com/office/drawing/2014/main" id="{00000000-0008-0000-0300-000035331600}"/>
            </a:ext>
          </a:extLst>
        </xdr:cNvPr>
        <xdr:cNvSpPr>
          <a:spLocks noChangeShapeType="1"/>
        </xdr:cNvSpPr>
      </xdr:nvSpPr>
      <xdr:spPr bwMode="auto">
        <a:xfrm>
          <a:off x="7629525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400050</xdr:colOff>
      <xdr:row>1035</xdr:row>
      <xdr:rowOff>0</xdr:rowOff>
    </xdr:from>
    <xdr:to>
      <xdr:col>6</xdr:col>
      <xdr:colOff>361950</xdr:colOff>
      <xdr:row>1035</xdr:row>
      <xdr:rowOff>0</xdr:rowOff>
    </xdr:to>
    <xdr:sp macro="" textlink="">
      <xdr:nvSpPr>
        <xdr:cNvPr id="1454902" name="Line 103">
          <a:extLst>
            <a:ext uri="{FF2B5EF4-FFF2-40B4-BE49-F238E27FC236}">
              <a16:creationId xmlns:a16="http://schemas.microsoft.com/office/drawing/2014/main" id="{00000000-0008-0000-0300-000036331600}"/>
            </a:ext>
          </a:extLst>
        </xdr:cNvPr>
        <xdr:cNvSpPr>
          <a:spLocks noChangeShapeType="1"/>
        </xdr:cNvSpPr>
      </xdr:nvSpPr>
      <xdr:spPr bwMode="auto">
        <a:xfrm>
          <a:off x="7429500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97</xdr:row>
      <xdr:rowOff>123825</xdr:rowOff>
    </xdr:from>
    <xdr:to>
      <xdr:col>3</xdr:col>
      <xdr:colOff>504825</xdr:colOff>
      <xdr:row>98</xdr:row>
      <xdr:rowOff>9525</xdr:rowOff>
    </xdr:to>
    <xdr:grpSp>
      <xdr:nvGrpSpPr>
        <xdr:cNvPr id="1454903" name="Group 110">
          <a:extLst>
            <a:ext uri="{FF2B5EF4-FFF2-40B4-BE49-F238E27FC236}">
              <a16:creationId xmlns:a16="http://schemas.microsoft.com/office/drawing/2014/main" id="{00000000-0008-0000-0300-000037331600}"/>
            </a:ext>
          </a:extLst>
        </xdr:cNvPr>
        <xdr:cNvGrpSpPr>
          <a:grpSpLocks/>
        </xdr:cNvGrpSpPr>
      </xdr:nvGrpSpPr>
      <xdr:grpSpPr bwMode="auto">
        <a:xfrm>
          <a:off x="3249386" y="21908861"/>
          <a:ext cx="276225" cy="89807"/>
          <a:chOff x="197" y="945"/>
          <a:chExt cx="29" cy="9"/>
        </a:xfrm>
      </xdr:grpSpPr>
      <xdr:sp macro="" textlink="">
        <xdr:nvSpPr>
          <xdr:cNvPr id="1456407" name="Line 107">
            <a:extLst>
              <a:ext uri="{FF2B5EF4-FFF2-40B4-BE49-F238E27FC236}">
                <a16:creationId xmlns:a16="http://schemas.microsoft.com/office/drawing/2014/main" id="{00000000-0008-0000-0300-00001739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7" y="948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8" name="Line 108">
            <a:extLst>
              <a:ext uri="{FF2B5EF4-FFF2-40B4-BE49-F238E27FC236}">
                <a16:creationId xmlns:a16="http://schemas.microsoft.com/office/drawing/2014/main" id="{00000000-0008-0000-0300-000018391600}"/>
              </a:ext>
            </a:extLst>
          </xdr:cNvPr>
          <xdr:cNvSpPr>
            <a:spLocks noChangeShapeType="1"/>
          </xdr:cNvSpPr>
        </xdr:nvSpPr>
        <xdr:spPr bwMode="auto">
          <a:xfrm>
            <a:off x="223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9" name="Line 109">
            <a:extLst>
              <a:ext uri="{FF2B5EF4-FFF2-40B4-BE49-F238E27FC236}">
                <a16:creationId xmlns:a16="http://schemas.microsoft.com/office/drawing/2014/main" id="{00000000-0008-0000-0300-000019391600}"/>
              </a:ext>
            </a:extLst>
          </xdr:cNvPr>
          <xdr:cNvSpPr>
            <a:spLocks noChangeShapeType="1"/>
          </xdr:cNvSpPr>
        </xdr:nvSpPr>
        <xdr:spPr bwMode="auto">
          <a:xfrm>
            <a:off x="216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609600</xdr:colOff>
      <xdr:row>78</xdr:row>
      <xdr:rowOff>152400</xdr:rowOff>
    </xdr:from>
    <xdr:to>
      <xdr:col>5</xdr:col>
      <xdr:colOff>609600</xdr:colOff>
      <xdr:row>80</xdr:row>
      <xdr:rowOff>104775</xdr:rowOff>
    </xdr:to>
    <xdr:sp macro="" textlink="">
      <xdr:nvSpPr>
        <xdr:cNvPr id="1454904" name="Line 118">
          <a:extLst>
            <a:ext uri="{FF2B5EF4-FFF2-40B4-BE49-F238E27FC236}">
              <a16:creationId xmlns:a16="http://schemas.microsoft.com/office/drawing/2014/main" id="{00000000-0008-0000-0300-000038331600}"/>
            </a:ext>
          </a:extLst>
        </xdr:cNvPr>
        <xdr:cNvSpPr>
          <a:spLocks noChangeShapeType="1"/>
        </xdr:cNvSpPr>
      </xdr:nvSpPr>
      <xdr:spPr bwMode="auto">
        <a:xfrm flipH="1" flipV="1">
          <a:off x="6743700" y="17916525"/>
          <a:ext cx="0" cy="361950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80</xdr:row>
      <xdr:rowOff>95250</xdr:rowOff>
    </xdr:from>
    <xdr:to>
      <xdr:col>6</xdr:col>
      <xdr:colOff>85725</xdr:colOff>
      <xdr:row>80</xdr:row>
      <xdr:rowOff>95250</xdr:rowOff>
    </xdr:to>
    <xdr:sp macro="" textlink="">
      <xdr:nvSpPr>
        <xdr:cNvPr id="1454905" name="Line 145">
          <a:extLst>
            <a:ext uri="{FF2B5EF4-FFF2-40B4-BE49-F238E27FC236}">
              <a16:creationId xmlns:a16="http://schemas.microsoft.com/office/drawing/2014/main" id="{00000000-0008-0000-0300-000039331600}"/>
            </a:ext>
          </a:extLst>
        </xdr:cNvPr>
        <xdr:cNvSpPr>
          <a:spLocks noChangeShapeType="1"/>
        </xdr:cNvSpPr>
      </xdr:nvSpPr>
      <xdr:spPr bwMode="auto">
        <a:xfrm>
          <a:off x="2400300" y="18268950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78</xdr:row>
      <xdr:rowOff>114300</xdr:rowOff>
    </xdr:from>
    <xdr:to>
      <xdr:col>4</xdr:col>
      <xdr:colOff>95250</xdr:colOff>
      <xdr:row>82</xdr:row>
      <xdr:rowOff>76200</xdr:rowOff>
    </xdr:to>
    <xdr:sp macro="" textlink="">
      <xdr:nvSpPr>
        <xdr:cNvPr id="1454906" name="Line 146">
          <a:extLst>
            <a:ext uri="{FF2B5EF4-FFF2-40B4-BE49-F238E27FC236}">
              <a16:creationId xmlns:a16="http://schemas.microsoft.com/office/drawing/2014/main" id="{00000000-0008-0000-0300-00003A331600}"/>
            </a:ext>
          </a:extLst>
        </xdr:cNvPr>
        <xdr:cNvSpPr>
          <a:spLocks noChangeShapeType="1"/>
        </xdr:cNvSpPr>
      </xdr:nvSpPr>
      <xdr:spPr bwMode="auto">
        <a:xfrm>
          <a:off x="4286250" y="1787842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933450</xdr:colOff>
      <xdr:row>78</xdr:row>
      <xdr:rowOff>28575</xdr:rowOff>
    </xdr:from>
    <xdr:to>
      <xdr:col>4</xdr:col>
      <xdr:colOff>142875</xdr:colOff>
      <xdr:row>79</xdr:row>
      <xdr:rowOff>57150</xdr:rowOff>
    </xdr:to>
    <xdr:sp macro="" textlink="">
      <xdr:nvSpPr>
        <xdr:cNvPr id="1454907" name="Arc 148">
          <a:extLst>
            <a:ext uri="{FF2B5EF4-FFF2-40B4-BE49-F238E27FC236}">
              <a16:creationId xmlns:a16="http://schemas.microsoft.com/office/drawing/2014/main" id="{00000000-0008-0000-0300-00003B331600}"/>
            </a:ext>
          </a:extLst>
        </xdr:cNvPr>
        <xdr:cNvSpPr>
          <a:spLocks/>
        </xdr:cNvSpPr>
      </xdr:nvSpPr>
      <xdr:spPr bwMode="auto">
        <a:xfrm rot="17069387" flipH="1">
          <a:off x="4029075" y="17716500"/>
          <a:ext cx="228600" cy="381000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79</xdr:row>
      <xdr:rowOff>104775</xdr:rowOff>
    </xdr:from>
    <xdr:to>
      <xdr:col>3</xdr:col>
      <xdr:colOff>228600</xdr:colOff>
      <xdr:row>80</xdr:row>
      <xdr:rowOff>38100</xdr:rowOff>
    </xdr:to>
    <xdr:sp macro="" textlink="">
      <xdr:nvSpPr>
        <xdr:cNvPr id="1454908" name="Arc 149">
          <a:extLst>
            <a:ext uri="{FF2B5EF4-FFF2-40B4-BE49-F238E27FC236}">
              <a16:creationId xmlns:a16="http://schemas.microsoft.com/office/drawing/2014/main" id="{00000000-0008-0000-0300-00003C331600}"/>
            </a:ext>
          </a:extLst>
        </xdr:cNvPr>
        <xdr:cNvSpPr>
          <a:spLocks/>
        </xdr:cNvSpPr>
      </xdr:nvSpPr>
      <xdr:spPr bwMode="auto">
        <a:xfrm rot="2094536">
          <a:off x="2514600" y="18068925"/>
          <a:ext cx="733425" cy="142875"/>
        </a:xfrm>
        <a:custGeom>
          <a:avLst/>
          <a:gdLst>
            <a:gd name="T0" fmla="*/ 0 w 35614"/>
            <a:gd name="T1" fmla="*/ 2147483646 h 21600"/>
            <a:gd name="T2" fmla="*/ 2147483646 w 35614"/>
            <a:gd name="T3" fmla="*/ 2147483646 h 21600"/>
            <a:gd name="T4" fmla="*/ 2147483646 w 35614"/>
            <a:gd name="T5" fmla="*/ 2147483646 h 21600"/>
            <a:gd name="T6" fmla="*/ 0 60000 65536"/>
            <a:gd name="T7" fmla="*/ 0 60000 65536"/>
            <a:gd name="T8" fmla="*/ 0 60000 65536"/>
            <a:gd name="T9" fmla="*/ 0 w 35614"/>
            <a:gd name="T10" fmla="*/ 0 h 21600"/>
            <a:gd name="T11" fmla="*/ 35614 w 3561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614" h="21600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</a:path>
            <a:path w="35614" h="21600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152400</xdr:colOff>
      <xdr:row>90</xdr:row>
      <xdr:rowOff>142875</xdr:rowOff>
    </xdr:from>
    <xdr:to>
      <xdr:col>2</xdr:col>
      <xdr:colOff>152400</xdr:colOff>
      <xdr:row>94</xdr:row>
      <xdr:rowOff>19050</xdr:rowOff>
    </xdr:to>
    <xdr:sp macro="" textlink="">
      <xdr:nvSpPr>
        <xdr:cNvPr id="1454909" name="Line 90">
          <a:extLst>
            <a:ext uri="{FF2B5EF4-FFF2-40B4-BE49-F238E27FC236}">
              <a16:creationId xmlns:a16="http://schemas.microsoft.com/office/drawing/2014/main" id="{00000000-0008-0000-0300-00003D331600}"/>
            </a:ext>
          </a:extLst>
        </xdr:cNvPr>
        <xdr:cNvSpPr>
          <a:spLocks noChangeShapeType="1"/>
        </xdr:cNvSpPr>
      </xdr:nvSpPr>
      <xdr:spPr bwMode="auto">
        <a:xfrm>
          <a:off x="2057400" y="20412075"/>
          <a:ext cx="0" cy="6762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92</xdr:row>
      <xdr:rowOff>152400</xdr:rowOff>
    </xdr:from>
    <xdr:to>
      <xdr:col>4</xdr:col>
      <xdr:colOff>85725</xdr:colOff>
      <xdr:row>94</xdr:row>
      <xdr:rowOff>9525</xdr:rowOff>
    </xdr:to>
    <xdr:sp macro="" textlink="">
      <xdr:nvSpPr>
        <xdr:cNvPr id="1454910" name="Line 91">
          <a:extLst>
            <a:ext uri="{FF2B5EF4-FFF2-40B4-BE49-F238E27FC236}">
              <a16:creationId xmlns:a16="http://schemas.microsoft.com/office/drawing/2014/main" id="{00000000-0008-0000-0300-00003E331600}"/>
            </a:ext>
          </a:extLst>
        </xdr:cNvPr>
        <xdr:cNvSpPr>
          <a:spLocks noChangeShapeType="1"/>
        </xdr:cNvSpPr>
      </xdr:nvSpPr>
      <xdr:spPr bwMode="auto">
        <a:xfrm>
          <a:off x="4276725" y="20821650"/>
          <a:ext cx="0" cy="2571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80</xdr:row>
      <xdr:rowOff>200025</xdr:rowOff>
    </xdr:from>
    <xdr:to>
      <xdr:col>5</xdr:col>
      <xdr:colOff>190500</xdr:colOff>
      <xdr:row>93</xdr:row>
      <xdr:rowOff>190500</xdr:rowOff>
    </xdr:to>
    <xdr:sp macro="" textlink="">
      <xdr:nvSpPr>
        <xdr:cNvPr id="1454911" name="Line 105">
          <a:extLst>
            <a:ext uri="{FF2B5EF4-FFF2-40B4-BE49-F238E27FC236}">
              <a16:creationId xmlns:a16="http://schemas.microsoft.com/office/drawing/2014/main" id="{00000000-0008-0000-0300-00003F331600}"/>
            </a:ext>
          </a:extLst>
        </xdr:cNvPr>
        <xdr:cNvSpPr>
          <a:spLocks noChangeShapeType="1"/>
        </xdr:cNvSpPr>
      </xdr:nvSpPr>
      <xdr:spPr bwMode="auto">
        <a:xfrm flipV="1">
          <a:off x="6324600" y="18373725"/>
          <a:ext cx="0" cy="2686050"/>
        </a:xfrm>
        <a:prstGeom prst="line">
          <a:avLst/>
        </a:prstGeom>
        <a:noFill/>
        <a:ln w="317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92</xdr:row>
      <xdr:rowOff>47625</xdr:rowOff>
    </xdr:from>
    <xdr:to>
      <xdr:col>3</xdr:col>
      <xdr:colOff>523875</xdr:colOff>
      <xdr:row>92</xdr:row>
      <xdr:rowOff>161925</xdr:rowOff>
    </xdr:to>
    <xdr:sp macro="" textlink="">
      <xdr:nvSpPr>
        <xdr:cNvPr id="1454912" name="Rectangle 10">
          <a:extLst>
            <a:ext uri="{FF2B5EF4-FFF2-40B4-BE49-F238E27FC236}">
              <a16:creationId xmlns:a16="http://schemas.microsoft.com/office/drawing/2014/main" id="{00000000-0008-0000-0300-000040331600}"/>
            </a:ext>
          </a:extLst>
        </xdr:cNvPr>
        <xdr:cNvSpPr>
          <a:spLocks noChangeArrowheads="1"/>
        </xdr:cNvSpPr>
      </xdr:nvSpPr>
      <xdr:spPr bwMode="auto">
        <a:xfrm rot="1869843" flipV="1">
          <a:off x="2143125" y="20716875"/>
          <a:ext cx="1400175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371475</xdr:colOff>
      <xdr:row>93</xdr:row>
      <xdr:rowOff>0</xdr:rowOff>
    </xdr:from>
    <xdr:to>
      <xdr:col>4</xdr:col>
      <xdr:colOff>57150</xdr:colOff>
      <xdr:row>94</xdr:row>
      <xdr:rowOff>57150</xdr:rowOff>
    </xdr:to>
    <xdr:sp macro="" textlink="">
      <xdr:nvSpPr>
        <xdr:cNvPr id="1454913" name="Freeform 80">
          <a:extLst>
            <a:ext uri="{FF2B5EF4-FFF2-40B4-BE49-F238E27FC236}">
              <a16:creationId xmlns:a16="http://schemas.microsoft.com/office/drawing/2014/main" id="{00000000-0008-0000-0300-000041331600}"/>
            </a:ext>
          </a:extLst>
        </xdr:cNvPr>
        <xdr:cNvSpPr>
          <a:spLocks/>
        </xdr:cNvSpPr>
      </xdr:nvSpPr>
      <xdr:spPr bwMode="auto">
        <a:xfrm rot="-377411">
          <a:off x="3390900" y="20869275"/>
          <a:ext cx="857250" cy="257175"/>
        </a:xfrm>
        <a:custGeom>
          <a:avLst/>
          <a:gdLst>
            <a:gd name="T0" fmla="*/ 2147483646 w 161"/>
            <a:gd name="T1" fmla="*/ 2147483646 h 34"/>
            <a:gd name="T2" fmla="*/ 2147483646 w 161"/>
            <a:gd name="T3" fmla="*/ 2147483646 h 34"/>
            <a:gd name="T4" fmla="*/ 2147483646 w 161"/>
            <a:gd name="T5" fmla="*/ 2147483646 h 34"/>
            <a:gd name="T6" fmla="*/ 2147483646 w 161"/>
            <a:gd name="T7" fmla="*/ 2147483646 h 34"/>
            <a:gd name="T8" fmla="*/ 2147483646 w 161"/>
            <a:gd name="T9" fmla="*/ 2147483646 h 34"/>
            <a:gd name="T10" fmla="*/ 2147483646 w 161"/>
            <a:gd name="T11" fmla="*/ 2147483646 h 34"/>
            <a:gd name="T12" fmla="*/ 2147483646 w 161"/>
            <a:gd name="T13" fmla="*/ 2147483646 h 34"/>
            <a:gd name="T14" fmla="*/ 2147483646 w 161"/>
            <a:gd name="T15" fmla="*/ 2147483646 h 34"/>
            <a:gd name="T16" fmla="*/ 2147483646 w 161"/>
            <a:gd name="T17" fmla="*/ 0 h 34"/>
            <a:gd name="T18" fmla="*/ 2147483646 w 161"/>
            <a:gd name="T19" fmla="*/ 2147483646 h 34"/>
            <a:gd name="T20" fmla="*/ 2147483646 w 161"/>
            <a:gd name="T21" fmla="*/ 2147483646 h 34"/>
            <a:gd name="T22" fmla="*/ 2147483646 w 161"/>
            <a:gd name="T23" fmla="*/ 2147483646 h 34"/>
            <a:gd name="T24" fmla="*/ 2147483646 w 161"/>
            <a:gd name="T25" fmla="*/ 2147483646 h 34"/>
            <a:gd name="T26" fmla="*/ 2147483646 w 161"/>
            <a:gd name="T27" fmla="*/ 2147483646 h 34"/>
            <a:gd name="T28" fmla="*/ 2147483646 w 161"/>
            <a:gd name="T29" fmla="*/ 2147483646 h 34"/>
            <a:gd name="T30" fmla="*/ 0 w 161"/>
            <a:gd name="T31" fmla="*/ 2147483646 h 34"/>
            <a:gd name="T32" fmla="*/ 2147483646 w 161"/>
            <a:gd name="T33" fmla="*/ 2147483646 h 3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1"/>
            <a:gd name="T52" fmla="*/ 0 h 34"/>
            <a:gd name="T53" fmla="*/ 161 w 161"/>
            <a:gd name="T54" fmla="*/ 34 h 3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1" h="34">
              <a:moveTo>
                <a:pt x="1" y="34"/>
              </a:moveTo>
              <a:lnTo>
                <a:pt x="32" y="25"/>
              </a:lnTo>
              <a:lnTo>
                <a:pt x="58" y="19"/>
              </a:lnTo>
              <a:lnTo>
                <a:pt x="80" y="15"/>
              </a:lnTo>
              <a:lnTo>
                <a:pt x="104" y="11"/>
              </a:lnTo>
              <a:lnTo>
                <a:pt x="127" y="9"/>
              </a:lnTo>
              <a:lnTo>
                <a:pt x="144" y="8"/>
              </a:lnTo>
              <a:lnTo>
                <a:pt x="161" y="8"/>
              </a:lnTo>
              <a:lnTo>
                <a:pt x="161" y="0"/>
              </a:lnTo>
              <a:lnTo>
                <a:pt x="137" y="1"/>
              </a:lnTo>
              <a:lnTo>
                <a:pt x="119" y="2"/>
              </a:lnTo>
              <a:lnTo>
                <a:pt x="102" y="3"/>
              </a:lnTo>
              <a:lnTo>
                <a:pt x="71" y="8"/>
              </a:lnTo>
              <a:lnTo>
                <a:pt x="47" y="13"/>
              </a:lnTo>
              <a:lnTo>
                <a:pt x="17" y="20"/>
              </a:lnTo>
              <a:lnTo>
                <a:pt x="0" y="26"/>
              </a:lnTo>
              <a:lnTo>
                <a:pt x="1" y="34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323850</xdr:colOff>
      <xdr:row>80</xdr:row>
      <xdr:rowOff>180975</xdr:rowOff>
    </xdr:from>
    <xdr:to>
      <xdr:col>2</xdr:col>
      <xdr:colOff>419100</xdr:colOff>
      <xdr:row>90</xdr:row>
      <xdr:rowOff>190500</xdr:rowOff>
    </xdr:to>
    <xdr:sp macro="" textlink="">
      <xdr:nvSpPr>
        <xdr:cNvPr id="1454914" name="AutoShape 12">
          <a:extLst>
            <a:ext uri="{FF2B5EF4-FFF2-40B4-BE49-F238E27FC236}">
              <a16:creationId xmlns:a16="http://schemas.microsoft.com/office/drawing/2014/main" id="{00000000-0008-0000-0300-000042331600}"/>
            </a:ext>
          </a:extLst>
        </xdr:cNvPr>
        <xdr:cNvSpPr>
          <a:spLocks noChangeArrowheads="1"/>
        </xdr:cNvSpPr>
      </xdr:nvSpPr>
      <xdr:spPr bwMode="auto">
        <a:xfrm rot="103403" flipV="1">
          <a:off x="2228850" y="18354675"/>
          <a:ext cx="95250" cy="2105025"/>
        </a:xfrm>
        <a:prstGeom prst="flowChartManualOperation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361950</xdr:colOff>
      <xdr:row>80</xdr:row>
      <xdr:rowOff>66675</xdr:rowOff>
    </xdr:from>
    <xdr:to>
      <xdr:col>2</xdr:col>
      <xdr:colOff>514350</xdr:colOff>
      <xdr:row>80</xdr:row>
      <xdr:rowOff>200025</xdr:rowOff>
    </xdr:to>
    <xdr:sp macro="" textlink="">
      <xdr:nvSpPr>
        <xdr:cNvPr id="1454915" name="Rectangle 4">
          <a:extLst>
            <a:ext uri="{FF2B5EF4-FFF2-40B4-BE49-F238E27FC236}">
              <a16:creationId xmlns:a16="http://schemas.microsoft.com/office/drawing/2014/main" id="{00000000-0008-0000-0300-000043331600}"/>
            </a:ext>
          </a:extLst>
        </xdr:cNvPr>
        <xdr:cNvSpPr>
          <a:spLocks noChangeArrowheads="1"/>
        </xdr:cNvSpPr>
      </xdr:nvSpPr>
      <xdr:spPr bwMode="auto">
        <a:xfrm>
          <a:off x="2266950" y="18240375"/>
          <a:ext cx="152400" cy="1333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90</xdr:row>
      <xdr:rowOff>85725</xdr:rowOff>
    </xdr:from>
    <xdr:to>
      <xdr:col>2</xdr:col>
      <xdr:colOff>400050</xdr:colOff>
      <xdr:row>91</xdr:row>
      <xdr:rowOff>0</xdr:rowOff>
    </xdr:to>
    <xdr:sp macro="" textlink="">
      <xdr:nvSpPr>
        <xdr:cNvPr id="1454916" name="Rectangle 81">
          <a:extLst>
            <a:ext uri="{FF2B5EF4-FFF2-40B4-BE49-F238E27FC236}">
              <a16:creationId xmlns:a16="http://schemas.microsoft.com/office/drawing/2014/main" id="{00000000-0008-0000-0300-000044331600}"/>
            </a:ext>
          </a:extLst>
        </xdr:cNvPr>
        <xdr:cNvSpPr>
          <a:spLocks noChangeArrowheads="1"/>
        </xdr:cNvSpPr>
      </xdr:nvSpPr>
      <xdr:spPr bwMode="auto">
        <a:xfrm>
          <a:off x="2095500" y="20354925"/>
          <a:ext cx="209550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381000</xdr:colOff>
      <xdr:row>93</xdr:row>
      <xdr:rowOff>152400</xdr:rowOff>
    </xdr:from>
    <xdr:to>
      <xdr:col>3</xdr:col>
      <xdr:colOff>476250</xdr:colOff>
      <xdr:row>94</xdr:row>
      <xdr:rowOff>200025</xdr:rowOff>
    </xdr:to>
    <xdr:sp macro="" textlink="">
      <xdr:nvSpPr>
        <xdr:cNvPr id="1454917" name="Rectangle 82">
          <a:extLst>
            <a:ext uri="{FF2B5EF4-FFF2-40B4-BE49-F238E27FC236}">
              <a16:creationId xmlns:a16="http://schemas.microsoft.com/office/drawing/2014/main" id="{00000000-0008-0000-0300-000045331600}"/>
            </a:ext>
          </a:extLst>
        </xdr:cNvPr>
        <xdr:cNvSpPr>
          <a:spLocks noChangeArrowheads="1"/>
        </xdr:cNvSpPr>
      </xdr:nvSpPr>
      <xdr:spPr bwMode="auto">
        <a:xfrm>
          <a:off x="3400425" y="21021675"/>
          <a:ext cx="95250" cy="2476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123825</xdr:colOff>
      <xdr:row>80</xdr:row>
      <xdr:rowOff>219075</xdr:rowOff>
    </xdr:from>
    <xdr:to>
      <xdr:col>5</xdr:col>
      <xdr:colOff>190500</xdr:colOff>
      <xdr:row>81</xdr:row>
      <xdr:rowOff>133350</xdr:rowOff>
    </xdr:to>
    <xdr:grpSp>
      <xdr:nvGrpSpPr>
        <xdr:cNvPr id="1454918" name="Group 290">
          <a:extLst>
            <a:ext uri="{FF2B5EF4-FFF2-40B4-BE49-F238E27FC236}">
              <a16:creationId xmlns:a16="http://schemas.microsoft.com/office/drawing/2014/main" id="{00000000-0008-0000-0300-000046331600}"/>
            </a:ext>
          </a:extLst>
        </xdr:cNvPr>
        <xdr:cNvGrpSpPr>
          <a:grpSpLocks/>
        </xdr:cNvGrpSpPr>
      </xdr:nvGrpSpPr>
      <xdr:grpSpPr bwMode="auto">
        <a:xfrm>
          <a:off x="3144611" y="18371004"/>
          <a:ext cx="3182710" cy="186417"/>
          <a:chOff x="194" y="548"/>
          <a:chExt cx="173" cy="16"/>
        </a:xfrm>
      </xdr:grpSpPr>
      <xdr:sp macro="" textlink="">
        <xdr:nvSpPr>
          <xdr:cNvPr id="1456402" name="Line 95">
            <a:extLst>
              <a:ext uri="{FF2B5EF4-FFF2-40B4-BE49-F238E27FC236}">
                <a16:creationId xmlns:a16="http://schemas.microsoft.com/office/drawing/2014/main" id="{00000000-0008-0000-0300-00001239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" y="548"/>
            <a:ext cx="17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3" name="Line 96">
            <a:extLst>
              <a:ext uri="{FF2B5EF4-FFF2-40B4-BE49-F238E27FC236}">
                <a16:creationId xmlns:a16="http://schemas.microsoft.com/office/drawing/2014/main" id="{00000000-0008-0000-0300-000013391600}"/>
              </a:ext>
            </a:extLst>
          </xdr:cNvPr>
          <xdr:cNvSpPr>
            <a:spLocks noChangeShapeType="1"/>
          </xdr:cNvSpPr>
        </xdr:nvSpPr>
        <xdr:spPr bwMode="auto">
          <a:xfrm>
            <a:off x="287" y="552"/>
            <a:ext cx="5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4" name="Line 97">
            <a:extLst>
              <a:ext uri="{FF2B5EF4-FFF2-40B4-BE49-F238E27FC236}">
                <a16:creationId xmlns:a16="http://schemas.microsoft.com/office/drawing/2014/main" id="{00000000-0008-0000-0300-000014391600}"/>
              </a:ext>
            </a:extLst>
          </xdr:cNvPr>
          <xdr:cNvSpPr>
            <a:spLocks noChangeShapeType="1"/>
          </xdr:cNvSpPr>
        </xdr:nvSpPr>
        <xdr:spPr bwMode="auto">
          <a:xfrm>
            <a:off x="304" y="556"/>
            <a:ext cx="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5" name="Line 98">
            <a:extLst>
              <a:ext uri="{FF2B5EF4-FFF2-40B4-BE49-F238E27FC236}">
                <a16:creationId xmlns:a16="http://schemas.microsoft.com/office/drawing/2014/main" id="{00000000-0008-0000-0300-000015391600}"/>
              </a:ext>
            </a:extLst>
          </xdr:cNvPr>
          <xdr:cNvSpPr>
            <a:spLocks noChangeShapeType="1"/>
          </xdr:cNvSpPr>
        </xdr:nvSpPr>
        <xdr:spPr bwMode="auto">
          <a:xfrm>
            <a:off x="314" y="560"/>
            <a:ext cx="1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6" name="Line 99">
            <a:extLst>
              <a:ext uri="{FF2B5EF4-FFF2-40B4-BE49-F238E27FC236}">
                <a16:creationId xmlns:a16="http://schemas.microsoft.com/office/drawing/2014/main" id="{00000000-0008-0000-0300-000016391600}"/>
              </a:ext>
            </a:extLst>
          </xdr:cNvPr>
          <xdr:cNvSpPr>
            <a:spLocks noChangeShapeType="1"/>
          </xdr:cNvSpPr>
        </xdr:nvSpPr>
        <xdr:spPr bwMode="auto">
          <a:xfrm>
            <a:off x="319" y="564"/>
            <a:ext cx="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809625</xdr:colOff>
      <xdr:row>79</xdr:row>
      <xdr:rowOff>47625</xdr:rowOff>
    </xdr:from>
    <xdr:to>
      <xdr:col>3</xdr:col>
      <xdr:colOff>866775</xdr:colOff>
      <xdr:row>80</xdr:row>
      <xdr:rowOff>228600</xdr:rowOff>
    </xdr:to>
    <xdr:grpSp>
      <xdr:nvGrpSpPr>
        <xdr:cNvPr id="1454919" name="Group 289">
          <a:extLst>
            <a:ext uri="{FF2B5EF4-FFF2-40B4-BE49-F238E27FC236}">
              <a16:creationId xmlns:a16="http://schemas.microsoft.com/office/drawing/2014/main" id="{00000000-0008-0000-0300-000047331600}"/>
            </a:ext>
          </a:extLst>
        </xdr:cNvPr>
        <xdr:cNvGrpSpPr>
          <a:grpSpLocks/>
        </xdr:cNvGrpSpPr>
      </xdr:nvGrpSpPr>
      <xdr:grpSpPr bwMode="auto">
        <a:xfrm>
          <a:off x="3830411" y="17995446"/>
          <a:ext cx="57150" cy="385083"/>
          <a:chOff x="263" y="519"/>
          <a:chExt cx="9" cy="31"/>
        </a:xfrm>
      </xdr:grpSpPr>
      <xdr:sp macro="" textlink="">
        <xdr:nvSpPr>
          <xdr:cNvPr id="1456399" name="Line 101">
            <a:extLst>
              <a:ext uri="{FF2B5EF4-FFF2-40B4-BE49-F238E27FC236}">
                <a16:creationId xmlns:a16="http://schemas.microsoft.com/office/drawing/2014/main" id="{00000000-0008-0000-0300-00000F39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250" y="535"/>
            <a:ext cx="3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0" name="Line 102">
            <a:extLst>
              <a:ext uri="{FF2B5EF4-FFF2-40B4-BE49-F238E27FC236}">
                <a16:creationId xmlns:a16="http://schemas.microsoft.com/office/drawing/2014/main" id="{00000000-0008-0000-0300-000010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4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401" name="Line 103">
            <a:extLst>
              <a:ext uri="{FF2B5EF4-FFF2-40B4-BE49-F238E27FC236}">
                <a16:creationId xmlns:a16="http://schemas.microsoft.com/office/drawing/2014/main" id="{00000000-0008-0000-0300-000011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3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428625</xdr:colOff>
      <xdr:row>78</xdr:row>
      <xdr:rowOff>57150</xdr:rowOff>
    </xdr:from>
    <xdr:to>
      <xdr:col>4</xdr:col>
      <xdr:colOff>57150</xdr:colOff>
      <xdr:row>80</xdr:row>
      <xdr:rowOff>152400</xdr:rowOff>
    </xdr:to>
    <xdr:sp macro="" textlink="">
      <xdr:nvSpPr>
        <xdr:cNvPr id="1454920" name="Freeform 112">
          <a:extLst>
            <a:ext uri="{FF2B5EF4-FFF2-40B4-BE49-F238E27FC236}">
              <a16:creationId xmlns:a16="http://schemas.microsoft.com/office/drawing/2014/main" id="{00000000-0008-0000-0300-000048331600}"/>
            </a:ext>
          </a:extLst>
        </xdr:cNvPr>
        <xdr:cNvSpPr>
          <a:spLocks/>
        </xdr:cNvSpPr>
      </xdr:nvSpPr>
      <xdr:spPr bwMode="auto">
        <a:xfrm rot="396078">
          <a:off x="2333625" y="178212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94</xdr:row>
      <xdr:rowOff>114300</xdr:rowOff>
    </xdr:from>
    <xdr:to>
      <xdr:col>3</xdr:col>
      <xdr:colOff>828675</xdr:colOff>
      <xdr:row>94</xdr:row>
      <xdr:rowOff>114300</xdr:rowOff>
    </xdr:to>
    <xdr:sp macro="" textlink="">
      <xdr:nvSpPr>
        <xdr:cNvPr id="1454921" name="Line 92">
          <a:extLst>
            <a:ext uri="{FF2B5EF4-FFF2-40B4-BE49-F238E27FC236}">
              <a16:creationId xmlns:a16="http://schemas.microsoft.com/office/drawing/2014/main" id="{00000000-0008-0000-0300-000049331600}"/>
            </a:ext>
          </a:extLst>
        </xdr:cNvPr>
        <xdr:cNvSpPr>
          <a:spLocks noChangeShapeType="1"/>
        </xdr:cNvSpPr>
      </xdr:nvSpPr>
      <xdr:spPr bwMode="auto">
        <a:xfrm flipV="1">
          <a:off x="3409950" y="211836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77</xdr:row>
      <xdr:rowOff>161925</xdr:rowOff>
    </xdr:from>
    <xdr:to>
      <xdr:col>3</xdr:col>
      <xdr:colOff>933450</xdr:colOff>
      <xdr:row>79</xdr:row>
      <xdr:rowOff>95250</xdr:rowOff>
    </xdr:to>
    <xdr:grpSp>
      <xdr:nvGrpSpPr>
        <xdr:cNvPr id="1454922" name="Group 152">
          <a:extLst>
            <a:ext uri="{FF2B5EF4-FFF2-40B4-BE49-F238E27FC236}">
              <a16:creationId xmlns:a16="http://schemas.microsoft.com/office/drawing/2014/main" id="{00000000-0008-0000-0300-00004A331600}"/>
            </a:ext>
          </a:extLst>
        </xdr:cNvPr>
        <xdr:cNvGrpSpPr>
          <a:grpSpLocks/>
        </xdr:cNvGrpSpPr>
      </xdr:nvGrpSpPr>
      <xdr:grpSpPr bwMode="auto">
        <a:xfrm>
          <a:off x="3858986" y="17701532"/>
          <a:ext cx="95250" cy="341539"/>
          <a:chOff x="1412" y="648"/>
          <a:chExt cx="10" cy="35"/>
        </a:xfrm>
      </xdr:grpSpPr>
      <xdr:sp macro="" textlink="">
        <xdr:nvSpPr>
          <xdr:cNvPr id="1456396" name="Line 50">
            <a:extLst>
              <a:ext uri="{FF2B5EF4-FFF2-40B4-BE49-F238E27FC236}">
                <a16:creationId xmlns:a16="http://schemas.microsoft.com/office/drawing/2014/main" id="{00000000-0008-0000-0300-00000C39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7" name="Line 51">
            <a:extLst>
              <a:ext uri="{FF2B5EF4-FFF2-40B4-BE49-F238E27FC236}">
                <a16:creationId xmlns:a16="http://schemas.microsoft.com/office/drawing/2014/main" id="{00000000-0008-0000-0300-00000D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8" name="Line 52">
            <a:extLst>
              <a:ext uri="{FF2B5EF4-FFF2-40B4-BE49-F238E27FC236}">
                <a16:creationId xmlns:a16="http://schemas.microsoft.com/office/drawing/2014/main" id="{00000000-0008-0000-0300-00000E39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76200</xdr:colOff>
      <xdr:row>80</xdr:row>
      <xdr:rowOff>180975</xdr:rowOff>
    </xdr:from>
    <xdr:to>
      <xdr:col>2</xdr:col>
      <xdr:colOff>371475</xdr:colOff>
      <xdr:row>81</xdr:row>
      <xdr:rowOff>9525</xdr:rowOff>
    </xdr:to>
    <xdr:sp macro="" textlink="">
      <xdr:nvSpPr>
        <xdr:cNvPr id="1454923" name="Line 153">
          <a:extLst>
            <a:ext uri="{FF2B5EF4-FFF2-40B4-BE49-F238E27FC236}">
              <a16:creationId xmlns:a16="http://schemas.microsoft.com/office/drawing/2014/main" id="{00000000-0008-0000-0300-00004B331600}"/>
            </a:ext>
          </a:extLst>
        </xdr:cNvPr>
        <xdr:cNvSpPr>
          <a:spLocks noChangeShapeType="1"/>
        </xdr:cNvSpPr>
      </xdr:nvSpPr>
      <xdr:spPr bwMode="auto">
        <a:xfrm flipV="1">
          <a:off x="1981200" y="18354675"/>
          <a:ext cx="295275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590550</xdr:colOff>
      <xdr:row>104</xdr:row>
      <xdr:rowOff>190500</xdr:rowOff>
    </xdr:from>
    <xdr:to>
      <xdr:col>3</xdr:col>
      <xdr:colOff>47625</xdr:colOff>
      <xdr:row>105</xdr:row>
      <xdr:rowOff>133350</xdr:rowOff>
    </xdr:to>
    <xdr:sp macro="" textlink="">
      <xdr:nvSpPr>
        <xdr:cNvPr id="1454924" name="Rectangle 159">
          <a:extLst>
            <a:ext uri="{FF2B5EF4-FFF2-40B4-BE49-F238E27FC236}">
              <a16:creationId xmlns:a16="http://schemas.microsoft.com/office/drawing/2014/main" id="{00000000-0008-0000-0300-00004C331600}"/>
            </a:ext>
          </a:extLst>
        </xdr:cNvPr>
        <xdr:cNvSpPr>
          <a:spLocks noChangeArrowheads="1"/>
        </xdr:cNvSpPr>
      </xdr:nvSpPr>
      <xdr:spPr bwMode="auto">
        <a:xfrm>
          <a:off x="2495550" y="23602950"/>
          <a:ext cx="57150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104</xdr:row>
      <xdr:rowOff>190500</xdr:rowOff>
    </xdr:from>
    <xdr:to>
      <xdr:col>6</xdr:col>
      <xdr:colOff>95250</xdr:colOff>
      <xdr:row>105</xdr:row>
      <xdr:rowOff>133350</xdr:rowOff>
    </xdr:to>
    <xdr:sp macro="" textlink="">
      <xdr:nvSpPr>
        <xdr:cNvPr id="1454925" name="Rectangle 160">
          <a:extLst>
            <a:ext uri="{FF2B5EF4-FFF2-40B4-BE49-F238E27FC236}">
              <a16:creationId xmlns:a16="http://schemas.microsoft.com/office/drawing/2014/main" id="{00000000-0008-0000-0300-00004D331600}"/>
            </a:ext>
          </a:extLst>
        </xdr:cNvPr>
        <xdr:cNvSpPr>
          <a:spLocks noChangeArrowheads="1"/>
        </xdr:cNvSpPr>
      </xdr:nvSpPr>
      <xdr:spPr bwMode="auto">
        <a:xfrm>
          <a:off x="6829425" y="23602950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105</xdr:row>
      <xdr:rowOff>133350</xdr:rowOff>
    </xdr:from>
    <xdr:to>
      <xdr:col>5</xdr:col>
      <xdr:colOff>847725</xdr:colOff>
      <xdr:row>108</xdr:row>
      <xdr:rowOff>76200</xdr:rowOff>
    </xdr:to>
    <xdr:sp macro="" textlink="">
      <xdr:nvSpPr>
        <xdr:cNvPr id="1454926" name="Rectangle 163">
          <a:extLst>
            <a:ext uri="{FF2B5EF4-FFF2-40B4-BE49-F238E27FC236}">
              <a16:creationId xmlns:a16="http://schemas.microsoft.com/office/drawing/2014/main" id="{00000000-0008-0000-0300-00004E331600}"/>
            </a:ext>
          </a:extLst>
        </xdr:cNvPr>
        <xdr:cNvSpPr>
          <a:spLocks noChangeArrowheads="1"/>
        </xdr:cNvSpPr>
      </xdr:nvSpPr>
      <xdr:spPr bwMode="auto">
        <a:xfrm>
          <a:off x="6829425" y="23745825"/>
          <a:ext cx="1524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809625</xdr:colOff>
      <xdr:row>101</xdr:row>
      <xdr:rowOff>104775</xdr:rowOff>
    </xdr:from>
    <xdr:to>
      <xdr:col>4</xdr:col>
      <xdr:colOff>809625</xdr:colOff>
      <xdr:row>111</xdr:row>
      <xdr:rowOff>47625</xdr:rowOff>
    </xdr:to>
    <xdr:sp macro="" textlink="">
      <xdr:nvSpPr>
        <xdr:cNvPr id="1454927" name="Line 164">
          <a:extLst>
            <a:ext uri="{FF2B5EF4-FFF2-40B4-BE49-F238E27FC236}">
              <a16:creationId xmlns:a16="http://schemas.microsoft.com/office/drawing/2014/main" id="{00000000-0008-0000-0300-00004F331600}"/>
            </a:ext>
          </a:extLst>
        </xdr:cNvPr>
        <xdr:cNvSpPr>
          <a:spLocks noChangeShapeType="1"/>
        </xdr:cNvSpPr>
      </xdr:nvSpPr>
      <xdr:spPr bwMode="auto">
        <a:xfrm>
          <a:off x="5000625" y="22917150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107</xdr:row>
      <xdr:rowOff>38100</xdr:rowOff>
    </xdr:from>
    <xdr:to>
      <xdr:col>5</xdr:col>
      <xdr:colOff>676275</xdr:colOff>
      <xdr:row>107</xdr:row>
      <xdr:rowOff>38100</xdr:rowOff>
    </xdr:to>
    <xdr:sp macro="" textlink="">
      <xdr:nvSpPr>
        <xdr:cNvPr id="1454928" name="Line 165">
          <a:extLst>
            <a:ext uri="{FF2B5EF4-FFF2-40B4-BE49-F238E27FC236}">
              <a16:creationId xmlns:a16="http://schemas.microsoft.com/office/drawing/2014/main" id="{00000000-0008-0000-0300-000050331600}"/>
            </a:ext>
          </a:extLst>
        </xdr:cNvPr>
        <xdr:cNvSpPr>
          <a:spLocks noChangeShapeType="1"/>
        </xdr:cNvSpPr>
      </xdr:nvSpPr>
      <xdr:spPr bwMode="auto">
        <a:xfrm>
          <a:off x="3048000" y="240506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104</xdr:row>
      <xdr:rowOff>190500</xdr:rowOff>
    </xdr:from>
    <xdr:to>
      <xdr:col>5</xdr:col>
      <xdr:colOff>695325</xdr:colOff>
      <xdr:row>104</xdr:row>
      <xdr:rowOff>190500</xdr:rowOff>
    </xdr:to>
    <xdr:sp macro="" textlink="">
      <xdr:nvSpPr>
        <xdr:cNvPr id="1454929" name="Line 166">
          <a:extLst>
            <a:ext uri="{FF2B5EF4-FFF2-40B4-BE49-F238E27FC236}">
              <a16:creationId xmlns:a16="http://schemas.microsoft.com/office/drawing/2014/main" id="{00000000-0008-0000-0300-000051331600}"/>
            </a:ext>
          </a:extLst>
        </xdr:cNvPr>
        <xdr:cNvSpPr>
          <a:spLocks noChangeShapeType="1"/>
        </xdr:cNvSpPr>
      </xdr:nvSpPr>
      <xdr:spPr bwMode="auto">
        <a:xfrm>
          <a:off x="3067050" y="23602950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104</xdr:row>
      <xdr:rowOff>47625</xdr:rowOff>
    </xdr:from>
    <xdr:to>
      <xdr:col>3</xdr:col>
      <xdr:colOff>447675</xdr:colOff>
      <xdr:row>105</xdr:row>
      <xdr:rowOff>28575</xdr:rowOff>
    </xdr:to>
    <xdr:sp macro="" textlink="">
      <xdr:nvSpPr>
        <xdr:cNvPr id="1454930" name="Arc 167">
          <a:extLst>
            <a:ext uri="{FF2B5EF4-FFF2-40B4-BE49-F238E27FC236}">
              <a16:creationId xmlns:a16="http://schemas.microsoft.com/office/drawing/2014/main" id="{00000000-0008-0000-0300-000052331600}"/>
            </a:ext>
          </a:extLst>
        </xdr:cNvPr>
        <xdr:cNvSpPr>
          <a:spLocks/>
        </xdr:cNvSpPr>
      </xdr:nvSpPr>
      <xdr:spPr bwMode="auto">
        <a:xfrm rot="2094536">
          <a:off x="3162300" y="23460075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809625</xdr:colOff>
      <xdr:row>104</xdr:row>
      <xdr:rowOff>180975</xdr:rowOff>
    </xdr:from>
    <xdr:to>
      <xdr:col>5</xdr:col>
      <xdr:colOff>685800</xdr:colOff>
      <xdr:row>110</xdr:row>
      <xdr:rowOff>47625</xdr:rowOff>
    </xdr:to>
    <xdr:sp macro="" textlink="">
      <xdr:nvSpPr>
        <xdr:cNvPr id="1454931" name="Line 168">
          <a:extLst>
            <a:ext uri="{FF2B5EF4-FFF2-40B4-BE49-F238E27FC236}">
              <a16:creationId xmlns:a16="http://schemas.microsoft.com/office/drawing/2014/main" id="{00000000-0008-0000-0300-000053331600}"/>
            </a:ext>
          </a:extLst>
        </xdr:cNvPr>
        <xdr:cNvSpPr>
          <a:spLocks noChangeShapeType="1"/>
        </xdr:cNvSpPr>
      </xdr:nvSpPr>
      <xdr:spPr bwMode="auto">
        <a:xfrm flipH="1">
          <a:off x="5000625" y="23593425"/>
          <a:ext cx="1819275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129</xdr:row>
      <xdr:rowOff>9525</xdr:rowOff>
    </xdr:from>
    <xdr:to>
      <xdr:col>3</xdr:col>
      <xdr:colOff>790575</xdr:colOff>
      <xdr:row>135</xdr:row>
      <xdr:rowOff>161925</xdr:rowOff>
    </xdr:to>
    <xdr:grpSp>
      <xdr:nvGrpSpPr>
        <xdr:cNvPr id="1454932" name="Group 179">
          <a:extLst>
            <a:ext uri="{FF2B5EF4-FFF2-40B4-BE49-F238E27FC236}">
              <a16:creationId xmlns:a16="http://schemas.microsoft.com/office/drawing/2014/main" id="{00000000-0008-0000-0300-000054331600}"/>
            </a:ext>
          </a:extLst>
        </xdr:cNvPr>
        <xdr:cNvGrpSpPr>
          <a:grpSpLocks/>
        </xdr:cNvGrpSpPr>
      </xdr:nvGrpSpPr>
      <xdr:grpSpPr bwMode="auto">
        <a:xfrm>
          <a:off x="1962150" y="28829454"/>
          <a:ext cx="1849211" cy="1458685"/>
          <a:chOff x="114" y="1294"/>
          <a:chExt cx="150" cy="146"/>
        </a:xfrm>
      </xdr:grpSpPr>
      <xdr:sp macro="" textlink="">
        <xdr:nvSpPr>
          <xdr:cNvPr id="1456390" name="Rectangle 169">
            <a:extLst>
              <a:ext uri="{FF2B5EF4-FFF2-40B4-BE49-F238E27FC236}">
                <a16:creationId xmlns:a16="http://schemas.microsoft.com/office/drawing/2014/main" id="{00000000-0008-0000-0300-000006391600}"/>
              </a:ext>
            </a:extLst>
          </xdr:cNvPr>
          <xdr:cNvSpPr>
            <a:spLocks noChangeArrowheads="1"/>
          </xdr:cNvSpPr>
        </xdr:nvSpPr>
        <xdr:spPr bwMode="auto">
          <a:xfrm>
            <a:off x="168" y="1294"/>
            <a:ext cx="18" cy="8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91" name="AutoShape 174">
            <a:extLst>
              <a:ext uri="{FF2B5EF4-FFF2-40B4-BE49-F238E27FC236}">
                <a16:creationId xmlns:a16="http://schemas.microsoft.com/office/drawing/2014/main" id="{00000000-0008-0000-0300-00000739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203" y="1373"/>
            <a:ext cx="22" cy="10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92" name="Rectangle 170">
            <a:extLst>
              <a:ext uri="{FF2B5EF4-FFF2-40B4-BE49-F238E27FC236}">
                <a16:creationId xmlns:a16="http://schemas.microsoft.com/office/drawing/2014/main" id="{00000000-0008-0000-0300-000008391600}"/>
              </a:ext>
            </a:extLst>
          </xdr:cNvPr>
          <xdr:cNvSpPr>
            <a:spLocks noChangeArrowheads="1"/>
          </xdr:cNvSpPr>
        </xdr:nvSpPr>
        <xdr:spPr bwMode="auto">
          <a:xfrm>
            <a:off x="152" y="1381"/>
            <a:ext cx="34" cy="2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93" name="Line 175">
            <a:extLst>
              <a:ext uri="{FF2B5EF4-FFF2-40B4-BE49-F238E27FC236}">
                <a16:creationId xmlns:a16="http://schemas.microsoft.com/office/drawing/2014/main" id="{00000000-0008-0000-0300-000009391600}"/>
              </a:ext>
            </a:extLst>
          </xdr:cNvPr>
          <xdr:cNvSpPr>
            <a:spLocks noChangeShapeType="1"/>
          </xdr:cNvSpPr>
        </xdr:nvSpPr>
        <xdr:spPr bwMode="auto">
          <a:xfrm>
            <a:off x="176" y="1331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4" name="Line 176">
            <a:extLst>
              <a:ext uri="{FF2B5EF4-FFF2-40B4-BE49-F238E27FC236}">
                <a16:creationId xmlns:a16="http://schemas.microsoft.com/office/drawing/2014/main" id="{00000000-0008-0000-0300-00000A391600}"/>
              </a:ext>
            </a:extLst>
          </xdr:cNvPr>
          <xdr:cNvSpPr>
            <a:spLocks noChangeShapeType="1"/>
          </xdr:cNvSpPr>
        </xdr:nvSpPr>
        <xdr:spPr bwMode="auto">
          <a:xfrm>
            <a:off x="114" y="1392"/>
            <a:ext cx="5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95" name="Line 177">
            <a:extLst>
              <a:ext uri="{FF2B5EF4-FFF2-40B4-BE49-F238E27FC236}">
                <a16:creationId xmlns:a16="http://schemas.microsoft.com/office/drawing/2014/main" id="{00000000-0008-0000-0300-00000B39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83" y="1393"/>
            <a:ext cx="48" cy="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76200</xdr:colOff>
      <xdr:row>138</xdr:row>
      <xdr:rowOff>0</xdr:rowOff>
    </xdr:from>
    <xdr:to>
      <xdr:col>4</xdr:col>
      <xdr:colOff>352425</xdr:colOff>
      <xdr:row>138</xdr:row>
      <xdr:rowOff>152400</xdr:rowOff>
    </xdr:to>
    <xdr:grpSp>
      <xdr:nvGrpSpPr>
        <xdr:cNvPr id="1454933" name="Group 221">
          <a:extLst>
            <a:ext uri="{FF2B5EF4-FFF2-40B4-BE49-F238E27FC236}">
              <a16:creationId xmlns:a16="http://schemas.microsoft.com/office/drawing/2014/main" id="{00000000-0008-0000-0300-000055331600}"/>
            </a:ext>
          </a:extLst>
        </xdr:cNvPr>
        <xdr:cNvGrpSpPr>
          <a:grpSpLocks/>
        </xdr:cNvGrpSpPr>
      </xdr:nvGrpSpPr>
      <xdr:grpSpPr bwMode="auto">
        <a:xfrm>
          <a:off x="3096986" y="30738536"/>
          <a:ext cx="1446439" cy="152400"/>
          <a:chOff x="172" y="1138"/>
          <a:chExt cx="130" cy="16"/>
        </a:xfrm>
      </xdr:grpSpPr>
      <xdr:sp macro="" textlink="">
        <xdr:nvSpPr>
          <xdr:cNvPr id="1456385" name="Line 222">
            <a:extLst>
              <a:ext uri="{FF2B5EF4-FFF2-40B4-BE49-F238E27FC236}">
                <a16:creationId xmlns:a16="http://schemas.microsoft.com/office/drawing/2014/main" id="{00000000-0008-0000-0300-00000139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72" y="1138"/>
            <a:ext cx="1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6" name="Line 223">
            <a:extLst>
              <a:ext uri="{FF2B5EF4-FFF2-40B4-BE49-F238E27FC236}">
                <a16:creationId xmlns:a16="http://schemas.microsoft.com/office/drawing/2014/main" id="{00000000-0008-0000-0300-000002391600}"/>
              </a:ext>
            </a:extLst>
          </xdr:cNvPr>
          <xdr:cNvSpPr>
            <a:spLocks noChangeShapeType="1"/>
          </xdr:cNvSpPr>
        </xdr:nvSpPr>
        <xdr:spPr bwMode="auto">
          <a:xfrm>
            <a:off x="242" y="1142"/>
            <a:ext cx="4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7" name="Line 224">
            <a:extLst>
              <a:ext uri="{FF2B5EF4-FFF2-40B4-BE49-F238E27FC236}">
                <a16:creationId xmlns:a16="http://schemas.microsoft.com/office/drawing/2014/main" id="{00000000-0008-0000-0300-000003391600}"/>
              </a:ext>
            </a:extLst>
          </xdr:cNvPr>
          <xdr:cNvSpPr>
            <a:spLocks noChangeShapeType="1"/>
          </xdr:cNvSpPr>
        </xdr:nvSpPr>
        <xdr:spPr bwMode="auto">
          <a:xfrm>
            <a:off x="255" y="1146"/>
            <a:ext cx="2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8" name="Line 225">
            <a:extLst>
              <a:ext uri="{FF2B5EF4-FFF2-40B4-BE49-F238E27FC236}">
                <a16:creationId xmlns:a16="http://schemas.microsoft.com/office/drawing/2014/main" id="{00000000-0008-0000-0300-000004391600}"/>
              </a:ext>
            </a:extLst>
          </xdr:cNvPr>
          <xdr:cNvSpPr>
            <a:spLocks noChangeShapeType="1"/>
          </xdr:cNvSpPr>
        </xdr:nvSpPr>
        <xdr:spPr bwMode="auto">
          <a:xfrm>
            <a:off x="262" y="1150"/>
            <a:ext cx="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89" name="Line 226">
            <a:extLst>
              <a:ext uri="{FF2B5EF4-FFF2-40B4-BE49-F238E27FC236}">
                <a16:creationId xmlns:a16="http://schemas.microsoft.com/office/drawing/2014/main" id="{00000000-0008-0000-0300-000005391600}"/>
              </a:ext>
            </a:extLst>
          </xdr:cNvPr>
          <xdr:cNvSpPr>
            <a:spLocks noChangeShapeType="1"/>
          </xdr:cNvSpPr>
        </xdr:nvSpPr>
        <xdr:spPr bwMode="auto">
          <a:xfrm>
            <a:off x="266" y="1154"/>
            <a:ext cx="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123825</xdr:colOff>
      <xdr:row>136</xdr:row>
      <xdr:rowOff>152400</xdr:rowOff>
    </xdr:from>
    <xdr:to>
      <xdr:col>5</xdr:col>
      <xdr:colOff>171450</xdr:colOff>
      <xdr:row>152</xdr:row>
      <xdr:rowOff>152400</xdr:rowOff>
    </xdr:to>
    <xdr:grpSp>
      <xdr:nvGrpSpPr>
        <xdr:cNvPr id="1454934" name="Group 283">
          <a:extLst>
            <a:ext uri="{FF2B5EF4-FFF2-40B4-BE49-F238E27FC236}">
              <a16:creationId xmlns:a16="http://schemas.microsoft.com/office/drawing/2014/main" id="{00000000-0008-0000-0300-000056331600}"/>
            </a:ext>
          </a:extLst>
        </xdr:cNvPr>
        <xdr:cNvGrpSpPr>
          <a:grpSpLocks/>
        </xdr:cNvGrpSpPr>
      </xdr:nvGrpSpPr>
      <xdr:grpSpPr bwMode="auto">
        <a:xfrm>
          <a:off x="2028825" y="30482721"/>
          <a:ext cx="4279446" cy="3347358"/>
          <a:chOff x="145" y="1449"/>
          <a:chExt cx="244" cy="355"/>
        </a:xfrm>
      </xdr:grpSpPr>
      <xdr:sp macro="" textlink="">
        <xdr:nvSpPr>
          <xdr:cNvPr id="1456370" name="Line 228">
            <a:extLst>
              <a:ext uri="{FF2B5EF4-FFF2-40B4-BE49-F238E27FC236}">
                <a16:creationId xmlns:a16="http://schemas.microsoft.com/office/drawing/2014/main" id="{00000000-0008-0000-0300-0000F2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54" y="1449"/>
            <a:ext cx="0" cy="22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71" name="Line 229">
            <a:extLst>
              <a:ext uri="{FF2B5EF4-FFF2-40B4-BE49-F238E27FC236}">
                <a16:creationId xmlns:a16="http://schemas.microsoft.com/office/drawing/2014/main" id="{00000000-0008-0000-0300-0000F3381600}"/>
              </a:ext>
            </a:extLst>
          </xdr:cNvPr>
          <xdr:cNvSpPr>
            <a:spLocks noChangeShapeType="1"/>
          </xdr:cNvSpPr>
        </xdr:nvSpPr>
        <xdr:spPr bwMode="auto">
          <a:xfrm>
            <a:off x="235" y="1616"/>
            <a:ext cx="15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72" name="Line 241">
            <a:extLst>
              <a:ext uri="{FF2B5EF4-FFF2-40B4-BE49-F238E27FC236}">
                <a16:creationId xmlns:a16="http://schemas.microsoft.com/office/drawing/2014/main" id="{00000000-0008-0000-0300-0000F4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9" y="1748"/>
            <a:ext cx="14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73" name="Arc 242">
            <a:extLst>
              <a:ext uri="{FF2B5EF4-FFF2-40B4-BE49-F238E27FC236}">
                <a16:creationId xmlns:a16="http://schemas.microsoft.com/office/drawing/2014/main" id="{00000000-0008-0000-0300-0000F5381600}"/>
              </a:ext>
            </a:extLst>
          </xdr:cNvPr>
          <xdr:cNvSpPr>
            <a:spLocks/>
          </xdr:cNvSpPr>
        </xdr:nvSpPr>
        <xdr:spPr bwMode="auto">
          <a:xfrm rot="-6925079">
            <a:off x="268" y="1743"/>
            <a:ext cx="31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456374" name="Group 244">
            <a:extLst>
              <a:ext uri="{FF2B5EF4-FFF2-40B4-BE49-F238E27FC236}">
                <a16:creationId xmlns:a16="http://schemas.microsoft.com/office/drawing/2014/main" id="{00000000-0008-0000-0300-0000F6381600}"/>
              </a:ext>
            </a:extLst>
          </xdr:cNvPr>
          <xdr:cNvGrpSpPr>
            <a:grpSpLocks/>
          </xdr:cNvGrpSpPr>
        </xdr:nvGrpSpPr>
        <xdr:grpSpPr bwMode="auto">
          <a:xfrm>
            <a:off x="145" y="1497"/>
            <a:ext cx="236" cy="307"/>
            <a:chOff x="145" y="1631"/>
            <a:chExt cx="250" cy="326"/>
          </a:xfrm>
        </xdr:grpSpPr>
        <xdr:sp macro="" textlink="">
          <xdr:nvSpPr>
            <xdr:cNvPr id="1456375" name="AutoShape 182">
              <a:extLst>
                <a:ext uri="{FF2B5EF4-FFF2-40B4-BE49-F238E27FC236}">
                  <a16:creationId xmlns:a16="http://schemas.microsoft.com/office/drawing/2014/main" id="{00000000-0008-0000-0300-0000F7381600}"/>
                </a:ext>
              </a:extLst>
            </xdr:cNvPr>
            <xdr:cNvSpPr>
              <a:spLocks noChangeArrowheads="1"/>
            </xdr:cNvSpPr>
          </xdr:nvSpPr>
          <xdr:spPr bwMode="auto">
            <a:xfrm rot="-2908953">
              <a:off x="230" y="1724"/>
              <a:ext cx="25" cy="196"/>
            </a:xfrm>
            <a:prstGeom prst="flowChartInputOutpu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76" name="Rectangle 183">
              <a:extLst>
                <a:ext uri="{FF2B5EF4-FFF2-40B4-BE49-F238E27FC236}">
                  <a16:creationId xmlns:a16="http://schemas.microsoft.com/office/drawing/2014/main" id="{00000000-0008-0000-0300-0000F8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6" y="1710"/>
              <a:ext cx="34" cy="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77" name="Freeform 214">
              <a:extLst>
                <a:ext uri="{FF2B5EF4-FFF2-40B4-BE49-F238E27FC236}">
                  <a16:creationId xmlns:a16="http://schemas.microsoft.com/office/drawing/2014/main" id="{00000000-0008-0000-0300-0000F9381600}"/>
                </a:ext>
              </a:extLst>
            </xdr:cNvPr>
            <xdr:cNvSpPr>
              <a:spLocks/>
            </xdr:cNvSpPr>
          </xdr:nvSpPr>
          <xdr:spPr bwMode="auto">
            <a:xfrm rot="785782">
              <a:off x="317" y="1829"/>
              <a:ext cx="78" cy="74"/>
            </a:xfrm>
            <a:custGeom>
              <a:avLst/>
              <a:gdLst>
                <a:gd name="T0" fmla="*/ 0 w 161"/>
                <a:gd name="T1" fmla="*/ 2147483646 h 34"/>
                <a:gd name="T2" fmla="*/ 0 w 161"/>
                <a:gd name="T3" fmla="*/ 2147483646 h 34"/>
                <a:gd name="T4" fmla="*/ 0 w 161"/>
                <a:gd name="T5" fmla="*/ 2147483646 h 34"/>
                <a:gd name="T6" fmla="*/ 0 w 161"/>
                <a:gd name="T7" fmla="*/ 2147483646 h 34"/>
                <a:gd name="T8" fmla="*/ 0 w 161"/>
                <a:gd name="T9" fmla="*/ 2147483646 h 34"/>
                <a:gd name="T10" fmla="*/ 0 w 161"/>
                <a:gd name="T11" fmla="*/ 2147483646 h 34"/>
                <a:gd name="T12" fmla="*/ 0 w 161"/>
                <a:gd name="T13" fmla="*/ 2147483646 h 34"/>
                <a:gd name="T14" fmla="*/ 0 w 161"/>
                <a:gd name="T15" fmla="*/ 2147483646 h 34"/>
                <a:gd name="T16" fmla="*/ 0 w 161"/>
                <a:gd name="T17" fmla="*/ 0 h 34"/>
                <a:gd name="T18" fmla="*/ 0 w 161"/>
                <a:gd name="T19" fmla="*/ 2147483646 h 34"/>
                <a:gd name="T20" fmla="*/ 0 w 161"/>
                <a:gd name="T21" fmla="*/ 2147483646 h 34"/>
                <a:gd name="T22" fmla="*/ 0 w 161"/>
                <a:gd name="T23" fmla="*/ 2147483646 h 34"/>
                <a:gd name="T24" fmla="*/ 0 w 161"/>
                <a:gd name="T25" fmla="*/ 2147483646 h 34"/>
                <a:gd name="T26" fmla="*/ 0 w 161"/>
                <a:gd name="T27" fmla="*/ 2147483646 h 34"/>
                <a:gd name="T28" fmla="*/ 0 w 161"/>
                <a:gd name="T29" fmla="*/ 2147483646 h 34"/>
                <a:gd name="T30" fmla="*/ 0 w 161"/>
                <a:gd name="T31" fmla="*/ 2147483646 h 34"/>
                <a:gd name="T32" fmla="*/ 0 w 161"/>
                <a:gd name="T33" fmla="*/ 2147483646 h 34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w 161"/>
                <a:gd name="T52" fmla="*/ 0 h 34"/>
                <a:gd name="T53" fmla="*/ 161 w 161"/>
                <a:gd name="T54" fmla="*/ 34 h 34"/>
              </a:gdLst>
              <a:ahLst/>
              <a:cxnLst>
                <a:cxn ang="T34">
                  <a:pos x="T0" y="T1"/>
                </a:cxn>
                <a:cxn ang="T35">
                  <a:pos x="T2" y="T3"/>
                </a:cxn>
                <a:cxn ang="T36">
                  <a:pos x="T4" y="T5"/>
                </a:cxn>
                <a:cxn ang="T37">
                  <a:pos x="T6" y="T7"/>
                </a:cxn>
                <a:cxn ang="T38">
                  <a:pos x="T8" y="T9"/>
                </a:cxn>
                <a:cxn ang="T39">
                  <a:pos x="T10" y="T11"/>
                </a:cxn>
                <a:cxn ang="T40">
                  <a:pos x="T12" y="T13"/>
                </a:cxn>
                <a:cxn ang="T41">
                  <a:pos x="T14" y="T15"/>
                </a:cxn>
                <a:cxn ang="T42">
                  <a:pos x="T16" y="T17"/>
                </a:cxn>
                <a:cxn ang="T43">
                  <a:pos x="T18" y="T19"/>
                </a:cxn>
                <a:cxn ang="T44">
                  <a:pos x="T20" y="T21"/>
                </a:cxn>
                <a:cxn ang="T45">
                  <a:pos x="T22" y="T23"/>
                </a:cxn>
                <a:cxn ang="T46">
                  <a:pos x="T24" y="T25"/>
                </a:cxn>
                <a:cxn ang="T47">
                  <a:pos x="T26" y="T27"/>
                </a:cxn>
                <a:cxn ang="T48">
                  <a:pos x="T28" y="T29"/>
                </a:cxn>
                <a:cxn ang="T49">
                  <a:pos x="T30" y="T31"/>
                </a:cxn>
                <a:cxn ang="T50">
                  <a:pos x="T32" y="T33"/>
                </a:cxn>
              </a:cxnLst>
              <a:rect l="T51" t="T52" r="T53" b="T54"/>
              <a:pathLst>
                <a:path w="161" h="34">
                  <a:moveTo>
                    <a:pt x="1" y="34"/>
                  </a:moveTo>
                  <a:lnTo>
                    <a:pt x="32" y="25"/>
                  </a:lnTo>
                  <a:lnTo>
                    <a:pt x="58" y="19"/>
                  </a:lnTo>
                  <a:lnTo>
                    <a:pt x="80" y="15"/>
                  </a:lnTo>
                  <a:lnTo>
                    <a:pt x="104" y="11"/>
                  </a:lnTo>
                  <a:lnTo>
                    <a:pt x="127" y="9"/>
                  </a:lnTo>
                  <a:lnTo>
                    <a:pt x="144" y="8"/>
                  </a:lnTo>
                  <a:lnTo>
                    <a:pt x="161" y="8"/>
                  </a:lnTo>
                  <a:lnTo>
                    <a:pt x="161" y="0"/>
                  </a:lnTo>
                  <a:lnTo>
                    <a:pt x="137" y="1"/>
                  </a:lnTo>
                  <a:lnTo>
                    <a:pt x="119" y="2"/>
                  </a:lnTo>
                  <a:lnTo>
                    <a:pt x="102" y="3"/>
                  </a:lnTo>
                  <a:lnTo>
                    <a:pt x="71" y="8"/>
                  </a:lnTo>
                  <a:lnTo>
                    <a:pt x="47" y="13"/>
                  </a:lnTo>
                  <a:lnTo>
                    <a:pt x="17" y="20"/>
                  </a:lnTo>
                  <a:lnTo>
                    <a:pt x="0" y="26"/>
                  </a:lnTo>
                  <a:lnTo>
                    <a:pt x="1" y="34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378" name="Rectangle 187">
              <a:extLst>
                <a:ext uri="{FF2B5EF4-FFF2-40B4-BE49-F238E27FC236}">
                  <a16:creationId xmlns:a16="http://schemas.microsoft.com/office/drawing/2014/main" id="{00000000-0008-0000-0300-0000FA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" y="1886"/>
              <a:ext cx="20" cy="7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79" name="Line 186">
              <a:extLst>
                <a:ext uri="{FF2B5EF4-FFF2-40B4-BE49-F238E27FC236}">
                  <a16:creationId xmlns:a16="http://schemas.microsoft.com/office/drawing/2014/main" id="{00000000-0008-0000-0300-0000FB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" y="1847"/>
              <a:ext cx="44" cy="4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0" name="Line 218">
              <a:extLst>
                <a:ext uri="{FF2B5EF4-FFF2-40B4-BE49-F238E27FC236}">
                  <a16:creationId xmlns:a16="http://schemas.microsoft.com/office/drawing/2014/main" id="{00000000-0008-0000-0300-0000FC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640"/>
              <a:ext cx="0" cy="25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1" name="Line 219">
              <a:extLst>
                <a:ext uri="{FF2B5EF4-FFF2-40B4-BE49-F238E27FC236}">
                  <a16:creationId xmlns:a16="http://schemas.microsoft.com/office/drawing/2014/main" id="{00000000-0008-0000-0300-0000FD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7" y="1776"/>
              <a:ext cx="37" cy="4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2" name="Line 220">
              <a:extLst>
                <a:ext uri="{FF2B5EF4-FFF2-40B4-BE49-F238E27FC236}">
                  <a16:creationId xmlns:a16="http://schemas.microsoft.com/office/drawing/2014/main" id="{00000000-0008-0000-0300-0000FE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818"/>
              <a:ext cx="0" cy="6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3" name="Line 184">
              <a:extLst>
                <a:ext uri="{FF2B5EF4-FFF2-40B4-BE49-F238E27FC236}">
                  <a16:creationId xmlns:a16="http://schemas.microsoft.com/office/drawing/2014/main" id="{00000000-0008-0000-0300-0000FF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4" y="1820"/>
              <a:ext cx="0" cy="6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84" name="Rectangle 181">
              <a:extLst>
                <a:ext uri="{FF2B5EF4-FFF2-40B4-BE49-F238E27FC236}">
                  <a16:creationId xmlns:a16="http://schemas.microsoft.com/office/drawing/2014/main" id="{00000000-0008-0000-0300-00000039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4" y="1631"/>
              <a:ext cx="18" cy="8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647700</xdr:colOff>
      <xdr:row>133</xdr:row>
      <xdr:rowOff>66675</xdr:rowOff>
    </xdr:from>
    <xdr:to>
      <xdr:col>3</xdr:col>
      <xdr:colOff>847725</xdr:colOff>
      <xdr:row>133</xdr:row>
      <xdr:rowOff>66675</xdr:rowOff>
    </xdr:to>
    <xdr:sp macro="" textlink="">
      <xdr:nvSpPr>
        <xdr:cNvPr id="1454935" name="Line 246">
          <a:extLst>
            <a:ext uri="{FF2B5EF4-FFF2-40B4-BE49-F238E27FC236}">
              <a16:creationId xmlns:a16="http://schemas.microsoft.com/office/drawing/2014/main" id="{00000000-0008-0000-0300-000057331600}"/>
            </a:ext>
          </a:extLst>
        </xdr:cNvPr>
        <xdr:cNvSpPr>
          <a:spLocks noChangeShapeType="1"/>
        </xdr:cNvSpPr>
      </xdr:nvSpPr>
      <xdr:spPr bwMode="auto">
        <a:xfrm>
          <a:off x="2552700" y="29565600"/>
          <a:ext cx="1314450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132</xdr:row>
      <xdr:rowOff>114300</xdr:rowOff>
    </xdr:from>
    <xdr:to>
      <xdr:col>3</xdr:col>
      <xdr:colOff>266700</xdr:colOff>
      <xdr:row>133</xdr:row>
      <xdr:rowOff>123825</xdr:rowOff>
    </xdr:to>
    <xdr:sp macro="" textlink="">
      <xdr:nvSpPr>
        <xdr:cNvPr id="1454936" name="Arc 247">
          <a:extLst>
            <a:ext uri="{FF2B5EF4-FFF2-40B4-BE49-F238E27FC236}">
              <a16:creationId xmlns:a16="http://schemas.microsoft.com/office/drawing/2014/main" id="{00000000-0008-0000-0300-000058331600}"/>
            </a:ext>
          </a:extLst>
        </xdr:cNvPr>
        <xdr:cNvSpPr>
          <a:spLocks/>
        </xdr:cNvSpPr>
      </xdr:nvSpPr>
      <xdr:spPr bwMode="auto">
        <a:xfrm rot="4765854">
          <a:off x="3090863" y="29427487"/>
          <a:ext cx="20955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136</xdr:row>
      <xdr:rowOff>161925</xdr:rowOff>
    </xdr:from>
    <xdr:to>
      <xdr:col>3</xdr:col>
      <xdr:colOff>609600</xdr:colOff>
      <xdr:row>136</xdr:row>
      <xdr:rowOff>161925</xdr:rowOff>
    </xdr:to>
    <xdr:sp macro="" textlink="">
      <xdr:nvSpPr>
        <xdr:cNvPr id="1454937" name="Line 248">
          <a:extLst>
            <a:ext uri="{FF2B5EF4-FFF2-40B4-BE49-F238E27FC236}">
              <a16:creationId xmlns:a16="http://schemas.microsoft.com/office/drawing/2014/main" id="{00000000-0008-0000-0300-000059331600}"/>
            </a:ext>
          </a:extLst>
        </xdr:cNvPr>
        <xdr:cNvSpPr>
          <a:spLocks noChangeShapeType="1"/>
        </xdr:cNvSpPr>
      </xdr:nvSpPr>
      <xdr:spPr bwMode="auto">
        <a:xfrm>
          <a:off x="2533650" y="30299025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90</xdr:row>
      <xdr:rowOff>0</xdr:rowOff>
    </xdr:from>
    <xdr:to>
      <xdr:col>2</xdr:col>
      <xdr:colOff>685800</xdr:colOff>
      <xdr:row>90</xdr:row>
      <xdr:rowOff>95250</xdr:rowOff>
    </xdr:to>
    <xdr:sp macro="" textlink="">
      <xdr:nvSpPr>
        <xdr:cNvPr id="1454938" name="Line 249">
          <a:extLst>
            <a:ext uri="{FF2B5EF4-FFF2-40B4-BE49-F238E27FC236}">
              <a16:creationId xmlns:a16="http://schemas.microsoft.com/office/drawing/2014/main" id="{00000000-0008-0000-0300-00005A331600}"/>
            </a:ext>
          </a:extLst>
        </xdr:cNvPr>
        <xdr:cNvSpPr>
          <a:spLocks noChangeShapeType="1"/>
        </xdr:cNvSpPr>
      </xdr:nvSpPr>
      <xdr:spPr bwMode="auto">
        <a:xfrm flipH="1">
          <a:off x="2305050" y="20269200"/>
          <a:ext cx="2857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1076325</xdr:colOff>
      <xdr:row>91</xdr:row>
      <xdr:rowOff>180975</xdr:rowOff>
    </xdr:from>
    <xdr:to>
      <xdr:col>4</xdr:col>
      <xdr:colOff>0</xdr:colOff>
      <xdr:row>93</xdr:row>
      <xdr:rowOff>114300</xdr:rowOff>
    </xdr:to>
    <xdr:grpSp>
      <xdr:nvGrpSpPr>
        <xdr:cNvPr id="1454939" name="Group 250">
          <a:extLst>
            <a:ext uri="{FF2B5EF4-FFF2-40B4-BE49-F238E27FC236}">
              <a16:creationId xmlns:a16="http://schemas.microsoft.com/office/drawing/2014/main" id="{00000000-0008-0000-0300-00005B331600}"/>
            </a:ext>
          </a:extLst>
        </xdr:cNvPr>
        <xdr:cNvGrpSpPr>
          <a:grpSpLocks/>
        </xdr:cNvGrpSpPr>
      </xdr:nvGrpSpPr>
      <xdr:grpSpPr bwMode="auto">
        <a:xfrm>
          <a:off x="4097111" y="20659725"/>
          <a:ext cx="93889" cy="341539"/>
          <a:chOff x="1412" y="648"/>
          <a:chExt cx="10" cy="35"/>
        </a:xfrm>
      </xdr:grpSpPr>
      <xdr:sp macro="" textlink="">
        <xdr:nvSpPr>
          <xdr:cNvPr id="1456367" name="Line 251">
            <a:extLst>
              <a:ext uri="{FF2B5EF4-FFF2-40B4-BE49-F238E27FC236}">
                <a16:creationId xmlns:a16="http://schemas.microsoft.com/office/drawing/2014/main" id="{00000000-0008-0000-0300-0000EF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8" name="Line 252">
            <a:extLst>
              <a:ext uri="{FF2B5EF4-FFF2-40B4-BE49-F238E27FC236}">
                <a16:creationId xmlns:a16="http://schemas.microsoft.com/office/drawing/2014/main" id="{00000000-0008-0000-0300-0000F0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9" name="Line 253">
            <a:extLst>
              <a:ext uri="{FF2B5EF4-FFF2-40B4-BE49-F238E27FC236}">
                <a16:creationId xmlns:a16="http://schemas.microsoft.com/office/drawing/2014/main" id="{00000000-0008-0000-0300-0000F1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657225</xdr:colOff>
      <xdr:row>92</xdr:row>
      <xdr:rowOff>28575</xdr:rowOff>
    </xdr:from>
    <xdr:to>
      <xdr:col>2</xdr:col>
      <xdr:colOff>1095375</xdr:colOff>
      <xdr:row>94</xdr:row>
      <xdr:rowOff>190500</xdr:rowOff>
    </xdr:to>
    <xdr:grpSp>
      <xdr:nvGrpSpPr>
        <xdr:cNvPr id="1454940" name="Group 261">
          <a:extLst>
            <a:ext uri="{FF2B5EF4-FFF2-40B4-BE49-F238E27FC236}">
              <a16:creationId xmlns:a16="http://schemas.microsoft.com/office/drawing/2014/main" id="{00000000-0008-0000-0300-00005C331600}"/>
            </a:ext>
          </a:extLst>
        </xdr:cNvPr>
        <xdr:cNvGrpSpPr>
          <a:grpSpLocks/>
        </xdr:cNvGrpSpPr>
      </xdr:nvGrpSpPr>
      <xdr:grpSpPr bwMode="auto">
        <a:xfrm>
          <a:off x="2562225" y="20711432"/>
          <a:ext cx="438150" cy="570139"/>
          <a:chOff x="167" y="874"/>
          <a:chExt cx="38" cy="44"/>
        </a:xfrm>
      </xdr:grpSpPr>
      <xdr:sp macro="" textlink="">
        <xdr:nvSpPr>
          <xdr:cNvPr id="1456364" name="Line 258">
            <a:extLst>
              <a:ext uri="{FF2B5EF4-FFF2-40B4-BE49-F238E27FC236}">
                <a16:creationId xmlns:a16="http://schemas.microsoft.com/office/drawing/2014/main" id="{00000000-0008-0000-0300-0000EC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7" y="879"/>
            <a:ext cx="38" cy="3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5" name="Line 259">
            <a:extLst>
              <a:ext uri="{FF2B5EF4-FFF2-40B4-BE49-F238E27FC236}">
                <a16:creationId xmlns:a16="http://schemas.microsoft.com/office/drawing/2014/main" id="{00000000-0008-0000-0300-0000ED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94" y="886"/>
            <a:ext cx="0" cy="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6" name="Line 260">
            <a:extLst>
              <a:ext uri="{FF2B5EF4-FFF2-40B4-BE49-F238E27FC236}">
                <a16:creationId xmlns:a16="http://schemas.microsoft.com/office/drawing/2014/main" id="{00000000-0008-0000-0300-0000EE381600}"/>
              </a:ext>
            </a:extLst>
          </xdr:cNvPr>
          <xdr:cNvSpPr>
            <a:spLocks noChangeShapeType="1"/>
          </xdr:cNvSpPr>
        </xdr:nvSpPr>
        <xdr:spPr bwMode="auto">
          <a:xfrm>
            <a:off x="202" y="874"/>
            <a:ext cx="0" cy="1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628650</xdr:colOff>
      <xdr:row>155</xdr:row>
      <xdr:rowOff>161925</xdr:rowOff>
    </xdr:from>
    <xdr:to>
      <xdr:col>5</xdr:col>
      <xdr:colOff>571500</xdr:colOff>
      <xdr:row>160</xdr:row>
      <xdr:rowOff>180975</xdr:rowOff>
    </xdr:to>
    <xdr:grpSp>
      <xdr:nvGrpSpPr>
        <xdr:cNvPr id="1454942" name="Group 282">
          <a:extLst>
            <a:ext uri="{FF2B5EF4-FFF2-40B4-BE49-F238E27FC236}">
              <a16:creationId xmlns:a16="http://schemas.microsoft.com/office/drawing/2014/main" id="{00000000-0008-0000-0300-00005E331600}"/>
            </a:ext>
          </a:extLst>
        </xdr:cNvPr>
        <xdr:cNvGrpSpPr>
          <a:grpSpLocks/>
        </xdr:cNvGrpSpPr>
      </xdr:nvGrpSpPr>
      <xdr:grpSpPr bwMode="auto">
        <a:xfrm>
          <a:off x="2533650" y="34451925"/>
          <a:ext cx="4174671" cy="1039586"/>
          <a:chOff x="906" y="2099"/>
          <a:chExt cx="233" cy="107"/>
        </a:xfrm>
      </xdr:grpSpPr>
      <xdr:sp macro="" textlink="">
        <xdr:nvSpPr>
          <xdr:cNvPr id="1456356" name="Arc 280">
            <a:extLst>
              <a:ext uri="{FF2B5EF4-FFF2-40B4-BE49-F238E27FC236}">
                <a16:creationId xmlns:a16="http://schemas.microsoft.com/office/drawing/2014/main" id="{00000000-0008-0000-0300-0000E4381600}"/>
              </a:ext>
            </a:extLst>
          </xdr:cNvPr>
          <xdr:cNvSpPr>
            <a:spLocks/>
          </xdr:cNvSpPr>
        </xdr:nvSpPr>
        <xdr:spPr bwMode="auto">
          <a:xfrm rot="6925079" flipH="1">
            <a:off x="1048" y="2155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357" name="Line 267">
            <a:extLst>
              <a:ext uri="{FF2B5EF4-FFF2-40B4-BE49-F238E27FC236}">
                <a16:creationId xmlns:a16="http://schemas.microsoft.com/office/drawing/2014/main" id="{00000000-0008-0000-0300-0000E538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06" y="2167"/>
            <a:ext cx="233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58" name="Arc 268">
            <a:extLst>
              <a:ext uri="{FF2B5EF4-FFF2-40B4-BE49-F238E27FC236}">
                <a16:creationId xmlns:a16="http://schemas.microsoft.com/office/drawing/2014/main" id="{00000000-0008-0000-0300-0000E6381600}"/>
              </a:ext>
            </a:extLst>
          </xdr:cNvPr>
          <xdr:cNvSpPr>
            <a:spLocks/>
          </xdr:cNvSpPr>
        </xdr:nvSpPr>
        <xdr:spPr bwMode="auto">
          <a:xfrm rot="-6925079">
            <a:off x="985" y="2150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359" name="AutoShape 271">
            <a:extLst>
              <a:ext uri="{FF2B5EF4-FFF2-40B4-BE49-F238E27FC236}">
                <a16:creationId xmlns:a16="http://schemas.microsoft.com/office/drawing/2014/main" id="{00000000-0008-0000-0300-0000E738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972" y="2035"/>
            <a:ext cx="21" cy="15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60" name="Freeform 273">
            <a:extLst>
              <a:ext uri="{FF2B5EF4-FFF2-40B4-BE49-F238E27FC236}">
                <a16:creationId xmlns:a16="http://schemas.microsoft.com/office/drawing/2014/main" id="{00000000-0008-0000-0300-0000E8381600}"/>
              </a:ext>
            </a:extLst>
          </xdr:cNvPr>
          <xdr:cNvSpPr>
            <a:spLocks/>
          </xdr:cNvSpPr>
        </xdr:nvSpPr>
        <xdr:spPr bwMode="auto">
          <a:xfrm rot="785782">
            <a:off x="1039" y="2108"/>
            <a:ext cx="74" cy="74"/>
          </a:xfrm>
          <a:custGeom>
            <a:avLst/>
            <a:gdLst>
              <a:gd name="T0" fmla="*/ 0 w 161"/>
              <a:gd name="T1" fmla="*/ 2147483646 h 34"/>
              <a:gd name="T2" fmla="*/ 0 w 161"/>
              <a:gd name="T3" fmla="*/ 2147483646 h 34"/>
              <a:gd name="T4" fmla="*/ 0 w 161"/>
              <a:gd name="T5" fmla="*/ 2147483646 h 34"/>
              <a:gd name="T6" fmla="*/ 0 w 161"/>
              <a:gd name="T7" fmla="*/ 2147483646 h 34"/>
              <a:gd name="T8" fmla="*/ 0 w 161"/>
              <a:gd name="T9" fmla="*/ 2147483646 h 34"/>
              <a:gd name="T10" fmla="*/ 0 w 161"/>
              <a:gd name="T11" fmla="*/ 2147483646 h 34"/>
              <a:gd name="T12" fmla="*/ 0 w 161"/>
              <a:gd name="T13" fmla="*/ 2147483646 h 34"/>
              <a:gd name="T14" fmla="*/ 0 w 161"/>
              <a:gd name="T15" fmla="*/ 2147483646 h 34"/>
              <a:gd name="T16" fmla="*/ 0 w 161"/>
              <a:gd name="T17" fmla="*/ 0 h 34"/>
              <a:gd name="T18" fmla="*/ 0 w 161"/>
              <a:gd name="T19" fmla="*/ 2147483646 h 34"/>
              <a:gd name="T20" fmla="*/ 0 w 161"/>
              <a:gd name="T21" fmla="*/ 2147483646 h 34"/>
              <a:gd name="T22" fmla="*/ 0 w 161"/>
              <a:gd name="T23" fmla="*/ 2147483646 h 34"/>
              <a:gd name="T24" fmla="*/ 0 w 161"/>
              <a:gd name="T25" fmla="*/ 2147483646 h 34"/>
              <a:gd name="T26" fmla="*/ 0 w 161"/>
              <a:gd name="T27" fmla="*/ 2147483646 h 34"/>
              <a:gd name="T28" fmla="*/ 0 w 161"/>
              <a:gd name="T29" fmla="*/ 2147483646 h 34"/>
              <a:gd name="T30" fmla="*/ 0 w 161"/>
              <a:gd name="T31" fmla="*/ 2147483646 h 34"/>
              <a:gd name="T32" fmla="*/ 0 w 161"/>
              <a:gd name="T33" fmla="*/ 2147483646 h 3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61"/>
              <a:gd name="T52" fmla="*/ 0 h 34"/>
              <a:gd name="T53" fmla="*/ 161 w 161"/>
              <a:gd name="T54" fmla="*/ 34 h 3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61" h="34">
                <a:moveTo>
                  <a:pt x="1" y="34"/>
                </a:moveTo>
                <a:lnTo>
                  <a:pt x="32" y="25"/>
                </a:lnTo>
                <a:lnTo>
                  <a:pt x="58" y="19"/>
                </a:lnTo>
                <a:lnTo>
                  <a:pt x="80" y="15"/>
                </a:lnTo>
                <a:lnTo>
                  <a:pt x="104" y="11"/>
                </a:lnTo>
                <a:lnTo>
                  <a:pt x="127" y="9"/>
                </a:lnTo>
                <a:lnTo>
                  <a:pt x="144" y="8"/>
                </a:lnTo>
                <a:lnTo>
                  <a:pt x="161" y="8"/>
                </a:lnTo>
                <a:lnTo>
                  <a:pt x="161" y="0"/>
                </a:lnTo>
                <a:lnTo>
                  <a:pt x="137" y="1"/>
                </a:lnTo>
                <a:lnTo>
                  <a:pt x="119" y="2"/>
                </a:lnTo>
                <a:lnTo>
                  <a:pt x="102" y="3"/>
                </a:lnTo>
                <a:lnTo>
                  <a:pt x="71" y="8"/>
                </a:lnTo>
                <a:lnTo>
                  <a:pt x="47" y="13"/>
                </a:lnTo>
                <a:lnTo>
                  <a:pt x="17" y="20"/>
                </a:lnTo>
                <a:lnTo>
                  <a:pt x="0" y="26"/>
                </a:lnTo>
                <a:lnTo>
                  <a:pt x="1" y="34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361" name="Rectangle 274">
            <a:extLst>
              <a:ext uri="{FF2B5EF4-FFF2-40B4-BE49-F238E27FC236}">
                <a16:creationId xmlns:a16="http://schemas.microsoft.com/office/drawing/2014/main" id="{00000000-0008-0000-0300-0000E9381600}"/>
              </a:ext>
            </a:extLst>
          </xdr:cNvPr>
          <xdr:cNvSpPr>
            <a:spLocks noChangeArrowheads="1"/>
          </xdr:cNvSpPr>
        </xdr:nvSpPr>
        <xdr:spPr bwMode="auto">
          <a:xfrm>
            <a:off x="1026" y="2153"/>
            <a:ext cx="19" cy="5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362" name="Line 275">
            <a:extLst>
              <a:ext uri="{FF2B5EF4-FFF2-40B4-BE49-F238E27FC236}">
                <a16:creationId xmlns:a16="http://schemas.microsoft.com/office/drawing/2014/main" id="{00000000-0008-0000-0300-0000EA381600}"/>
              </a:ext>
            </a:extLst>
          </xdr:cNvPr>
          <xdr:cNvSpPr>
            <a:spLocks noChangeShapeType="1"/>
          </xdr:cNvSpPr>
        </xdr:nvSpPr>
        <xdr:spPr bwMode="auto">
          <a:xfrm>
            <a:off x="993" y="2118"/>
            <a:ext cx="44" cy="4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63" name="Line 281">
            <a:extLst>
              <a:ext uri="{FF2B5EF4-FFF2-40B4-BE49-F238E27FC236}">
                <a16:creationId xmlns:a16="http://schemas.microsoft.com/office/drawing/2014/main" id="{00000000-0008-0000-0300-0000EB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39" y="2122"/>
            <a:ext cx="53" cy="3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714375</xdr:colOff>
      <xdr:row>160</xdr:row>
      <xdr:rowOff>85725</xdr:rowOff>
    </xdr:from>
    <xdr:to>
      <xdr:col>5</xdr:col>
      <xdr:colOff>666750</xdr:colOff>
      <xdr:row>161</xdr:row>
      <xdr:rowOff>28575</xdr:rowOff>
    </xdr:to>
    <xdr:sp macro="" textlink="">
      <xdr:nvSpPr>
        <xdr:cNvPr id="1454943" name="Line 285">
          <a:extLst>
            <a:ext uri="{FF2B5EF4-FFF2-40B4-BE49-F238E27FC236}">
              <a16:creationId xmlns:a16="http://schemas.microsoft.com/office/drawing/2014/main" id="{00000000-0008-0000-0300-00005F331600}"/>
            </a:ext>
          </a:extLst>
        </xdr:cNvPr>
        <xdr:cNvSpPr>
          <a:spLocks noChangeShapeType="1"/>
        </xdr:cNvSpPr>
      </xdr:nvSpPr>
      <xdr:spPr bwMode="auto">
        <a:xfrm flipH="1" flipV="1">
          <a:off x="4905375" y="35099625"/>
          <a:ext cx="18954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180975</xdr:colOff>
      <xdr:row>102</xdr:row>
      <xdr:rowOff>161925</xdr:rowOff>
    </xdr:from>
    <xdr:to>
      <xdr:col>5</xdr:col>
      <xdr:colOff>695325</xdr:colOff>
      <xdr:row>104</xdr:row>
      <xdr:rowOff>190500</xdr:rowOff>
    </xdr:to>
    <xdr:sp macro="" textlink="">
      <xdr:nvSpPr>
        <xdr:cNvPr id="1454944" name="Line 293">
          <a:extLst>
            <a:ext uri="{FF2B5EF4-FFF2-40B4-BE49-F238E27FC236}">
              <a16:creationId xmlns:a16="http://schemas.microsoft.com/office/drawing/2014/main" id="{00000000-0008-0000-0300-000060331600}"/>
            </a:ext>
          </a:extLst>
        </xdr:cNvPr>
        <xdr:cNvSpPr>
          <a:spLocks noChangeShapeType="1"/>
        </xdr:cNvSpPr>
      </xdr:nvSpPr>
      <xdr:spPr bwMode="auto">
        <a:xfrm flipH="1" flipV="1">
          <a:off x="4371975" y="23174325"/>
          <a:ext cx="2457450" cy="4286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828675</xdr:colOff>
      <xdr:row>102</xdr:row>
      <xdr:rowOff>66675</xdr:rowOff>
    </xdr:from>
    <xdr:to>
      <xdr:col>4</xdr:col>
      <xdr:colOff>457200</xdr:colOff>
      <xdr:row>104</xdr:row>
      <xdr:rowOff>171450</xdr:rowOff>
    </xdr:to>
    <xdr:sp macro="" textlink="">
      <xdr:nvSpPr>
        <xdr:cNvPr id="1454945" name="Freeform 309">
          <a:extLst>
            <a:ext uri="{FF2B5EF4-FFF2-40B4-BE49-F238E27FC236}">
              <a16:creationId xmlns:a16="http://schemas.microsoft.com/office/drawing/2014/main" id="{00000000-0008-0000-0300-000061331600}"/>
            </a:ext>
          </a:extLst>
        </xdr:cNvPr>
        <xdr:cNvSpPr>
          <a:spLocks/>
        </xdr:cNvSpPr>
      </xdr:nvSpPr>
      <xdr:spPr bwMode="auto">
        <a:xfrm rot="-368388">
          <a:off x="2733675" y="230790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77</xdr:row>
      <xdr:rowOff>47625</xdr:rowOff>
    </xdr:from>
    <xdr:to>
      <xdr:col>4</xdr:col>
      <xdr:colOff>295275</xdr:colOff>
      <xdr:row>78</xdr:row>
      <xdr:rowOff>180975</xdr:rowOff>
    </xdr:to>
    <xdr:sp macro="" textlink="">
      <xdr:nvSpPr>
        <xdr:cNvPr id="1454946" name="AutoShape 319">
          <a:extLst>
            <a:ext uri="{FF2B5EF4-FFF2-40B4-BE49-F238E27FC236}">
              <a16:creationId xmlns:a16="http://schemas.microsoft.com/office/drawing/2014/main" id="{00000000-0008-0000-0300-000062331600}"/>
            </a:ext>
          </a:extLst>
        </xdr:cNvPr>
        <xdr:cNvSpPr>
          <a:spLocks noChangeArrowheads="1"/>
        </xdr:cNvSpPr>
      </xdr:nvSpPr>
      <xdr:spPr bwMode="auto">
        <a:xfrm>
          <a:off x="4410075" y="17611725"/>
          <a:ext cx="76200" cy="333375"/>
        </a:xfrm>
        <a:prstGeom prst="downArrow">
          <a:avLst>
            <a:gd name="adj1" fmla="val 50000"/>
            <a:gd name="adj2" fmla="val 10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200025</xdr:colOff>
      <xdr:row>78</xdr:row>
      <xdr:rowOff>190500</xdr:rowOff>
    </xdr:from>
    <xdr:to>
      <xdr:col>4</xdr:col>
      <xdr:colOff>371475</xdr:colOff>
      <xdr:row>78</xdr:row>
      <xdr:rowOff>190500</xdr:rowOff>
    </xdr:to>
    <xdr:sp macro="" textlink="">
      <xdr:nvSpPr>
        <xdr:cNvPr id="1454947" name="Line 320">
          <a:extLst>
            <a:ext uri="{FF2B5EF4-FFF2-40B4-BE49-F238E27FC236}">
              <a16:creationId xmlns:a16="http://schemas.microsoft.com/office/drawing/2014/main" id="{00000000-0008-0000-0300-000063331600}"/>
            </a:ext>
          </a:extLst>
        </xdr:cNvPr>
        <xdr:cNvSpPr>
          <a:spLocks noChangeShapeType="1"/>
        </xdr:cNvSpPr>
      </xdr:nvSpPr>
      <xdr:spPr bwMode="auto">
        <a:xfrm>
          <a:off x="4391025" y="179546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952500</xdr:colOff>
      <xdr:row>77</xdr:row>
      <xdr:rowOff>38100</xdr:rowOff>
    </xdr:from>
    <xdr:to>
      <xdr:col>4</xdr:col>
      <xdr:colOff>257175</xdr:colOff>
      <xdr:row>77</xdr:row>
      <xdr:rowOff>38100</xdr:rowOff>
    </xdr:to>
    <xdr:sp macro="" textlink="">
      <xdr:nvSpPr>
        <xdr:cNvPr id="1454948" name="Line 323">
          <a:extLst>
            <a:ext uri="{FF2B5EF4-FFF2-40B4-BE49-F238E27FC236}">
              <a16:creationId xmlns:a16="http://schemas.microsoft.com/office/drawing/2014/main" id="{00000000-0008-0000-0300-000064331600}"/>
            </a:ext>
          </a:extLst>
        </xdr:cNvPr>
        <xdr:cNvSpPr>
          <a:spLocks noChangeShapeType="1"/>
        </xdr:cNvSpPr>
      </xdr:nvSpPr>
      <xdr:spPr bwMode="auto">
        <a:xfrm flipH="1">
          <a:off x="3971925" y="17602200"/>
          <a:ext cx="47625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514350</xdr:colOff>
      <xdr:row>78</xdr:row>
      <xdr:rowOff>85725</xdr:rowOff>
    </xdr:from>
    <xdr:to>
      <xdr:col>4</xdr:col>
      <xdr:colOff>590550</xdr:colOff>
      <xdr:row>80</xdr:row>
      <xdr:rowOff>114300</xdr:rowOff>
    </xdr:to>
    <xdr:sp macro="" textlink="">
      <xdr:nvSpPr>
        <xdr:cNvPr id="1454949" name="AutoShape 324">
          <a:extLst>
            <a:ext uri="{FF2B5EF4-FFF2-40B4-BE49-F238E27FC236}">
              <a16:creationId xmlns:a16="http://schemas.microsoft.com/office/drawing/2014/main" id="{00000000-0008-0000-0300-000065331600}"/>
            </a:ext>
          </a:extLst>
        </xdr:cNvPr>
        <xdr:cNvSpPr>
          <a:spLocks noChangeArrowheads="1"/>
        </xdr:cNvSpPr>
      </xdr:nvSpPr>
      <xdr:spPr bwMode="auto">
        <a:xfrm>
          <a:off x="4705350" y="17849850"/>
          <a:ext cx="76200" cy="438150"/>
        </a:xfrm>
        <a:prstGeom prst="downArrow">
          <a:avLst>
            <a:gd name="adj1" fmla="val 50000"/>
            <a:gd name="adj2" fmla="val 14375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581025</xdr:colOff>
      <xdr:row>78</xdr:row>
      <xdr:rowOff>104775</xdr:rowOff>
    </xdr:from>
    <xdr:to>
      <xdr:col>5</xdr:col>
      <xdr:colOff>114300</xdr:colOff>
      <xdr:row>78</xdr:row>
      <xdr:rowOff>104775</xdr:rowOff>
    </xdr:to>
    <xdr:sp macro="" textlink="">
      <xdr:nvSpPr>
        <xdr:cNvPr id="1454950" name="Line 325">
          <a:extLst>
            <a:ext uri="{FF2B5EF4-FFF2-40B4-BE49-F238E27FC236}">
              <a16:creationId xmlns:a16="http://schemas.microsoft.com/office/drawing/2014/main" id="{00000000-0008-0000-0300-000066331600}"/>
            </a:ext>
          </a:extLst>
        </xdr:cNvPr>
        <xdr:cNvSpPr>
          <a:spLocks noChangeShapeType="1"/>
        </xdr:cNvSpPr>
      </xdr:nvSpPr>
      <xdr:spPr bwMode="auto">
        <a:xfrm>
          <a:off x="4772025" y="17868900"/>
          <a:ext cx="14763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733425</xdr:colOff>
      <xdr:row>94</xdr:row>
      <xdr:rowOff>0</xdr:rowOff>
    </xdr:from>
    <xdr:to>
      <xdr:col>6</xdr:col>
      <xdr:colOff>257175</xdr:colOff>
      <xdr:row>94</xdr:row>
      <xdr:rowOff>0</xdr:rowOff>
    </xdr:to>
    <xdr:sp macro="" textlink="">
      <xdr:nvSpPr>
        <xdr:cNvPr id="1454951" name="Line 350">
          <a:extLst>
            <a:ext uri="{FF2B5EF4-FFF2-40B4-BE49-F238E27FC236}">
              <a16:creationId xmlns:a16="http://schemas.microsoft.com/office/drawing/2014/main" id="{00000000-0008-0000-0300-000067331600}"/>
            </a:ext>
          </a:extLst>
        </xdr:cNvPr>
        <xdr:cNvSpPr>
          <a:spLocks noChangeShapeType="1"/>
        </xdr:cNvSpPr>
      </xdr:nvSpPr>
      <xdr:spPr bwMode="auto">
        <a:xfrm>
          <a:off x="3752850" y="21069300"/>
          <a:ext cx="3533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152400</xdr:colOff>
      <xdr:row>93</xdr:row>
      <xdr:rowOff>47625</xdr:rowOff>
    </xdr:from>
    <xdr:to>
      <xdr:col>6</xdr:col>
      <xdr:colOff>228600</xdr:colOff>
      <xdr:row>93</xdr:row>
      <xdr:rowOff>200025</xdr:rowOff>
    </xdr:to>
    <xdr:sp macro="" textlink="">
      <xdr:nvSpPr>
        <xdr:cNvPr id="1454952" name="AutoShape 351">
          <a:extLst>
            <a:ext uri="{FF2B5EF4-FFF2-40B4-BE49-F238E27FC236}">
              <a16:creationId xmlns:a16="http://schemas.microsoft.com/office/drawing/2014/main" id="{00000000-0008-0000-0300-000068331600}"/>
            </a:ext>
          </a:extLst>
        </xdr:cNvPr>
        <xdr:cNvSpPr>
          <a:spLocks noChangeArrowheads="1"/>
        </xdr:cNvSpPr>
      </xdr:nvSpPr>
      <xdr:spPr bwMode="auto">
        <a:xfrm>
          <a:off x="7181850" y="20916900"/>
          <a:ext cx="76200" cy="152400"/>
        </a:xfrm>
        <a:prstGeom prst="downArrow">
          <a:avLst>
            <a:gd name="adj1" fmla="val 500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219075</xdr:colOff>
      <xdr:row>93</xdr:row>
      <xdr:rowOff>47625</xdr:rowOff>
    </xdr:from>
    <xdr:to>
      <xdr:col>6</xdr:col>
      <xdr:colOff>476250</xdr:colOff>
      <xdr:row>93</xdr:row>
      <xdr:rowOff>47625</xdr:rowOff>
    </xdr:to>
    <xdr:sp macro="" textlink="">
      <xdr:nvSpPr>
        <xdr:cNvPr id="1454953" name="Line 352">
          <a:extLst>
            <a:ext uri="{FF2B5EF4-FFF2-40B4-BE49-F238E27FC236}">
              <a16:creationId xmlns:a16="http://schemas.microsoft.com/office/drawing/2014/main" id="{00000000-0008-0000-0300-000069331600}"/>
            </a:ext>
          </a:extLst>
        </xdr:cNvPr>
        <xdr:cNvSpPr>
          <a:spLocks noChangeShapeType="1"/>
        </xdr:cNvSpPr>
      </xdr:nvSpPr>
      <xdr:spPr bwMode="auto">
        <a:xfrm>
          <a:off x="7248525" y="20916900"/>
          <a:ext cx="2571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190500</xdr:colOff>
      <xdr:row>92</xdr:row>
      <xdr:rowOff>161925</xdr:rowOff>
    </xdr:from>
    <xdr:to>
      <xdr:col>5</xdr:col>
      <xdr:colOff>485775</xdr:colOff>
      <xdr:row>92</xdr:row>
      <xdr:rowOff>161925</xdr:rowOff>
    </xdr:to>
    <xdr:sp macro="" textlink="">
      <xdr:nvSpPr>
        <xdr:cNvPr id="1454954" name="Line 353">
          <a:extLst>
            <a:ext uri="{FF2B5EF4-FFF2-40B4-BE49-F238E27FC236}">
              <a16:creationId xmlns:a16="http://schemas.microsoft.com/office/drawing/2014/main" id="{00000000-0008-0000-0300-00006A331600}"/>
            </a:ext>
          </a:extLst>
        </xdr:cNvPr>
        <xdr:cNvSpPr>
          <a:spLocks noChangeShapeType="1"/>
        </xdr:cNvSpPr>
      </xdr:nvSpPr>
      <xdr:spPr bwMode="auto">
        <a:xfrm>
          <a:off x="4381500" y="20831175"/>
          <a:ext cx="2238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91</xdr:row>
      <xdr:rowOff>95250</xdr:rowOff>
    </xdr:from>
    <xdr:to>
      <xdr:col>4</xdr:col>
      <xdr:colOff>447675</xdr:colOff>
      <xdr:row>92</xdr:row>
      <xdr:rowOff>171450</xdr:rowOff>
    </xdr:to>
    <xdr:sp macro="" textlink="">
      <xdr:nvSpPr>
        <xdr:cNvPr id="1454955" name="AutoShape 354">
          <a:extLst>
            <a:ext uri="{FF2B5EF4-FFF2-40B4-BE49-F238E27FC236}">
              <a16:creationId xmlns:a16="http://schemas.microsoft.com/office/drawing/2014/main" id="{00000000-0008-0000-0300-00006B331600}"/>
            </a:ext>
          </a:extLst>
        </xdr:cNvPr>
        <xdr:cNvSpPr>
          <a:spLocks noChangeArrowheads="1"/>
        </xdr:cNvSpPr>
      </xdr:nvSpPr>
      <xdr:spPr bwMode="auto">
        <a:xfrm>
          <a:off x="4572000" y="20564475"/>
          <a:ext cx="66675" cy="276225"/>
        </a:xfrm>
        <a:prstGeom prst="downArrow">
          <a:avLst>
            <a:gd name="adj1" fmla="val 50000"/>
            <a:gd name="adj2" fmla="val 10357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428625</xdr:colOff>
      <xdr:row>91</xdr:row>
      <xdr:rowOff>104775</xdr:rowOff>
    </xdr:from>
    <xdr:to>
      <xdr:col>4</xdr:col>
      <xdr:colOff>723900</xdr:colOff>
      <xdr:row>91</xdr:row>
      <xdr:rowOff>104775</xdr:rowOff>
    </xdr:to>
    <xdr:sp macro="" textlink="">
      <xdr:nvSpPr>
        <xdr:cNvPr id="1454956" name="Line 355">
          <a:extLst>
            <a:ext uri="{FF2B5EF4-FFF2-40B4-BE49-F238E27FC236}">
              <a16:creationId xmlns:a16="http://schemas.microsoft.com/office/drawing/2014/main" id="{00000000-0008-0000-0300-00006C331600}"/>
            </a:ext>
          </a:extLst>
        </xdr:cNvPr>
        <xdr:cNvSpPr>
          <a:spLocks noChangeShapeType="1"/>
        </xdr:cNvSpPr>
      </xdr:nvSpPr>
      <xdr:spPr bwMode="auto">
        <a:xfrm flipV="1">
          <a:off x="4619625" y="205740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390525</xdr:colOff>
      <xdr:row>103</xdr:row>
      <xdr:rowOff>76200</xdr:rowOff>
    </xdr:from>
    <xdr:to>
      <xdr:col>4</xdr:col>
      <xdr:colOff>390525</xdr:colOff>
      <xdr:row>104</xdr:row>
      <xdr:rowOff>171450</xdr:rowOff>
    </xdr:to>
    <xdr:sp macro="" textlink="">
      <xdr:nvSpPr>
        <xdr:cNvPr id="1454957" name="Line 374">
          <a:extLst>
            <a:ext uri="{FF2B5EF4-FFF2-40B4-BE49-F238E27FC236}">
              <a16:creationId xmlns:a16="http://schemas.microsoft.com/office/drawing/2014/main" id="{00000000-0008-0000-0300-00006D331600}"/>
            </a:ext>
          </a:extLst>
        </xdr:cNvPr>
        <xdr:cNvSpPr>
          <a:spLocks noChangeShapeType="1"/>
        </xdr:cNvSpPr>
      </xdr:nvSpPr>
      <xdr:spPr bwMode="auto">
        <a:xfrm>
          <a:off x="4581525" y="232886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94</xdr:row>
      <xdr:rowOff>171450</xdr:rowOff>
    </xdr:from>
    <xdr:to>
      <xdr:col>3</xdr:col>
      <xdr:colOff>476250</xdr:colOff>
      <xdr:row>98</xdr:row>
      <xdr:rowOff>142875</xdr:rowOff>
    </xdr:to>
    <xdr:sp macro="" textlink="">
      <xdr:nvSpPr>
        <xdr:cNvPr id="1454958" name="Rectangle 375">
          <a:extLst>
            <a:ext uri="{FF2B5EF4-FFF2-40B4-BE49-F238E27FC236}">
              <a16:creationId xmlns:a16="http://schemas.microsoft.com/office/drawing/2014/main" id="{00000000-0008-0000-0300-00006E331600}"/>
            </a:ext>
          </a:extLst>
        </xdr:cNvPr>
        <xdr:cNvSpPr>
          <a:spLocks noChangeArrowheads="1"/>
        </xdr:cNvSpPr>
      </xdr:nvSpPr>
      <xdr:spPr bwMode="auto">
        <a:xfrm>
          <a:off x="3400425" y="21240750"/>
          <a:ext cx="95250" cy="857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94</xdr:row>
      <xdr:rowOff>200025</xdr:rowOff>
    </xdr:from>
    <xdr:to>
      <xdr:col>3</xdr:col>
      <xdr:colOff>428625</xdr:colOff>
      <xdr:row>99</xdr:row>
      <xdr:rowOff>66675</xdr:rowOff>
    </xdr:to>
    <xdr:sp macro="" textlink="">
      <xdr:nvSpPr>
        <xdr:cNvPr id="1454959" name="Line 376">
          <a:extLst>
            <a:ext uri="{FF2B5EF4-FFF2-40B4-BE49-F238E27FC236}">
              <a16:creationId xmlns:a16="http://schemas.microsoft.com/office/drawing/2014/main" id="{00000000-0008-0000-0300-00006F331600}"/>
            </a:ext>
          </a:extLst>
        </xdr:cNvPr>
        <xdr:cNvSpPr>
          <a:spLocks noChangeShapeType="1"/>
        </xdr:cNvSpPr>
      </xdr:nvSpPr>
      <xdr:spPr bwMode="auto">
        <a:xfrm flipV="1">
          <a:off x="3448050" y="21269325"/>
          <a:ext cx="0" cy="95250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97</xdr:row>
      <xdr:rowOff>133350</xdr:rowOff>
    </xdr:from>
    <xdr:to>
      <xdr:col>3</xdr:col>
      <xdr:colOff>838200</xdr:colOff>
      <xdr:row>97</xdr:row>
      <xdr:rowOff>133350</xdr:rowOff>
    </xdr:to>
    <xdr:sp macro="" textlink="">
      <xdr:nvSpPr>
        <xdr:cNvPr id="1454960" name="Line 377">
          <a:extLst>
            <a:ext uri="{FF2B5EF4-FFF2-40B4-BE49-F238E27FC236}">
              <a16:creationId xmlns:a16="http://schemas.microsoft.com/office/drawing/2014/main" id="{00000000-0008-0000-0300-000070331600}"/>
            </a:ext>
          </a:extLst>
        </xdr:cNvPr>
        <xdr:cNvSpPr>
          <a:spLocks noChangeShapeType="1"/>
        </xdr:cNvSpPr>
      </xdr:nvSpPr>
      <xdr:spPr bwMode="auto">
        <a:xfrm flipH="1">
          <a:off x="3438525" y="2188845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419100</xdr:colOff>
      <xdr:row>85</xdr:row>
      <xdr:rowOff>133350</xdr:rowOff>
    </xdr:from>
    <xdr:to>
      <xdr:col>3</xdr:col>
      <xdr:colOff>895350</xdr:colOff>
      <xdr:row>85</xdr:row>
      <xdr:rowOff>133350</xdr:rowOff>
    </xdr:to>
    <xdr:sp macro="" textlink="">
      <xdr:nvSpPr>
        <xdr:cNvPr id="1454961" name="Line 380">
          <a:extLst>
            <a:ext uri="{FF2B5EF4-FFF2-40B4-BE49-F238E27FC236}">
              <a16:creationId xmlns:a16="http://schemas.microsoft.com/office/drawing/2014/main" id="{00000000-0008-0000-0300-000071331600}"/>
            </a:ext>
          </a:extLst>
        </xdr:cNvPr>
        <xdr:cNvSpPr>
          <a:spLocks noChangeShapeType="1"/>
        </xdr:cNvSpPr>
      </xdr:nvSpPr>
      <xdr:spPr bwMode="auto">
        <a:xfrm flipH="1">
          <a:off x="2324100" y="19383375"/>
          <a:ext cx="1590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676275</xdr:colOff>
      <xdr:row>103</xdr:row>
      <xdr:rowOff>133350</xdr:rowOff>
    </xdr:from>
    <xdr:to>
      <xdr:col>7</xdr:col>
      <xdr:colOff>190500</xdr:colOff>
      <xdr:row>104</xdr:row>
      <xdr:rowOff>19050</xdr:rowOff>
    </xdr:to>
    <xdr:sp macro="" textlink="">
      <xdr:nvSpPr>
        <xdr:cNvPr id="1454962" name="Rectangle 381">
          <a:extLst>
            <a:ext uri="{FF2B5EF4-FFF2-40B4-BE49-F238E27FC236}">
              <a16:creationId xmlns:a16="http://schemas.microsoft.com/office/drawing/2014/main" id="{00000000-0008-0000-0300-000072331600}"/>
            </a:ext>
          </a:extLst>
        </xdr:cNvPr>
        <xdr:cNvSpPr>
          <a:spLocks noChangeArrowheads="1"/>
        </xdr:cNvSpPr>
      </xdr:nvSpPr>
      <xdr:spPr bwMode="auto">
        <a:xfrm rot="-2021404">
          <a:off x="6810375" y="23345775"/>
          <a:ext cx="1009650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381000</xdr:colOff>
      <xdr:row>104</xdr:row>
      <xdr:rowOff>66675</xdr:rowOff>
    </xdr:from>
    <xdr:to>
      <xdr:col>3</xdr:col>
      <xdr:colOff>76200</xdr:colOff>
      <xdr:row>104</xdr:row>
      <xdr:rowOff>161925</xdr:rowOff>
    </xdr:to>
    <xdr:sp macro="" textlink="">
      <xdr:nvSpPr>
        <xdr:cNvPr id="1454963" name="Rectangle 382">
          <a:extLst>
            <a:ext uri="{FF2B5EF4-FFF2-40B4-BE49-F238E27FC236}">
              <a16:creationId xmlns:a16="http://schemas.microsoft.com/office/drawing/2014/main" id="{00000000-0008-0000-0300-000073331600}"/>
            </a:ext>
          </a:extLst>
        </xdr:cNvPr>
        <xdr:cNvSpPr>
          <a:spLocks noChangeArrowheads="1"/>
        </xdr:cNvSpPr>
      </xdr:nvSpPr>
      <xdr:spPr bwMode="auto">
        <a:xfrm rot="-8600633">
          <a:off x="2286000" y="23479125"/>
          <a:ext cx="809625" cy="95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121</xdr:row>
      <xdr:rowOff>190500</xdr:rowOff>
    </xdr:from>
    <xdr:to>
      <xdr:col>6</xdr:col>
      <xdr:colOff>95250</xdr:colOff>
      <xdr:row>122</xdr:row>
      <xdr:rowOff>133350</xdr:rowOff>
    </xdr:to>
    <xdr:sp macro="" textlink="">
      <xdr:nvSpPr>
        <xdr:cNvPr id="1454964" name="Rectangle 387">
          <a:extLst>
            <a:ext uri="{FF2B5EF4-FFF2-40B4-BE49-F238E27FC236}">
              <a16:creationId xmlns:a16="http://schemas.microsoft.com/office/drawing/2014/main" id="{00000000-0008-0000-0300-000074331600}"/>
            </a:ext>
          </a:extLst>
        </xdr:cNvPr>
        <xdr:cNvSpPr>
          <a:spLocks noChangeArrowheads="1"/>
        </xdr:cNvSpPr>
      </xdr:nvSpPr>
      <xdr:spPr bwMode="auto">
        <a:xfrm>
          <a:off x="6829425" y="27231975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122</xdr:row>
      <xdr:rowOff>133350</xdr:rowOff>
    </xdr:from>
    <xdr:to>
      <xdr:col>3</xdr:col>
      <xdr:colOff>47625</xdr:colOff>
      <xdr:row>125</xdr:row>
      <xdr:rowOff>76200</xdr:rowOff>
    </xdr:to>
    <xdr:sp macro="" textlink="">
      <xdr:nvSpPr>
        <xdr:cNvPr id="1454965" name="Rectangle 388">
          <a:extLst>
            <a:ext uri="{FF2B5EF4-FFF2-40B4-BE49-F238E27FC236}">
              <a16:creationId xmlns:a16="http://schemas.microsoft.com/office/drawing/2014/main" id="{00000000-0008-0000-0300-000075331600}"/>
            </a:ext>
          </a:extLst>
        </xdr:cNvPr>
        <xdr:cNvSpPr>
          <a:spLocks noChangeArrowheads="1"/>
        </xdr:cNvSpPr>
      </xdr:nvSpPr>
      <xdr:spPr bwMode="auto">
        <a:xfrm>
          <a:off x="2905125" y="27374850"/>
          <a:ext cx="161925" cy="561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123</xdr:row>
      <xdr:rowOff>190500</xdr:rowOff>
    </xdr:from>
    <xdr:to>
      <xdr:col>5</xdr:col>
      <xdr:colOff>695325</xdr:colOff>
      <xdr:row>123</xdr:row>
      <xdr:rowOff>190500</xdr:rowOff>
    </xdr:to>
    <xdr:sp macro="" textlink="">
      <xdr:nvSpPr>
        <xdr:cNvPr id="1454966" name="Line 391">
          <a:extLst>
            <a:ext uri="{FF2B5EF4-FFF2-40B4-BE49-F238E27FC236}">
              <a16:creationId xmlns:a16="http://schemas.microsoft.com/office/drawing/2014/main" id="{00000000-0008-0000-0300-000076331600}"/>
            </a:ext>
          </a:extLst>
        </xdr:cNvPr>
        <xdr:cNvSpPr>
          <a:spLocks noChangeShapeType="1"/>
        </xdr:cNvSpPr>
      </xdr:nvSpPr>
      <xdr:spPr bwMode="auto">
        <a:xfrm>
          <a:off x="3067050" y="276320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121</xdr:row>
      <xdr:rowOff>190500</xdr:rowOff>
    </xdr:from>
    <xdr:to>
      <xdr:col>5</xdr:col>
      <xdr:colOff>695325</xdr:colOff>
      <xdr:row>121</xdr:row>
      <xdr:rowOff>190500</xdr:rowOff>
    </xdr:to>
    <xdr:sp macro="" textlink="">
      <xdr:nvSpPr>
        <xdr:cNvPr id="1454967" name="Line 392">
          <a:extLst>
            <a:ext uri="{FF2B5EF4-FFF2-40B4-BE49-F238E27FC236}">
              <a16:creationId xmlns:a16="http://schemas.microsoft.com/office/drawing/2014/main" id="{00000000-0008-0000-0300-000077331600}"/>
            </a:ext>
          </a:extLst>
        </xdr:cNvPr>
        <xdr:cNvSpPr>
          <a:spLocks noChangeShapeType="1"/>
        </xdr:cNvSpPr>
      </xdr:nvSpPr>
      <xdr:spPr bwMode="auto">
        <a:xfrm>
          <a:off x="3067050" y="2723197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121</xdr:row>
      <xdr:rowOff>47625</xdr:rowOff>
    </xdr:from>
    <xdr:to>
      <xdr:col>3</xdr:col>
      <xdr:colOff>447675</xdr:colOff>
      <xdr:row>122</xdr:row>
      <xdr:rowOff>28575</xdr:rowOff>
    </xdr:to>
    <xdr:sp macro="" textlink="">
      <xdr:nvSpPr>
        <xdr:cNvPr id="1454968" name="Arc 393">
          <a:extLst>
            <a:ext uri="{FF2B5EF4-FFF2-40B4-BE49-F238E27FC236}">
              <a16:creationId xmlns:a16="http://schemas.microsoft.com/office/drawing/2014/main" id="{00000000-0008-0000-0300-000078331600}"/>
            </a:ext>
          </a:extLst>
        </xdr:cNvPr>
        <xdr:cNvSpPr>
          <a:spLocks/>
        </xdr:cNvSpPr>
      </xdr:nvSpPr>
      <xdr:spPr bwMode="auto">
        <a:xfrm rot="2094536">
          <a:off x="3162300" y="27089100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57150</xdr:colOff>
      <xdr:row>118</xdr:row>
      <xdr:rowOff>161925</xdr:rowOff>
    </xdr:from>
    <xdr:to>
      <xdr:col>16</xdr:col>
      <xdr:colOff>57150</xdr:colOff>
      <xdr:row>120</xdr:row>
      <xdr:rowOff>57150</xdr:rowOff>
    </xdr:to>
    <xdr:sp macro="" textlink="">
      <xdr:nvSpPr>
        <xdr:cNvPr id="1454969" name="Line 397">
          <a:extLst>
            <a:ext uri="{FF2B5EF4-FFF2-40B4-BE49-F238E27FC236}">
              <a16:creationId xmlns:a16="http://schemas.microsoft.com/office/drawing/2014/main" id="{00000000-0008-0000-0300-000079331600}"/>
            </a:ext>
          </a:extLst>
        </xdr:cNvPr>
        <xdr:cNvSpPr>
          <a:spLocks noChangeShapeType="1"/>
        </xdr:cNvSpPr>
      </xdr:nvSpPr>
      <xdr:spPr bwMode="auto">
        <a:xfrm>
          <a:off x="14268450" y="266033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514350</xdr:colOff>
      <xdr:row>80</xdr:row>
      <xdr:rowOff>85725</xdr:rowOff>
    </xdr:from>
    <xdr:to>
      <xdr:col>3</xdr:col>
      <xdr:colOff>523875</xdr:colOff>
      <xdr:row>90</xdr:row>
      <xdr:rowOff>200025</xdr:rowOff>
    </xdr:to>
    <xdr:sp macro="" textlink="">
      <xdr:nvSpPr>
        <xdr:cNvPr id="1454970" name="Line 420">
          <a:extLst>
            <a:ext uri="{FF2B5EF4-FFF2-40B4-BE49-F238E27FC236}">
              <a16:creationId xmlns:a16="http://schemas.microsoft.com/office/drawing/2014/main" id="{00000000-0008-0000-0300-00007A331600}"/>
            </a:ext>
          </a:extLst>
        </xdr:cNvPr>
        <xdr:cNvSpPr>
          <a:spLocks noChangeShapeType="1"/>
        </xdr:cNvSpPr>
      </xdr:nvSpPr>
      <xdr:spPr bwMode="auto">
        <a:xfrm flipH="1">
          <a:off x="3533775" y="18259425"/>
          <a:ext cx="9525" cy="2209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419100</xdr:colOff>
      <xdr:row>123</xdr:row>
      <xdr:rowOff>133350</xdr:rowOff>
    </xdr:from>
    <xdr:to>
      <xdr:col>18</xdr:col>
      <xdr:colOff>123825</xdr:colOff>
      <xdr:row>125</xdr:row>
      <xdr:rowOff>47625</xdr:rowOff>
    </xdr:to>
    <xdr:sp macro="" textlink="">
      <xdr:nvSpPr>
        <xdr:cNvPr id="1454971" name="Arc 492">
          <a:extLst>
            <a:ext uri="{FF2B5EF4-FFF2-40B4-BE49-F238E27FC236}">
              <a16:creationId xmlns:a16="http://schemas.microsoft.com/office/drawing/2014/main" id="{00000000-0008-0000-0300-00007B331600}"/>
            </a:ext>
          </a:extLst>
        </xdr:cNvPr>
        <xdr:cNvSpPr>
          <a:spLocks/>
        </xdr:cNvSpPr>
      </xdr:nvSpPr>
      <xdr:spPr bwMode="auto">
        <a:xfrm flipH="1" flipV="1">
          <a:off x="15401925" y="27574875"/>
          <a:ext cx="619125" cy="33337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314325</xdr:colOff>
      <xdr:row>117</xdr:row>
      <xdr:rowOff>0</xdr:rowOff>
    </xdr:from>
    <xdr:to>
      <xdr:col>15</xdr:col>
      <xdr:colOff>314325</xdr:colOff>
      <xdr:row>123</xdr:row>
      <xdr:rowOff>190500</xdr:rowOff>
    </xdr:to>
    <xdr:sp macro="" textlink="">
      <xdr:nvSpPr>
        <xdr:cNvPr id="1454972" name="Line 390">
          <a:extLst>
            <a:ext uri="{FF2B5EF4-FFF2-40B4-BE49-F238E27FC236}">
              <a16:creationId xmlns:a16="http://schemas.microsoft.com/office/drawing/2014/main" id="{00000000-0008-0000-0300-00007C331600}"/>
            </a:ext>
          </a:extLst>
        </xdr:cNvPr>
        <xdr:cNvSpPr>
          <a:spLocks noChangeShapeType="1"/>
        </xdr:cNvSpPr>
      </xdr:nvSpPr>
      <xdr:spPr bwMode="auto">
        <a:xfrm flipH="1">
          <a:off x="13906500" y="26241375"/>
          <a:ext cx="0" cy="13906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762000</xdr:colOff>
      <xdr:row>119</xdr:row>
      <xdr:rowOff>38100</xdr:rowOff>
    </xdr:from>
    <xdr:to>
      <xdr:col>6</xdr:col>
      <xdr:colOff>95250</xdr:colOff>
      <xdr:row>126</xdr:row>
      <xdr:rowOff>123825</xdr:rowOff>
    </xdr:to>
    <xdr:grpSp>
      <xdr:nvGrpSpPr>
        <xdr:cNvPr id="1454973" name="Group 4">
          <a:extLst>
            <a:ext uri="{FF2B5EF4-FFF2-40B4-BE49-F238E27FC236}">
              <a16:creationId xmlns:a16="http://schemas.microsoft.com/office/drawing/2014/main" id="{00000000-0008-0000-0300-00007D331600}"/>
            </a:ext>
          </a:extLst>
        </xdr:cNvPr>
        <xdr:cNvGrpSpPr>
          <a:grpSpLocks/>
        </xdr:cNvGrpSpPr>
      </xdr:nvGrpSpPr>
      <xdr:grpSpPr bwMode="auto">
        <a:xfrm>
          <a:off x="2667000" y="26803350"/>
          <a:ext cx="4463143" cy="1528082"/>
          <a:chOff x="2597727" y="26344418"/>
          <a:chExt cx="4355523" cy="1557771"/>
        </a:xfrm>
      </xdr:grpSpPr>
      <xdr:sp macro="" textlink="">
        <xdr:nvSpPr>
          <xdr:cNvPr id="1456344" name="Line 392">
            <a:extLst>
              <a:ext uri="{FF2B5EF4-FFF2-40B4-BE49-F238E27FC236}">
                <a16:creationId xmlns:a16="http://schemas.microsoft.com/office/drawing/2014/main" id="{00000000-0008-0000-0300-0000D8381600}"/>
              </a:ext>
            </a:extLst>
          </xdr:cNvPr>
          <xdr:cNvSpPr>
            <a:spLocks noChangeShapeType="1"/>
          </xdr:cNvSpPr>
        </xdr:nvSpPr>
        <xdr:spPr bwMode="auto">
          <a:xfrm>
            <a:off x="2991716" y="26912455"/>
            <a:ext cx="366106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456345" name="Group 1">
            <a:extLst>
              <a:ext uri="{FF2B5EF4-FFF2-40B4-BE49-F238E27FC236}">
                <a16:creationId xmlns:a16="http://schemas.microsoft.com/office/drawing/2014/main" id="{00000000-0008-0000-0300-0000D9381600}"/>
              </a:ext>
            </a:extLst>
          </xdr:cNvPr>
          <xdr:cNvGrpSpPr>
            <a:grpSpLocks/>
          </xdr:cNvGrpSpPr>
        </xdr:nvGrpSpPr>
        <xdr:grpSpPr bwMode="auto">
          <a:xfrm>
            <a:off x="2597727" y="26344418"/>
            <a:ext cx="4355523" cy="1557771"/>
            <a:chOff x="2597727" y="26344418"/>
            <a:chExt cx="4355523" cy="1557771"/>
          </a:xfrm>
        </xdr:grpSpPr>
        <xdr:sp macro="" textlink="">
          <xdr:nvSpPr>
            <xdr:cNvPr id="1456346" name="Line 390">
              <a:extLst>
                <a:ext uri="{FF2B5EF4-FFF2-40B4-BE49-F238E27FC236}">
                  <a16:creationId xmlns:a16="http://schemas.microsoft.com/office/drawing/2014/main" id="{00000000-0008-0000-0300-0000DA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321752" y="26344418"/>
              <a:ext cx="0" cy="155777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47" name="Line 395">
              <a:extLst>
                <a:ext uri="{FF2B5EF4-FFF2-40B4-BE49-F238E27FC236}">
                  <a16:creationId xmlns:a16="http://schemas.microsoft.com/office/drawing/2014/main" id="{00000000-0008-0000-0300-0000DB3816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3572741" y="26599861"/>
              <a:ext cx="691861" cy="116118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48" name="Rectangle 386">
              <a:extLst>
                <a:ext uri="{FF2B5EF4-FFF2-40B4-BE49-F238E27FC236}">
                  <a16:creationId xmlns:a16="http://schemas.microsoft.com/office/drawing/2014/main" id="{00000000-0008-0000-0300-0000DC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97727" y="26912454"/>
              <a:ext cx="393989" cy="17318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49" name="Rectangle 387">
              <a:extLst>
                <a:ext uri="{FF2B5EF4-FFF2-40B4-BE49-F238E27FC236}">
                  <a16:creationId xmlns:a16="http://schemas.microsoft.com/office/drawing/2014/main" id="{00000000-0008-0000-0300-0000DD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6912455"/>
              <a:ext cx="300470" cy="15066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50" name="Rectangle 388">
              <a:extLst>
                <a:ext uri="{FF2B5EF4-FFF2-40B4-BE49-F238E27FC236}">
                  <a16:creationId xmlns:a16="http://schemas.microsoft.com/office/drawing/2014/main" id="{00000000-0008-0000-0300-0000DE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40182" y="27063123"/>
              <a:ext cx="151534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51" name="Rectangle 389">
              <a:extLst>
                <a:ext uri="{FF2B5EF4-FFF2-40B4-BE49-F238E27FC236}">
                  <a16:creationId xmlns:a16="http://schemas.microsoft.com/office/drawing/2014/main" id="{00000000-0008-0000-0300-0000DF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7063123"/>
              <a:ext cx="135947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352" name="Line 391">
              <a:extLst>
                <a:ext uri="{FF2B5EF4-FFF2-40B4-BE49-F238E27FC236}">
                  <a16:creationId xmlns:a16="http://schemas.microsoft.com/office/drawing/2014/main" id="{00000000-0008-0000-0300-0000E0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91716" y="27328091"/>
              <a:ext cx="3661064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med" len="med"/>
              <a:tailEnd type="arrow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53" name="Arc 393">
              <a:extLst>
                <a:ext uri="{FF2B5EF4-FFF2-40B4-BE49-F238E27FC236}">
                  <a16:creationId xmlns:a16="http://schemas.microsoft.com/office/drawing/2014/main" id="{00000000-0008-0000-0300-0000E1381600}"/>
                </a:ext>
              </a:extLst>
            </xdr:cNvPr>
            <xdr:cNvSpPr>
              <a:spLocks/>
            </xdr:cNvSpPr>
          </xdr:nvSpPr>
          <xdr:spPr bwMode="auto">
            <a:xfrm rot="2094536">
              <a:off x="3086966" y="26769580"/>
              <a:ext cx="304800" cy="188768"/>
            </a:xfrm>
            <a:custGeom>
              <a:avLst/>
              <a:gdLst>
                <a:gd name="T0" fmla="*/ 0 w 35895"/>
                <a:gd name="T1" fmla="*/ 2147483646 h 28324"/>
                <a:gd name="T2" fmla="*/ 2147483646 w 35895"/>
                <a:gd name="T3" fmla="*/ 2147483646 h 28324"/>
                <a:gd name="T4" fmla="*/ 2147483646 w 35895"/>
                <a:gd name="T5" fmla="*/ 2147483646 h 28324"/>
                <a:gd name="T6" fmla="*/ 0 60000 65536"/>
                <a:gd name="T7" fmla="*/ 0 60000 65536"/>
                <a:gd name="T8" fmla="*/ 0 60000 65536"/>
                <a:gd name="T9" fmla="*/ 0 w 35895"/>
                <a:gd name="T10" fmla="*/ 0 h 28324"/>
                <a:gd name="T11" fmla="*/ 35895 w 35895"/>
                <a:gd name="T12" fmla="*/ 28324 h 28324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5895" h="28324" fill="none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</a:path>
                <a:path w="35895" h="28324" stroke="0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  <a:lnTo>
                    <a:pt x="14295" y="21600"/>
                  </a:lnTo>
                  <a:lnTo>
                    <a:pt x="0" y="5407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354" name="Line 397">
              <a:extLst>
                <a:ext uri="{FF2B5EF4-FFF2-40B4-BE49-F238E27FC236}">
                  <a16:creationId xmlns:a16="http://schemas.microsoft.com/office/drawing/2014/main" id="{00000000-0008-0000-0300-0000E2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512252" y="26439668"/>
              <a:ext cx="0" cy="49963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355" name="Freeform 502">
              <a:extLst>
                <a:ext uri="{FF2B5EF4-FFF2-40B4-BE49-F238E27FC236}">
                  <a16:creationId xmlns:a16="http://schemas.microsoft.com/office/drawing/2014/main" id="{00000000-0008-0000-0300-0000E3381600}"/>
                </a:ext>
              </a:extLst>
            </xdr:cNvPr>
            <xdr:cNvSpPr>
              <a:spLocks/>
            </xdr:cNvSpPr>
          </xdr:nvSpPr>
          <xdr:spPr bwMode="auto">
            <a:xfrm>
              <a:off x="2823730" y="26393774"/>
              <a:ext cx="1327439" cy="518680"/>
            </a:xfrm>
            <a:custGeom>
              <a:avLst/>
              <a:gdLst>
                <a:gd name="T0" fmla="*/ 2147483646 w 129"/>
                <a:gd name="T1" fmla="*/ 2147483646 h 51"/>
                <a:gd name="T2" fmla="*/ 2147483646 w 129"/>
                <a:gd name="T3" fmla="*/ 2147483646 h 51"/>
                <a:gd name="T4" fmla="*/ 2147483646 w 129"/>
                <a:gd name="T5" fmla="*/ 2147483646 h 51"/>
                <a:gd name="T6" fmla="*/ 2147483646 w 129"/>
                <a:gd name="T7" fmla="*/ 2147483646 h 51"/>
                <a:gd name="T8" fmla="*/ 2147483646 w 129"/>
                <a:gd name="T9" fmla="*/ 2147483646 h 51"/>
                <a:gd name="T10" fmla="*/ 2147483646 w 129"/>
                <a:gd name="T11" fmla="*/ 0 h 51"/>
                <a:gd name="T12" fmla="*/ 2147483646 w 129"/>
                <a:gd name="T13" fmla="*/ 2147483646 h 51"/>
                <a:gd name="T14" fmla="*/ 2147483646 w 129"/>
                <a:gd name="T15" fmla="*/ 2147483646 h 51"/>
                <a:gd name="T16" fmla="*/ 2147483646 w 129"/>
                <a:gd name="T17" fmla="*/ 2147483646 h 51"/>
                <a:gd name="T18" fmla="*/ 2147483646 w 129"/>
                <a:gd name="T19" fmla="*/ 2147483646 h 51"/>
                <a:gd name="T20" fmla="*/ 0 w 129"/>
                <a:gd name="T21" fmla="*/ 2147483646 h 51"/>
                <a:gd name="T22" fmla="*/ 2147483646 w 129"/>
                <a:gd name="T23" fmla="*/ 2147483646 h 51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w 129"/>
                <a:gd name="T37" fmla="*/ 0 h 51"/>
                <a:gd name="T38" fmla="*/ 129 w 129"/>
                <a:gd name="T39" fmla="*/ 51 h 51"/>
              </a:gdLst>
              <a:ahLst/>
              <a:cxnLst>
                <a:cxn ang="T24">
                  <a:pos x="T0" y="T1"/>
                </a:cxn>
                <a:cxn ang="T25">
                  <a:pos x="T2" y="T3"/>
                </a:cxn>
                <a:cxn ang="T26">
                  <a:pos x="T4" y="T5"/>
                </a:cxn>
                <a:cxn ang="T27">
                  <a:pos x="T6" y="T7"/>
                </a:cxn>
                <a:cxn ang="T28">
                  <a:pos x="T8" y="T9"/>
                </a:cxn>
                <a:cxn ang="T29">
                  <a:pos x="T10" y="T11"/>
                </a:cxn>
                <a:cxn ang="T30">
                  <a:pos x="T12" y="T13"/>
                </a:cxn>
                <a:cxn ang="T31">
                  <a:pos x="T14" y="T15"/>
                </a:cxn>
                <a:cxn ang="T32">
                  <a:pos x="T16" y="T17"/>
                </a:cxn>
                <a:cxn ang="T33">
                  <a:pos x="T18" y="T19"/>
                </a:cxn>
                <a:cxn ang="T34">
                  <a:pos x="T20" y="T21"/>
                </a:cxn>
                <a:cxn ang="T35">
                  <a:pos x="T22" y="T23"/>
                </a:cxn>
              </a:cxnLst>
              <a:rect l="T36" t="T37" r="T38" b="T39"/>
              <a:pathLst>
                <a:path w="129" h="51">
                  <a:moveTo>
                    <a:pt x="13" y="50"/>
                  </a:moveTo>
                  <a:lnTo>
                    <a:pt x="43" y="31"/>
                  </a:lnTo>
                  <a:lnTo>
                    <a:pt x="84" y="14"/>
                  </a:lnTo>
                  <a:lnTo>
                    <a:pt x="119" y="6"/>
                  </a:lnTo>
                  <a:lnTo>
                    <a:pt x="129" y="5"/>
                  </a:lnTo>
                  <a:lnTo>
                    <a:pt x="127" y="0"/>
                  </a:lnTo>
                  <a:lnTo>
                    <a:pt x="115" y="2"/>
                  </a:lnTo>
                  <a:lnTo>
                    <a:pt x="83" y="9"/>
                  </a:lnTo>
                  <a:lnTo>
                    <a:pt x="46" y="24"/>
                  </a:lnTo>
                  <a:lnTo>
                    <a:pt x="4" y="48"/>
                  </a:lnTo>
                  <a:lnTo>
                    <a:pt x="0" y="51"/>
                  </a:lnTo>
                  <a:lnTo>
                    <a:pt x="13" y="5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723900</xdr:colOff>
      <xdr:row>78</xdr:row>
      <xdr:rowOff>123825</xdr:rowOff>
    </xdr:from>
    <xdr:to>
      <xdr:col>2</xdr:col>
      <xdr:colOff>962025</xdr:colOff>
      <xdr:row>80</xdr:row>
      <xdr:rowOff>104775</xdr:rowOff>
    </xdr:to>
    <xdr:grpSp>
      <xdr:nvGrpSpPr>
        <xdr:cNvPr id="1454974" name="Group 152">
          <a:extLst>
            <a:ext uri="{FF2B5EF4-FFF2-40B4-BE49-F238E27FC236}">
              <a16:creationId xmlns:a16="http://schemas.microsoft.com/office/drawing/2014/main" id="{00000000-0008-0000-0300-00007E331600}"/>
            </a:ext>
          </a:extLst>
        </xdr:cNvPr>
        <xdr:cNvGrpSpPr>
          <a:grpSpLocks/>
        </xdr:cNvGrpSpPr>
      </xdr:nvGrpSpPr>
      <xdr:grpSpPr bwMode="auto">
        <a:xfrm>
          <a:off x="2628900" y="17867539"/>
          <a:ext cx="238125" cy="389165"/>
          <a:chOff x="1412" y="648"/>
          <a:chExt cx="10" cy="35"/>
        </a:xfrm>
      </xdr:grpSpPr>
      <xdr:sp macro="" textlink="">
        <xdr:nvSpPr>
          <xdr:cNvPr id="1456341" name="Line 50">
            <a:extLst>
              <a:ext uri="{FF2B5EF4-FFF2-40B4-BE49-F238E27FC236}">
                <a16:creationId xmlns:a16="http://schemas.microsoft.com/office/drawing/2014/main" id="{00000000-0008-0000-0300-0000D5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42" name="Line 51">
            <a:extLst>
              <a:ext uri="{FF2B5EF4-FFF2-40B4-BE49-F238E27FC236}">
                <a16:creationId xmlns:a16="http://schemas.microsoft.com/office/drawing/2014/main" id="{00000000-0008-0000-0300-0000D6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43" name="Line 52">
            <a:extLst>
              <a:ext uri="{FF2B5EF4-FFF2-40B4-BE49-F238E27FC236}">
                <a16:creationId xmlns:a16="http://schemas.microsoft.com/office/drawing/2014/main" id="{00000000-0008-0000-0300-0000D7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561975</xdr:colOff>
      <xdr:row>92</xdr:row>
      <xdr:rowOff>114300</xdr:rowOff>
    </xdr:from>
    <xdr:to>
      <xdr:col>3</xdr:col>
      <xdr:colOff>857250</xdr:colOff>
      <xdr:row>94</xdr:row>
      <xdr:rowOff>66675</xdr:rowOff>
    </xdr:to>
    <xdr:grpSp>
      <xdr:nvGrpSpPr>
        <xdr:cNvPr id="1454975" name="Group 250">
          <a:extLst>
            <a:ext uri="{FF2B5EF4-FFF2-40B4-BE49-F238E27FC236}">
              <a16:creationId xmlns:a16="http://schemas.microsoft.com/office/drawing/2014/main" id="{00000000-0008-0000-0300-00007F331600}"/>
            </a:ext>
          </a:extLst>
        </xdr:cNvPr>
        <xdr:cNvGrpSpPr>
          <a:grpSpLocks/>
        </xdr:cNvGrpSpPr>
      </xdr:nvGrpSpPr>
      <xdr:grpSpPr bwMode="auto">
        <a:xfrm>
          <a:off x="3582761" y="20797157"/>
          <a:ext cx="295275" cy="360589"/>
          <a:chOff x="1412" y="648"/>
          <a:chExt cx="10" cy="35"/>
        </a:xfrm>
      </xdr:grpSpPr>
      <xdr:sp macro="" textlink="">
        <xdr:nvSpPr>
          <xdr:cNvPr id="1456338" name="Line 251">
            <a:extLst>
              <a:ext uri="{FF2B5EF4-FFF2-40B4-BE49-F238E27FC236}">
                <a16:creationId xmlns:a16="http://schemas.microsoft.com/office/drawing/2014/main" id="{00000000-0008-0000-0300-0000D2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39" name="Line 252">
            <a:extLst>
              <a:ext uri="{FF2B5EF4-FFF2-40B4-BE49-F238E27FC236}">
                <a16:creationId xmlns:a16="http://schemas.microsoft.com/office/drawing/2014/main" id="{00000000-0008-0000-0300-0000D3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340" name="Line 253">
            <a:extLst>
              <a:ext uri="{FF2B5EF4-FFF2-40B4-BE49-F238E27FC236}">
                <a16:creationId xmlns:a16="http://schemas.microsoft.com/office/drawing/2014/main" id="{00000000-0008-0000-0300-0000D4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971550</xdr:colOff>
      <xdr:row>105</xdr:row>
      <xdr:rowOff>38100</xdr:rowOff>
    </xdr:from>
    <xdr:to>
      <xdr:col>3</xdr:col>
      <xdr:colOff>47625</xdr:colOff>
      <xdr:row>108</xdr:row>
      <xdr:rowOff>76200</xdr:rowOff>
    </xdr:to>
    <xdr:sp macro="" textlink="">
      <xdr:nvSpPr>
        <xdr:cNvPr id="1454978" name="Rectangle 161">
          <a:extLst>
            <a:ext uri="{FF2B5EF4-FFF2-40B4-BE49-F238E27FC236}">
              <a16:creationId xmlns:a16="http://schemas.microsoft.com/office/drawing/2014/main" id="{00000000-0008-0000-0300-000082331600}"/>
            </a:ext>
          </a:extLst>
        </xdr:cNvPr>
        <xdr:cNvSpPr>
          <a:spLocks noChangeArrowheads="1"/>
        </xdr:cNvSpPr>
      </xdr:nvSpPr>
      <xdr:spPr bwMode="auto">
        <a:xfrm>
          <a:off x="2876550" y="23650575"/>
          <a:ext cx="19050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1238997</xdr:colOff>
      <xdr:row>92</xdr:row>
      <xdr:rowOff>38473</xdr:rowOff>
    </xdr:from>
    <xdr:to>
      <xdr:col>2</xdr:col>
      <xdr:colOff>508301</xdr:colOff>
      <xdr:row>94</xdr:row>
      <xdr:rowOff>123480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 flipH="1">
          <a:off x="1647265" y="19711147"/>
          <a:ext cx="705970" cy="5042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974911</xdr:colOff>
      <xdr:row>94</xdr:row>
      <xdr:rowOff>121771</xdr:rowOff>
    </xdr:from>
    <xdr:to>
      <xdr:col>1</xdr:col>
      <xdr:colOff>1220849</xdr:colOff>
      <xdr:row>94</xdr:row>
      <xdr:rowOff>124573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H="1">
          <a:off x="1389529" y="20204206"/>
          <a:ext cx="246530" cy="1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762000</xdr:colOff>
      <xdr:row>90</xdr:row>
      <xdr:rowOff>149225</xdr:rowOff>
    </xdr:from>
    <xdr:to>
      <xdr:col>2</xdr:col>
      <xdr:colOff>145702</xdr:colOff>
      <xdr:row>90</xdr:row>
      <xdr:rowOff>150626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>
          <a:stCxn id="1454909" idx="0"/>
        </xdr:cNvCxnSpPr>
      </xdr:nvCxnSpPr>
      <xdr:spPr>
        <a:xfrm flipH="1">
          <a:off x="1176618" y="19405787"/>
          <a:ext cx="813547" cy="28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1057275</xdr:colOff>
      <xdr:row>89</xdr:row>
      <xdr:rowOff>66675</xdr:rowOff>
    </xdr:from>
    <xdr:to>
      <xdr:col>1</xdr:col>
      <xdr:colOff>1123950</xdr:colOff>
      <xdr:row>90</xdr:row>
      <xdr:rowOff>142875</xdr:rowOff>
    </xdr:to>
    <xdr:sp macro="" textlink="">
      <xdr:nvSpPr>
        <xdr:cNvPr id="1454982" name="AutoShape 354">
          <a:extLst>
            <a:ext uri="{FF2B5EF4-FFF2-40B4-BE49-F238E27FC236}">
              <a16:creationId xmlns:a16="http://schemas.microsoft.com/office/drawing/2014/main" id="{00000000-0008-0000-0300-000086331600}"/>
            </a:ext>
          </a:extLst>
        </xdr:cNvPr>
        <xdr:cNvSpPr>
          <a:spLocks noChangeArrowheads="1"/>
        </xdr:cNvSpPr>
      </xdr:nvSpPr>
      <xdr:spPr bwMode="auto">
        <a:xfrm>
          <a:off x="1476375" y="20135850"/>
          <a:ext cx="66675" cy="276225"/>
        </a:xfrm>
        <a:prstGeom prst="downArrow">
          <a:avLst>
            <a:gd name="adj1" fmla="val 50000"/>
            <a:gd name="adj2" fmla="val 10293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509121</xdr:colOff>
      <xdr:row>209</xdr:row>
      <xdr:rowOff>4376</xdr:rowOff>
    </xdr:from>
    <xdr:to>
      <xdr:col>7</xdr:col>
      <xdr:colOff>451590</xdr:colOff>
      <xdr:row>209</xdr:row>
      <xdr:rowOff>4376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3468221" y="46609747"/>
          <a:ext cx="4460501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250</xdr:row>
      <xdr:rowOff>171450</xdr:rowOff>
    </xdr:from>
    <xdr:to>
      <xdr:col>4</xdr:col>
      <xdr:colOff>1371600</xdr:colOff>
      <xdr:row>265</xdr:row>
      <xdr:rowOff>85725</xdr:rowOff>
    </xdr:to>
    <xdr:grpSp>
      <xdr:nvGrpSpPr>
        <xdr:cNvPr id="1454984" name="Group 39">
          <a:extLst>
            <a:ext uri="{FF2B5EF4-FFF2-40B4-BE49-F238E27FC236}">
              <a16:creationId xmlns:a16="http://schemas.microsoft.com/office/drawing/2014/main" id="{00000000-0008-0000-0300-000088331600}"/>
            </a:ext>
          </a:extLst>
        </xdr:cNvPr>
        <xdr:cNvGrpSpPr>
          <a:grpSpLocks/>
        </xdr:cNvGrpSpPr>
      </xdr:nvGrpSpPr>
      <xdr:grpSpPr bwMode="auto">
        <a:xfrm>
          <a:off x="498021" y="59022343"/>
          <a:ext cx="5064579" cy="2975882"/>
          <a:chOff x="497623" y="58283462"/>
          <a:chExt cx="5067698" cy="2983017"/>
        </a:xfrm>
      </xdr:grpSpPr>
      <xdr:grpSp>
        <xdr:nvGrpSpPr>
          <xdr:cNvPr id="1456305" name="Group 37">
            <a:extLst>
              <a:ext uri="{FF2B5EF4-FFF2-40B4-BE49-F238E27FC236}">
                <a16:creationId xmlns:a16="http://schemas.microsoft.com/office/drawing/2014/main" id="{00000000-0008-0000-0300-0000B1381600}"/>
              </a:ext>
            </a:extLst>
          </xdr:cNvPr>
          <xdr:cNvGrpSpPr>
            <a:grpSpLocks/>
          </xdr:cNvGrpSpPr>
        </xdr:nvGrpSpPr>
        <xdr:grpSpPr bwMode="auto">
          <a:xfrm>
            <a:off x="497623" y="58283462"/>
            <a:ext cx="5067698" cy="2983017"/>
            <a:chOff x="497623" y="58283462"/>
            <a:chExt cx="5067698" cy="2983017"/>
          </a:xfrm>
        </xdr:grpSpPr>
        <xdr:grpSp>
          <xdr:nvGrpSpPr>
            <xdr:cNvPr id="1456307" name="Group 31">
              <a:extLst>
                <a:ext uri="{FF2B5EF4-FFF2-40B4-BE49-F238E27FC236}">
                  <a16:creationId xmlns:a16="http://schemas.microsoft.com/office/drawing/2014/main" id="{00000000-0008-0000-0300-0000B338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97623" y="58283462"/>
              <a:ext cx="5067698" cy="2983017"/>
              <a:chOff x="497623" y="58283462"/>
              <a:chExt cx="5067698" cy="2983017"/>
            </a:xfrm>
          </xdr:grpSpPr>
          <xdr:grpSp>
            <xdr:nvGrpSpPr>
              <xdr:cNvPr id="1456309" name="Group 24">
                <a:extLst>
                  <a:ext uri="{FF2B5EF4-FFF2-40B4-BE49-F238E27FC236}">
                    <a16:creationId xmlns:a16="http://schemas.microsoft.com/office/drawing/2014/main" id="{00000000-0008-0000-0300-0000B5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7623" y="58497107"/>
                <a:ext cx="5067698" cy="2769372"/>
                <a:chOff x="497623" y="58497107"/>
                <a:chExt cx="5067698" cy="2769372"/>
              </a:xfrm>
            </xdr:grpSpPr>
            <xdr:grpSp>
              <xdr:nvGrpSpPr>
                <xdr:cNvPr id="1456315" name="Group 17">
                  <a:extLst>
                    <a:ext uri="{FF2B5EF4-FFF2-40B4-BE49-F238E27FC236}">
                      <a16:creationId xmlns:a16="http://schemas.microsoft.com/office/drawing/2014/main" id="{00000000-0008-0000-0300-0000BB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97623" y="58497107"/>
                  <a:ext cx="5067698" cy="2769372"/>
                  <a:chOff x="497623" y="58497107"/>
                  <a:chExt cx="5067698" cy="2769372"/>
                </a:xfrm>
              </xdr:grpSpPr>
              <xdr:grpSp>
                <xdr:nvGrpSpPr>
                  <xdr:cNvPr id="1456320" name="Group 15">
                    <a:extLst>
                      <a:ext uri="{FF2B5EF4-FFF2-40B4-BE49-F238E27FC236}">
                        <a16:creationId xmlns:a16="http://schemas.microsoft.com/office/drawing/2014/main" id="{00000000-0008-0000-0300-0000C0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7623" y="58497107"/>
                    <a:ext cx="5067698" cy="2769372"/>
                    <a:chOff x="660909" y="58918929"/>
                    <a:chExt cx="4852543" cy="2606086"/>
                  </a:xfrm>
                </xdr:grpSpPr>
                <xdr:sp macro="" textlink="">
                  <xdr:nvSpPr>
                    <xdr:cNvPr id="61" name="Oval 204">
                      <a:extLst>
                        <a:ext uri="{FF2B5EF4-FFF2-40B4-BE49-F238E27FC236}">
                          <a16:creationId xmlns:a16="http://schemas.microsoft.com/office/drawing/2014/main" id="{00000000-0008-0000-0300-00003D000000}"/>
                        </a:ext>
                      </a:extLst>
                    </xdr:cNvPr>
                    <xdr:cNvSpPr/>
                  </xdr:nvSpPr>
                  <xdr:spPr>
                    <a:xfrm>
                      <a:off x="1837559" y="59726981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62" name="Oval 205">
                      <a:extLst>
                        <a:ext uri="{FF2B5EF4-FFF2-40B4-BE49-F238E27FC236}">
                          <a16:creationId xmlns:a16="http://schemas.microsoft.com/office/drawing/2014/main" id="{00000000-0008-0000-0300-00003E000000}"/>
                        </a:ext>
                      </a:extLst>
                    </xdr:cNvPr>
                    <xdr:cNvSpPr/>
                  </xdr:nvSpPr>
                  <xdr:spPr>
                    <a:xfrm>
                      <a:off x="2220655" y="59470119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63" name="Oval 206">
                      <a:extLst>
                        <a:ext uri="{FF2B5EF4-FFF2-40B4-BE49-F238E27FC236}">
                          <a16:creationId xmlns:a16="http://schemas.microsoft.com/office/drawing/2014/main" id="{00000000-0008-0000-0300-00003F000000}"/>
                        </a:ext>
                      </a:extLst>
                    </xdr:cNvPr>
                    <xdr:cNvSpPr/>
                  </xdr:nvSpPr>
                  <xdr:spPr>
                    <a:xfrm>
                      <a:off x="2649357" y="59249952"/>
                      <a:ext cx="118577" cy="100910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6" name="Oval 207">
                      <a:extLst>
                        <a:ext uri="{FF2B5EF4-FFF2-40B4-BE49-F238E27FC236}">
                          <a16:creationId xmlns:a16="http://schemas.microsoft.com/office/drawing/2014/main" id="{00000000-0008-0000-0300-000000781500}"/>
                        </a:ext>
                      </a:extLst>
                    </xdr:cNvPr>
                    <xdr:cNvSpPr/>
                  </xdr:nvSpPr>
                  <xdr:spPr>
                    <a:xfrm>
                      <a:off x="2831784" y="59066479"/>
                      <a:ext cx="228033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7" name="Oval 211">
                      <a:extLst>
                        <a:ext uri="{FF2B5EF4-FFF2-40B4-BE49-F238E27FC236}">
                          <a16:creationId xmlns:a16="http://schemas.microsoft.com/office/drawing/2014/main" id="{00000000-0008-0000-0300-000001781500}"/>
                        </a:ext>
                      </a:extLst>
                    </xdr:cNvPr>
                    <xdr:cNvSpPr/>
                  </xdr:nvSpPr>
                  <xdr:spPr>
                    <a:xfrm>
                      <a:off x="3616217" y="58956395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8" name="Oval 213">
                      <a:extLst>
                        <a:ext uri="{FF2B5EF4-FFF2-40B4-BE49-F238E27FC236}">
                          <a16:creationId xmlns:a16="http://schemas.microsoft.com/office/drawing/2014/main" id="{00000000-0008-0000-0300-000002781500}"/>
                        </a:ext>
                      </a:extLst>
                    </xdr:cNvPr>
                    <xdr:cNvSpPr/>
                  </xdr:nvSpPr>
                  <xdr:spPr>
                    <a:xfrm>
                      <a:off x="4209103" y="58919700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79" name="Oval 215">
                      <a:extLst>
                        <a:ext uri="{FF2B5EF4-FFF2-40B4-BE49-F238E27FC236}">
                          <a16:creationId xmlns:a16="http://schemas.microsoft.com/office/drawing/2014/main" id="{00000000-0008-0000-0300-000003781500}"/>
                        </a:ext>
                      </a:extLst>
                    </xdr:cNvPr>
                    <xdr:cNvSpPr/>
                  </xdr:nvSpPr>
                  <xdr:spPr>
                    <a:xfrm>
                      <a:off x="4701654" y="58983916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80" name="Oval 216">
                      <a:extLst>
                        <a:ext uri="{FF2B5EF4-FFF2-40B4-BE49-F238E27FC236}">
                          <a16:creationId xmlns:a16="http://schemas.microsoft.com/office/drawing/2014/main" id="{00000000-0008-0000-0300-000004781500}"/>
                        </a:ext>
                      </a:extLst>
                    </xdr:cNvPr>
                    <xdr:cNvSpPr/>
                  </xdr:nvSpPr>
                  <xdr:spPr>
                    <a:xfrm>
                      <a:off x="3114544" y="59084826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grpSp>
                  <xdr:nvGrpSpPr>
                    <xdr:cNvPr id="1456330" name="Group 14">
                      <a:extLst>
                        <a:ext uri="{FF2B5EF4-FFF2-40B4-BE49-F238E27FC236}">
                          <a16:creationId xmlns:a16="http://schemas.microsoft.com/office/drawing/2014/main" id="{00000000-0008-0000-0300-0000CA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0909" y="58936409"/>
                      <a:ext cx="4852543" cy="2588606"/>
                      <a:chOff x="660909" y="58936409"/>
                      <a:chExt cx="4852543" cy="2588606"/>
                    </a:xfrm>
                  </xdr:grpSpPr>
                  <xdr:sp macro="" textlink="">
                    <xdr:nvSpPr>
                      <xdr:cNvPr id="1406984" name="Block Arc 1">
                        <a:extLst>
                          <a:ext uri="{FF2B5EF4-FFF2-40B4-BE49-F238E27FC236}">
                            <a16:creationId xmlns:a16="http://schemas.microsoft.com/office/drawing/2014/main" id="{00000000-0008-0000-0300-000008781500}"/>
                          </a:ext>
                        </a:extLst>
                      </xdr:cNvPr>
                      <xdr:cNvSpPr/>
                    </xdr:nvSpPr>
                    <xdr:spPr>
                      <a:xfrm rot="20339608">
                        <a:off x="870699" y="58938048"/>
                        <a:ext cx="4542418" cy="2238368"/>
                      </a:xfrm>
                      <a:prstGeom prst="blockArc">
                        <a:avLst>
                          <a:gd name="adj1" fmla="val 11968811"/>
                          <a:gd name="adj2" fmla="val 21071644"/>
                          <a:gd name="adj3" fmla="val 19658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1406985" name="Block Arc 201">
                        <a:extLst>
                          <a:ext uri="{FF2B5EF4-FFF2-40B4-BE49-F238E27FC236}">
                            <a16:creationId xmlns:a16="http://schemas.microsoft.com/office/drawing/2014/main" id="{00000000-0008-0000-0300-000009781500}"/>
                          </a:ext>
                        </a:extLst>
                      </xdr:cNvPr>
                      <xdr:cNvSpPr/>
                    </xdr:nvSpPr>
                    <xdr:spPr>
                      <a:xfrm rot="19967299">
                        <a:off x="660909" y="59121521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17977894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1406986" name="Block Arc 202">
                        <a:extLst>
                          <a:ext uri="{FF2B5EF4-FFF2-40B4-BE49-F238E27FC236}">
                            <a16:creationId xmlns:a16="http://schemas.microsoft.com/office/drawing/2014/main" id="{00000000-0008-0000-0300-00000A781500}"/>
                          </a:ext>
                        </a:extLst>
                      </xdr:cNvPr>
                      <xdr:cNvSpPr/>
                    </xdr:nvSpPr>
                    <xdr:spPr>
                      <a:xfrm rot="20294698">
                        <a:off x="971034" y="59286647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20468663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cxnSp macro="">
                    <xdr:nvCxnSpPr>
                      <xdr:cNvPr id="1406987" name="Straight Connector 13">
                        <a:extLst>
                          <a:ext uri="{FF2B5EF4-FFF2-40B4-BE49-F238E27FC236}">
                            <a16:creationId xmlns:a16="http://schemas.microsoft.com/office/drawing/2014/main" id="{00000000-0008-0000-0300-00000B781500}"/>
                          </a:ext>
                        </a:extLst>
                      </xdr:cNvPr>
                      <xdr:cNvCxnSpPr>
                        <a:stCxn id="1406985" idx="1"/>
                        <a:endCxn id="1406980" idx="0"/>
                      </xdr:cNvCxnSpPr>
                    </xdr:nvCxnSpPr>
                    <xdr:spPr>
                      <a:xfrm>
                        <a:off x="2986846" y="59002264"/>
                        <a:ext cx="191548" cy="8256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1406981" name="Oval 222">
                      <a:extLst>
                        <a:ext uri="{FF2B5EF4-FFF2-40B4-BE49-F238E27FC236}">
                          <a16:creationId xmlns:a16="http://schemas.microsoft.com/office/drawing/2014/main" id="{00000000-0008-0000-0300-000005781500}"/>
                        </a:ext>
                      </a:extLst>
                    </xdr:cNvPr>
                    <xdr:cNvSpPr/>
                  </xdr:nvSpPr>
                  <xdr:spPr>
                    <a:xfrm>
                      <a:off x="2339232" y="5928664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82" name="Oval 223">
                      <a:extLst>
                        <a:ext uri="{FF2B5EF4-FFF2-40B4-BE49-F238E27FC236}">
                          <a16:creationId xmlns:a16="http://schemas.microsoft.com/office/drawing/2014/main" id="{00000000-0008-0000-0300-000006781500}"/>
                        </a:ext>
                      </a:extLst>
                    </xdr:cNvPr>
                    <xdr:cNvSpPr/>
                  </xdr:nvSpPr>
                  <xdr:spPr>
                    <a:xfrm>
                      <a:off x="1956137" y="5948846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406983" name="Oval 224">
                      <a:extLst>
                        <a:ext uri="{FF2B5EF4-FFF2-40B4-BE49-F238E27FC236}">
                          <a16:creationId xmlns:a16="http://schemas.microsoft.com/office/drawing/2014/main" id="{00000000-0008-0000-0300-000007781500}"/>
                        </a:ext>
                      </a:extLst>
                    </xdr:cNvPr>
                    <xdr:cNvSpPr/>
                  </xdr:nvSpPr>
                  <xdr:spPr>
                    <a:xfrm>
                      <a:off x="1509192" y="59791197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</xdr:grpSp>
              <xdr:sp macro="" textlink="">
                <xdr:nvSpPr>
                  <xdr:cNvPr id="60" name="Rectangle 16">
                    <a:extLst>
                      <a:ext uri="{FF2B5EF4-FFF2-40B4-BE49-F238E27FC236}">
                        <a16:creationId xmlns:a16="http://schemas.microsoft.com/office/drawing/2014/main" id="{00000000-0008-0000-0300-00003C000000}"/>
                      </a:ext>
                    </a:extLst>
                  </xdr:cNvPr>
                  <xdr:cNvSpPr/>
                </xdr:nvSpPr>
                <xdr:spPr>
                  <a:xfrm>
                    <a:off x="669086" y="59735977"/>
                    <a:ext cx="962101" cy="643396"/>
                  </a:xfrm>
                  <a:prstGeom prst="rect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</xdr:grpSp>
            <xdr:cxnSp macro="">
              <xdr:nvCxnSpPr>
                <xdr:cNvPr id="56" name="Straight Arrow Connector 19">
                  <a:extLst>
                    <a:ext uri="{FF2B5EF4-FFF2-40B4-BE49-F238E27FC236}">
                      <a16:creationId xmlns:a16="http://schemas.microsoft.com/office/drawing/2014/main" id="{00000000-0008-0000-0300-000038000000}"/>
                    </a:ext>
                  </a:extLst>
                </xdr:cNvPr>
                <xdr:cNvCxnSpPr/>
              </xdr:nvCxnSpPr>
              <xdr:spPr>
                <a:xfrm flipV="1">
                  <a:off x="2869534" y="58780631"/>
                  <a:ext cx="0" cy="102358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7" name="Straight Arrow Connector 230">
                  <a:extLst>
                    <a:ext uri="{FF2B5EF4-FFF2-40B4-BE49-F238E27FC236}">
                      <a16:creationId xmlns:a16="http://schemas.microsoft.com/office/drawing/2014/main" id="{00000000-0008-0000-0300-000039000000}"/>
                    </a:ext>
                  </a:extLst>
                </xdr:cNvPr>
                <xdr:cNvCxnSpPr/>
              </xdr:nvCxnSpPr>
              <xdr:spPr>
                <a:xfrm flipH="1" flipV="1">
                  <a:off x="2383721" y="59014593"/>
                  <a:ext cx="504865" cy="799371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8" name="Straight Arrow Connector 231">
                  <a:extLst>
                    <a:ext uri="{FF2B5EF4-FFF2-40B4-BE49-F238E27FC236}">
                      <a16:creationId xmlns:a16="http://schemas.microsoft.com/office/drawing/2014/main" id="{00000000-0008-0000-0300-00003A000000}"/>
                    </a:ext>
                  </a:extLst>
                </xdr:cNvPr>
                <xdr:cNvCxnSpPr/>
              </xdr:nvCxnSpPr>
              <xdr:spPr>
                <a:xfrm flipH="1" flipV="1">
                  <a:off x="1955062" y="59229059"/>
                  <a:ext cx="933523" cy="575157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9" name="Straight Arrow Connector 232">
                  <a:extLst>
                    <a:ext uri="{FF2B5EF4-FFF2-40B4-BE49-F238E27FC236}">
                      <a16:creationId xmlns:a16="http://schemas.microsoft.com/office/drawing/2014/main" id="{00000000-0008-0000-0300-00003B000000}"/>
                    </a:ext>
                  </a:extLst>
                </xdr:cNvPr>
                <xdr:cNvCxnSpPr/>
              </xdr:nvCxnSpPr>
              <xdr:spPr>
                <a:xfrm flipH="1" flipV="1">
                  <a:off x="1516878" y="59531260"/>
                  <a:ext cx="1390759" cy="272956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1" name="Straight Arrow Connector 238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CxnSpPr/>
            </xdr:nvCxnSpPr>
            <xdr:spPr>
              <a:xfrm>
                <a:off x="1488301" y="58283462"/>
                <a:ext cx="523916" cy="740880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Arrow Connector 240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CxnSpPr/>
            </xdr:nvCxnSpPr>
            <xdr:spPr>
              <a:xfrm flipH="1" flipV="1">
                <a:off x="3688749" y="58683147"/>
                <a:ext cx="933523" cy="467924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3" name="Straight Arrow Connector 242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CxnSpPr/>
            </xdr:nvCxnSpPr>
            <xdr:spPr>
              <a:xfrm flipH="1" flipV="1">
                <a:off x="4260294" y="58546669"/>
                <a:ext cx="352453" cy="643396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4" name="Straight Arrow Connector 243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CxnSpPr/>
            </xdr:nvCxnSpPr>
            <xdr:spPr>
              <a:xfrm flipV="1">
                <a:off x="4612746" y="58605160"/>
                <a:ext cx="180989" cy="545912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5" name="Straight Arrow Connector 30">
                <a:extLst>
                  <a:ext uri="{FF2B5EF4-FFF2-40B4-BE49-F238E27FC236}">
                    <a16:creationId xmlns:a16="http://schemas.microsoft.com/office/drawing/2014/main" id="{00000000-0008-0000-0300-000037000000}"/>
                  </a:ext>
                </a:extLst>
              </xdr:cNvPr>
              <xdr:cNvCxnSpPr/>
            </xdr:nvCxnSpPr>
            <xdr:spPr>
              <a:xfrm flipV="1">
                <a:off x="869127" y="58390695"/>
                <a:ext cx="1752738" cy="1169811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" name="Straight Arrow Connector 34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CxnSpPr>
              <a:endCxn id="1406984" idx="0"/>
            </xdr:cNvCxnSpPr>
          </xdr:nvCxnSpPr>
          <xdr:spPr>
            <a:xfrm flipH="1" flipV="1">
              <a:off x="1326363" y="59755474"/>
              <a:ext cx="1857521" cy="506918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  <xdr:cxnSp macro="">
        <xdr:nvCxnSpPr>
          <xdr:cNvPr id="49" name="Straight Arrow Connector 256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 flipH="1" flipV="1">
            <a:off x="3307719" y="58683147"/>
            <a:ext cx="1085935" cy="88710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685800</xdr:colOff>
      <xdr:row>834</xdr:row>
      <xdr:rowOff>95250</xdr:rowOff>
    </xdr:from>
    <xdr:to>
      <xdr:col>5</xdr:col>
      <xdr:colOff>361950</xdr:colOff>
      <xdr:row>849</xdr:row>
      <xdr:rowOff>57150</xdr:rowOff>
    </xdr:to>
    <xdr:grpSp>
      <xdr:nvGrpSpPr>
        <xdr:cNvPr id="1454985" name="Group 9">
          <a:extLst>
            <a:ext uri="{FF2B5EF4-FFF2-40B4-BE49-F238E27FC236}">
              <a16:creationId xmlns:a16="http://schemas.microsoft.com/office/drawing/2014/main" id="{00000000-0008-0000-0300-000089331600}"/>
            </a:ext>
          </a:extLst>
        </xdr:cNvPr>
        <xdr:cNvGrpSpPr>
          <a:grpSpLocks/>
        </xdr:cNvGrpSpPr>
      </xdr:nvGrpSpPr>
      <xdr:grpSpPr bwMode="auto">
        <a:xfrm>
          <a:off x="1107621" y="170905714"/>
          <a:ext cx="5391150" cy="3023507"/>
          <a:chOff x="1102533" y="170247389"/>
          <a:chExt cx="5388324" cy="3073845"/>
        </a:xfrm>
      </xdr:grpSpPr>
      <xdr:grpSp>
        <xdr:nvGrpSpPr>
          <xdr:cNvPr id="1456269" name="Group 5">
            <a:extLst>
              <a:ext uri="{FF2B5EF4-FFF2-40B4-BE49-F238E27FC236}">
                <a16:creationId xmlns:a16="http://schemas.microsoft.com/office/drawing/2014/main" id="{00000000-0008-0000-0300-00008D381600}"/>
              </a:ext>
            </a:extLst>
          </xdr:cNvPr>
          <xdr:cNvGrpSpPr>
            <a:grpSpLocks/>
          </xdr:cNvGrpSpPr>
        </xdr:nvGrpSpPr>
        <xdr:grpSpPr bwMode="auto">
          <a:xfrm>
            <a:off x="1102533" y="170247389"/>
            <a:ext cx="5388324" cy="3073845"/>
            <a:chOff x="842760" y="170264708"/>
            <a:chExt cx="5388324" cy="3073845"/>
          </a:xfrm>
        </xdr:grpSpPr>
        <xdr:sp macro="" textlink="">
          <xdr:nvSpPr>
            <xdr:cNvPr id="19" name="Parallelogram 4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/>
          </xdr:nvSpPr>
          <xdr:spPr>
            <a:xfrm rot="9369034" flipH="1">
              <a:off x="842760" y="170264708"/>
              <a:ext cx="675921" cy="2065703"/>
            </a:xfrm>
            <a:prstGeom prst="parallelogram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grpSp>
          <xdr:nvGrpSpPr>
            <xdr:cNvPr id="1456272" name="Group 39">
              <a:extLst>
                <a:ext uri="{FF2B5EF4-FFF2-40B4-BE49-F238E27FC236}">
                  <a16:creationId xmlns:a16="http://schemas.microsoft.com/office/drawing/2014/main" id="{00000000-0008-0000-0300-00009038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54319" y="170306998"/>
              <a:ext cx="4976765" cy="3031555"/>
              <a:chOff x="591566" y="58283462"/>
              <a:chExt cx="4973756" cy="2983024"/>
            </a:xfrm>
          </xdr:grpSpPr>
          <xdr:grpSp>
            <xdr:nvGrpSpPr>
              <xdr:cNvPr id="1456273" name="Group 37">
                <a:extLst>
                  <a:ext uri="{FF2B5EF4-FFF2-40B4-BE49-F238E27FC236}">
                    <a16:creationId xmlns:a16="http://schemas.microsoft.com/office/drawing/2014/main" id="{00000000-0008-0000-0300-000091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91566" y="58283462"/>
                <a:ext cx="4973756" cy="2983024"/>
                <a:chOff x="591566" y="58283462"/>
                <a:chExt cx="4973756" cy="2983024"/>
              </a:xfrm>
            </xdr:grpSpPr>
            <xdr:grpSp>
              <xdr:nvGrpSpPr>
                <xdr:cNvPr id="1456275" name="Group 31">
                  <a:extLst>
                    <a:ext uri="{FF2B5EF4-FFF2-40B4-BE49-F238E27FC236}">
                      <a16:creationId xmlns:a16="http://schemas.microsoft.com/office/drawing/2014/main" id="{00000000-0008-0000-0300-000093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91566" y="58283462"/>
                  <a:ext cx="4973756" cy="2983024"/>
                  <a:chOff x="591566" y="58283462"/>
                  <a:chExt cx="4973756" cy="2983024"/>
                </a:xfrm>
              </xdr:grpSpPr>
              <xdr:grpSp>
                <xdr:nvGrpSpPr>
                  <xdr:cNvPr id="1456277" name="Group 24">
                    <a:extLst>
                      <a:ext uri="{FF2B5EF4-FFF2-40B4-BE49-F238E27FC236}">
                        <a16:creationId xmlns:a16="http://schemas.microsoft.com/office/drawing/2014/main" id="{00000000-0008-0000-0300-000095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91566" y="58497933"/>
                    <a:ext cx="4973756" cy="2768553"/>
                    <a:chOff x="591566" y="58497933"/>
                    <a:chExt cx="4973756" cy="2768553"/>
                  </a:xfrm>
                </xdr:grpSpPr>
                <xdr:grpSp>
                  <xdr:nvGrpSpPr>
                    <xdr:cNvPr id="1456283" name="Group 17">
                      <a:extLst>
                        <a:ext uri="{FF2B5EF4-FFF2-40B4-BE49-F238E27FC236}">
                          <a16:creationId xmlns:a16="http://schemas.microsoft.com/office/drawing/2014/main" id="{00000000-0008-0000-0300-00009B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91566" y="58497933"/>
                      <a:ext cx="4973756" cy="2768553"/>
                      <a:chOff x="591566" y="58497933"/>
                      <a:chExt cx="4973756" cy="2768553"/>
                    </a:xfrm>
                  </xdr:grpSpPr>
                  <xdr:grpSp>
                    <xdr:nvGrpSpPr>
                      <xdr:cNvPr id="1456288" name="Group 15">
                        <a:extLst>
                          <a:ext uri="{FF2B5EF4-FFF2-40B4-BE49-F238E27FC236}">
                            <a16:creationId xmlns:a16="http://schemas.microsoft.com/office/drawing/2014/main" id="{00000000-0008-0000-0300-0000A03816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91566" y="58497933"/>
                        <a:ext cx="4973756" cy="2768553"/>
                        <a:chOff x="750863" y="58919700"/>
                        <a:chExt cx="4762589" cy="2605315"/>
                      </a:xfrm>
                    </xdr:grpSpPr>
                    <xdr:sp macro="" textlink="">
                      <xdr:nvSpPr>
                        <xdr:cNvPr id="34" name="Oval 255">
                          <a:extLst>
                            <a:ext uri="{FF2B5EF4-FFF2-40B4-BE49-F238E27FC236}">
                              <a16:creationId xmlns:a16="http://schemas.microsoft.com/office/drawing/2014/main" id="{00000000-0008-0000-0300-000022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832886" y="59722053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6" name="Oval 257">
                          <a:extLst>
                            <a:ext uri="{FF2B5EF4-FFF2-40B4-BE49-F238E27FC236}">
                              <a16:creationId xmlns:a16="http://schemas.microsoft.com/office/drawing/2014/main" id="{00000000-0008-0000-0300-00002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215519" y="59465795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7" name="Oval 258">
                          <a:extLst>
                            <a:ext uri="{FF2B5EF4-FFF2-40B4-BE49-F238E27FC236}">
                              <a16:creationId xmlns:a16="http://schemas.microsoft.com/office/drawing/2014/main" id="{00000000-0008-0000-0300-00002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643704" y="59246145"/>
                          <a:ext cx="12754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8" name="Oval 259">
                          <a:extLst>
                            <a:ext uri="{FF2B5EF4-FFF2-40B4-BE49-F238E27FC236}">
                              <a16:creationId xmlns:a16="http://schemas.microsoft.com/office/drawing/2014/main" id="{00000000-0008-0000-0300-00002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35020" y="59063103"/>
                          <a:ext cx="22775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39" name="Oval 260">
                          <a:extLst>
                            <a:ext uri="{FF2B5EF4-FFF2-40B4-BE49-F238E27FC236}">
                              <a16:creationId xmlns:a16="http://schemas.microsoft.com/office/drawing/2014/main" id="{00000000-0008-0000-0300-00002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618507" y="58944126"/>
                          <a:ext cx="11843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0" name="Oval 261">
                          <a:extLst>
                            <a:ext uri="{FF2B5EF4-FFF2-40B4-BE49-F238E27FC236}">
                              <a16:creationId xmlns:a16="http://schemas.microsoft.com/office/drawing/2014/main" id="{00000000-0008-0000-0300-00002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210677" y="58916669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1" name="Oval 262">
                          <a:extLst>
                            <a:ext uri="{FF2B5EF4-FFF2-40B4-BE49-F238E27FC236}">
                              <a16:creationId xmlns:a16="http://schemas.microsoft.com/office/drawing/2014/main" id="{00000000-0008-0000-0300-00002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702634" y="58980734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2" name="Oval 263">
                          <a:extLst>
                            <a:ext uri="{FF2B5EF4-FFF2-40B4-BE49-F238E27FC236}">
                              <a16:creationId xmlns:a16="http://schemas.microsoft.com/office/drawing/2014/main" id="{00000000-0008-0000-0300-00002A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117440" y="59081407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grpSp>
                      <xdr:nvGrpSpPr>
                        <xdr:cNvPr id="1456298" name="Group 14">
                          <a:extLst>
                            <a:ext uri="{FF2B5EF4-FFF2-40B4-BE49-F238E27FC236}">
                              <a16:creationId xmlns:a16="http://schemas.microsoft.com/office/drawing/2014/main" id="{00000000-0008-0000-0300-0000AA3816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750863" y="58938048"/>
                          <a:ext cx="4762589" cy="2586967"/>
                          <a:chOff x="750863" y="58938048"/>
                          <a:chExt cx="4762589" cy="2586967"/>
                        </a:xfrm>
                      </xdr:grpSpPr>
                      <xdr:sp macro="" textlink="">
                        <xdr:nvSpPr>
                          <xdr:cNvPr id="46" name="Block Arc 268">
                            <a:extLst>
                              <a:ext uri="{FF2B5EF4-FFF2-40B4-BE49-F238E27FC236}">
                                <a16:creationId xmlns:a16="http://schemas.microsoft.com/office/drawing/2014/main" id="{00000000-0008-0000-0300-00002E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339608">
                            <a:off x="867193" y="58934973"/>
                            <a:ext cx="4546046" cy="2242262"/>
                          </a:xfrm>
                          <a:prstGeom prst="blockArc">
                            <a:avLst>
                              <a:gd name="adj1" fmla="val 11968811"/>
                              <a:gd name="adj2" fmla="val 21071644"/>
                              <a:gd name="adj3" fmla="val 19658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47" name="Block Arc 269">
                            <a:extLst>
                              <a:ext uri="{FF2B5EF4-FFF2-40B4-BE49-F238E27FC236}">
                                <a16:creationId xmlns:a16="http://schemas.microsoft.com/office/drawing/2014/main" id="{00000000-0008-0000-0300-00002F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147380">
                            <a:off x="748759" y="59044798"/>
                            <a:ext cx="4609818" cy="2269719"/>
                          </a:xfrm>
                          <a:prstGeom prst="blockArc">
                            <a:avLst>
                              <a:gd name="adj1" fmla="val 12513883"/>
                              <a:gd name="adj2" fmla="val 21119501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48" name="Block Arc 270">
                            <a:extLst>
                              <a:ext uri="{FF2B5EF4-FFF2-40B4-BE49-F238E27FC236}">
                                <a16:creationId xmlns:a16="http://schemas.microsoft.com/office/drawing/2014/main" id="{00000000-0008-0000-0300-00003000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294698">
                            <a:off x="967406" y="59282753"/>
                            <a:ext cx="4546046" cy="2242262"/>
                          </a:xfrm>
                          <a:prstGeom prst="blockArc">
                            <a:avLst>
                              <a:gd name="adj1" fmla="val 12513883"/>
                              <a:gd name="adj2" fmla="val 20468663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</xdr:grpSp>
                    <xdr:sp macro="" textlink="">
                      <xdr:nvSpPr>
                        <xdr:cNvPr id="43" name="Oval 265">
                          <a:extLst>
                            <a:ext uri="{FF2B5EF4-FFF2-40B4-BE49-F238E27FC236}">
                              <a16:creationId xmlns:a16="http://schemas.microsoft.com/office/drawing/2014/main" id="{00000000-0008-0000-0300-00002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33953" y="59282753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4" name="Oval 266">
                          <a:extLst>
                            <a:ext uri="{FF2B5EF4-FFF2-40B4-BE49-F238E27FC236}">
                              <a16:creationId xmlns:a16="http://schemas.microsoft.com/office/drawing/2014/main" id="{00000000-0008-0000-0300-00002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51320" y="59484099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45" name="Oval 267">
                          <a:extLst>
                            <a:ext uri="{FF2B5EF4-FFF2-40B4-BE49-F238E27FC236}">
                              <a16:creationId xmlns:a16="http://schemas.microsoft.com/office/drawing/2014/main" id="{00000000-0008-0000-0300-00002D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04915" y="59786118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</xdr:grpSp>
                  <xdr:sp macro="" textlink="">
                    <xdr:nvSpPr>
                      <xdr:cNvPr id="33" name="Rectangle 254">
                        <a:extLst>
                          <a:ext uri="{FF2B5EF4-FFF2-40B4-BE49-F238E27FC236}">
                            <a16:creationId xmlns:a16="http://schemas.microsoft.com/office/drawing/2014/main" id="{00000000-0008-0000-0300-000021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65482" y="59729854"/>
                        <a:ext cx="960939" cy="651610"/>
                      </a:xfrm>
                      <a:prstGeom prst="rect">
                        <a:avLst/>
                      </a:pr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</xdr:grpSp>
                <xdr:cxnSp macro="">
                  <xdr:nvCxnSpPr>
                    <xdr:cNvPr id="28" name="Straight Arrow Connector 249">
                      <a:extLst>
                        <a:ext uri="{FF2B5EF4-FFF2-40B4-BE49-F238E27FC236}">
                          <a16:creationId xmlns:a16="http://schemas.microsoft.com/office/drawing/2014/main" id="{00000000-0008-0000-0300-00001C00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872789" y="58776753"/>
                      <a:ext cx="0" cy="1021180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9" name="Straight Arrow Connector 250">
                      <a:extLst>
                        <a:ext uri="{FF2B5EF4-FFF2-40B4-BE49-F238E27FC236}">
                          <a16:creationId xmlns:a16="http://schemas.microsoft.com/office/drawing/2014/main" id="{00000000-0008-0000-0300-00001D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78048" y="59010165"/>
                      <a:ext cx="513770" cy="797493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0" name="Straight Arrow Connector 251">
                      <a:extLst>
                        <a:ext uri="{FF2B5EF4-FFF2-40B4-BE49-F238E27FC236}">
                          <a16:creationId xmlns:a16="http://schemas.microsoft.com/office/drawing/2014/main" id="{00000000-0008-0000-0300-00001E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949906" y="59224127"/>
                      <a:ext cx="941911" cy="573806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" name="Straight Arrow Connector 252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512251" y="59525618"/>
                      <a:ext cx="1398595" cy="272315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23" name="Straight Arrow Connector 241">
                    <a:extLst>
                      <a:ext uri="{FF2B5EF4-FFF2-40B4-BE49-F238E27FC236}">
                        <a16:creationId xmlns:a16="http://schemas.microsoft.com/office/drawing/2014/main" id="{00000000-0008-0000-0300-000017000000}"/>
                      </a:ext>
                    </a:extLst>
                  </xdr:cNvPr>
                  <xdr:cNvCxnSpPr/>
                </xdr:nvCxnSpPr>
                <xdr:spPr>
                  <a:xfrm>
                    <a:off x="1483708" y="58280751"/>
                    <a:ext cx="523284" cy="73914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" name="Straight Arrow Connector 244">
                    <a:extLst>
                      <a:ext uri="{FF2B5EF4-FFF2-40B4-BE49-F238E27FC236}">
                        <a16:creationId xmlns:a16="http://schemas.microsoft.com/office/drawing/2014/main" id="{00000000-0008-0000-0300-000018000000}"/>
                      </a:ext>
                    </a:extLst>
                  </xdr:cNvPr>
                  <xdr:cNvCxnSpPr/>
                </xdr:nvCxnSpPr>
                <xdr:spPr>
                  <a:xfrm flipH="1" flipV="1">
                    <a:off x="3691014" y="58669772"/>
                    <a:ext cx="932397" cy="476551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5" name="Straight Arrow Connector 245">
                    <a:extLst>
                      <a:ext uri="{FF2B5EF4-FFF2-40B4-BE49-F238E27FC236}">
                        <a16:creationId xmlns:a16="http://schemas.microsoft.com/office/drawing/2014/main" id="{00000000-0008-0000-0300-000019000000}"/>
                      </a:ext>
                    </a:extLst>
                  </xdr:cNvPr>
                  <xdr:cNvCxnSpPr/>
                </xdr:nvCxnSpPr>
                <xdr:spPr>
                  <a:xfrm flipH="1" flipV="1">
                    <a:off x="4261870" y="58533615"/>
                    <a:ext cx="352027" cy="65161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" name="Straight Arrow Connector 246">
                    <a:extLst>
                      <a:ext uri="{FF2B5EF4-FFF2-40B4-BE49-F238E27FC236}">
                        <a16:creationId xmlns:a16="http://schemas.microsoft.com/office/drawing/2014/main" id="{00000000-0008-0000-0300-00001A000000}"/>
                      </a:ext>
                    </a:extLst>
                  </xdr:cNvPr>
                  <xdr:cNvCxnSpPr/>
                </xdr:nvCxnSpPr>
                <xdr:spPr>
                  <a:xfrm flipV="1">
                    <a:off x="4613897" y="58591968"/>
                    <a:ext cx="180771" cy="554355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" name="Straight Arrow Connector 247">
                    <a:extLst>
                      <a:ext uri="{FF2B5EF4-FFF2-40B4-BE49-F238E27FC236}">
                        <a16:creationId xmlns:a16="http://schemas.microsoft.com/office/drawing/2014/main" id="{00000000-0008-0000-0300-00001B000000}"/>
                      </a:ext>
                    </a:extLst>
                  </xdr:cNvPr>
                  <xdr:cNvCxnSpPr/>
                </xdr:nvCxnSpPr>
                <xdr:spPr>
                  <a:xfrm flipV="1">
                    <a:off x="865282" y="58387732"/>
                    <a:ext cx="1750622" cy="1167062"/>
                  </a:xfrm>
                  <a:prstGeom prst="straightConnector1">
                    <a:avLst/>
                  </a:prstGeom>
                  <a:ln>
                    <a:headEnd type="triangle"/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22" name="Straight Arrow Connector 237">
                  <a:extLst>
                    <a:ext uri="{FF2B5EF4-FFF2-40B4-BE49-F238E27FC236}">
                      <a16:creationId xmlns:a16="http://schemas.microsoft.com/office/drawing/2014/main" id="{00000000-0008-0000-0300-000016000000}"/>
                    </a:ext>
                  </a:extLst>
                </xdr:cNvPr>
                <xdr:cNvCxnSpPr>
                  <a:endCxn id="46" idx="0"/>
                </xdr:cNvCxnSpPr>
              </xdr:nvCxnSpPr>
              <xdr:spPr>
                <a:xfrm flipH="1" flipV="1">
                  <a:off x="1321966" y="59749305"/>
                  <a:ext cx="1864793" cy="515453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1" name="Straight Arrow Connector 235">
                <a:extLst>
                  <a:ext uri="{FF2B5EF4-FFF2-40B4-BE49-F238E27FC236}">
                    <a16:creationId xmlns:a16="http://schemas.microsoft.com/office/drawing/2014/main" id="{00000000-0008-0000-0300-000015000000}"/>
                  </a:ext>
                </a:extLst>
              </xdr:cNvPr>
              <xdr:cNvCxnSpPr/>
            </xdr:nvCxnSpPr>
            <xdr:spPr>
              <a:xfrm flipH="1" flipV="1">
                <a:off x="3310444" y="58669772"/>
                <a:ext cx="1084625" cy="894748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18" name="Straight Arrow Connector 272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 bwMode="auto">
          <a:xfrm flipH="1" flipV="1">
            <a:off x="4710616" y="170395645"/>
            <a:ext cx="809201" cy="76104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742950</xdr:colOff>
      <xdr:row>179</xdr:row>
      <xdr:rowOff>276225</xdr:rowOff>
    </xdr:from>
    <xdr:to>
      <xdr:col>4</xdr:col>
      <xdr:colOff>295275</xdr:colOff>
      <xdr:row>181</xdr:row>
      <xdr:rowOff>200025</xdr:rowOff>
    </xdr:to>
    <xdr:sp macro="" textlink="">
      <xdr:nvSpPr>
        <xdr:cNvPr id="1454986" name="Line 26">
          <a:extLst>
            <a:ext uri="{FF2B5EF4-FFF2-40B4-BE49-F238E27FC236}">
              <a16:creationId xmlns:a16="http://schemas.microsoft.com/office/drawing/2014/main" id="{00000000-0008-0000-0300-00008A331600}"/>
            </a:ext>
          </a:extLst>
        </xdr:cNvPr>
        <xdr:cNvSpPr>
          <a:spLocks noChangeShapeType="1"/>
        </xdr:cNvSpPr>
      </xdr:nvSpPr>
      <xdr:spPr bwMode="auto">
        <a:xfrm flipV="1">
          <a:off x="3762375" y="39290625"/>
          <a:ext cx="723900" cy="609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179</xdr:row>
      <xdr:rowOff>66675</xdr:rowOff>
    </xdr:from>
    <xdr:to>
      <xdr:col>3</xdr:col>
      <xdr:colOff>85725</xdr:colOff>
      <xdr:row>179</xdr:row>
      <xdr:rowOff>276225</xdr:rowOff>
    </xdr:to>
    <xdr:sp macro="" textlink="">
      <xdr:nvSpPr>
        <xdr:cNvPr id="1454987" name="Line 27">
          <a:extLst>
            <a:ext uri="{FF2B5EF4-FFF2-40B4-BE49-F238E27FC236}">
              <a16:creationId xmlns:a16="http://schemas.microsoft.com/office/drawing/2014/main" id="{00000000-0008-0000-0300-00008B331600}"/>
            </a:ext>
          </a:extLst>
        </xdr:cNvPr>
        <xdr:cNvSpPr>
          <a:spLocks noChangeShapeType="1"/>
        </xdr:cNvSpPr>
      </xdr:nvSpPr>
      <xdr:spPr bwMode="auto">
        <a:xfrm flipV="1">
          <a:off x="3105150" y="39081075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276225</xdr:colOff>
      <xdr:row>179</xdr:row>
      <xdr:rowOff>66675</xdr:rowOff>
    </xdr:from>
    <xdr:to>
      <xdr:col>4</xdr:col>
      <xdr:colOff>276225</xdr:colOff>
      <xdr:row>179</xdr:row>
      <xdr:rowOff>266700</xdr:rowOff>
    </xdr:to>
    <xdr:sp macro="" textlink="">
      <xdr:nvSpPr>
        <xdr:cNvPr id="1454988" name="Line 28">
          <a:extLst>
            <a:ext uri="{FF2B5EF4-FFF2-40B4-BE49-F238E27FC236}">
              <a16:creationId xmlns:a16="http://schemas.microsoft.com/office/drawing/2014/main" id="{00000000-0008-0000-0300-00008C331600}"/>
            </a:ext>
          </a:extLst>
        </xdr:cNvPr>
        <xdr:cNvSpPr>
          <a:spLocks noChangeShapeType="1"/>
        </xdr:cNvSpPr>
      </xdr:nvSpPr>
      <xdr:spPr bwMode="auto">
        <a:xfrm flipV="1">
          <a:off x="4467225" y="39081075"/>
          <a:ext cx="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179</xdr:row>
      <xdr:rowOff>152400</xdr:rowOff>
    </xdr:from>
    <xdr:to>
      <xdr:col>4</xdr:col>
      <xdr:colOff>276225</xdr:colOff>
      <xdr:row>179</xdr:row>
      <xdr:rowOff>152400</xdr:rowOff>
    </xdr:to>
    <xdr:sp macro="" textlink="">
      <xdr:nvSpPr>
        <xdr:cNvPr id="1454989" name="Line 29">
          <a:extLst>
            <a:ext uri="{FF2B5EF4-FFF2-40B4-BE49-F238E27FC236}">
              <a16:creationId xmlns:a16="http://schemas.microsoft.com/office/drawing/2014/main" id="{00000000-0008-0000-0300-00008D331600}"/>
            </a:ext>
          </a:extLst>
        </xdr:cNvPr>
        <xdr:cNvSpPr>
          <a:spLocks noChangeShapeType="1"/>
        </xdr:cNvSpPr>
      </xdr:nvSpPr>
      <xdr:spPr bwMode="auto">
        <a:xfrm>
          <a:off x="3114675" y="39166800"/>
          <a:ext cx="1352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333375</xdr:rowOff>
    </xdr:from>
    <xdr:to>
      <xdr:col>3</xdr:col>
      <xdr:colOff>495300</xdr:colOff>
      <xdr:row>181</xdr:row>
      <xdr:rowOff>247650</xdr:rowOff>
    </xdr:to>
    <xdr:sp macro="" textlink="">
      <xdr:nvSpPr>
        <xdr:cNvPr id="1454990" name="Line 30">
          <a:extLst>
            <a:ext uri="{FF2B5EF4-FFF2-40B4-BE49-F238E27FC236}">
              <a16:creationId xmlns:a16="http://schemas.microsoft.com/office/drawing/2014/main" id="{00000000-0008-0000-0300-00008E331600}"/>
            </a:ext>
          </a:extLst>
        </xdr:cNvPr>
        <xdr:cNvSpPr>
          <a:spLocks noChangeShapeType="1"/>
        </xdr:cNvSpPr>
      </xdr:nvSpPr>
      <xdr:spPr bwMode="auto">
        <a:xfrm>
          <a:off x="3514725" y="39690675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1000125</xdr:colOff>
      <xdr:row>180</xdr:row>
      <xdr:rowOff>314325</xdr:rowOff>
    </xdr:from>
    <xdr:to>
      <xdr:col>3</xdr:col>
      <xdr:colOff>1000125</xdr:colOff>
      <xdr:row>181</xdr:row>
      <xdr:rowOff>238125</xdr:rowOff>
    </xdr:to>
    <xdr:sp macro="" textlink="">
      <xdr:nvSpPr>
        <xdr:cNvPr id="1454991" name="Line 31">
          <a:extLst>
            <a:ext uri="{FF2B5EF4-FFF2-40B4-BE49-F238E27FC236}">
              <a16:creationId xmlns:a16="http://schemas.microsoft.com/office/drawing/2014/main" id="{00000000-0008-0000-0300-00008F331600}"/>
            </a:ext>
          </a:extLst>
        </xdr:cNvPr>
        <xdr:cNvSpPr>
          <a:spLocks noChangeShapeType="1"/>
        </xdr:cNvSpPr>
      </xdr:nvSpPr>
      <xdr:spPr bwMode="auto">
        <a:xfrm>
          <a:off x="4019550" y="39671625"/>
          <a:ext cx="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181</xdr:row>
      <xdr:rowOff>142875</xdr:rowOff>
    </xdr:from>
    <xdr:to>
      <xdr:col>3</xdr:col>
      <xdr:colOff>1009650</xdr:colOff>
      <xdr:row>181</xdr:row>
      <xdr:rowOff>142875</xdr:rowOff>
    </xdr:to>
    <xdr:sp macro="" textlink="">
      <xdr:nvSpPr>
        <xdr:cNvPr id="1454992" name="Line 32">
          <a:extLst>
            <a:ext uri="{FF2B5EF4-FFF2-40B4-BE49-F238E27FC236}">
              <a16:creationId xmlns:a16="http://schemas.microsoft.com/office/drawing/2014/main" id="{00000000-0008-0000-0300-000090331600}"/>
            </a:ext>
          </a:extLst>
        </xdr:cNvPr>
        <xdr:cNvSpPr>
          <a:spLocks noChangeShapeType="1"/>
        </xdr:cNvSpPr>
      </xdr:nvSpPr>
      <xdr:spPr bwMode="auto">
        <a:xfrm>
          <a:off x="3524250" y="39843075"/>
          <a:ext cx="504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180</xdr:row>
      <xdr:rowOff>190500</xdr:rowOff>
    </xdr:from>
    <xdr:to>
      <xdr:col>3</xdr:col>
      <xdr:colOff>990600</xdr:colOff>
      <xdr:row>180</xdr:row>
      <xdr:rowOff>333375</xdr:rowOff>
    </xdr:to>
    <xdr:sp macro="" textlink="">
      <xdr:nvSpPr>
        <xdr:cNvPr id="1454993" name="Freeform 34">
          <a:extLst>
            <a:ext uri="{FF2B5EF4-FFF2-40B4-BE49-F238E27FC236}">
              <a16:creationId xmlns:a16="http://schemas.microsoft.com/office/drawing/2014/main" id="{00000000-0008-0000-0300-000091331600}"/>
            </a:ext>
          </a:extLst>
        </xdr:cNvPr>
        <xdr:cNvSpPr>
          <a:spLocks/>
        </xdr:cNvSpPr>
      </xdr:nvSpPr>
      <xdr:spPr bwMode="auto">
        <a:xfrm>
          <a:off x="3514725" y="39547800"/>
          <a:ext cx="495300" cy="142875"/>
        </a:xfrm>
        <a:custGeom>
          <a:avLst/>
          <a:gdLst>
            <a:gd name="T0" fmla="*/ 0 w 58"/>
            <a:gd name="T1" fmla="*/ 2147483646 h 12"/>
            <a:gd name="T2" fmla="*/ 2147483646 w 58"/>
            <a:gd name="T3" fmla="*/ 2147483646 h 12"/>
            <a:gd name="T4" fmla="*/ 2147483646 w 58"/>
            <a:gd name="T5" fmla="*/ 2147483646 h 12"/>
            <a:gd name="T6" fmla="*/ 0 60000 65536"/>
            <a:gd name="T7" fmla="*/ 0 60000 65536"/>
            <a:gd name="T8" fmla="*/ 0 60000 65536"/>
            <a:gd name="T9" fmla="*/ 0 w 58"/>
            <a:gd name="T10" fmla="*/ 0 h 12"/>
            <a:gd name="T11" fmla="*/ 58 w 58"/>
            <a:gd name="T12" fmla="*/ 12 h 1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58" h="12">
              <a:moveTo>
                <a:pt x="0" y="8"/>
              </a:moveTo>
              <a:cubicBezTo>
                <a:pt x="11" y="4"/>
                <a:pt x="22" y="0"/>
                <a:pt x="32" y="1"/>
              </a:cubicBezTo>
              <a:cubicBezTo>
                <a:pt x="42" y="2"/>
                <a:pt x="54" y="10"/>
                <a:pt x="58" y="12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895350</xdr:colOff>
      <xdr:row>193</xdr:row>
      <xdr:rowOff>9525</xdr:rowOff>
    </xdr:from>
    <xdr:to>
      <xdr:col>4</xdr:col>
      <xdr:colOff>1019175</xdr:colOff>
      <xdr:row>195</xdr:row>
      <xdr:rowOff>104775</xdr:rowOff>
    </xdr:to>
    <xdr:sp macro="" textlink="">
      <xdr:nvSpPr>
        <xdr:cNvPr id="1454994" name="Freeform 35">
          <a:extLst>
            <a:ext uri="{FF2B5EF4-FFF2-40B4-BE49-F238E27FC236}">
              <a16:creationId xmlns:a16="http://schemas.microsoft.com/office/drawing/2014/main" id="{00000000-0008-0000-0300-000092331600}"/>
            </a:ext>
          </a:extLst>
        </xdr:cNvPr>
        <xdr:cNvSpPr>
          <a:spLocks/>
        </xdr:cNvSpPr>
      </xdr:nvSpPr>
      <xdr:spPr bwMode="auto">
        <a:xfrm rot="396078">
          <a:off x="3914775" y="43986450"/>
          <a:ext cx="1295400" cy="495300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828675</xdr:colOff>
      <xdr:row>192</xdr:row>
      <xdr:rowOff>190500</xdr:rowOff>
    </xdr:from>
    <xdr:to>
      <xdr:col>3</xdr:col>
      <xdr:colOff>828675</xdr:colOff>
      <xdr:row>200</xdr:row>
      <xdr:rowOff>0</xdr:rowOff>
    </xdr:to>
    <xdr:sp macro="" textlink="">
      <xdr:nvSpPr>
        <xdr:cNvPr id="1454995" name="Line 37">
          <a:extLst>
            <a:ext uri="{FF2B5EF4-FFF2-40B4-BE49-F238E27FC236}">
              <a16:creationId xmlns:a16="http://schemas.microsoft.com/office/drawing/2014/main" id="{00000000-0008-0000-0300-000093331600}"/>
            </a:ext>
          </a:extLst>
        </xdr:cNvPr>
        <xdr:cNvSpPr>
          <a:spLocks noChangeShapeType="1"/>
        </xdr:cNvSpPr>
      </xdr:nvSpPr>
      <xdr:spPr bwMode="auto">
        <a:xfrm>
          <a:off x="3848100" y="43967400"/>
          <a:ext cx="0" cy="1247775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194</xdr:row>
      <xdr:rowOff>142875</xdr:rowOff>
    </xdr:from>
    <xdr:to>
      <xdr:col>4</xdr:col>
      <xdr:colOff>314325</xdr:colOff>
      <xdr:row>197</xdr:row>
      <xdr:rowOff>0</xdr:rowOff>
    </xdr:to>
    <xdr:sp macro="" textlink="">
      <xdr:nvSpPr>
        <xdr:cNvPr id="1454996" name="Line 38">
          <a:extLst>
            <a:ext uri="{FF2B5EF4-FFF2-40B4-BE49-F238E27FC236}">
              <a16:creationId xmlns:a16="http://schemas.microsoft.com/office/drawing/2014/main" id="{00000000-0008-0000-0300-000094331600}"/>
            </a:ext>
          </a:extLst>
        </xdr:cNvPr>
        <xdr:cNvSpPr>
          <a:spLocks noChangeShapeType="1"/>
        </xdr:cNvSpPr>
      </xdr:nvSpPr>
      <xdr:spPr bwMode="auto">
        <a:xfrm flipH="1" flipV="1">
          <a:off x="4286250" y="44319825"/>
          <a:ext cx="219075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195</xdr:row>
      <xdr:rowOff>19050</xdr:rowOff>
    </xdr:from>
    <xdr:to>
      <xdr:col>4</xdr:col>
      <xdr:colOff>152400</xdr:colOff>
      <xdr:row>195</xdr:row>
      <xdr:rowOff>28575</xdr:rowOff>
    </xdr:to>
    <xdr:sp macro="" textlink="">
      <xdr:nvSpPr>
        <xdr:cNvPr id="1454997" name="Line 40">
          <a:extLst>
            <a:ext uri="{FF2B5EF4-FFF2-40B4-BE49-F238E27FC236}">
              <a16:creationId xmlns:a16="http://schemas.microsoft.com/office/drawing/2014/main" id="{00000000-0008-0000-0300-000095331600}"/>
            </a:ext>
          </a:extLst>
        </xdr:cNvPr>
        <xdr:cNvSpPr>
          <a:spLocks noChangeShapeType="1"/>
        </xdr:cNvSpPr>
      </xdr:nvSpPr>
      <xdr:spPr bwMode="auto">
        <a:xfrm flipV="1">
          <a:off x="3724275" y="44396025"/>
          <a:ext cx="6191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1162050</xdr:colOff>
      <xdr:row>194</xdr:row>
      <xdr:rowOff>114300</xdr:rowOff>
    </xdr:from>
    <xdr:to>
      <xdr:col>4</xdr:col>
      <xdr:colOff>47625</xdr:colOff>
      <xdr:row>195</xdr:row>
      <xdr:rowOff>104775</xdr:rowOff>
    </xdr:to>
    <xdr:sp macro="" textlink="">
      <xdr:nvSpPr>
        <xdr:cNvPr id="1454998" name="Line 41">
          <a:extLst>
            <a:ext uri="{FF2B5EF4-FFF2-40B4-BE49-F238E27FC236}">
              <a16:creationId xmlns:a16="http://schemas.microsoft.com/office/drawing/2014/main" id="{00000000-0008-0000-0300-000096331600}"/>
            </a:ext>
          </a:extLst>
        </xdr:cNvPr>
        <xdr:cNvSpPr>
          <a:spLocks noChangeShapeType="1"/>
        </xdr:cNvSpPr>
      </xdr:nvSpPr>
      <xdr:spPr bwMode="auto">
        <a:xfrm>
          <a:off x="4181475" y="44291250"/>
          <a:ext cx="571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664</xdr:row>
      <xdr:rowOff>123825</xdr:rowOff>
    </xdr:from>
    <xdr:to>
      <xdr:col>3</xdr:col>
      <xdr:colOff>685800</xdr:colOff>
      <xdr:row>666</xdr:row>
      <xdr:rowOff>47625</xdr:rowOff>
    </xdr:to>
    <xdr:sp macro="" textlink="">
      <xdr:nvSpPr>
        <xdr:cNvPr id="1454999" name="Line 54">
          <a:extLst>
            <a:ext uri="{FF2B5EF4-FFF2-40B4-BE49-F238E27FC236}">
              <a16:creationId xmlns:a16="http://schemas.microsoft.com/office/drawing/2014/main" id="{00000000-0008-0000-0300-000097331600}"/>
            </a:ext>
          </a:extLst>
        </xdr:cNvPr>
        <xdr:cNvSpPr>
          <a:spLocks noChangeShapeType="1"/>
        </xdr:cNvSpPr>
      </xdr:nvSpPr>
      <xdr:spPr bwMode="auto">
        <a:xfrm>
          <a:off x="3105150" y="137550525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257175</xdr:colOff>
      <xdr:row>664</xdr:row>
      <xdr:rowOff>47625</xdr:rowOff>
    </xdr:from>
    <xdr:to>
      <xdr:col>3</xdr:col>
      <xdr:colOff>838200</xdr:colOff>
      <xdr:row>665</xdr:row>
      <xdr:rowOff>533400</xdr:rowOff>
    </xdr:to>
    <xdr:sp macro="" textlink="">
      <xdr:nvSpPr>
        <xdr:cNvPr id="1455000" name="Line 55">
          <a:extLst>
            <a:ext uri="{FF2B5EF4-FFF2-40B4-BE49-F238E27FC236}">
              <a16:creationId xmlns:a16="http://schemas.microsoft.com/office/drawing/2014/main" id="{00000000-0008-0000-0300-000098331600}"/>
            </a:ext>
          </a:extLst>
        </xdr:cNvPr>
        <xdr:cNvSpPr>
          <a:spLocks noChangeShapeType="1"/>
        </xdr:cNvSpPr>
      </xdr:nvSpPr>
      <xdr:spPr bwMode="auto">
        <a:xfrm>
          <a:off x="3276600" y="137550525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457200</xdr:colOff>
      <xdr:row>664</xdr:row>
      <xdr:rowOff>95250</xdr:rowOff>
    </xdr:from>
    <xdr:to>
      <xdr:col>3</xdr:col>
      <xdr:colOff>838200</xdr:colOff>
      <xdr:row>665</xdr:row>
      <xdr:rowOff>0</xdr:rowOff>
    </xdr:to>
    <xdr:sp macro="" textlink="">
      <xdr:nvSpPr>
        <xdr:cNvPr id="1455001" name="Line 56">
          <a:extLst>
            <a:ext uri="{FF2B5EF4-FFF2-40B4-BE49-F238E27FC236}">
              <a16:creationId xmlns:a16="http://schemas.microsoft.com/office/drawing/2014/main" id="{00000000-0008-0000-0300-000099331600}"/>
            </a:ext>
          </a:extLst>
        </xdr:cNvPr>
        <xdr:cNvSpPr>
          <a:spLocks noChangeShapeType="1"/>
        </xdr:cNvSpPr>
      </xdr:nvSpPr>
      <xdr:spPr bwMode="auto">
        <a:xfrm flipH="1">
          <a:off x="3476625" y="13755052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665</xdr:row>
      <xdr:rowOff>123825</xdr:rowOff>
    </xdr:from>
    <xdr:to>
      <xdr:col>3</xdr:col>
      <xdr:colOff>333375</xdr:colOff>
      <xdr:row>665</xdr:row>
      <xdr:rowOff>323850</xdr:rowOff>
    </xdr:to>
    <xdr:sp macro="" textlink="">
      <xdr:nvSpPr>
        <xdr:cNvPr id="1455002" name="Line 57">
          <a:extLst>
            <a:ext uri="{FF2B5EF4-FFF2-40B4-BE49-F238E27FC236}">
              <a16:creationId xmlns:a16="http://schemas.microsoft.com/office/drawing/2014/main" id="{00000000-0008-0000-0300-00009A331600}"/>
            </a:ext>
          </a:extLst>
        </xdr:cNvPr>
        <xdr:cNvSpPr>
          <a:spLocks noChangeShapeType="1"/>
        </xdr:cNvSpPr>
      </xdr:nvSpPr>
      <xdr:spPr bwMode="auto">
        <a:xfrm flipV="1">
          <a:off x="3019425" y="13755052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123825</xdr:colOff>
      <xdr:row>319</xdr:row>
      <xdr:rowOff>295275</xdr:rowOff>
    </xdr:from>
    <xdr:to>
      <xdr:col>1</xdr:col>
      <xdr:colOff>200025</xdr:colOff>
      <xdr:row>324</xdr:row>
      <xdr:rowOff>171450</xdr:rowOff>
    </xdr:to>
    <xdr:sp macro="" textlink="">
      <xdr:nvSpPr>
        <xdr:cNvPr id="1455003" name="Rectangle 67">
          <a:extLst>
            <a:ext uri="{FF2B5EF4-FFF2-40B4-BE49-F238E27FC236}">
              <a16:creationId xmlns:a16="http://schemas.microsoft.com/office/drawing/2014/main" id="{00000000-0008-0000-0300-00009B331600}"/>
            </a:ext>
          </a:extLst>
        </xdr:cNvPr>
        <xdr:cNvSpPr>
          <a:spLocks noChangeArrowheads="1"/>
        </xdr:cNvSpPr>
      </xdr:nvSpPr>
      <xdr:spPr bwMode="auto">
        <a:xfrm>
          <a:off x="542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885825</xdr:colOff>
      <xdr:row>319</xdr:row>
      <xdr:rowOff>295275</xdr:rowOff>
    </xdr:from>
    <xdr:to>
      <xdr:col>1</xdr:col>
      <xdr:colOff>962025</xdr:colOff>
      <xdr:row>324</xdr:row>
      <xdr:rowOff>171450</xdr:rowOff>
    </xdr:to>
    <xdr:sp macro="" textlink="">
      <xdr:nvSpPr>
        <xdr:cNvPr id="1455004" name="Rectangle 68">
          <a:extLst>
            <a:ext uri="{FF2B5EF4-FFF2-40B4-BE49-F238E27FC236}">
              <a16:creationId xmlns:a16="http://schemas.microsoft.com/office/drawing/2014/main" id="{00000000-0008-0000-0300-00009C331600}"/>
            </a:ext>
          </a:extLst>
        </xdr:cNvPr>
        <xdr:cNvSpPr>
          <a:spLocks noChangeArrowheads="1"/>
        </xdr:cNvSpPr>
      </xdr:nvSpPr>
      <xdr:spPr bwMode="auto">
        <a:xfrm>
          <a:off x="1304925" y="77504925"/>
          <a:ext cx="76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190500</xdr:colOff>
      <xdr:row>322</xdr:row>
      <xdr:rowOff>180975</xdr:rowOff>
    </xdr:from>
    <xdr:to>
      <xdr:col>1</xdr:col>
      <xdr:colOff>923925</xdr:colOff>
      <xdr:row>322</xdr:row>
      <xdr:rowOff>180975</xdr:rowOff>
    </xdr:to>
    <xdr:sp macro="" textlink="">
      <xdr:nvSpPr>
        <xdr:cNvPr id="1455005" name="Line 69">
          <a:extLst>
            <a:ext uri="{FF2B5EF4-FFF2-40B4-BE49-F238E27FC236}">
              <a16:creationId xmlns:a16="http://schemas.microsoft.com/office/drawing/2014/main" id="{00000000-0008-0000-0300-00009D331600}"/>
            </a:ext>
          </a:extLst>
        </xdr:cNvPr>
        <xdr:cNvSpPr>
          <a:spLocks noChangeShapeType="1"/>
        </xdr:cNvSpPr>
      </xdr:nvSpPr>
      <xdr:spPr bwMode="auto">
        <a:xfrm>
          <a:off x="609600" y="78085950"/>
          <a:ext cx="733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1133475</xdr:colOff>
      <xdr:row>319</xdr:row>
      <xdr:rowOff>285750</xdr:rowOff>
    </xdr:from>
    <xdr:to>
      <xdr:col>1</xdr:col>
      <xdr:colOff>1133475</xdr:colOff>
      <xdr:row>324</xdr:row>
      <xdr:rowOff>161925</xdr:rowOff>
    </xdr:to>
    <xdr:sp macro="" textlink="">
      <xdr:nvSpPr>
        <xdr:cNvPr id="1455006" name="Line 70">
          <a:extLst>
            <a:ext uri="{FF2B5EF4-FFF2-40B4-BE49-F238E27FC236}">
              <a16:creationId xmlns:a16="http://schemas.microsoft.com/office/drawing/2014/main" id="{00000000-0008-0000-0300-00009E331600}"/>
            </a:ext>
          </a:extLst>
        </xdr:cNvPr>
        <xdr:cNvSpPr>
          <a:spLocks noChangeShapeType="1"/>
        </xdr:cNvSpPr>
      </xdr:nvSpPr>
      <xdr:spPr bwMode="auto">
        <a:xfrm>
          <a:off x="1552575" y="77504925"/>
          <a:ext cx="0" cy="9620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219075</xdr:colOff>
      <xdr:row>324</xdr:row>
      <xdr:rowOff>85725</xdr:rowOff>
    </xdr:from>
    <xdr:to>
      <xdr:col>1</xdr:col>
      <xdr:colOff>133350</xdr:colOff>
      <xdr:row>324</xdr:row>
      <xdr:rowOff>85725</xdr:rowOff>
    </xdr:to>
    <xdr:sp macro="" textlink="">
      <xdr:nvSpPr>
        <xdr:cNvPr id="1455007" name="Line 71">
          <a:extLst>
            <a:ext uri="{FF2B5EF4-FFF2-40B4-BE49-F238E27FC236}">
              <a16:creationId xmlns:a16="http://schemas.microsoft.com/office/drawing/2014/main" id="{00000000-0008-0000-0300-00009F331600}"/>
            </a:ext>
          </a:extLst>
        </xdr:cNvPr>
        <xdr:cNvSpPr>
          <a:spLocks noChangeShapeType="1"/>
        </xdr:cNvSpPr>
      </xdr:nvSpPr>
      <xdr:spPr bwMode="auto">
        <a:xfrm>
          <a:off x="219075" y="7839075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219075</xdr:colOff>
      <xdr:row>324</xdr:row>
      <xdr:rowOff>95250</xdr:rowOff>
    </xdr:from>
    <xdr:to>
      <xdr:col>1</xdr:col>
      <xdr:colOff>485775</xdr:colOff>
      <xdr:row>324</xdr:row>
      <xdr:rowOff>95250</xdr:rowOff>
    </xdr:to>
    <xdr:sp macro="" textlink="">
      <xdr:nvSpPr>
        <xdr:cNvPr id="1455008" name="Line 72">
          <a:extLst>
            <a:ext uri="{FF2B5EF4-FFF2-40B4-BE49-F238E27FC236}">
              <a16:creationId xmlns:a16="http://schemas.microsoft.com/office/drawing/2014/main" id="{00000000-0008-0000-0300-0000A0331600}"/>
            </a:ext>
          </a:extLst>
        </xdr:cNvPr>
        <xdr:cNvSpPr>
          <a:spLocks noChangeShapeType="1"/>
        </xdr:cNvSpPr>
      </xdr:nvSpPr>
      <xdr:spPr bwMode="auto">
        <a:xfrm flipH="1">
          <a:off x="638175" y="78400275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192</xdr:row>
      <xdr:rowOff>123825</xdr:rowOff>
    </xdr:from>
    <xdr:to>
      <xdr:col>4</xdr:col>
      <xdr:colOff>971550</xdr:colOff>
      <xdr:row>194</xdr:row>
      <xdr:rowOff>114300</xdr:rowOff>
    </xdr:to>
    <xdr:sp macro="" textlink="">
      <xdr:nvSpPr>
        <xdr:cNvPr id="1455009" name="Line 186">
          <a:extLst>
            <a:ext uri="{FF2B5EF4-FFF2-40B4-BE49-F238E27FC236}">
              <a16:creationId xmlns:a16="http://schemas.microsoft.com/office/drawing/2014/main" id="{00000000-0008-0000-0300-0000A1331600}"/>
            </a:ext>
          </a:extLst>
        </xdr:cNvPr>
        <xdr:cNvSpPr>
          <a:spLocks noChangeShapeType="1"/>
        </xdr:cNvSpPr>
      </xdr:nvSpPr>
      <xdr:spPr bwMode="auto">
        <a:xfrm flipV="1">
          <a:off x="3857625" y="43900725"/>
          <a:ext cx="1304925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194</xdr:row>
      <xdr:rowOff>200025</xdr:rowOff>
    </xdr:from>
    <xdr:to>
      <xdr:col>3</xdr:col>
      <xdr:colOff>1162050</xdr:colOff>
      <xdr:row>195</xdr:row>
      <xdr:rowOff>0</xdr:rowOff>
    </xdr:to>
    <xdr:sp macro="" textlink="">
      <xdr:nvSpPr>
        <xdr:cNvPr id="1455010" name="Line 203">
          <a:extLst>
            <a:ext uri="{FF2B5EF4-FFF2-40B4-BE49-F238E27FC236}">
              <a16:creationId xmlns:a16="http://schemas.microsoft.com/office/drawing/2014/main" id="{00000000-0008-0000-0300-0000A2331600}"/>
            </a:ext>
          </a:extLst>
        </xdr:cNvPr>
        <xdr:cNvSpPr>
          <a:spLocks noChangeShapeType="1"/>
        </xdr:cNvSpPr>
      </xdr:nvSpPr>
      <xdr:spPr bwMode="auto">
        <a:xfrm flipV="1">
          <a:off x="3333750" y="44376975"/>
          <a:ext cx="847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194</xdr:row>
      <xdr:rowOff>19050</xdr:rowOff>
    </xdr:from>
    <xdr:to>
      <xdr:col>4</xdr:col>
      <xdr:colOff>400050</xdr:colOff>
      <xdr:row>195</xdr:row>
      <xdr:rowOff>152629</xdr:rowOff>
    </xdr:to>
    <xdr:cxnSp macro="">
      <xdr:nvCxnSpPr>
        <xdr:cNvPr id="2" name="Straight Arrow Connector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4038600" y="6486525"/>
          <a:ext cx="0" cy="32385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193</xdr:row>
      <xdr:rowOff>152400</xdr:rowOff>
    </xdr:from>
    <xdr:to>
      <xdr:col>4</xdr:col>
      <xdr:colOff>609600</xdr:colOff>
      <xdr:row>195</xdr:row>
      <xdr:rowOff>104775</xdr:rowOff>
    </xdr:to>
    <xdr:sp macro="" textlink="">
      <xdr:nvSpPr>
        <xdr:cNvPr id="1455012" name="Line 118">
          <a:extLst>
            <a:ext uri="{FF2B5EF4-FFF2-40B4-BE49-F238E27FC236}">
              <a16:creationId xmlns:a16="http://schemas.microsoft.com/office/drawing/2014/main" id="{00000000-0008-0000-0300-0000A4331600}"/>
            </a:ext>
          </a:extLst>
        </xdr:cNvPr>
        <xdr:cNvSpPr>
          <a:spLocks noChangeShapeType="1"/>
        </xdr:cNvSpPr>
      </xdr:nvSpPr>
      <xdr:spPr bwMode="auto">
        <a:xfrm flipH="1" flipV="1">
          <a:off x="4800600" y="44129325"/>
          <a:ext cx="0" cy="35242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416111</xdr:colOff>
      <xdr:row>179</xdr:row>
      <xdr:rowOff>326652</xdr:rowOff>
    </xdr:from>
    <xdr:to>
      <xdr:col>4</xdr:col>
      <xdr:colOff>416111</xdr:colOff>
      <xdr:row>181</xdr:row>
      <xdr:rowOff>12841</xdr:rowOff>
    </xdr:to>
    <xdr:cxnSp macro="">
      <xdr:nvCxnSpPr>
        <xdr:cNvPr id="5" name="Straight Arrow Connector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4146176" y="2767853"/>
          <a:ext cx="0" cy="36979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373</xdr:row>
      <xdr:rowOff>85725</xdr:rowOff>
    </xdr:from>
    <xdr:to>
      <xdr:col>4</xdr:col>
      <xdr:colOff>0</xdr:colOff>
      <xdr:row>376</xdr:row>
      <xdr:rowOff>0</xdr:rowOff>
    </xdr:to>
    <xdr:grpSp>
      <xdr:nvGrpSpPr>
        <xdr:cNvPr id="1455014" name="Group 458">
          <a:extLst>
            <a:ext uri="{FF2B5EF4-FFF2-40B4-BE49-F238E27FC236}">
              <a16:creationId xmlns:a16="http://schemas.microsoft.com/office/drawing/2014/main" id="{00000000-0008-0000-0300-0000A6331600}"/>
            </a:ext>
          </a:extLst>
        </xdr:cNvPr>
        <xdr:cNvGrpSpPr>
          <a:grpSpLocks/>
        </xdr:cNvGrpSpPr>
      </xdr:nvGrpSpPr>
      <xdr:grpSpPr bwMode="auto">
        <a:xfrm>
          <a:off x="3135086" y="89589429"/>
          <a:ext cx="1055914" cy="0"/>
          <a:chOff x="6546850" y="3419475"/>
          <a:chExt cx="1695450" cy="1631950"/>
        </a:xfrm>
      </xdr:grpSpPr>
      <xdr:sp macro="" textlink="">
        <xdr:nvSpPr>
          <xdr:cNvPr id="1456265" name="Rectangle 132">
            <a:extLst>
              <a:ext uri="{FF2B5EF4-FFF2-40B4-BE49-F238E27FC236}">
                <a16:creationId xmlns:a16="http://schemas.microsoft.com/office/drawing/2014/main" id="{00000000-0008-0000-0300-000089381600}"/>
              </a:ext>
            </a:extLst>
          </xdr:cNvPr>
          <xdr:cNvSpPr>
            <a:spLocks noChangeArrowheads="1"/>
          </xdr:cNvSpPr>
        </xdr:nvSpPr>
        <xdr:spPr bwMode="auto">
          <a:xfrm>
            <a:off x="6572250" y="3419475"/>
            <a:ext cx="1085850" cy="16319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66" name="Line 133">
            <a:extLst>
              <a:ext uri="{FF2B5EF4-FFF2-40B4-BE49-F238E27FC236}">
                <a16:creationId xmlns:a16="http://schemas.microsoft.com/office/drawing/2014/main" id="{00000000-0008-0000-0300-00008A381600}"/>
              </a:ext>
            </a:extLst>
          </xdr:cNvPr>
          <xdr:cNvSpPr>
            <a:spLocks noChangeShapeType="1"/>
          </xdr:cNvSpPr>
        </xdr:nvSpPr>
        <xdr:spPr bwMode="auto">
          <a:xfrm>
            <a:off x="6578600" y="4962525"/>
            <a:ext cx="1663700" cy="0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7" name="Line 134">
            <a:extLst>
              <a:ext uri="{FF2B5EF4-FFF2-40B4-BE49-F238E27FC236}">
                <a16:creationId xmlns:a16="http://schemas.microsoft.com/office/drawing/2014/main" id="{00000000-0008-0000-0300-00008B381600}"/>
              </a:ext>
            </a:extLst>
          </xdr:cNvPr>
          <xdr:cNvSpPr>
            <a:spLocks noChangeShapeType="1"/>
          </xdr:cNvSpPr>
        </xdr:nvSpPr>
        <xdr:spPr bwMode="auto">
          <a:xfrm>
            <a:off x="6546850" y="3654425"/>
            <a:ext cx="1606550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8" name="AutoShape 135">
            <a:extLst>
              <a:ext uri="{FF2B5EF4-FFF2-40B4-BE49-F238E27FC236}">
                <a16:creationId xmlns:a16="http://schemas.microsoft.com/office/drawing/2014/main" id="{00000000-0008-0000-0300-00008C381600}"/>
              </a:ext>
            </a:extLst>
          </xdr:cNvPr>
          <xdr:cNvSpPr>
            <a:spLocks noChangeArrowheads="1"/>
          </xdr:cNvSpPr>
        </xdr:nvSpPr>
        <xdr:spPr bwMode="auto">
          <a:xfrm rot="8602188">
            <a:off x="6775450" y="3978275"/>
            <a:ext cx="349250" cy="508000"/>
          </a:xfrm>
          <a:prstGeom prst="curvedRightArrow">
            <a:avLst>
              <a:gd name="adj1" fmla="val 112034"/>
              <a:gd name="adj2" fmla="val 17569"/>
              <a:gd name="adj3" fmla="val 33333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0</xdr:colOff>
      <xdr:row>1035</xdr:row>
      <xdr:rowOff>0</xdr:rowOff>
    </xdr:from>
    <xdr:to>
      <xdr:col>7</xdr:col>
      <xdr:colOff>0</xdr:colOff>
      <xdr:row>1035</xdr:row>
      <xdr:rowOff>0</xdr:rowOff>
    </xdr:to>
    <xdr:sp macro="" textlink="">
      <xdr:nvSpPr>
        <xdr:cNvPr id="1455015" name="Line 58">
          <a:extLst>
            <a:ext uri="{FF2B5EF4-FFF2-40B4-BE49-F238E27FC236}">
              <a16:creationId xmlns:a16="http://schemas.microsoft.com/office/drawing/2014/main" id="{00000000-0008-0000-0300-0000A7331600}"/>
            </a:ext>
          </a:extLst>
        </xdr:cNvPr>
        <xdr:cNvSpPr>
          <a:spLocks noChangeShapeType="1"/>
        </xdr:cNvSpPr>
      </xdr:nvSpPr>
      <xdr:spPr bwMode="auto">
        <a:xfrm>
          <a:off x="7629525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400050</xdr:colOff>
      <xdr:row>1035</xdr:row>
      <xdr:rowOff>0</xdr:rowOff>
    </xdr:from>
    <xdr:to>
      <xdr:col>6</xdr:col>
      <xdr:colOff>361950</xdr:colOff>
      <xdr:row>1035</xdr:row>
      <xdr:rowOff>0</xdr:rowOff>
    </xdr:to>
    <xdr:sp macro="" textlink="">
      <xdr:nvSpPr>
        <xdr:cNvPr id="1455016" name="Line 103">
          <a:extLst>
            <a:ext uri="{FF2B5EF4-FFF2-40B4-BE49-F238E27FC236}">
              <a16:creationId xmlns:a16="http://schemas.microsoft.com/office/drawing/2014/main" id="{00000000-0008-0000-0300-0000A8331600}"/>
            </a:ext>
          </a:extLst>
        </xdr:cNvPr>
        <xdr:cNvSpPr>
          <a:spLocks noChangeShapeType="1"/>
        </xdr:cNvSpPr>
      </xdr:nvSpPr>
      <xdr:spPr bwMode="auto">
        <a:xfrm>
          <a:off x="7429500" y="2177415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97</xdr:row>
      <xdr:rowOff>123825</xdr:rowOff>
    </xdr:from>
    <xdr:to>
      <xdr:col>3</xdr:col>
      <xdr:colOff>504825</xdr:colOff>
      <xdr:row>98</xdr:row>
      <xdr:rowOff>9525</xdr:rowOff>
    </xdr:to>
    <xdr:grpSp>
      <xdr:nvGrpSpPr>
        <xdr:cNvPr id="1455017" name="Group 110">
          <a:extLst>
            <a:ext uri="{FF2B5EF4-FFF2-40B4-BE49-F238E27FC236}">
              <a16:creationId xmlns:a16="http://schemas.microsoft.com/office/drawing/2014/main" id="{00000000-0008-0000-0300-0000A9331600}"/>
            </a:ext>
          </a:extLst>
        </xdr:cNvPr>
        <xdr:cNvGrpSpPr>
          <a:grpSpLocks/>
        </xdr:cNvGrpSpPr>
      </xdr:nvGrpSpPr>
      <xdr:grpSpPr bwMode="auto">
        <a:xfrm>
          <a:off x="3249386" y="21908861"/>
          <a:ext cx="276225" cy="89807"/>
          <a:chOff x="197" y="945"/>
          <a:chExt cx="29" cy="9"/>
        </a:xfrm>
      </xdr:grpSpPr>
      <xdr:sp macro="" textlink="">
        <xdr:nvSpPr>
          <xdr:cNvPr id="1456262" name="Line 107">
            <a:extLst>
              <a:ext uri="{FF2B5EF4-FFF2-40B4-BE49-F238E27FC236}">
                <a16:creationId xmlns:a16="http://schemas.microsoft.com/office/drawing/2014/main" id="{00000000-0008-0000-0300-000086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7" y="948"/>
            <a:ext cx="29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3" name="Line 108">
            <a:extLst>
              <a:ext uri="{FF2B5EF4-FFF2-40B4-BE49-F238E27FC236}">
                <a16:creationId xmlns:a16="http://schemas.microsoft.com/office/drawing/2014/main" id="{00000000-0008-0000-0300-000087381600}"/>
              </a:ext>
            </a:extLst>
          </xdr:cNvPr>
          <xdr:cNvSpPr>
            <a:spLocks noChangeShapeType="1"/>
          </xdr:cNvSpPr>
        </xdr:nvSpPr>
        <xdr:spPr bwMode="auto">
          <a:xfrm>
            <a:off x="223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4" name="Line 109">
            <a:extLst>
              <a:ext uri="{FF2B5EF4-FFF2-40B4-BE49-F238E27FC236}">
                <a16:creationId xmlns:a16="http://schemas.microsoft.com/office/drawing/2014/main" id="{00000000-0008-0000-0300-000088381600}"/>
              </a:ext>
            </a:extLst>
          </xdr:cNvPr>
          <xdr:cNvSpPr>
            <a:spLocks noChangeShapeType="1"/>
          </xdr:cNvSpPr>
        </xdr:nvSpPr>
        <xdr:spPr bwMode="auto">
          <a:xfrm>
            <a:off x="216" y="945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609600</xdr:colOff>
      <xdr:row>78</xdr:row>
      <xdr:rowOff>152400</xdr:rowOff>
    </xdr:from>
    <xdr:to>
      <xdr:col>5</xdr:col>
      <xdr:colOff>609600</xdr:colOff>
      <xdr:row>80</xdr:row>
      <xdr:rowOff>104775</xdr:rowOff>
    </xdr:to>
    <xdr:sp macro="" textlink="">
      <xdr:nvSpPr>
        <xdr:cNvPr id="1455018" name="Line 118">
          <a:extLst>
            <a:ext uri="{FF2B5EF4-FFF2-40B4-BE49-F238E27FC236}">
              <a16:creationId xmlns:a16="http://schemas.microsoft.com/office/drawing/2014/main" id="{00000000-0008-0000-0300-0000AA331600}"/>
            </a:ext>
          </a:extLst>
        </xdr:cNvPr>
        <xdr:cNvSpPr>
          <a:spLocks noChangeShapeType="1"/>
        </xdr:cNvSpPr>
      </xdr:nvSpPr>
      <xdr:spPr bwMode="auto">
        <a:xfrm flipH="1" flipV="1">
          <a:off x="6743700" y="17916525"/>
          <a:ext cx="0" cy="361950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80</xdr:row>
      <xdr:rowOff>95250</xdr:rowOff>
    </xdr:from>
    <xdr:to>
      <xdr:col>6</xdr:col>
      <xdr:colOff>85725</xdr:colOff>
      <xdr:row>80</xdr:row>
      <xdr:rowOff>95250</xdr:rowOff>
    </xdr:to>
    <xdr:sp macro="" textlink="">
      <xdr:nvSpPr>
        <xdr:cNvPr id="1455019" name="Line 145">
          <a:extLst>
            <a:ext uri="{FF2B5EF4-FFF2-40B4-BE49-F238E27FC236}">
              <a16:creationId xmlns:a16="http://schemas.microsoft.com/office/drawing/2014/main" id="{00000000-0008-0000-0300-0000AB331600}"/>
            </a:ext>
          </a:extLst>
        </xdr:cNvPr>
        <xdr:cNvSpPr>
          <a:spLocks noChangeShapeType="1"/>
        </xdr:cNvSpPr>
      </xdr:nvSpPr>
      <xdr:spPr bwMode="auto">
        <a:xfrm>
          <a:off x="2400300" y="18268950"/>
          <a:ext cx="471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78</xdr:row>
      <xdr:rowOff>114300</xdr:rowOff>
    </xdr:from>
    <xdr:to>
      <xdr:col>4</xdr:col>
      <xdr:colOff>95250</xdr:colOff>
      <xdr:row>82</xdr:row>
      <xdr:rowOff>76200</xdr:rowOff>
    </xdr:to>
    <xdr:sp macro="" textlink="">
      <xdr:nvSpPr>
        <xdr:cNvPr id="1455020" name="Line 146">
          <a:extLst>
            <a:ext uri="{FF2B5EF4-FFF2-40B4-BE49-F238E27FC236}">
              <a16:creationId xmlns:a16="http://schemas.microsoft.com/office/drawing/2014/main" id="{00000000-0008-0000-0300-0000AC331600}"/>
            </a:ext>
          </a:extLst>
        </xdr:cNvPr>
        <xdr:cNvSpPr>
          <a:spLocks noChangeShapeType="1"/>
        </xdr:cNvSpPr>
      </xdr:nvSpPr>
      <xdr:spPr bwMode="auto">
        <a:xfrm>
          <a:off x="4286250" y="17878425"/>
          <a:ext cx="0" cy="847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933450</xdr:colOff>
      <xdr:row>78</xdr:row>
      <xdr:rowOff>28575</xdr:rowOff>
    </xdr:from>
    <xdr:to>
      <xdr:col>4</xdr:col>
      <xdr:colOff>142875</xdr:colOff>
      <xdr:row>79</xdr:row>
      <xdr:rowOff>57150</xdr:rowOff>
    </xdr:to>
    <xdr:sp macro="" textlink="">
      <xdr:nvSpPr>
        <xdr:cNvPr id="1455021" name="Arc 148">
          <a:extLst>
            <a:ext uri="{FF2B5EF4-FFF2-40B4-BE49-F238E27FC236}">
              <a16:creationId xmlns:a16="http://schemas.microsoft.com/office/drawing/2014/main" id="{00000000-0008-0000-0300-0000AD331600}"/>
            </a:ext>
          </a:extLst>
        </xdr:cNvPr>
        <xdr:cNvSpPr>
          <a:spLocks/>
        </xdr:cNvSpPr>
      </xdr:nvSpPr>
      <xdr:spPr bwMode="auto">
        <a:xfrm rot="17069387" flipH="1">
          <a:off x="4029075" y="17716500"/>
          <a:ext cx="228600" cy="381000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79</xdr:row>
      <xdr:rowOff>104775</xdr:rowOff>
    </xdr:from>
    <xdr:to>
      <xdr:col>3</xdr:col>
      <xdr:colOff>228600</xdr:colOff>
      <xdr:row>80</xdr:row>
      <xdr:rowOff>38100</xdr:rowOff>
    </xdr:to>
    <xdr:sp macro="" textlink="">
      <xdr:nvSpPr>
        <xdr:cNvPr id="1455022" name="Arc 149">
          <a:extLst>
            <a:ext uri="{FF2B5EF4-FFF2-40B4-BE49-F238E27FC236}">
              <a16:creationId xmlns:a16="http://schemas.microsoft.com/office/drawing/2014/main" id="{00000000-0008-0000-0300-0000AE331600}"/>
            </a:ext>
          </a:extLst>
        </xdr:cNvPr>
        <xdr:cNvSpPr>
          <a:spLocks/>
        </xdr:cNvSpPr>
      </xdr:nvSpPr>
      <xdr:spPr bwMode="auto">
        <a:xfrm rot="2094536">
          <a:off x="2514600" y="18068925"/>
          <a:ext cx="733425" cy="142875"/>
        </a:xfrm>
        <a:custGeom>
          <a:avLst/>
          <a:gdLst>
            <a:gd name="T0" fmla="*/ 0 w 35614"/>
            <a:gd name="T1" fmla="*/ 2147483646 h 21600"/>
            <a:gd name="T2" fmla="*/ 2147483646 w 35614"/>
            <a:gd name="T3" fmla="*/ 2147483646 h 21600"/>
            <a:gd name="T4" fmla="*/ 2147483646 w 35614"/>
            <a:gd name="T5" fmla="*/ 2147483646 h 21600"/>
            <a:gd name="T6" fmla="*/ 0 60000 65536"/>
            <a:gd name="T7" fmla="*/ 0 60000 65536"/>
            <a:gd name="T8" fmla="*/ 0 60000 65536"/>
            <a:gd name="T9" fmla="*/ 0 w 35614"/>
            <a:gd name="T10" fmla="*/ 0 h 21600"/>
            <a:gd name="T11" fmla="*/ 35614 w 35614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614" h="21600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</a:path>
            <a:path w="35614" h="21600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4883" y="0"/>
                <a:pt x="33910" y="7674"/>
                <a:pt x="35613" y="18125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152400</xdr:colOff>
      <xdr:row>90</xdr:row>
      <xdr:rowOff>142875</xdr:rowOff>
    </xdr:from>
    <xdr:to>
      <xdr:col>2</xdr:col>
      <xdr:colOff>152400</xdr:colOff>
      <xdr:row>94</xdr:row>
      <xdr:rowOff>19050</xdr:rowOff>
    </xdr:to>
    <xdr:sp macro="" textlink="">
      <xdr:nvSpPr>
        <xdr:cNvPr id="1455023" name="Line 90">
          <a:extLst>
            <a:ext uri="{FF2B5EF4-FFF2-40B4-BE49-F238E27FC236}">
              <a16:creationId xmlns:a16="http://schemas.microsoft.com/office/drawing/2014/main" id="{00000000-0008-0000-0300-0000AF331600}"/>
            </a:ext>
          </a:extLst>
        </xdr:cNvPr>
        <xdr:cNvSpPr>
          <a:spLocks noChangeShapeType="1"/>
        </xdr:cNvSpPr>
      </xdr:nvSpPr>
      <xdr:spPr bwMode="auto">
        <a:xfrm>
          <a:off x="2057400" y="20412075"/>
          <a:ext cx="0" cy="6762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92</xdr:row>
      <xdr:rowOff>152400</xdr:rowOff>
    </xdr:from>
    <xdr:to>
      <xdr:col>4</xdr:col>
      <xdr:colOff>85725</xdr:colOff>
      <xdr:row>94</xdr:row>
      <xdr:rowOff>9525</xdr:rowOff>
    </xdr:to>
    <xdr:sp macro="" textlink="">
      <xdr:nvSpPr>
        <xdr:cNvPr id="1455024" name="Line 91">
          <a:extLst>
            <a:ext uri="{FF2B5EF4-FFF2-40B4-BE49-F238E27FC236}">
              <a16:creationId xmlns:a16="http://schemas.microsoft.com/office/drawing/2014/main" id="{00000000-0008-0000-0300-0000B0331600}"/>
            </a:ext>
          </a:extLst>
        </xdr:cNvPr>
        <xdr:cNvSpPr>
          <a:spLocks noChangeShapeType="1"/>
        </xdr:cNvSpPr>
      </xdr:nvSpPr>
      <xdr:spPr bwMode="auto">
        <a:xfrm>
          <a:off x="4276725" y="20821650"/>
          <a:ext cx="0" cy="257175"/>
        </a:xfrm>
        <a:prstGeom prst="line">
          <a:avLst/>
        </a:prstGeom>
        <a:noFill/>
        <a:ln w="6350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80</xdr:row>
      <xdr:rowOff>200025</xdr:rowOff>
    </xdr:from>
    <xdr:to>
      <xdr:col>5</xdr:col>
      <xdr:colOff>190500</xdr:colOff>
      <xdr:row>93</xdr:row>
      <xdr:rowOff>190500</xdr:rowOff>
    </xdr:to>
    <xdr:sp macro="" textlink="">
      <xdr:nvSpPr>
        <xdr:cNvPr id="1455025" name="Line 105">
          <a:extLst>
            <a:ext uri="{FF2B5EF4-FFF2-40B4-BE49-F238E27FC236}">
              <a16:creationId xmlns:a16="http://schemas.microsoft.com/office/drawing/2014/main" id="{00000000-0008-0000-0300-0000B1331600}"/>
            </a:ext>
          </a:extLst>
        </xdr:cNvPr>
        <xdr:cNvSpPr>
          <a:spLocks noChangeShapeType="1"/>
        </xdr:cNvSpPr>
      </xdr:nvSpPr>
      <xdr:spPr bwMode="auto">
        <a:xfrm flipV="1">
          <a:off x="6324600" y="18373725"/>
          <a:ext cx="0" cy="2686050"/>
        </a:xfrm>
        <a:prstGeom prst="line">
          <a:avLst/>
        </a:prstGeom>
        <a:noFill/>
        <a:ln w="317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92</xdr:row>
      <xdr:rowOff>47625</xdr:rowOff>
    </xdr:from>
    <xdr:to>
      <xdr:col>3</xdr:col>
      <xdr:colOff>523875</xdr:colOff>
      <xdr:row>92</xdr:row>
      <xdr:rowOff>161925</xdr:rowOff>
    </xdr:to>
    <xdr:sp macro="" textlink="">
      <xdr:nvSpPr>
        <xdr:cNvPr id="1455026" name="Rectangle 10">
          <a:extLst>
            <a:ext uri="{FF2B5EF4-FFF2-40B4-BE49-F238E27FC236}">
              <a16:creationId xmlns:a16="http://schemas.microsoft.com/office/drawing/2014/main" id="{00000000-0008-0000-0300-0000B2331600}"/>
            </a:ext>
          </a:extLst>
        </xdr:cNvPr>
        <xdr:cNvSpPr>
          <a:spLocks noChangeArrowheads="1"/>
        </xdr:cNvSpPr>
      </xdr:nvSpPr>
      <xdr:spPr bwMode="auto">
        <a:xfrm rot="1869843" flipV="1">
          <a:off x="2143125" y="20716875"/>
          <a:ext cx="1400175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371475</xdr:colOff>
      <xdr:row>93</xdr:row>
      <xdr:rowOff>0</xdr:rowOff>
    </xdr:from>
    <xdr:to>
      <xdr:col>4</xdr:col>
      <xdr:colOff>57150</xdr:colOff>
      <xdr:row>94</xdr:row>
      <xdr:rowOff>57150</xdr:rowOff>
    </xdr:to>
    <xdr:sp macro="" textlink="">
      <xdr:nvSpPr>
        <xdr:cNvPr id="1455027" name="Freeform 80">
          <a:extLst>
            <a:ext uri="{FF2B5EF4-FFF2-40B4-BE49-F238E27FC236}">
              <a16:creationId xmlns:a16="http://schemas.microsoft.com/office/drawing/2014/main" id="{00000000-0008-0000-0300-0000B3331600}"/>
            </a:ext>
          </a:extLst>
        </xdr:cNvPr>
        <xdr:cNvSpPr>
          <a:spLocks/>
        </xdr:cNvSpPr>
      </xdr:nvSpPr>
      <xdr:spPr bwMode="auto">
        <a:xfrm rot="-377411">
          <a:off x="3390900" y="20869275"/>
          <a:ext cx="857250" cy="257175"/>
        </a:xfrm>
        <a:custGeom>
          <a:avLst/>
          <a:gdLst>
            <a:gd name="T0" fmla="*/ 2147483646 w 161"/>
            <a:gd name="T1" fmla="*/ 2147483646 h 34"/>
            <a:gd name="T2" fmla="*/ 2147483646 w 161"/>
            <a:gd name="T3" fmla="*/ 2147483646 h 34"/>
            <a:gd name="T4" fmla="*/ 2147483646 w 161"/>
            <a:gd name="T5" fmla="*/ 2147483646 h 34"/>
            <a:gd name="T6" fmla="*/ 2147483646 w 161"/>
            <a:gd name="T7" fmla="*/ 2147483646 h 34"/>
            <a:gd name="T8" fmla="*/ 2147483646 w 161"/>
            <a:gd name="T9" fmla="*/ 2147483646 h 34"/>
            <a:gd name="T10" fmla="*/ 2147483646 w 161"/>
            <a:gd name="T11" fmla="*/ 2147483646 h 34"/>
            <a:gd name="T12" fmla="*/ 2147483646 w 161"/>
            <a:gd name="T13" fmla="*/ 2147483646 h 34"/>
            <a:gd name="T14" fmla="*/ 2147483646 w 161"/>
            <a:gd name="T15" fmla="*/ 2147483646 h 34"/>
            <a:gd name="T16" fmla="*/ 2147483646 w 161"/>
            <a:gd name="T17" fmla="*/ 0 h 34"/>
            <a:gd name="T18" fmla="*/ 2147483646 w 161"/>
            <a:gd name="T19" fmla="*/ 2147483646 h 34"/>
            <a:gd name="T20" fmla="*/ 2147483646 w 161"/>
            <a:gd name="T21" fmla="*/ 2147483646 h 34"/>
            <a:gd name="T22" fmla="*/ 2147483646 w 161"/>
            <a:gd name="T23" fmla="*/ 2147483646 h 34"/>
            <a:gd name="T24" fmla="*/ 2147483646 w 161"/>
            <a:gd name="T25" fmla="*/ 2147483646 h 34"/>
            <a:gd name="T26" fmla="*/ 2147483646 w 161"/>
            <a:gd name="T27" fmla="*/ 2147483646 h 34"/>
            <a:gd name="T28" fmla="*/ 2147483646 w 161"/>
            <a:gd name="T29" fmla="*/ 2147483646 h 34"/>
            <a:gd name="T30" fmla="*/ 0 w 161"/>
            <a:gd name="T31" fmla="*/ 2147483646 h 34"/>
            <a:gd name="T32" fmla="*/ 2147483646 w 161"/>
            <a:gd name="T33" fmla="*/ 2147483646 h 3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1"/>
            <a:gd name="T52" fmla="*/ 0 h 34"/>
            <a:gd name="T53" fmla="*/ 161 w 161"/>
            <a:gd name="T54" fmla="*/ 34 h 3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1" h="34">
              <a:moveTo>
                <a:pt x="1" y="34"/>
              </a:moveTo>
              <a:lnTo>
                <a:pt x="32" y="25"/>
              </a:lnTo>
              <a:lnTo>
                <a:pt x="58" y="19"/>
              </a:lnTo>
              <a:lnTo>
                <a:pt x="80" y="15"/>
              </a:lnTo>
              <a:lnTo>
                <a:pt x="104" y="11"/>
              </a:lnTo>
              <a:lnTo>
                <a:pt x="127" y="9"/>
              </a:lnTo>
              <a:lnTo>
                <a:pt x="144" y="8"/>
              </a:lnTo>
              <a:lnTo>
                <a:pt x="161" y="8"/>
              </a:lnTo>
              <a:lnTo>
                <a:pt x="161" y="0"/>
              </a:lnTo>
              <a:lnTo>
                <a:pt x="137" y="1"/>
              </a:lnTo>
              <a:lnTo>
                <a:pt x="119" y="2"/>
              </a:lnTo>
              <a:lnTo>
                <a:pt x="102" y="3"/>
              </a:lnTo>
              <a:lnTo>
                <a:pt x="71" y="8"/>
              </a:lnTo>
              <a:lnTo>
                <a:pt x="47" y="13"/>
              </a:lnTo>
              <a:lnTo>
                <a:pt x="17" y="20"/>
              </a:lnTo>
              <a:lnTo>
                <a:pt x="0" y="26"/>
              </a:lnTo>
              <a:lnTo>
                <a:pt x="1" y="34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323850</xdr:colOff>
      <xdr:row>80</xdr:row>
      <xdr:rowOff>180975</xdr:rowOff>
    </xdr:from>
    <xdr:to>
      <xdr:col>2</xdr:col>
      <xdr:colOff>419100</xdr:colOff>
      <xdr:row>90</xdr:row>
      <xdr:rowOff>190500</xdr:rowOff>
    </xdr:to>
    <xdr:sp macro="" textlink="">
      <xdr:nvSpPr>
        <xdr:cNvPr id="1455028" name="AutoShape 12">
          <a:extLst>
            <a:ext uri="{FF2B5EF4-FFF2-40B4-BE49-F238E27FC236}">
              <a16:creationId xmlns:a16="http://schemas.microsoft.com/office/drawing/2014/main" id="{00000000-0008-0000-0300-0000B4331600}"/>
            </a:ext>
          </a:extLst>
        </xdr:cNvPr>
        <xdr:cNvSpPr>
          <a:spLocks noChangeArrowheads="1"/>
        </xdr:cNvSpPr>
      </xdr:nvSpPr>
      <xdr:spPr bwMode="auto">
        <a:xfrm rot="103403" flipV="1">
          <a:off x="2228850" y="18354675"/>
          <a:ext cx="95250" cy="2105025"/>
        </a:xfrm>
        <a:prstGeom prst="flowChartManualOperation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361950</xdr:colOff>
      <xdr:row>80</xdr:row>
      <xdr:rowOff>66675</xdr:rowOff>
    </xdr:from>
    <xdr:to>
      <xdr:col>2</xdr:col>
      <xdr:colOff>514350</xdr:colOff>
      <xdr:row>80</xdr:row>
      <xdr:rowOff>200025</xdr:rowOff>
    </xdr:to>
    <xdr:sp macro="" textlink="">
      <xdr:nvSpPr>
        <xdr:cNvPr id="1455029" name="Rectangle 4">
          <a:extLst>
            <a:ext uri="{FF2B5EF4-FFF2-40B4-BE49-F238E27FC236}">
              <a16:creationId xmlns:a16="http://schemas.microsoft.com/office/drawing/2014/main" id="{00000000-0008-0000-0300-0000B5331600}"/>
            </a:ext>
          </a:extLst>
        </xdr:cNvPr>
        <xdr:cNvSpPr>
          <a:spLocks noChangeArrowheads="1"/>
        </xdr:cNvSpPr>
      </xdr:nvSpPr>
      <xdr:spPr bwMode="auto">
        <a:xfrm>
          <a:off x="2266950" y="18240375"/>
          <a:ext cx="152400" cy="1333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90</xdr:row>
      <xdr:rowOff>85725</xdr:rowOff>
    </xdr:from>
    <xdr:to>
      <xdr:col>2</xdr:col>
      <xdr:colOff>400050</xdr:colOff>
      <xdr:row>91</xdr:row>
      <xdr:rowOff>0</xdr:rowOff>
    </xdr:to>
    <xdr:sp macro="" textlink="">
      <xdr:nvSpPr>
        <xdr:cNvPr id="1455030" name="Rectangle 81">
          <a:extLst>
            <a:ext uri="{FF2B5EF4-FFF2-40B4-BE49-F238E27FC236}">
              <a16:creationId xmlns:a16="http://schemas.microsoft.com/office/drawing/2014/main" id="{00000000-0008-0000-0300-0000B6331600}"/>
            </a:ext>
          </a:extLst>
        </xdr:cNvPr>
        <xdr:cNvSpPr>
          <a:spLocks noChangeArrowheads="1"/>
        </xdr:cNvSpPr>
      </xdr:nvSpPr>
      <xdr:spPr bwMode="auto">
        <a:xfrm>
          <a:off x="2095500" y="20354925"/>
          <a:ext cx="209550" cy="1143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381000</xdr:colOff>
      <xdr:row>93</xdr:row>
      <xdr:rowOff>152400</xdr:rowOff>
    </xdr:from>
    <xdr:to>
      <xdr:col>3</xdr:col>
      <xdr:colOff>476250</xdr:colOff>
      <xdr:row>94</xdr:row>
      <xdr:rowOff>200025</xdr:rowOff>
    </xdr:to>
    <xdr:sp macro="" textlink="">
      <xdr:nvSpPr>
        <xdr:cNvPr id="1455031" name="Rectangle 82">
          <a:extLst>
            <a:ext uri="{FF2B5EF4-FFF2-40B4-BE49-F238E27FC236}">
              <a16:creationId xmlns:a16="http://schemas.microsoft.com/office/drawing/2014/main" id="{00000000-0008-0000-0300-0000B7331600}"/>
            </a:ext>
          </a:extLst>
        </xdr:cNvPr>
        <xdr:cNvSpPr>
          <a:spLocks noChangeArrowheads="1"/>
        </xdr:cNvSpPr>
      </xdr:nvSpPr>
      <xdr:spPr bwMode="auto">
        <a:xfrm>
          <a:off x="3400425" y="21021675"/>
          <a:ext cx="95250" cy="2476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123825</xdr:colOff>
      <xdr:row>80</xdr:row>
      <xdr:rowOff>219075</xdr:rowOff>
    </xdr:from>
    <xdr:to>
      <xdr:col>5</xdr:col>
      <xdr:colOff>190500</xdr:colOff>
      <xdr:row>81</xdr:row>
      <xdr:rowOff>133350</xdr:rowOff>
    </xdr:to>
    <xdr:grpSp>
      <xdr:nvGrpSpPr>
        <xdr:cNvPr id="1455032" name="Group 290">
          <a:extLst>
            <a:ext uri="{FF2B5EF4-FFF2-40B4-BE49-F238E27FC236}">
              <a16:creationId xmlns:a16="http://schemas.microsoft.com/office/drawing/2014/main" id="{00000000-0008-0000-0300-0000B8331600}"/>
            </a:ext>
          </a:extLst>
        </xdr:cNvPr>
        <xdr:cNvGrpSpPr>
          <a:grpSpLocks/>
        </xdr:cNvGrpSpPr>
      </xdr:nvGrpSpPr>
      <xdr:grpSpPr bwMode="auto">
        <a:xfrm>
          <a:off x="3144611" y="18371004"/>
          <a:ext cx="3182710" cy="186417"/>
          <a:chOff x="194" y="548"/>
          <a:chExt cx="173" cy="16"/>
        </a:xfrm>
      </xdr:grpSpPr>
      <xdr:sp macro="" textlink="">
        <xdr:nvSpPr>
          <xdr:cNvPr id="1456257" name="Line 95">
            <a:extLst>
              <a:ext uri="{FF2B5EF4-FFF2-40B4-BE49-F238E27FC236}">
                <a16:creationId xmlns:a16="http://schemas.microsoft.com/office/drawing/2014/main" id="{00000000-0008-0000-0300-000081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" y="548"/>
            <a:ext cx="17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8" name="Line 96">
            <a:extLst>
              <a:ext uri="{FF2B5EF4-FFF2-40B4-BE49-F238E27FC236}">
                <a16:creationId xmlns:a16="http://schemas.microsoft.com/office/drawing/2014/main" id="{00000000-0008-0000-0300-000082381600}"/>
              </a:ext>
            </a:extLst>
          </xdr:cNvPr>
          <xdr:cNvSpPr>
            <a:spLocks noChangeShapeType="1"/>
          </xdr:cNvSpPr>
        </xdr:nvSpPr>
        <xdr:spPr bwMode="auto">
          <a:xfrm>
            <a:off x="287" y="552"/>
            <a:ext cx="5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9" name="Line 97">
            <a:extLst>
              <a:ext uri="{FF2B5EF4-FFF2-40B4-BE49-F238E27FC236}">
                <a16:creationId xmlns:a16="http://schemas.microsoft.com/office/drawing/2014/main" id="{00000000-0008-0000-0300-000083381600}"/>
              </a:ext>
            </a:extLst>
          </xdr:cNvPr>
          <xdr:cNvSpPr>
            <a:spLocks noChangeShapeType="1"/>
          </xdr:cNvSpPr>
        </xdr:nvSpPr>
        <xdr:spPr bwMode="auto">
          <a:xfrm>
            <a:off x="304" y="556"/>
            <a:ext cx="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0" name="Line 98">
            <a:extLst>
              <a:ext uri="{FF2B5EF4-FFF2-40B4-BE49-F238E27FC236}">
                <a16:creationId xmlns:a16="http://schemas.microsoft.com/office/drawing/2014/main" id="{00000000-0008-0000-0300-000084381600}"/>
              </a:ext>
            </a:extLst>
          </xdr:cNvPr>
          <xdr:cNvSpPr>
            <a:spLocks noChangeShapeType="1"/>
          </xdr:cNvSpPr>
        </xdr:nvSpPr>
        <xdr:spPr bwMode="auto">
          <a:xfrm>
            <a:off x="314" y="560"/>
            <a:ext cx="1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61" name="Line 99">
            <a:extLst>
              <a:ext uri="{FF2B5EF4-FFF2-40B4-BE49-F238E27FC236}">
                <a16:creationId xmlns:a16="http://schemas.microsoft.com/office/drawing/2014/main" id="{00000000-0008-0000-0300-000085381600}"/>
              </a:ext>
            </a:extLst>
          </xdr:cNvPr>
          <xdr:cNvSpPr>
            <a:spLocks noChangeShapeType="1"/>
          </xdr:cNvSpPr>
        </xdr:nvSpPr>
        <xdr:spPr bwMode="auto">
          <a:xfrm>
            <a:off x="319" y="564"/>
            <a:ext cx="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809625</xdr:colOff>
      <xdr:row>79</xdr:row>
      <xdr:rowOff>47625</xdr:rowOff>
    </xdr:from>
    <xdr:to>
      <xdr:col>3</xdr:col>
      <xdr:colOff>866775</xdr:colOff>
      <xdr:row>80</xdr:row>
      <xdr:rowOff>228600</xdr:rowOff>
    </xdr:to>
    <xdr:grpSp>
      <xdr:nvGrpSpPr>
        <xdr:cNvPr id="1455033" name="Group 289">
          <a:extLst>
            <a:ext uri="{FF2B5EF4-FFF2-40B4-BE49-F238E27FC236}">
              <a16:creationId xmlns:a16="http://schemas.microsoft.com/office/drawing/2014/main" id="{00000000-0008-0000-0300-0000B9331600}"/>
            </a:ext>
          </a:extLst>
        </xdr:cNvPr>
        <xdr:cNvGrpSpPr>
          <a:grpSpLocks/>
        </xdr:cNvGrpSpPr>
      </xdr:nvGrpSpPr>
      <xdr:grpSpPr bwMode="auto">
        <a:xfrm>
          <a:off x="3830411" y="17995446"/>
          <a:ext cx="57150" cy="385083"/>
          <a:chOff x="263" y="519"/>
          <a:chExt cx="9" cy="31"/>
        </a:xfrm>
      </xdr:grpSpPr>
      <xdr:sp macro="" textlink="">
        <xdr:nvSpPr>
          <xdr:cNvPr id="1456254" name="Line 101">
            <a:extLst>
              <a:ext uri="{FF2B5EF4-FFF2-40B4-BE49-F238E27FC236}">
                <a16:creationId xmlns:a16="http://schemas.microsoft.com/office/drawing/2014/main" id="{00000000-0008-0000-0300-00007E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250" y="535"/>
            <a:ext cx="31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5" name="Line 102">
            <a:extLst>
              <a:ext uri="{FF2B5EF4-FFF2-40B4-BE49-F238E27FC236}">
                <a16:creationId xmlns:a16="http://schemas.microsoft.com/office/drawing/2014/main" id="{00000000-0008-0000-0300-00007F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4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6" name="Line 103">
            <a:extLst>
              <a:ext uri="{FF2B5EF4-FFF2-40B4-BE49-F238E27FC236}">
                <a16:creationId xmlns:a16="http://schemas.microsoft.com/office/drawing/2014/main" id="{00000000-0008-0000-0300-000080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267" y="534"/>
            <a:ext cx="2" cy="9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428625</xdr:colOff>
      <xdr:row>78</xdr:row>
      <xdr:rowOff>57150</xdr:rowOff>
    </xdr:from>
    <xdr:to>
      <xdr:col>4</xdr:col>
      <xdr:colOff>57150</xdr:colOff>
      <xdr:row>80</xdr:row>
      <xdr:rowOff>152400</xdr:rowOff>
    </xdr:to>
    <xdr:sp macro="" textlink="">
      <xdr:nvSpPr>
        <xdr:cNvPr id="1455034" name="Freeform 112">
          <a:extLst>
            <a:ext uri="{FF2B5EF4-FFF2-40B4-BE49-F238E27FC236}">
              <a16:creationId xmlns:a16="http://schemas.microsoft.com/office/drawing/2014/main" id="{00000000-0008-0000-0300-0000BA331600}"/>
            </a:ext>
          </a:extLst>
        </xdr:cNvPr>
        <xdr:cNvSpPr>
          <a:spLocks/>
        </xdr:cNvSpPr>
      </xdr:nvSpPr>
      <xdr:spPr bwMode="auto">
        <a:xfrm rot="396078">
          <a:off x="2333625" y="178212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390525</xdr:colOff>
      <xdr:row>94</xdr:row>
      <xdr:rowOff>114300</xdr:rowOff>
    </xdr:from>
    <xdr:to>
      <xdr:col>3</xdr:col>
      <xdr:colOff>828675</xdr:colOff>
      <xdr:row>94</xdr:row>
      <xdr:rowOff>114300</xdr:rowOff>
    </xdr:to>
    <xdr:sp macro="" textlink="">
      <xdr:nvSpPr>
        <xdr:cNvPr id="1455035" name="Line 92">
          <a:extLst>
            <a:ext uri="{FF2B5EF4-FFF2-40B4-BE49-F238E27FC236}">
              <a16:creationId xmlns:a16="http://schemas.microsoft.com/office/drawing/2014/main" id="{00000000-0008-0000-0300-0000BB331600}"/>
            </a:ext>
          </a:extLst>
        </xdr:cNvPr>
        <xdr:cNvSpPr>
          <a:spLocks noChangeShapeType="1"/>
        </xdr:cNvSpPr>
      </xdr:nvSpPr>
      <xdr:spPr bwMode="auto">
        <a:xfrm flipV="1">
          <a:off x="3409950" y="21183600"/>
          <a:ext cx="438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838200</xdr:colOff>
      <xdr:row>77</xdr:row>
      <xdr:rowOff>161925</xdr:rowOff>
    </xdr:from>
    <xdr:to>
      <xdr:col>3</xdr:col>
      <xdr:colOff>933450</xdr:colOff>
      <xdr:row>79</xdr:row>
      <xdr:rowOff>95250</xdr:rowOff>
    </xdr:to>
    <xdr:grpSp>
      <xdr:nvGrpSpPr>
        <xdr:cNvPr id="1455036" name="Group 152">
          <a:extLst>
            <a:ext uri="{FF2B5EF4-FFF2-40B4-BE49-F238E27FC236}">
              <a16:creationId xmlns:a16="http://schemas.microsoft.com/office/drawing/2014/main" id="{00000000-0008-0000-0300-0000BC331600}"/>
            </a:ext>
          </a:extLst>
        </xdr:cNvPr>
        <xdr:cNvGrpSpPr>
          <a:grpSpLocks/>
        </xdr:cNvGrpSpPr>
      </xdr:nvGrpSpPr>
      <xdr:grpSpPr bwMode="auto">
        <a:xfrm>
          <a:off x="3858986" y="17701532"/>
          <a:ext cx="95250" cy="341539"/>
          <a:chOff x="1412" y="648"/>
          <a:chExt cx="10" cy="35"/>
        </a:xfrm>
      </xdr:grpSpPr>
      <xdr:sp macro="" textlink="">
        <xdr:nvSpPr>
          <xdr:cNvPr id="1456251" name="Line 50">
            <a:extLst>
              <a:ext uri="{FF2B5EF4-FFF2-40B4-BE49-F238E27FC236}">
                <a16:creationId xmlns:a16="http://schemas.microsoft.com/office/drawing/2014/main" id="{00000000-0008-0000-0300-00007B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2" name="Line 51">
            <a:extLst>
              <a:ext uri="{FF2B5EF4-FFF2-40B4-BE49-F238E27FC236}">
                <a16:creationId xmlns:a16="http://schemas.microsoft.com/office/drawing/2014/main" id="{00000000-0008-0000-0300-00007C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3" name="Line 52">
            <a:extLst>
              <a:ext uri="{FF2B5EF4-FFF2-40B4-BE49-F238E27FC236}">
                <a16:creationId xmlns:a16="http://schemas.microsoft.com/office/drawing/2014/main" id="{00000000-0008-0000-0300-00007D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76200</xdr:colOff>
      <xdr:row>80</xdr:row>
      <xdr:rowOff>180975</xdr:rowOff>
    </xdr:from>
    <xdr:to>
      <xdr:col>2</xdr:col>
      <xdr:colOff>371475</xdr:colOff>
      <xdr:row>81</xdr:row>
      <xdr:rowOff>9525</xdr:rowOff>
    </xdr:to>
    <xdr:sp macro="" textlink="">
      <xdr:nvSpPr>
        <xdr:cNvPr id="1455037" name="Line 153">
          <a:extLst>
            <a:ext uri="{FF2B5EF4-FFF2-40B4-BE49-F238E27FC236}">
              <a16:creationId xmlns:a16="http://schemas.microsoft.com/office/drawing/2014/main" id="{00000000-0008-0000-0300-0000BD331600}"/>
            </a:ext>
          </a:extLst>
        </xdr:cNvPr>
        <xdr:cNvSpPr>
          <a:spLocks noChangeShapeType="1"/>
        </xdr:cNvSpPr>
      </xdr:nvSpPr>
      <xdr:spPr bwMode="auto">
        <a:xfrm flipV="1">
          <a:off x="1981200" y="18354675"/>
          <a:ext cx="295275" cy="104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590550</xdr:colOff>
      <xdr:row>104</xdr:row>
      <xdr:rowOff>190500</xdr:rowOff>
    </xdr:from>
    <xdr:to>
      <xdr:col>3</xdr:col>
      <xdr:colOff>47625</xdr:colOff>
      <xdr:row>105</xdr:row>
      <xdr:rowOff>133350</xdr:rowOff>
    </xdr:to>
    <xdr:sp macro="" textlink="">
      <xdr:nvSpPr>
        <xdr:cNvPr id="1455038" name="Rectangle 159">
          <a:extLst>
            <a:ext uri="{FF2B5EF4-FFF2-40B4-BE49-F238E27FC236}">
              <a16:creationId xmlns:a16="http://schemas.microsoft.com/office/drawing/2014/main" id="{00000000-0008-0000-0300-0000BE331600}"/>
            </a:ext>
          </a:extLst>
        </xdr:cNvPr>
        <xdr:cNvSpPr>
          <a:spLocks noChangeArrowheads="1"/>
        </xdr:cNvSpPr>
      </xdr:nvSpPr>
      <xdr:spPr bwMode="auto">
        <a:xfrm>
          <a:off x="2495550" y="23602950"/>
          <a:ext cx="571500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104</xdr:row>
      <xdr:rowOff>190500</xdr:rowOff>
    </xdr:from>
    <xdr:to>
      <xdr:col>6</xdr:col>
      <xdr:colOff>95250</xdr:colOff>
      <xdr:row>105</xdr:row>
      <xdr:rowOff>133350</xdr:rowOff>
    </xdr:to>
    <xdr:sp macro="" textlink="">
      <xdr:nvSpPr>
        <xdr:cNvPr id="1455039" name="Rectangle 160">
          <a:extLst>
            <a:ext uri="{FF2B5EF4-FFF2-40B4-BE49-F238E27FC236}">
              <a16:creationId xmlns:a16="http://schemas.microsoft.com/office/drawing/2014/main" id="{00000000-0008-0000-0300-0000BF331600}"/>
            </a:ext>
          </a:extLst>
        </xdr:cNvPr>
        <xdr:cNvSpPr>
          <a:spLocks noChangeArrowheads="1"/>
        </xdr:cNvSpPr>
      </xdr:nvSpPr>
      <xdr:spPr bwMode="auto">
        <a:xfrm>
          <a:off x="6829425" y="23602950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105</xdr:row>
      <xdr:rowOff>133350</xdr:rowOff>
    </xdr:from>
    <xdr:to>
      <xdr:col>5</xdr:col>
      <xdr:colOff>847725</xdr:colOff>
      <xdr:row>108</xdr:row>
      <xdr:rowOff>76200</xdr:rowOff>
    </xdr:to>
    <xdr:sp macro="" textlink="">
      <xdr:nvSpPr>
        <xdr:cNvPr id="1455040" name="Rectangle 163">
          <a:extLst>
            <a:ext uri="{FF2B5EF4-FFF2-40B4-BE49-F238E27FC236}">
              <a16:creationId xmlns:a16="http://schemas.microsoft.com/office/drawing/2014/main" id="{00000000-0008-0000-0300-0000C0331600}"/>
            </a:ext>
          </a:extLst>
        </xdr:cNvPr>
        <xdr:cNvSpPr>
          <a:spLocks noChangeArrowheads="1"/>
        </xdr:cNvSpPr>
      </xdr:nvSpPr>
      <xdr:spPr bwMode="auto">
        <a:xfrm>
          <a:off x="6829425" y="23745825"/>
          <a:ext cx="15240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809625</xdr:colOff>
      <xdr:row>101</xdr:row>
      <xdr:rowOff>104775</xdr:rowOff>
    </xdr:from>
    <xdr:to>
      <xdr:col>4</xdr:col>
      <xdr:colOff>809625</xdr:colOff>
      <xdr:row>111</xdr:row>
      <xdr:rowOff>47625</xdr:rowOff>
    </xdr:to>
    <xdr:sp macro="" textlink="">
      <xdr:nvSpPr>
        <xdr:cNvPr id="1455041" name="Line 164">
          <a:extLst>
            <a:ext uri="{FF2B5EF4-FFF2-40B4-BE49-F238E27FC236}">
              <a16:creationId xmlns:a16="http://schemas.microsoft.com/office/drawing/2014/main" id="{00000000-0008-0000-0300-0000C1331600}"/>
            </a:ext>
          </a:extLst>
        </xdr:cNvPr>
        <xdr:cNvSpPr>
          <a:spLocks noChangeShapeType="1"/>
        </xdr:cNvSpPr>
      </xdr:nvSpPr>
      <xdr:spPr bwMode="auto">
        <a:xfrm>
          <a:off x="5000625" y="22917150"/>
          <a:ext cx="0" cy="194310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107</xdr:row>
      <xdr:rowOff>38100</xdr:rowOff>
    </xdr:from>
    <xdr:to>
      <xdr:col>5</xdr:col>
      <xdr:colOff>676275</xdr:colOff>
      <xdr:row>107</xdr:row>
      <xdr:rowOff>38100</xdr:rowOff>
    </xdr:to>
    <xdr:sp macro="" textlink="">
      <xdr:nvSpPr>
        <xdr:cNvPr id="1455042" name="Line 165">
          <a:extLst>
            <a:ext uri="{FF2B5EF4-FFF2-40B4-BE49-F238E27FC236}">
              <a16:creationId xmlns:a16="http://schemas.microsoft.com/office/drawing/2014/main" id="{00000000-0008-0000-0300-0000C2331600}"/>
            </a:ext>
          </a:extLst>
        </xdr:cNvPr>
        <xdr:cNvSpPr>
          <a:spLocks noChangeShapeType="1"/>
        </xdr:cNvSpPr>
      </xdr:nvSpPr>
      <xdr:spPr bwMode="auto">
        <a:xfrm>
          <a:off x="3048000" y="240506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104</xdr:row>
      <xdr:rowOff>190500</xdr:rowOff>
    </xdr:from>
    <xdr:to>
      <xdr:col>5</xdr:col>
      <xdr:colOff>695325</xdr:colOff>
      <xdr:row>104</xdr:row>
      <xdr:rowOff>190500</xdr:rowOff>
    </xdr:to>
    <xdr:sp macro="" textlink="">
      <xdr:nvSpPr>
        <xdr:cNvPr id="1455043" name="Line 166">
          <a:extLst>
            <a:ext uri="{FF2B5EF4-FFF2-40B4-BE49-F238E27FC236}">
              <a16:creationId xmlns:a16="http://schemas.microsoft.com/office/drawing/2014/main" id="{00000000-0008-0000-0300-0000C3331600}"/>
            </a:ext>
          </a:extLst>
        </xdr:cNvPr>
        <xdr:cNvSpPr>
          <a:spLocks noChangeShapeType="1"/>
        </xdr:cNvSpPr>
      </xdr:nvSpPr>
      <xdr:spPr bwMode="auto">
        <a:xfrm>
          <a:off x="3067050" y="23602950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104</xdr:row>
      <xdr:rowOff>47625</xdr:rowOff>
    </xdr:from>
    <xdr:to>
      <xdr:col>3</xdr:col>
      <xdr:colOff>447675</xdr:colOff>
      <xdr:row>105</xdr:row>
      <xdr:rowOff>28575</xdr:rowOff>
    </xdr:to>
    <xdr:sp macro="" textlink="">
      <xdr:nvSpPr>
        <xdr:cNvPr id="1455044" name="Arc 167">
          <a:extLst>
            <a:ext uri="{FF2B5EF4-FFF2-40B4-BE49-F238E27FC236}">
              <a16:creationId xmlns:a16="http://schemas.microsoft.com/office/drawing/2014/main" id="{00000000-0008-0000-0300-0000C4331600}"/>
            </a:ext>
          </a:extLst>
        </xdr:cNvPr>
        <xdr:cNvSpPr>
          <a:spLocks/>
        </xdr:cNvSpPr>
      </xdr:nvSpPr>
      <xdr:spPr bwMode="auto">
        <a:xfrm rot="2094536">
          <a:off x="3162300" y="23460075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809625</xdr:colOff>
      <xdr:row>104</xdr:row>
      <xdr:rowOff>180975</xdr:rowOff>
    </xdr:from>
    <xdr:to>
      <xdr:col>5</xdr:col>
      <xdr:colOff>685800</xdr:colOff>
      <xdr:row>110</xdr:row>
      <xdr:rowOff>47625</xdr:rowOff>
    </xdr:to>
    <xdr:sp macro="" textlink="">
      <xdr:nvSpPr>
        <xdr:cNvPr id="1455045" name="Line 168">
          <a:extLst>
            <a:ext uri="{FF2B5EF4-FFF2-40B4-BE49-F238E27FC236}">
              <a16:creationId xmlns:a16="http://schemas.microsoft.com/office/drawing/2014/main" id="{00000000-0008-0000-0300-0000C5331600}"/>
            </a:ext>
          </a:extLst>
        </xdr:cNvPr>
        <xdr:cNvSpPr>
          <a:spLocks noChangeShapeType="1"/>
        </xdr:cNvSpPr>
      </xdr:nvSpPr>
      <xdr:spPr bwMode="auto">
        <a:xfrm flipH="1">
          <a:off x="5000625" y="23593425"/>
          <a:ext cx="1819275" cy="1066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129</xdr:row>
      <xdr:rowOff>9525</xdr:rowOff>
    </xdr:from>
    <xdr:to>
      <xdr:col>3</xdr:col>
      <xdr:colOff>790575</xdr:colOff>
      <xdr:row>135</xdr:row>
      <xdr:rowOff>161925</xdr:rowOff>
    </xdr:to>
    <xdr:grpSp>
      <xdr:nvGrpSpPr>
        <xdr:cNvPr id="1455046" name="Group 179">
          <a:extLst>
            <a:ext uri="{FF2B5EF4-FFF2-40B4-BE49-F238E27FC236}">
              <a16:creationId xmlns:a16="http://schemas.microsoft.com/office/drawing/2014/main" id="{00000000-0008-0000-0300-0000C6331600}"/>
            </a:ext>
          </a:extLst>
        </xdr:cNvPr>
        <xdr:cNvGrpSpPr>
          <a:grpSpLocks/>
        </xdr:cNvGrpSpPr>
      </xdr:nvGrpSpPr>
      <xdr:grpSpPr bwMode="auto">
        <a:xfrm>
          <a:off x="1962150" y="28829454"/>
          <a:ext cx="1849211" cy="1458685"/>
          <a:chOff x="114" y="1294"/>
          <a:chExt cx="150" cy="146"/>
        </a:xfrm>
      </xdr:grpSpPr>
      <xdr:sp macro="" textlink="">
        <xdr:nvSpPr>
          <xdr:cNvPr id="1456245" name="Rectangle 169">
            <a:extLst>
              <a:ext uri="{FF2B5EF4-FFF2-40B4-BE49-F238E27FC236}">
                <a16:creationId xmlns:a16="http://schemas.microsoft.com/office/drawing/2014/main" id="{00000000-0008-0000-0300-000075381600}"/>
              </a:ext>
            </a:extLst>
          </xdr:cNvPr>
          <xdr:cNvSpPr>
            <a:spLocks noChangeArrowheads="1"/>
          </xdr:cNvSpPr>
        </xdr:nvSpPr>
        <xdr:spPr bwMode="auto">
          <a:xfrm>
            <a:off x="168" y="1294"/>
            <a:ext cx="18" cy="8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46" name="AutoShape 174">
            <a:extLst>
              <a:ext uri="{FF2B5EF4-FFF2-40B4-BE49-F238E27FC236}">
                <a16:creationId xmlns:a16="http://schemas.microsoft.com/office/drawing/2014/main" id="{00000000-0008-0000-0300-00007638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203" y="1373"/>
            <a:ext cx="22" cy="10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47" name="Rectangle 170">
            <a:extLst>
              <a:ext uri="{FF2B5EF4-FFF2-40B4-BE49-F238E27FC236}">
                <a16:creationId xmlns:a16="http://schemas.microsoft.com/office/drawing/2014/main" id="{00000000-0008-0000-0300-000077381600}"/>
              </a:ext>
            </a:extLst>
          </xdr:cNvPr>
          <xdr:cNvSpPr>
            <a:spLocks noChangeArrowheads="1"/>
          </xdr:cNvSpPr>
        </xdr:nvSpPr>
        <xdr:spPr bwMode="auto">
          <a:xfrm>
            <a:off x="152" y="1381"/>
            <a:ext cx="34" cy="2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48" name="Line 175">
            <a:extLst>
              <a:ext uri="{FF2B5EF4-FFF2-40B4-BE49-F238E27FC236}">
                <a16:creationId xmlns:a16="http://schemas.microsoft.com/office/drawing/2014/main" id="{00000000-0008-0000-0300-000078381600}"/>
              </a:ext>
            </a:extLst>
          </xdr:cNvPr>
          <xdr:cNvSpPr>
            <a:spLocks noChangeShapeType="1"/>
          </xdr:cNvSpPr>
        </xdr:nvSpPr>
        <xdr:spPr bwMode="auto">
          <a:xfrm>
            <a:off x="176" y="1331"/>
            <a:ext cx="0" cy="6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9" name="Line 176">
            <a:extLst>
              <a:ext uri="{FF2B5EF4-FFF2-40B4-BE49-F238E27FC236}">
                <a16:creationId xmlns:a16="http://schemas.microsoft.com/office/drawing/2014/main" id="{00000000-0008-0000-0300-000079381600}"/>
              </a:ext>
            </a:extLst>
          </xdr:cNvPr>
          <xdr:cNvSpPr>
            <a:spLocks noChangeShapeType="1"/>
          </xdr:cNvSpPr>
        </xdr:nvSpPr>
        <xdr:spPr bwMode="auto">
          <a:xfrm>
            <a:off x="114" y="1392"/>
            <a:ext cx="5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50" name="Line 177">
            <a:extLst>
              <a:ext uri="{FF2B5EF4-FFF2-40B4-BE49-F238E27FC236}">
                <a16:creationId xmlns:a16="http://schemas.microsoft.com/office/drawing/2014/main" id="{00000000-0008-0000-0300-00007A38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83" y="1393"/>
            <a:ext cx="48" cy="4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76200</xdr:colOff>
      <xdr:row>138</xdr:row>
      <xdr:rowOff>0</xdr:rowOff>
    </xdr:from>
    <xdr:to>
      <xdr:col>4</xdr:col>
      <xdr:colOff>352425</xdr:colOff>
      <xdr:row>138</xdr:row>
      <xdr:rowOff>152400</xdr:rowOff>
    </xdr:to>
    <xdr:grpSp>
      <xdr:nvGrpSpPr>
        <xdr:cNvPr id="1455047" name="Group 221">
          <a:extLst>
            <a:ext uri="{FF2B5EF4-FFF2-40B4-BE49-F238E27FC236}">
              <a16:creationId xmlns:a16="http://schemas.microsoft.com/office/drawing/2014/main" id="{00000000-0008-0000-0300-0000C7331600}"/>
            </a:ext>
          </a:extLst>
        </xdr:cNvPr>
        <xdr:cNvGrpSpPr>
          <a:grpSpLocks/>
        </xdr:cNvGrpSpPr>
      </xdr:nvGrpSpPr>
      <xdr:grpSpPr bwMode="auto">
        <a:xfrm>
          <a:off x="3096986" y="30738536"/>
          <a:ext cx="1446439" cy="152400"/>
          <a:chOff x="172" y="1138"/>
          <a:chExt cx="130" cy="16"/>
        </a:xfrm>
      </xdr:grpSpPr>
      <xdr:sp macro="" textlink="">
        <xdr:nvSpPr>
          <xdr:cNvPr id="1456240" name="Line 222">
            <a:extLst>
              <a:ext uri="{FF2B5EF4-FFF2-40B4-BE49-F238E27FC236}">
                <a16:creationId xmlns:a16="http://schemas.microsoft.com/office/drawing/2014/main" id="{00000000-0008-0000-0300-000070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72" y="1138"/>
            <a:ext cx="1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1" name="Line 223">
            <a:extLst>
              <a:ext uri="{FF2B5EF4-FFF2-40B4-BE49-F238E27FC236}">
                <a16:creationId xmlns:a16="http://schemas.microsoft.com/office/drawing/2014/main" id="{00000000-0008-0000-0300-000071381600}"/>
              </a:ext>
            </a:extLst>
          </xdr:cNvPr>
          <xdr:cNvSpPr>
            <a:spLocks noChangeShapeType="1"/>
          </xdr:cNvSpPr>
        </xdr:nvSpPr>
        <xdr:spPr bwMode="auto">
          <a:xfrm>
            <a:off x="242" y="1142"/>
            <a:ext cx="4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2" name="Line 224">
            <a:extLst>
              <a:ext uri="{FF2B5EF4-FFF2-40B4-BE49-F238E27FC236}">
                <a16:creationId xmlns:a16="http://schemas.microsoft.com/office/drawing/2014/main" id="{00000000-0008-0000-0300-000072381600}"/>
              </a:ext>
            </a:extLst>
          </xdr:cNvPr>
          <xdr:cNvSpPr>
            <a:spLocks noChangeShapeType="1"/>
          </xdr:cNvSpPr>
        </xdr:nvSpPr>
        <xdr:spPr bwMode="auto">
          <a:xfrm>
            <a:off x="255" y="1146"/>
            <a:ext cx="2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3" name="Line 225">
            <a:extLst>
              <a:ext uri="{FF2B5EF4-FFF2-40B4-BE49-F238E27FC236}">
                <a16:creationId xmlns:a16="http://schemas.microsoft.com/office/drawing/2014/main" id="{00000000-0008-0000-0300-000073381600}"/>
              </a:ext>
            </a:extLst>
          </xdr:cNvPr>
          <xdr:cNvSpPr>
            <a:spLocks noChangeShapeType="1"/>
          </xdr:cNvSpPr>
        </xdr:nvSpPr>
        <xdr:spPr bwMode="auto">
          <a:xfrm>
            <a:off x="262" y="1150"/>
            <a:ext cx="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44" name="Line 226">
            <a:extLst>
              <a:ext uri="{FF2B5EF4-FFF2-40B4-BE49-F238E27FC236}">
                <a16:creationId xmlns:a16="http://schemas.microsoft.com/office/drawing/2014/main" id="{00000000-0008-0000-0300-000074381600}"/>
              </a:ext>
            </a:extLst>
          </xdr:cNvPr>
          <xdr:cNvSpPr>
            <a:spLocks noChangeShapeType="1"/>
          </xdr:cNvSpPr>
        </xdr:nvSpPr>
        <xdr:spPr bwMode="auto">
          <a:xfrm>
            <a:off x="266" y="1154"/>
            <a:ext cx="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123825</xdr:colOff>
      <xdr:row>136</xdr:row>
      <xdr:rowOff>152400</xdr:rowOff>
    </xdr:from>
    <xdr:to>
      <xdr:col>5</xdr:col>
      <xdr:colOff>171450</xdr:colOff>
      <xdr:row>152</xdr:row>
      <xdr:rowOff>152400</xdr:rowOff>
    </xdr:to>
    <xdr:grpSp>
      <xdr:nvGrpSpPr>
        <xdr:cNvPr id="1455048" name="Group 283">
          <a:extLst>
            <a:ext uri="{FF2B5EF4-FFF2-40B4-BE49-F238E27FC236}">
              <a16:creationId xmlns:a16="http://schemas.microsoft.com/office/drawing/2014/main" id="{00000000-0008-0000-0300-0000C8331600}"/>
            </a:ext>
          </a:extLst>
        </xdr:cNvPr>
        <xdr:cNvGrpSpPr>
          <a:grpSpLocks/>
        </xdr:cNvGrpSpPr>
      </xdr:nvGrpSpPr>
      <xdr:grpSpPr bwMode="auto">
        <a:xfrm>
          <a:off x="2028825" y="30482721"/>
          <a:ext cx="4279446" cy="3347358"/>
          <a:chOff x="145" y="1449"/>
          <a:chExt cx="244" cy="355"/>
        </a:xfrm>
      </xdr:grpSpPr>
      <xdr:sp macro="" textlink="">
        <xdr:nvSpPr>
          <xdr:cNvPr id="1456225" name="Line 228">
            <a:extLst>
              <a:ext uri="{FF2B5EF4-FFF2-40B4-BE49-F238E27FC236}">
                <a16:creationId xmlns:a16="http://schemas.microsoft.com/office/drawing/2014/main" id="{00000000-0008-0000-0300-000061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54" y="1449"/>
            <a:ext cx="0" cy="22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6" name="Line 229">
            <a:extLst>
              <a:ext uri="{FF2B5EF4-FFF2-40B4-BE49-F238E27FC236}">
                <a16:creationId xmlns:a16="http://schemas.microsoft.com/office/drawing/2014/main" id="{00000000-0008-0000-0300-000062381600}"/>
              </a:ext>
            </a:extLst>
          </xdr:cNvPr>
          <xdr:cNvSpPr>
            <a:spLocks noChangeShapeType="1"/>
          </xdr:cNvSpPr>
        </xdr:nvSpPr>
        <xdr:spPr bwMode="auto">
          <a:xfrm>
            <a:off x="235" y="1616"/>
            <a:ext cx="15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7" name="Line 241">
            <a:extLst>
              <a:ext uri="{FF2B5EF4-FFF2-40B4-BE49-F238E27FC236}">
                <a16:creationId xmlns:a16="http://schemas.microsoft.com/office/drawing/2014/main" id="{00000000-0008-0000-0300-000063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9" y="1748"/>
            <a:ext cx="14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8" name="Arc 242">
            <a:extLst>
              <a:ext uri="{FF2B5EF4-FFF2-40B4-BE49-F238E27FC236}">
                <a16:creationId xmlns:a16="http://schemas.microsoft.com/office/drawing/2014/main" id="{00000000-0008-0000-0300-000064381600}"/>
              </a:ext>
            </a:extLst>
          </xdr:cNvPr>
          <xdr:cNvSpPr>
            <a:spLocks/>
          </xdr:cNvSpPr>
        </xdr:nvSpPr>
        <xdr:spPr bwMode="auto">
          <a:xfrm rot="-6925079">
            <a:off x="268" y="1743"/>
            <a:ext cx="31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grpSp>
        <xdr:nvGrpSpPr>
          <xdr:cNvPr id="1456229" name="Group 244">
            <a:extLst>
              <a:ext uri="{FF2B5EF4-FFF2-40B4-BE49-F238E27FC236}">
                <a16:creationId xmlns:a16="http://schemas.microsoft.com/office/drawing/2014/main" id="{00000000-0008-0000-0300-000065381600}"/>
              </a:ext>
            </a:extLst>
          </xdr:cNvPr>
          <xdr:cNvGrpSpPr>
            <a:grpSpLocks/>
          </xdr:cNvGrpSpPr>
        </xdr:nvGrpSpPr>
        <xdr:grpSpPr bwMode="auto">
          <a:xfrm>
            <a:off x="145" y="1497"/>
            <a:ext cx="236" cy="307"/>
            <a:chOff x="145" y="1631"/>
            <a:chExt cx="250" cy="326"/>
          </a:xfrm>
        </xdr:grpSpPr>
        <xdr:sp macro="" textlink="">
          <xdr:nvSpPr>
            <xdr:cNvPr id="1456230" name="AutoShape 182">
              <a:extLst>
                <a:ext uri="{FF2B5EF4-FFF2-40B4-BE49-F238E27FC236}">
                  <a16:creationId xmlns:a16="http://schemas.microsoft.com/office/drawing/2014/main" id="{00000000-0008-0000-0300-000066381600}"/>
                </a:ext>
              </a:extLst>
            </xdr:cNvPr>
            <xdr:cNvSpPr>
              <a:spLocks noChangeArrowheads="1"/>
            </xdr:cNvSpPr>
          </xdr:nvSpPr>
          <xdr:spPr bwMode="auto">
            <a:xfrm rot="-2908953">
              <a:off x="230" y="1724"/>
              <a:ext cx="25" cy="196"/>
            </a:xfrm>
            <a:prstGeom prst="flowChartInputOutpu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31" name="Rectangle 183">
              <a:extLst>
                <a:ext uri="{FF2B5EF4-FFF2-40B4-BE49-F238E27FC236}">
                  <a16:creationId xmlns:a16="http://schemas.microsoft.com/office/drawing/2014/main" id="{00000000-0008-0000-0300-000067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6" y="1710"/>
              <a:ext cx="34" cy="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32" name="Freeform 214">
              <a:extLst>
                <a:ext uri="{FF2B5EF4-FFF2-40B4-BE49-F238E27FC236}">
                  <a16:creationId xmlns:a16="http://schemas.microsoft.com/office/drawing/2014/main" id="{00000000-0008-0000-0300-000068381600}"/>
                </a:ext>
              </a:extLst>
            </xdr:cNvPr>
            <xdr:cNvSpPr>
              <a:spLocks/>
            </xdr:cNvSpPr>
          </xdr:nvSpPr>
          <xdr:spPr bwMode="auto">
            <a:xfrm rot="785782">
              <a:off x="317" y="1829"/>
              <a:ext cx="78" cy="74"/>
            </a:xfrm>
            <a:custGeom>
              <a:avLst/>
              <a:gdLst>
                <a:gd name="T0" fmla="*/ 0 w 161"/>
                <a:gd name="T1" fmla="*/ 2147483646 h 34"/>
                <a:gd name="T2" fmla="*/ 0 w 161"/>
                <a:gd name="T3" fmla="*/ 2147483646 h 34"/>
                <a:gd name="T4" fmla="*/ 0 w 161"/>
                <a:gd name="T5" fmla="*/ 2147483646 h 34"/>
                <a:gd name="T6" fmla="*/ 0 w 161"/>
                <a:gd name="T7" fmla="*/ 2147483646 h 34"/>
                <a:gd name="T8" fmla="*/ 0 w 161"/>
                <a:gd name="T9" fmla="*/ 2147483646 h 34"/>
                <a:gd name="T10" fmla="*/ 0 w 161"/>
                <a:gd name="T11" fmla="*/ 2147483646 h 34"/>
                <a:gd name="T12" fmla="*/ 0 w 161"/>
                <a:gd name="T13" fmla="*/ 2147483646 h 34"/>
                <a:gd name="T14" fmla="*/ 0 w 161"/>
                <a:gd name="T15" fmla="*/ 2147483646 h 34"/>
                <a:gd name="T16" fmla="*/ 0 w 161"/>
                <a:gd name="T17" fmla="*/ 0 h 34"/>
                <a:gd name="T18" fmla="*/ 0 w 161"/>
                <a:gd name="T19" fmla="*/ 2147483646 h 34"/>
                <a:gd name="T20" fmla="*/ 0 w 161"/>
                <a:gd name="T21" fmla="*/ 2147483646 h 34"/>
                <a:gd name="T22" fmla="*/ 0 w 161"/>
                <a:gd name="T23" fmla="*/ 2147483646 h 34"/>
                <a:gd name="T24" fmla="*/ 0 w 161"/>
                <a:gd name="T25" fmla="*/ 2147483646 h 34"/>
                <a:gd name="T26" fmla="*/ 0 w 161"/>
                <a:gd name="T27" fmla="*/ 2147483646 h 34"/>
                <a:gd name="T28" fmla="*/ 0 w 161"/>
                <a:gd name="T29" fmla="*/ 2147483646 h 34"/>
                <a:gd name="T30" fmla="*/ 0 w 161"/>
                <a:gd name="T31" fmla="*/ 2147483646 h 34"/>
                <a:gd name="T32" fmla="*/ 0 w 161"/>
                <a:gd name="T33" fmla="*/ 2147483646 h 34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w 161"/>
                <a:gd name="T52" fmla="*/ 0 h 34"/>
                <a:gd name="T53" fmla="*/ 161 w 161"/>
                <a:gd name="T54" fmla="*/ 34 h 34"/>
              </a:gdLst>
              <a:ahLst/>
              <a:cxnLst>
                <a:cxn ang="T34">
                  <a:pos x="T0" y="T1"/>
                </a:cxn>
                <a:cxn ang="T35">
                  <a:pos x="T2" y="T3"/>
                </a:cxn>
                <a:cxn ang="T36">
                  <a:pos x="T4" y="T5"/>
                </a:cxn>
                <a:cxn ang="T37">
                  <a:pos x="T6" y="T7"/>
                </a:cxn>
                <a:cxn ang="T38">
                  <a:pos x="T8" y="T9"/>
                </a:cxn>
                <a:cxn ang="T39">
                  <a:pos x="T10" y="T11"/>
                </a:cxn>
                <a:cxn ang="T40">
                  <a:pos x="T12" y="T13"/>
                </a:cxn>
                <a:cxn ang="T41">
                  <a:pos x="T14" y="T15"/>
                </a:cxn>
                <a:cxn ang="T42">
                  <a:pos x="T16" y="T17"/>
                </a:cxn>
                <a:cxn ang="T43">
                  <a:pos x="T18" y="T19"/>
                </a:cxn>
                <a:cxn ang="T44">
                  <a:pos x="T20" y="T21"/>
                </a:cxn>
                <a:cxn ang="T45">
                  <a:pos x="T22" y="T23"/>
                </a:cxn>
                <a:cxn ang="T46">
                  <a:pos x="T24" y="T25"/>
                </a:cxn>
                <a:cxn ang="T47">
                  <a:pos x="T26" y="T27"/>
                </a:cxn>
                <a:cxn ang="T48">
                  <a:pos x="T28" y="T29"/>
                </a:cxn>
                <a:cxn ang="T49">
                  <a:pos x="T30" y="T31"/>
                </a:cxn>
                <a:cxn ang="T50">
                  <a:pos x="T32" y="T33"/>
                </a:cxn>
              </a:cxnLst>
              <a:rect l="T51" t="T52" r="T53" b="T54"/>
              <a:pathLst>
                <a:path w="161" h="34">
                  <a:moveTo>
                    <a:pt x="1" y="34"/>
                  </a:moveTo>
                  <a:lnTo>
                    <a:pt x="32" y="25"/>
                  </a:lnTo>
                  <a:lnTo>
                    <a:pt x="58" y="19"/>
                  </a:lnTo>
                  <a:lnTo>
                    <a:pt x="80" y="15"/>
                  </a:lnTo>
                  <a:lnTo>
                    <a:pt x="104" y="11"/>
                  </a:lnTo>
                  <a:lnTo>
                    <a:pt x="127" y="9"/>
                  </a:lnTo>
                  <a:lnTo>
                    <a:pt x="144" y="8"/>
                  </a:lnTo>
                  <a:lnTo>
                    <a:pt x="161" y="8"/>
                  </a:lnTo>
                  <a:lnTo>
                    <a:pt x="161" y="0"/>
                  </a:lnTo>
                  <a:lnTo>
                    <a:pt x="137" y="1"/>
                  </a:lnTo>
                  <a:lnTo>
                    <a:pt x="119" y="2"/>
                  </a:lnTo>
                  <a:lnTo>
                    <a:pt x="102" y="3"/>
                  </a:lnTo>
                  <a:lnTo>
                    <a:pt x="71" y="8"/>
                  </a:lnTo>
                  <a:lnTo>
                    <a:pt x="47" y="13"/>
                  </a:lnTo>
                  <a:lnTo>
                    <a:pt x="17" y="20"/>
                  </a:lnTo>
                  <a:lnTo>
                    <a:pt x="0" y="26"/>
                  </a:lnTo>
                  <a:lnTo>
                    <a:pt x="1" y="34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233" name="Rectangle 187">
              <a:extLst>
                <a:ext uri="{FF2B5EF4-FFF2-40B4-BE49-F238E27FC236}">
                  <a16:creationId xmlns:a16="http://schemas.microsoft.com/office/drawing/2014/main" id="{00000000-0008-0000-0300-000069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1" y="1886"/>
              <a:ext cx="20" cy="7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34" name="Line 186">
              <a:extLst>
                <a:ext uri="{FF2B5EF4-FFF2-40B4-BE49-F238E27FC236}">
                  <a16:creationId xmlns:a16="http://schemas.microsoft.com/office/drawing/2014/main" id="{00000000-0008-0000-0300-00006A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" y="1847"/>
              <a:ext cx="44" cy="4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5" name="Line 218">
              <a:extLst>
                <a:ext uri="{FF2B5EF4-FFF2-40B4-BE49-F238E27FC236}">
                  <a16:creationId xmlns:a16="http://schemas.microsoft.com/office/drawing/2014/main" id="{00000000-0008-0000-0300-00006B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640"/>
              <a:ext cx="0" cy="25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6" name="Line 219">
              <a:extLst>
                <a:ext uri="{FF2B5EF4-FFF2-40B4-BE49-F238E27FC236}">
                  <a16:creationId xmlns:a16="http://schemas.microsoft.com/office/drawing/2014/main" id="{00000000-0008-0000-0300-00006C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37" y="1776"/>
              <a:ext cx="37" cy="4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7" name="Line 220">
              <a:extLst>
                <a:ext uri="{FF2B5EF4-FFF2-40B4-BE49-F238E27FC236}">
                  <a16:creationId xmlns:a16="http://schemas.microsoft.com/office/drawing/2014/main" id="{00000000-0008-0000-0300-00006D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8" y="1818"/>
              <a:ext cx="0" cy="6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8" name="Line 184">
              <a:extLst>
                <a:ext uri="{FF2B5EF4-FFF2-40B4-BE49-F238E27FC236}">
                  <a16:creationId xmlns:a16="http://schemas.microsoft.com/office/drawing/2014/main" id="{00000000-0008-0000-0300-00006E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4" y="1820"/>
              <a:ext cx="0" cy="6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39" name="Rectangle 181">
              <a:extLst>
                <a:ext uri="{FF2B5EF4-FFF2-40B4-BE49-F238E27FC236}">
                  <a16:creationId xmlns:a16="http://schemas.microsoft.com/office/drawing/2014/main" id="{00000000-0008-0000-0300-00006F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4" y="1631"/>
              <a:ext cx="18" cy="8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647700</xdr:colOff>
      <xdr:row>133</xdr:row>
      <xdr:rowOff>66675</xdr:rowOff>
    </xdr:from>
    <xdr:to>
      <xdr:col>3</xdr:col>
      <xdr:colOff>847725</xdr:colOff>
      <xdr:row>133</xdr:row>
      <xdr:rowOff>66675</xdr:rowOff>
    </xdr:to>
    <xdr:sp macro="" textlink="">
      <xdr:nvSpPr>
        <xdr:cNvPr id="1455049" name="Line 246">
          <a:extLst>
            <a:ext uri="{FF2B5EF4-FFF2-40B4-BE49-F238E27FC236}">
              <a16:creationId xmlns:a16="http://schemas.microsoft.com/office/drawing/2014/main" id="{00000000-0008-0000-0300-0000C9331600}"/>
            </a:ext>
          </a:extLst>
        </xdr:cNvPr>
        <xdr:cNvSpPr>
          <a:spLocks noChangeShapeType="1"/>
        </xdr:cNvSpPr>
      </xdr:nvSpPr>
      <xdr:spPr bwMode="auto">
        <a:xfrm>
          <a:off x="2552700" y="29565600"/>
          <a:ext cx="1314450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132</xdr:row>
      <xdr:rowOff>114300</xdr:rowOff>
    </xdr:from>
    <xdr:to>
      <xdr:col>3</xdr:col>
      <xdr:colOff>266700</xdr:colOff>
      <xdr:row>133</xdr:row>
      <xdr:rowOff>123825</xdr:rowOff>
    </xdr:to>
    <xdr:sp macro="" textlink="">
      <xdr:nvSpPr>
        <xdr:cNvPr id="1455050" name="Arc 247">
          <a:extLst>
            <a:ext uri="{FF2B5EF4-FFF2-40B4-BE49-F238E27FC236}">
              <a16:creationId xmlns:a16="http://schemas.microsoft.com/office/drawing/2014/main" id="{00000000-0008-0000-0300-0000CA331600}"/>
            </a:ext>
          </a:extLst>
        </xdr:cNvPr>
        <xdr:cNvSpPr>
          <a:spLocks/>
        </xdr:cNvSpPr>
      </xdr:nvSpPr>
      <xdr:spPr bwMode="auto">
        <a:xfrm rot="4765854">
          <a:off x="3090863" y="29427487"/>
          <a:ext cx="20955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136</xdr:row>
      <xdr:rowOff>161925</xdr:rowOff>
    </xdr:from>
    <xdr:to>
      <xdr:col>3</xdr:col>
      <xdr:colOff>609600</xdr:colOff>
      <xdr:row>136</xdr:row>
      <xdr:rowOff>161925</xdr:rowOff>
    </xdr:to>
    <xdr:sp macro="" textlink="">
      <xdr:nvSpPr>
        <xdr:cNvPr id="1455051" name="Line 248">
          <a:extLst>
            <a:ext uri="{FF2B5EF4-FFF2-40B4-BE49-F238E27FC236}">
              <a16:creationId xmlns:a16="http://schemas.microsoft.com/office/drawing/2014/main" id="{00000000-0008-0000-0300-0000CB331600}"/>
            </a:ext>
          </a:extLst>
        </xdr:cNvPr>
        <xdr:cNvSpPr>
          <a:spLocks noChangeShapeType="1"/>
        </xdr:cNvSpPr>
      </xdr:nvSpPr>
      <xdr:spPr bwMode="auto">
        <a:xfrm>
          <a:off x="2533650" y="30299025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90</xdr:row>
      <xdr:rowOff>0</xdr:rowOff>
    </xdr:from>
    <xdr:to>
      <xdr:col>2</xdr:col>
      <xdr:colOff>685800</xdr:colOff>
      <xdr:row>90</xdr:row>
      <xdr:rowOff>95250</xdr:rowOff>
    </xdr:to>
    <xdr:sp macro="" textlink="">
      <xdr:nvSpPr>
        <xdr:cNvPr id="1455052" name="Line 249">
          <a:extLst>
            <a:ext uri="{FF2B5EF4-FFF2-40B4-BE49-F238E27FC236}">
              <a16:creationId xmlns:a16="http://schemas.microsoft.com/office/drawing/2014/main" id="{00000000-0008-0000-0300-0000CC331600}"/>
            </a:ext>
          </a:extLst>
        </xdr:cNvPr>
        <xdr:cNvSpPr>
          <a:spLocks noChangeShapeType="1"/>
        </xdr:cNvSpPr>
      </xdr:nvSpPr>
      <xdr:spPr bwMode="auto">
        <a:xfrm flipH="1">
          <a:off x="2305050" y="20269200"/>
          <a:ext cx="28575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1076325</xdr:colOff>
      <xdr:row>91</xdr:row>
      <xdr:rowOff>180975</xdr:rowOff>
    </xdr:from>
    <xdr:to>
      <xdr:col>4</xdr:col>
      <xdr:colOff>0</xdr:colOff>
      <xdr:row>93</xdr:row>
      <xdr:rowOff>114300</xdr:rowOff>
    </xdr:to>
    <xdr:grpSp>
      <xdr:nvGrpSpPr>
        <xdr:cNvPr id="1455053" name="Group 250">
          <a:extLst>
            <a:ext uri="{FF2B5EF4-FFF2-40B4-BE49-F238E27FC236}">
              <a16:creationId xmlns:a16="http://schemas.microsoft.com/office/drawing/2014/main" id="{00000000-0008-0000-0300-0000CD331600}"/>
            </a:ext>
          </a:extLst>
        </xdr:cNvPr>
        <xdr:cNvGrpSpPr>
          <a:grpSpLocks/>
        </xdr:cNvGrpSpPr>
      </xdr:nvGrpSpPr>
      <xdr:grpSpPr bwMode="auto">
        <a:xfrm>
          <a:off x="4097111" y="20659725"/>
          <a:ext cx="93889" cy="341539"/>
          <a:chOff x="1412" y="648"/>
          <a:chExt cx="10" cy="35"/>
        </a:xfrm>
      </xdr:grpSpPr>
      <xdr:sp macro="" textlink="">
        <xdr:nvSpPr>
          <xdr:cNvPr id="1456222" name="Line 251">
            <a:extLst>
              <a:ext uri="{FF2B5EF4-FFF2-40B4-BE49-F238E27FC236}">
                <a16:creationId xmlns:a16="http://schemas.microsoft.com/office/drawing/2014/main" id="{00000000-0008-0000-0300-00005E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3" name="Line 252">
            <a:extLst>
              <a:ext uri="{FF2B5EF4-FFF2-40B4-BE49-F238E27FC236}">
                <a16:creationId xmlns:a16="http://schemas.microsoft.com/office/drawing/2014/main" id="{00000000-0008-0000-0300-00005F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4" name="Line 253">
            <a:extLst>
              <a:ext uri="{FF2B5EF4-FFF2-40B4-BE49-F238E27FC236}">
                <a16:creationId xmlns:a16="http://schemas.microsoft.com/office/drawing/2014/main" id="{00000000-0008-0000-0300-000060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657225</xdr:colOff>
      <xdr:row>92</xdr:row>
      <xdr:rowOff>28575</xdr:rowOff>
    </xdr:from>
    <xdr:to>
      <xdr:col>2</xdr:col>
      <xdr:colOff>1095375</xdr:colOff>
      <xdr:row>94</xdr:row>
      <xdr:rowOff>190500</xdr:rowOff>
    </xdr:to>
    <xdr:grpSp>
      <xdr:nvGrpSpPr>
        <xdr:cNvPr id="1455054" name="Group 261">
          <a:extLst>
            <a:ext uri="{FF2B5EF4-FFF2-40B4-BE49-F238E27FC236}">
              <a16:creationId xmlns:a16="http://schemas.microsoft.com/office/drawing/2014/main" id="{00000000-0008-0000-0300-0000CE331600}"/>
            </a:ext>
          </a:extLst>
        </xdr:cNvPr>
        <xdr:cNvGrpSpPr>
          <a:grpSpLocks/>
        </xdr:cNvGrpSpPr>
      </xdr:nvGrpSpPr>
      <xdr:grpSpPr bwMode="auto">
        <a:xfrm>
          <a:off x="2562225" y="20711432"/>
          <a:ext cx="438150" cy="570139"/>
          <a:chOff x="167" y="874"/>
          <a:chExt cx="38" cy="44"/>
        </a:xfrm>
      </xdr:grpSpPr>
      <xdr:sp macro="" textlink="">
        <xdr:nvSpPr>
          <xdr:cNvPr id="1456219" name="Line 258">
            <a:extLst>
              <a:ext uri="{FF2B5EF4-FFF2-40B4-BE49-F238E27FC236}">
                <a16:creationId xmlns:a16="http://schemas.microsoft.com/office/drawing/2014/main" id="{00000000-0008-0000-0300-00005B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7" y="879"/>
            <a:ext cx="38" cy="3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0" name="Line 259">
            <a:extLst>
              <a:ext uri="{FF2B5EF4-FFF2-40B4-BE49-F238E27FC236}">
                <a16:creationId xmlns:a16="http://schemas.microsoft.com/office/drawing/2014/main" id="{00000000-0008-0000-0300-00005C3816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94" y="886"/>
            <a:ext cx="0" cy="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21" name="Line 260">
            <a:extLst>
              <a:ext uri="{FF2B5EF4-FFF2-40B4-BE49-F238E27FC236}">
                <a16:creationId xmlns:a16="http://schemas.microsoft.com/office/drawing/2014/main" id="{00000000-0008-0000-0300-00005D381600}"/>
              </a:ext>
            </a:extLst>
          </xdr:cNvPr>
          <xdr:cNvSpPr>
            <a:spLocks noChangeShapeType="1"/>
          </xdr:cNvSpPr>
        </xdr:nvSpPr>
        <xdr:spPr bwMode="auto">
          <a:xfrm>
            <a:off x="202" y="874"/>
            <a:ext cx="0" cy="1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231322</xdr:colOff>
      <xdr:row>91</xdr:row>
      <xdr:rowOff>46264</xdr:rowOff>
    </xdr:from>
    <xdr:to>
      <xdr:col>3</xdr:col>
      <xdr:colOff>285750</xdr:colOff>
      <xdr:row>94</xdr:row>
      <xdr:rowOff>190500</xdr:rowOff>
    </xdr:to>
    <xdr:sp macro="" textlink="">
      <xdr:nvSpPr>
        <xdr:cNvPr id="1455055" name="Line 262">
          <a:extLst>
            <a:ext uri="{FF2B5EF4-FFF2-40B4-BE49-F238E27FC236}">
              <a16:creationId xmlns:a16="http://schemas.microsoft.com/office/drawing/2014/main" id="{00000000-0008-0000-0300-0000CF331600}"/>
            </a:ext>
          </a:extLst>
        </xdr:cNvPr>
        <xdr:cNvSpPr>
          <a:spLocks noChangeShapeType="1"/>
        </xdr:cNvSpPr>
      </xdr:nvSpPr>
      <xdr:spPr bwMode="auto">
        <a:xfrm>
          <a:off x="2136322" y="20525014"/>
          <a:ext cx="1170214" cy="756557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155</xdr:row>
      <xdr:rowOff>161925</xdr:rowOff>
    </xdr:from>
    <xdr:to>
      <xdr:col>5</xdr:col>
      <xdr:colOff>571500</xdr:colOff>
      <xdr:row>160</xdr:row>
      <xdr:rowOff>180975</xdr:rowOff>
    </xdr:to>
    <xdr:grpSp>
      <xdr:nvGrpSpPr>
        <xdr:cNvPr id="1455056" name="Group 282">
          <a:extLst>
            <a:ext uri="{FF2B5EF4-FFF2-40B4-BE49-F238E27FC236}">
              <a16:creationId xmlns:a16="http://schemas.microsoft.com/office/drawing/2014/main" id="{00000000-0008-0000-0300-0000D0331600}"/>
            </a:ext>
          </a:extLst>
        </xdr:cNvPr>
        <xdr:cNvGrpSpPr>
          <a:grpSpLocks/>
        </xdr:cNvGrpSpPr>
      </xdr:nvGrpSpPr>
      <xdr:grpSpPr bwMode="auto">
        <a:xfrm>
          <a:off x="2533650" y="34451925"/>
          <a:ext cx="4174671" cy="1039586"/>
          <a:chOff x="906" y="2099"/>
          <a:chExt cx="233" cy="107"/>
        </a:xfrm>
      </xdr:grpSpPr>
      <xdr:sp macro="" textlink="">
        <xdr:nvSpPr>
          <xdr:cNvPr id="1456211" name="Arc 280">
            <a:extLst>
              <a:ext uri="{FF2B5EF4-FFF2-40B4-BE49-F238E27FC236}">
                <a16:creationId xmlns:a16="http://schemas.microsoft.com/office/drawing/2014/main" id="{00000000-0008-0000-0300-000053381600}"/>
              </a:ext>
            </a:extLst>
          </xdr:cNvPr>
          <xdr:cNvSpPr>
            <a:spLocks/>
          </xdr:cNvSpPr>
        </xdr:nvSpPr>
        <xdr:spPr bwMode="auto">
          <a:xfrm rot="6925079" flipH="1">
            <a:off x="1048" y="2155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212" name="Line 267">
            <a:extLst>
              <a:ext uri="{FF2B5EF4-FFF2-40B4-BE49-F238E27FC236}">
                <a16:creationId xmlns:a16="http://schemas.microsoft.com/office/drawing/2014/main" id="{00000000-0008-0000-0300-0000543816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06" y="2167"/>
            <a:ext cx="233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13" name="Arc 268">
            <a:extLst>
              <a:ext uri="{FF2B5EF4-FFF2-40B4-BE49-F238E27FC236}">
                <a16:creationId xmlns:a16="http://schemas.microsoft.com/office/drawing/2014/main" id="{00000000-0008-0000-0300-000055381600}"/>
              </a:ext>
            </a:extLst>
          </xdr:cNvPr>
          <xdr:cNvSpPr>
            <a:spLocks/>
          </xdr:cNvSpPr>
        </xdr:nvSpPr>
        <xdr:spPr bwMode="auto">
          <a:xfrm rot="-6925079">
            <a:off x="985" y="2150"/>
            <a:ext cx="33" cy="18"/>
          </a:xfrm>
          <a:custGeom>
            <a:avLst/>
            <a:gdLst>
              <a:gd name="T0" fmla="*/ 0 w 35895"/>
              <a:gd name="T1" fmla="*/ 0 h 28324"/>
              <a:gd name="T2" fmla="*/ 0 w 35895"/>
              <a:gd name="T3" fmla="*/ 0 h 28324"/>
              <a:gd name="T4" fmla="*/ 0 w 35895"/>
              <a:gd name="T5" fmla="*/ 0 h 28324"/>
              <a:gd name="T6" fmla="*/ 0 60000 65536"/>
              <a:gd name="T7" fmla="*/ 0 60000 65536"/>
              <a:gd name="T8" fmla="*/ 0 60000 65536"/>
              <a:gd name="T9" fmla="*/ 0 w 35895"/>
              <a:gd name="T10" fmla="*/ 0 h 28324"/>
              <a:gd name="T11" fmla="*/ 35895 w 35895"/>
              <a:gd name="T12" fmla="*/ 28324 h 28324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5895" h="28324" fill="none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</a:path>
              <a:path w="35895" h="28324" stroke="0" extrusionOk="0">
                <a:moveTo>
                  <a:pt x="0" y="5407"/>
                </a:moveTo>
                <a:cubicBezTo>
                  <a:pt x="3946" y="1922"/>
                  <a:pt x="9030" y="0"/>
                  <a:pt x="14295" y="0"/>
                </a:cubicBezTo>
                <a:cubicBezTo>
                  <a:pt x="26224" y="0"/>
                  <a:pt x="35895" y="9670"/>
                  <a:pt x="35895" y="21600"/>
                </a:cubicBezTo>
                <a:cubicBezTo>
                  <a:pt x="35895" y="23883"/>
                  <a:pt x="35532" y="26153"/>
                  <a:pt x="34821" y="28323"/>
                </a:cubicBezTo>
                <a:lnTo>
                  <a:pt x="14295" y="21600"/>
                </a:lnTo>
                <a:lnTo>
                  <a:pt x="0" y="5407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214" name="AutoShape 271">
            <a:extLst>
              <a:ext uri="{FF2B5EF4-FFF2-40B4-BE49-F238E27FC236}">
                <a16:creationId xmlns:a16="http://schemas.microsoft.com/office/drawing/2014/main" id="{00000000-0008-0000-0300-000056381600}"/>
              </a:ext>
            </a:extLst>
          </xdr:cNvPr>
          <xdr:cNvSpPr>
            <a:spLocks noChangeArrowheads="1"/>
          </xdr:cNvSpPr>
        </xdr:nvSpPr>
        <xdr:spPr bwMode="auto">
          <a:xfrm rot="-2908953">
            <a:off x="972" y="2035"/>
            <a:ext cx="21" cy="150"/>
          </a:xfrm>
          <a:prstGeom prst="flowChartInputOutpu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15" name="Freeform 273">
            <a:extLst>
              <a:ext uri="{FF2B5EF4-FFF2-40B4-BE49-F238E27FC236}">
                <a16:creationId xmlns:a16="http://schemas.microsoft.com/office/drawing/2014/main" id="{00000000-0008-0000-0300-000057381600}"/>
              </a:ext>
            </a:extLst>
          </xdr:cNvPr>
          <xdr:cNvSpPr>
            <a:spLocks/>
          </xdr:cNvSpPr>
        </xdr:nvSpPr>
        <xdr:spPr bwMode="auto">
          <a:xfrm rot="785782">
            <a:off x="1039" y="2108"/>
            <a:ext cx="74" cy="74"/>
          </a:xfrm>
          <a:custGeom>
            <a:avLst/>
            <a:gdLst>
              <a:gd name="T0" fmla="*/ 0 w 161"/>
              <a:gd name="T1" fmla="*/ 2147483646 h 34"/>
              <a:gd name="T2" fmla="*/ 0 w 161"/>
              <a:gd name="T3" fmla="*/ 2147483646 h 34"/>
              <a:gd name="T4" fmla="*/ 0 w 161"/>
              <a:gd name="T5" fmla="*/ 2147483646 h 34"/>
              <a:gd name="T6" fmla="*/ 0 w 161"/>
              <a:gd name="T7" fmla="*/ 2147483646 h 34"/>
              <a:gd name="T8" fmla="*/ 0 w 161"/>
              <a:gd name="T9" fmla="*/ 2147483646 h 34"/>
              <a:gd name="T10" fmla="*/ 0 w 161"/>
              <a:gd name="T11" fmla="*/ 2147483646 h 34"/>
              <a:gd name="T12" fmla="*/ 0 w 161"/>
              <a:gd name="T13" fmla="*/ 2147483646 h 34"/>
              <a:gd name="T14" fmla="*/ 0 w 161"/>
              <a:gd name="T15" fmla="*/ 2147483646 h 34"/>
              <a:gd name="T16" fmla="*/ 0 w 161"/>
              <a:gd name="T17" fmla="*/ 0 h 34"/>
              <a:gd name="T18" fmla="*/ 0 w 161"/>
              <a:gd name="T19" fmla="*/ 2147483646 h 34"/>
              <a:gd name="T20" fmla="*/ 0 w 161"/>
              <a:gd name="T21" fmla="*/ 2147483646 h 34"/>
              <a:gd name="T22" fmla="*/ 0 w 161"/>
              <a:gd name="T23" fmla="*/ 2147483646 h 34"/>
              <a:gd name="T24" fmla="*/ 0 w 161"/>
              <a:gd name="T25" fmla="*/ 2147483646 h 34"/>
              <a:gd name="T26" fmla="*/ 0 w 161"/>
              <a:gd name="T27" fmla="*/ 2147483646 h 34"/>
              <a:gd name="T28" fmla="*/ 0 w 161"/>
              <a:gd name="T29" fmla="*/ 2147483646 h 34"/>
              <a:gd name="T30" fmla="*/ 0 w 161"/>
              <a:gd name="T31" fmla="*/ 2147483646 h 34"/>
              <a:gd name="T32" fmla="*/ 0 w 161"/>
              <a:gd name="T33" fmla="*/ 2147483646 h 3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61"/>
              <a:gd name="T52" fmla="*/ 0 h 34"/>
              <a:gd name="T53" fmla="*/ 161 w 161"/>
              <a:gd name="T54" fmla="*/ 34 h 3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61" h="34">
                <a:moveTo>
                  <a:pt x="1" y="34"/>
                </a:moveTo>
                <a:lnTo>
                  <a:pt x="32" y="25"/>
                </a:lnTo>
                <a:lnTo>
                  <a:pt x="58" y="19"/>
                </a:lnTo>
                <a:lnTo>
                  <a:pt x="80" y="15"/>
                </a:lnTo>
                <a:lnTo>
                  <a:pt x="104" y="11"/>
                </a:lnTo>
                <a:lnTo>
                  <a:pt x="127" y="9"/>
                </a:lnTo>
                <a:lnTo>
                  <a:pt x="144" y="8"/>
                </a:lnTo>
                <a:lnTo>
                  <a:pt x="161" y="8"/>
                </a:lnTo>
                <a:lnTo>
                  <a:pt x="161" y="0"/>
                </a:lnTo>
                <a:lnTo>
                  <a:pt x="137" y="1"/>
                </a:lnTo>
                <a:lnTo>
                  <a:pt x="119" y="2"/>
                </a:lnTo>
                <a:lnTo>
                  <a:pt x="102" y="3"/>
                </a:lnTo>
                <a:lnTo>
                  <a:pt x="71" y="8"/>
                </a:lnTo>
                <a:lnTo>
                  <a:pt x="47" y="13"/>
                </a:lnTo>
                <a:lnTo>
                  <a:pt x="17" y="20"/>
                </a:lnTo>
                <a:lnTo>
                  <a:pt x="0" y="26"/>
                </a:lnTo>
                <a:lnTo>
                  <a:pt x="1" y="34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6216" name="Rectangle 274">
            <a:extLst>
              <a:ext uri="{FF2B5EF4-FFF2-40B4-BE49-F238E27FC236}">
                <a16:creationId xmlns:a16="http://schemas.microsoft.com/office/drawing/2014/main" id="{00000000-0008-0000-0300-000058381600}"/>
              </a:ext>
            </a:extLst>
          </xdr:cNvPr>
          <xdr:cNvSpPr>
            <a:spLocks noChangeArrowheads="1"/>
          </xdr:cNvSpPr>
        </xdr:nvSpPr>
        <xdr:spPr bwMode="auto">
          <a:xfrm>
            <a:off x="1026" y="2153"/>
            <a:ext cx="19" cy="5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56217" name="Line 275">
            <a:extLst>
              <a:ext uri="{FF2B5EF4-FFF2-40B4-BE49-F238E27FC236}">
                <a16:creationId xmlns:a16="http://schemas.microsoft.com/office/drawing/2014/main" id="{00000000-0008-0000-0300-000059381600}"/>
              </a:ext>
            </a:extLst>
          </xdr:cNvPr>
          <xdr:cNvSpPr>
            <a:spLocks noChangeShapeType="1"/>
          </xdr:cNvSpPr>
        </xdr:nvSpPr>
        <xdr:spPr bwMode="auto">
          <a:xfrm>
            <a:off x="993" y="2118"/>
            <a:ext cx="44" cy="4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218" name="Line 281">
            <a:extLst>
              <a:ext uri="{FF2B5EF4-FFF2-40B4-BE49-F238E27FC236}">
                <a16:creationId xmlns:a16="http://schemas.microsoft.com/office/drawing/2014/main" id="{00000000-0008-0000-0300-00005A3816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39" y="2122"/>
            <a:ext cx="53" cy="37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714375</xdr:colOff>
      <xdr:row>160</xdr:row>
      <xdr:rowOff>85725</xdr:rowOff>
    </xdr:from>
    <xdr:to>
      <xdr:col>5</xdr:col>
      <xdr:colOff>666750</xdr:colOff>
      <xdr:row>161</xdr:row>
      <xdr:rowOff>28575</xdr:rowOff>
    </xdr:to>
    <xdr:sp macro="" textlink="">
      <xdr:nvSpPr>
        <xdr:cNvPr id="1455057" name="Line 285">
          <a:extLst>
            <a:ext uri="{FF2B5EF4-FFF2-40B4-BE49-F238E27FC236}">
              <a16:creationId xmlns:a16="http://schemas.microsoft.com/office/drawing/2014/main" id="{00000000-0008-0000-0300-0000D1331600}"/>
            </a:ext>
          </a:extLst>
        </xdr:cNvPr>
        <xdr:cNvSpPr>
          <a:spLocks noChangeShapeType="1"/>
        </xdr:cNvSpPr>
      </xdr:nvSpPr>
      <xdr:spPr bwMode="auto">
        <a:xfrm flipH="1" flipV="1">
          <a:off x="4905375" y="35099625"/>
          <a:ext cx="1895475" cy="142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180975</xdr:colOff>
      <xdr:row>102</xdr:row>
      <xdr:rowOff>161925</xdr:rowOff>
    </xdr:from>
    <xdr:to>
      <xdr:col>5</xdr:col>
      <xdr:colOff>695325</xdr:colOff>
      <xdr:row>104</xdr:row>
      <xdr:rowOff>190500</xdr:rowOff>
    </xdr:to>
    <xdr:sp macro="" textlink="">
      <xdr:nvSpPr>
        <xdr:cNvPr id="1455058" name="Line 293">
          <a:extLst>
            <a:ext uri="{FF2B5EF4-FFF2-40B4-BE49-F238E27FC236}">
              <a16:creationId xmlns:a16="http://schemas.microsoft.com/office/drawing/2014/main" id="{00000000-0008-0000-0300-0000D2331600}"/>
            </a:ext>
          </a:extLst>
        </xdr:cNvPr>
        <xdr:cNvSpPr>
          <a:spLocks noChangeShapeType="1"/>
        </xdr:cNvSpPr>
      </xdr:nvSpPr>
      <xdr:spPr bwMode="auto">
        <a:xfrm flipH="1" flipV="1">
          <a:off x="4371975" y="23174325"/>
          <a:ext cx="2457450" cy="428625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828675</xdr:colOff>
      <xdr:row>102</xdr:row>
      <xdr:rowOff>66675</xdr:rowOff>
    </xdr:from>
    <xdr:to>
      <xdr:col>4</xdr:col>
      <xdr:colOff>457200</xdr:colOff>
      <xdr:row>104</xdr:row>
      <xdr:rowOff>171450</xdr:rowOff>
    </xdr:to>
    <xdr:sp macro="" textlink="">
      <xdr:nvSpPr>
        <xdr:cNvPr id="1455059" name="Freeform 309">
          <a:extLst>
            <a:ext uri="{FF2B5EF4-FFF2-40B4-BE49-F238E27FC236}">
              <a16:creationId xmlns:a16="http://schemas.microsoft.com/office/drawing/2014/main" id="{00000000-0008-0000-0300-0000D3331600}"/>
            </a:ext>
          </a:extLst>
        </xdr:cNvPr>
        <xdr:cNvSpPr>
          <a:spLocks/>
        </xdr:cNvSpPr>
      </xdr:nvSpPr>
      <xdr:spPr bwMode="auto">
        <a:xfrm rot="-368388">
          <a:off x="2733675" y="23079075"/>
          <a:ext cx="1914525" cy="504825"/>
        </a:xfrm>
        <a:custGeom>
          <a:avLst/>
          <a:gdLst>
            <a:gd name="T0" fmla="*/ 2147483646 w 129"/>
            <a:gd name="T1" fmla="*/ 2147483646 h 51"/>
            <a:gd name="T2" fmla="*/ 2147483646 w 129"/>
            <a:gd name="T3" fmla="*/ 2147483646 h 51"/>
            <a:gd name="T4" fmla="*/ 2147483646 w 129"/>
            <a:gd name="T5" fmla="*/ 2147483646 h 51"/>
            <a:gd name="T6" fmla="*/ 2147483646 w 129"/>
            <a:gd name="T7" fmla="*/ 2147483646 h 51"/>
            <a:gd name="T8" fmla="*/ 2147483646 w 129"/>
            <a:gd name="T9" fmla="*/ 2147483646 h 51"/>
            <a:gd name="T10" fmla="*/ 2147483646 w 129"/>
            <a:gd name="T11" fmla="*/ 0 h 51"/>
            <a:gd name="T12" fmla="*/ 2147483646 w 129"/>
            <a:gd name="T13" fmla="*/ 2147483646 h 51"/>
            <a:gd name="T14" fmla="*/ 2147483646 w 129"/>
            <a:gd name="T15" fmla="*/ 2147483646 h 51"/>
            <a:gd name="T16" fmla="*/ 2147483646 w 129"/>
            <a:gd name="T17" fmla="*/ 2147483646 h 51"/>
            <a:gd name="T18" fmla="*/ 2147483646 w 129"/>
            <a:gd name="T19" fmla="*/ 2147483646 h 51"/>
            <a:gd name="T20" fmla="*/ 0 w 129"/>
            <a:gd name="T21" fmla="*/ 2147483646 h 51"/>
            <a:gd name="T22" fmla="*/ 2147483646 w 129"/>
            <a:gd name="T23" fmla="*/ 2147483646 h 51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29"/>
            <a:gd name="T37" fmla="*/ 0 h 51"/>
            <a:gd name="T38" fmla="*/ 129 w 129"/>
            <a:gd name="T39" fmla="*/ 51 h 51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29" h="51">
              <a:moveTo>
                <a:pt x="13" y="50"/>
              </a:moveTo>
              <a:lnTo>
                <a:pt x="43" y="31"/>
              </a:lnTo>
              <a:lnTo>
                <a:pt x="84" y="14"/>
              </a:lnTo>
              <a:lnTo>
                <a:pt x="119" y="6"/>
              </a:lnTo>
              <a:lnTo>
                <a:pt x="129" y="5"/>
              </a:lnTo>
              <a:lnTo>
                <a:pt x="127" y="0"/>
              </a:lnTo>
              <a:lnTo>
                <a:pt x="115" y="2"/>
              </a:lnTo>
              <a:lnTo>
                <a:pt x="83" y="9"/>
              </a:lnTo>
              <a:lnTo>
                <a:pt x="46" y="24"/>
              </a:lnTo>
              <a:lnTo>
                <a:pt x="4" y="48"/>
              </a:lnTo>
              <a:lnTo>
                <a:pt x="0" y="51"/>
              </a:lnTo>
              <a:lnTo>
                <a:pt x="13" y="50"/>
              </a:lnTo>
              <a:close/>
            </a:path>
          </a:pathLst>
        </a:custGeom>
        <a:solidFill>
          <a:srgbClr val="C0C0C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219075</xdr:colOff>
      <xdr:row>77</xdr:row>
      <xdr:rowOff>47625</xdr:rowOff>
    </xdr:from>
    <xdr:to>
      <xdr:col>4</xdr:col>
      <xdr:colOff>295275</xdr:colOff>
      <xdr:row>78</xdr:row>
      <xdr:rowOff>180975</xdr:rowOff>
    </xdr:to>
    <xdr:sp macro="" textlink="">
      <xdr:nvSpPr>
        <xdr:cNvPr id="1455060" name="AutoShape 319">
          <a:extLst>
            <a:ext uri="{FF2B5EF4-FFF2-40B4-BE49-F238E27FC236}">
              <a16:creationId xmlns:a16="http://schemas.microsoft.com/office/drawing/2014/main" id="{00000000-0008-0000-0300-0000D4331600}"/>
            </a:ext>
          </a:extLst>
        </xdr:cNvPr>
        <xdr:cNvSpPr>
          <a:spLocks noChangeArrowheads="1"/>
        </xdr:cNvSpPr>
      </xdr:nvSpPr>
      <xdr:spPr bwMode="auto">
        <a:xfrm>
          <a:off x="4410075" y="17611725"/>
          <a:ext cx="76200" cy="333375"/>
        </a:xfrm>
        <a:prstGeom prst="downArrow">
          <a:avLst>
            <a:gd name="adj1" fmla="val 50000"/>
            <a:gd name="adj2" fmla="val 109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200025</xdr:colOff>
      <xdr:row>78</xdr:row>
      <xdr:rowOff>190500</xdr:rowOff>
    </xdr:from>
    <xdr:to>
      <xdr:col>4</xdr:col>
      <xdr:colOff>371475</xdr:colOff>
      <xdr:row>78</xdr:row>
      <xdr:rowOff>190500</xdr:rowOff>
    </xdr:to>
    <xdr:sp macro="" textlink="">
      <xdr:nvSpPr>
        <xdr:cNvPr id="1455061" name="Line 320">
          <a:extLst>
            <a:ext uri="{FF2B5EF4-FFF2-40B4-BE49-F238E27FC236}">
              <a16:creationId xmlns:a16="http://schemas.microsoft.com/office/drawing/2014/main" id="{00000000-0008-0000-0300-0000D5331600}"/>
            </a:ext>
          </a:extLst>
        </xdr:cNvPr>
        <xdr:cNvSpPr>
          <a:spLocks noChangeShapeType="1"/>
        </xdr:cNvSpPr>
      </xdr:nvSpPr>
      <xdr:spPr bwMode="auto">
        <a:xfrm>
          <a:off x="4391025" y="1795462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952500</xdr:colOff>
      <xdr:row>77</xdr:row>
      <xdr:rowOff>38100</xdr:rowOff>
    </xdr:from>
    <xdr:to>
      <xdr:col>4</xdr:col>
      <xdr:colOff>257175</xdr:colOff>
      <xdr:row>77</xdr:row>
      <xdr:rowOff>38100</xdr:rowOff>
    </xdr:to>
    <xdr:sp macro="" textlink="">
      <xdr:nvSpPr>
        <xdr:cNvPr id="1455062" name="Line 323">
          <a:extLst>
            <a:ext uri="{FF2B5EF4-FFF2-40B4-BE49-F238E27FC236}">
              <a16:creationId xmlns:a16="http://schemas.microsoft.com/office/drawing/2014/main" id="{00000000-0008-0000-0300-0000D6331600}"/>
            </a:ext>
          </a:extLst>
        </xdr:cNvPr>
        <xdr:cNvSpPr>
          <a:spLocks noChangeShapeType="1"/>
        </xdr:cNvSpPr>
      </xdr:nvSpPr>
      <xdr:spPr bwMode="auto">
        <a:xfrm flipH="1">
          <a:off x="3971925" y="17602200"/>
          <a:ext cx="47625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514350</xdr:colOff>
      <xdr:row>78</xdr:row>
      <xdr:rowOff>85725</xdr:rowOff>
    </xdr:from>
    <xdr:to>
      <xdr:col>4</xdr:col>
      <xdr:colOff>590550</xdr:colOff>
      <xdr:row>80</xdr:row>
      <xdr:rowOff>114300</xdr:rowOff>
    </xdr:to>
    <xdr:sp macro="" textlink="">
      <xdr:nvSpPr>
        <xdr:cNvPr id="1455063" name="AutoShape 324">
          <a:extLst>
            <a:ext uri="{FF2B5EF4-FFF2-40B4-BE49-F238E27FC236}">
              <a16:creationId xmlns:a16="http://schemas.microsoft.com/office/drawing/2014/main" id="{00000000-0008-0000-0300-0000D7331600}"/>
            </a:ext>
          </a:extLst>
        </xdr:cNvPr>
        <xdr:cNvSpPr>
          <a:spLocks noChangeArrowheads="1"/>
        </xdr:cNvSpPr>
      </xdr:nvSpPr>
      <xdr:spPr bwMode="auto">
        <a:xfrm>
          <a:off x="4705350" y="17849850"/>
          <a:ext cx="76200" cy="438150"/>
        </a:xfrm>
        <a:prstGeom prst="downArrow">
          <a:avLst>
            <a:gd name="adj1" fmla="val 50000"/>
            <a:gd name="adj2" fmla="val 14375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581025</xdr:colOff>
      <xdr:row>78</xdr:row>
      <xdr:rowOff>104775</xdr:rowOff>
    </xdr:from>
    <xdr:to>
      <xdr:col>5</xdr:col>
      <xdr:colOff>114300</xdr:colOff>
      <xdr:row>78</xdr:row>
      <xdr:rowOff>104775</xdr:rowOff>
    </xdr:to>
    <xdr:sp macro="" textlink="">
      <xdr:nvSpPr>
        <xdr:cNvPr id="1455064" name="Line 325">
          <a:extLst>
            <a:ext uri="{FF2B5EF4-FFF2-40B4-BE49-F238E27FC236}">
              <a16:creationId xmlns:a16="http://schemas.microsoft.com/office/drawing/2014/main" id="{00000000-0008-0000-0300-0000D8331600}"/>
            </a:ext>
          </a:extLst>
        </xdr:cNvPr>
        <xdr:cNvSpPr>
          <a:spLocks noChangeShapeType="1"/>
        </xdr:cNvSpPr>
      </xdr:nvSpPr>
      <xdr:spPr bwMode="auto">
        <a:xfrm>
          <a:off x="4772025" y="17868900"/>
          <a:ext cx="14763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733425</xdr:colOff>
      <xdr:row>94</xdr:row>
      <xdr:rowOff>0</xdr:rowOff>
    </xdr:from>
    <xdr:to>
      <xdr:col>6</xdr:col>
      <xdr:colOff>257175</xdr:colOff>
      <xdr:row>94</xdr:row>
      <xdr:rowOff>0</xdr:rowOff>
    </xdr:to>
    <xdr:sp macro="" textlink="">
      <xdr:nvSpPr>
        <xdr:cNvPr id="1455065" name="Line 350">
          <a:extLst>
            <a:ext uri="{FF2B5EF4-FFF2-40B4-BE49-F238E27FC236}">
              <a16:creationId xmlns:a16="http://schemas.microsoft.com/office/drawing/2014/main" id="{00000000-0008-0000-0300-0000D9331600}"/>
            </a:ext>
          </a:extLst>
        </xdr:cNvPr>
        <xdr:cNvSpPr>
          <a:spLocks noChangeShapeType="1"/>
        </xdr:cNvSpPr>
      </xdr:nvSpPr>
      <xdr:spPr bwMode="auto">
        <a:xfrm>
          <a:off x="3752850" y="21069300"/>
          <a:ext cx="3533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152400</xdr:colOff>
      <xdr:row>93</xdr:row>
      <xdr:rowOff>47625</xdr:rowOff>
    </xdr:from>
    <xdr:to>
      <xdr:col>6</xdr:col>
      <xdr:colOff>228600</xdr:colOff>
      <xdr:row>93</xdr:row>
      <xdr:rowOff>200025</xdr:rowOff>
    </xdr:to>
    <xdr:sp macro="" textlink="">
      <xdr:nvSpPr>
        <xdr:cNvPr id="1455066" name="AutoShape 351">
          <a:extLst>
            <a:ext uri="{FF2B5EF4-FFF2-40B4-BE49-F238E27FC236}">
              <a16:creationId xmlns:a16="http://schemas.microsoft.com/office/drawing/2014/main" id="{00000000-0008-0000-0300-0000DA331600}"/>
            </a:ext>
          </a:extLst>
        </xdr:cNvPr>
        <xdr:cNvSpPr>
          <a:spLocks noChangeArrowheads="1"/>
        </xdr:cNvSpPr>
      </xdr:nvSpPr>
      <xdr:spPr bwMode="auto">
        <a:xfrm>
          <a:off x="7181850" y="20916900"/>
          <a:ext cx="76200" cy="152400"/>
        </a:xfrm>
        <a:prstGeom prst="downArrow">
          <a:avLst>
            <a:gd name="adj1" fmla="val 500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219075</xdr:colOff>
      <xdr:row>93</xdr:row>
      <xdr:rowOff>47625</xdr:rowOff>
    </xdr:from>
    <xdr:to>
      <xdr:col>6</xdr:col>
      <xdr:colOff>476250</xdr:colOff>
      <xdr:row>93</xdr:row>
      <xdr:rowOff>47625</xdr:rowOff>
    </xdr:to>
    <xdr:sp macro="" textlink="">
      <xdr:nvSpPr>
        <xdr:cNvPr id="1455067" name="Line 352">
          <a:extLst>
            <a:ext uri="{FF2B5EF4-FFF2-40B4-BE49-F238E27FC236}">
              <a16:creationId xmlns:a16="http://schemas.microsoft.com/office/drawing/2014/main" id="{00000000-0008-0000-0300-0000DB331600}"/>
            </a:ext>
          </a:extLst>
        </xdr:cNvPr>
        <xdr:cNvSpPr>
          <a:spLocks noChangeShapeType="1"/>
        </xdr:cNvSpPr>
      </xdr:nvSpPr>
      <xdr:spPr bwMode="auto">
        <a:xfrm>
          <a:off x="7248525" y="20916900"/>
          <a:ext cx="2571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190500</xdr:colOff>
      <xdr:row>92</xdr:row>
      <xdr:rowOff>161925</xdr:rowOff>
    </xdr:from>
    <xdr:to>
      <xdr:col>5</xdr:col>
      <xdr:colOff>485775</xdr:colOff>
      <xdr:row>92</xdr:row>
      <xdr:rowOff>161925</xdr:rowOff>
    </xdr:to>
    <xdr:sp macro="" textlink="">
      <xdr:nvSpPr>
        <xdr:cNvPr id="1455068" name="Line 353">
          <a:extLst>
            <a:ext uri="{FF2B5EF4-FFF2-40B4-BE49-F238E27FC236}">
              <a16:creationId xmlns:a16="http://schemas.microsoft.com/office/drawing/2014/main" id="{00000000-0008-0000-0300-0000DC331600}"/>
            </a:ext>
          </a:extLst>
        </xdr:cNvPr>
        <xdr:cNvSpPr>
          <a:spLocks noChangeShapeType="1"/>
        </xdr:cNvSpPr>
      </xdr:nvSpPr>
      <xdr:spPr bwMode="auto">
        <a:xfrm>
          <a:off x="4381500" y="20831175"/>
          <a:ext cx="2238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91</xdr:row>
      <xdr:rowOff>95250</xdr:rowOff>
    </xdr:from>
    <xdr:to>
      <xdr:col>4</xdr:col>
      <xdr:colOff>447675</xdr:colOff>
      <xdr:row>92</xdr:row>
      <xdr:rowOff>171450</xdr:rowOff>
    </xdr:to>
    <xdr:sp macro="" textlink="">
      <xdr:nvSpPr>
        <xdr:cNvPr id="1455069" name="AutoShape 354">
          <a:extLst>
            <a:ext uri="{FF2B5EF4-FFF2-40B4-BE49-F238E27FC236}">
              <a16:creationId xmlns:a16="http://schemas.microsoft.com/office/drawing/2014/main" id="{00000000-0008-0000-0300-0000DD331600}"/>
            </a:ext>
          </a:extLst>
        </xdr:cNvPr>
        <xdr:cNvSpPr>
          <a:spLocks noChangeArrowheads="1"/>
        </xdr:cNvSpPr>
      </xdr:nvSpPr>
      <xdr:spPr bwMode="auto">
        <a:xfrm>
          <a:off x="4572000" y="20564475"/>
          <a:ext cx="66675" cy="276225"/>
        </a:xfrm>
        <a:prstGeom prst="downArrow">
          <a:avLst>
            <a:gd name="adj1" fmla="val 50000"/>
            <a:gd name="adj2" fmla="val 10357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428625</xdr:colOff>
      <xdr:row>91</xdr:row>
      <xdr:rowOff>104775</xdr:rowOff>
    </xdr:from>
    <xdr:to>
      <xdr:col>4</xdr:col>
      <xdr:colOff>723900</xdr:colOff>
      <xdr:row>91</xdr:row>
      <xdr:rowOff>104775</xdr:rowOff>
    </xdr:to>
    <xdr:sp macro="" textlink="">
      <xdr:nvSpPr>
        <xdr:cNvPr id="1455070" name="Line 355">
          <a:extLst>
            <a:ext uri="{FF2B5EF4-FFF2-40B4-BE49-F238E27FC236}">
              <a16:creationId xmlns:a16="http://schemas.microsoft.com/office/drawing/2014/main" id="{00000000-0008-0000-0300-0000DE331600}"/>
            </a:ext>
          </a:extLst>
        </xdr:cNvPr>
        <xdr:cNvSpPr>
          <a:spLocks noChangeShapeType="1"/>
        </xdr:cNvSpPr>
      </xdr:nvSpPr>
      <xdr:spPr bwMode="auto">
        <a:xfrm flipV="1">
          <a:off x="4619625" y="20574000"/>
          <a:ext cx="2952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390525</xdr:colOff>
      <xdr:row>103</xdr:row>
      <xdr:rowOff>76200</xdr:rowOff>
    </xdr:from>
    <xdr:to>
      <xdr:col>4</xdr:col>
      <xdr:colOff>390525</xdr:colOff>
      <xdr:row>104</xdr:row>
      <xdr:rowOff>171450</xdr:rowOff>
    </xdr:to>
    <xdr:sp macro="" textlink="">
      <xdr:nvSpPr>
        <xdr:cNvPr id="1455071" name="Line 374">
          <a:extLst>
            <a:ext uri="{FF2B5EF4-FFF2-40B4-BE49-F238E27FC236}">
              <a16:creationId xmlns:a16="http://schemas.microsoft.com/office/drawing/2014/main" id="{00000000-0008-0000-0300-0000DF331600}"/>
            </a:ext>
          </a:extLst>
        </xdr:cNvPr>
        <xdr:cNvSpPr>
          <a:spLocks noChangeShapeType="1"/>
        </xdr:cNvSpPr>
      </xdr:nvSpPr>
      <xdr:spPr bwMode="auto">
        <a:xfrm>
          <a:off x="4581525" y="232886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94</xdr:row>
      <xdr:rowOff>171450</xdr:rowOff>
    </xdr:from>
    <xdr:to>
      <xdr:col>3</xdr:col>
      <xdr:colOff>476250</xdr:colOff>
      <xdr:row>98</xdr:row>
      <xdr:rowOff>142875</xdr:rowOff>
    </xdr:to>
    <xdr:sp macro="" textlink="">
      <xdr:nvSpPr>
        <xdr:cNvPr id="1455072" name="Rectangle 375">
          <a:extLst>
            <a:ext uri="{FF2B5EF4-FFF2-40B4-BE49-F238E27FC236}">
              <a16:creationId xmlns:a16="http://schemas.microsoft.com/office/drawing/2014/main" id="{00000000-0008-0000-0300-0000E0331600}"/>
            </a:ext>
          </a:extLst>
        </xdr:cNvPr>
        <xdr:cNvSpPr>
          <a:spLocks noChangeArrowheads="1"/>
        </xdr:cNvSpPr>
      </xdr:nvSpPr>
      <xdr:spPr bwMode="auto">
        <a:xfrm>
          <a:off x="3400425" y="21240750"/>
          <a:ext cx="95250" cy="857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428625</xdr:colOff>
      <xdr:row>94</xdr:row>
      <xdr:rowOff>200025</xdr:rowOff>
    </xdr:from>
    <xdr:to>
      <xdr:col>3</xdr:col>
      <xdr:colOff>428625</xdr:colOff>
      <xdr:row>99</xdr:row>
      <xdr:rowOff>66675</xdr:rowOff>
    </xdr:to>
    <xdr:sp macro="" textlink="">
      <xdr:nvSpPr>
        <xdr:cNvPr id="1455073" name="Line 376">
          <a:extLst>
            <a:ext uri="{FF2B5EF4-FFF2-40B4-BE49-F238E27FC236}">
              <a16:creationId xmlns:a16="http://schemas.microsoft.com/office/drawing/2014/main" id="{00000000-0008-0000-0300-0000E1331600}"/>
            </a:ext>
          </a:extLst>
        </xdr:cNvPr>
        <xdr:cNvSpPr>
          <a:spLocks noChangeShapeType="1"/>
        </xdr:cNvSpPr>
      </xdr:nvSpPr>
      <xdr:spPr bwMode="auto">
        <a:xfrm flipV="1">
          <a:off x="3448050" y="21269325"/>
          <a:ext cx="0" cy="95250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97</xdr:row>
      <xdr:rowOff>133350</xdr:rowOff>
    </xdr:from>
    <xdr:to>
      <xdr:col>3</xdr:col>
      <xdr:colOff>838200</xdr:colOff>
      <xdr:row>97</xdr:row>
      <xdr:rowOff>133350</xdr:rowOff>
    </xdr:to>
    <xdr:sp macro="" textlink="">
      <xdr:nvSpPr>
        <xdr:cNvPr id="1455074" name="Line 377">
          <a:extLst>
            <a:ext uri="{FF2B5EF4-FFF2-40B4-BE49-F238E27FC236}">
              <a16:creationId xmlns:a16="http://schemas.microsoft.com/office/drawing/2014/main" id="{00000000-0008-0000-0300-0000E2331600}"/>
            </a:ext>
          </a:extLst>
        </xdr:cNvPr>
        <xdr:cNvSpPr>
          <a:spLocks noChangeShapeType="1"/>
        </xdr:cNvSpPr>
      </xdr:nvSpPr>
      <xdr:spPr bwMode="auto">
        <a:xfrm flipH="1">
          <a:off x="3438525" y="21888450"/>
          <a:ext cx="419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419100</xdr:colOff>
      <xdr:row>85</xdr:row>
      <xdr:rowOff>133350</xdr:rowOff>
    </xdr:from>
    <xdr:to>
      <xdr:col>3</xdr:col>
      <xdr:colOff>895350</xdr:colOff>
      <xdr:row>85</xdr:row>
      <xdr:rowOff>133350</xdr:rowOff>
    </xdr:to>
    <xdr:sp macro="" textlink="">
      <xdr:nvSpPr>
        <xdr:cNvPr id="1455075" name="Line 380">
          <a:extLst>
            <a:ext uri="{FF2B5EF4-FFF2-40B4-BE49-F238E27FC236}">
              <a16:creationId xmlns:a16="http://schemas.microsoft.com/office/drawing/2014/main" id="{00000000-0008-0000-0300-0000E3331600}"/>
            </a:ext>
          </a:extLst>
        </xdr:cNvPr>
        <xdr:cNvSpPr>
          <a:spLocks noChangeShapeType="1"/>
        </xdr:cNvSpPr>
      </xdr:nvSpPr>
      <xdr:spPr bwMode="auto">
        <a:xfrm flipH="1">
          <a:off x="2324100" y="19383375"/>
          <a:ext cx="1590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676275</xdr:colOff>
      <xdr:row>103</xdr:row>
      <xdr:rowOff>133350</xdr:rowOff>
    </xdr:from>
    <xdr:to>
      <xdr:col>7</xdr:col>
      <xdr:colOff>190500</xdr:colOff>
      <xdr:row>104</xdr:row>
      <xdr:rowOff>19050</xdr:rowOff>
    </xdr:to>
    <xdr:sp macro="" textlink="">
      <xdr:nvSpPr>
        <xdr:cNvPr id="1455076" name="Rectangle 381">
          <a:extLst>
            <a:ext uri="{FF2B5EF4-FFF2-40B4-BE49-F238E27FC236}">
              <a16:creationId xmlns:a16="http://schemas.microsoft.com/office/drawing/2014/main" id="{00000000-0008-0000-0300-0000E4331600}"/>
            </a:ext>
          </a:extLst>
        </xdr:cNvPr>
        <xdr:cNvSpPr>
          <a:spLocks noChangeArrowheads="1"/>
        </xdr:cNvSpPr>
      </xdr:nvSpPr>
      <xdr:spPr bwMode="auto">
        <a:xfrm rot="-2021404">
          <a:off x="6810375" y="23345775"/>
          <a:ext cx="1009650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381000</xdr:colOff>
      <xdr:row>104</xdr:row>
      <xdr:rowOff>66675</xdr:rowOff>
    </xdr:from>
    <xdr:to>
      <xdr:col>3</xdr:col>
      <xdr:colOff>76200</xdr:colOff>
      <xdr:row>104</xdr:row>
      <xdr:rowOff>161925</xdr:rowOff>
    </xdr:to>
    <xdr:sp macro="" textlink="">
      <xdr:nvSpPr>
        <xdr:cNvPr id="1455077" name="Rectangle 382">
          <a:extLst>
            <a:ext uri="{FF2B5EF4-FFF2-40B4-BE49-F238E27FC236}">
              <a16:creationId xmlns:a16="http://schemas.microsoft.com/office/drawing/2014/main" id="{00000000-0008-0000-0300-0000E5331600}"/>
            </a:ext>
          </a:extLst>
        </xdr:cNvPr>
        <xdr:cNvSpPr>
          <a:spLocks noChangeArrowheads="1"/>
        </xdr:cNvSpPr>
      </xdr:nvSpPr>
      <xdr:spPr bwMode="auto">
        <a:xfrm rot="-8600633">
          <a:off x="2286000" y="23479125"/>
          <a:ext cx="809625" cy="95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695325</xdr:colOff>
      <xdr:row>121</xdr:row>
      <xdr:rowOff>190500</xdr:rowOff>
    </xdr:from>
    <xdr:to>
      <xdr:col>6</xdr:col>
      <xdr:colOff>95250</xdr:colOff>
      <xdr:row>122</xdr:row>
      <xdr:rowOff>133350</xdr:rowOff>
    </xdr:to>
    <xdr:sp macro="" textlink="">
      <xdr:nvSpPr>
        <xdr:cNvPr id="1455078" name="Rectangle 387">
          <a:extLst>
            <a:ext uri="{FF2B5EF4-FFF2-40B4-BE49-F238E27FC236}">
              <a16:creationId xmlns:a16="http://schemas.microsoft.com/office/drawing/2014/main" id="{00000000-0008-0000-0300-0000E6331600}"/>
            </a:ext>
          </a:extLst>
        </xdr:cNvPr>
        <xdr:cNvSpPr>
          <a:spLocks noChangeArrowheads="1"/>
        </xdr:cNvSpPr>
      </xdr:nvSpPr>
      <xdr:spPr bwMode="auto">
        <a:xfrm>
          <a:off x="6829425" y="27231975"/>
          <a:ext cx="2952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122</xdr:row>
      <xdr:rowOff>133350</xdr:rowOff>
    </xdr:from>
    <xdr:to>
      <xdr:col>3</xdr:col>
      <xdr:colOff>47625</xdr:colOff>
      <xdr:row>125</xdr:row>
      <xdr:rowOff>76200</xdr:rowOff>
    </xdr:to>
    <xdr:sp macro="" textlink="">
      <xdr:nvSpPr>
        <xdr:cNvPr id="1455079" name="Rectangle 388">
          <a:extLst>
            <a:ext uri="{FF2B5EF4-FFF2-40B4-BE49-F238E27FC236}">
              <a16:creationId xmlns:a16="http://schemas.microsoft.com/office/drawing/2014/main" id="{00000000-0008-0000-0300-0000E7331600}"/>
            </a:ext>
          </a:extLst>
        </xdr:cNvPr>
        <xdr:cNvSpPr>
          <a:spLocks noChangeArrowheads="1"/>
        </xdr:cNvSpPr>
      </xdr:nvSpPr>
      <xdr:spPr bwMode="auto">
        <a:xfrm>
          <a:off x="2905125" y="27374850"/>
          <a:ext cx="161925" cy="561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123</xdr:row>
      <xdr:rowOff>190500</xdr:rowOff>
    </xdr:from>
    <xdr:to>
      <xdr:col>5</xdr:col>
      <xdr:colOff>695325</xdr:colOff>
      <xdr:row>123</xdr:row>
      <xdr:rowOff>190500</xdr:rowOff>
    </xdr:to>
    <xdr:sp macro="" textlink="">
      <xdr:nvSpPr>
        <xdr:cNvPr id="1455080" name="Line 391">
          <a:extLst>
            <a:ext uri="{FF2B5EF4-FFF2-40B4-BE49-F238E27FC236}">
              <a16:creationId xmlns:a16="http://schemas.microsoft.com/office/drawing/2014/main" id="{00000000-0008-0000-0300-0000E8331600}"/>
            </a:ext>
          </a:extLst>
        </xdr:cNvPr>
        <xdr:cNvSpPr>
          <a:spLocks noChangeShapeType="1"/>
        </xdr:cNvSpPr>
      </xdr:nvSpPr>
      <xdr:spPr bwMode="auto">
        <a:xfrm>
          <a:off x="3067050" y="2763202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arrow" w="med" len="med"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121</xdr:row>
      <xdr:rowOff>190500</xdr:rowOff>
    </xdr:from>
    <xdr:to>
      <xdr:col>5</xdr:col>
      <xdr:colOff>695325</xdr:colOff>
      <xdr:row>121</xdr:row>
      <xdr:rowOff>190500</xdr:rowOff>
    </xdr:to>
    <xdr:sp macro="" textlink="">
      <xdr:nvSpPr>
        <xdr:cNvPr id="1455081" name="Line 392">
          <a:extLst>
            <a:ext uri="{FF2B5EF4-FFF2-40B4-BE49-F238E27FC236}">
              <a16:creationId xmlns:a16="http://schemas.microsoft.com/office/drawing/2014/main" id="{00000000-0008-0000-0300-0000E9331600}"/>
            </a:ext>
          </a:extLst>
        </xdr:cNvPr>
        <xdr:cNvSpPr>
          <a:spLocks noChangeShapeType="1"/>
        </xdr:cNvSpPr>
      </xdr:nvSpPr>
      <xdr:spPr bwMode="auto">
        <a:xfrm>
          <a:off x="3067050" y="27231975"/>
          <a:ext cx="3762375" cy="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121</xdr:row>
      <xdr:rowOff>47625</xdr:rowOff>
    </xdr:from>
    <xdr:to>
      <xdr:col>3</xdr:col>
      <xdr:colOff>447675</xdr:colOff>
      <xdr:row>122</xdr:row>
      <xdr:rowOff>28575</xdr:rowOff>
    </xdr:to>
    <xdr:sp macro="" textlink="">
      <xdr:nvSpPr>
        <xdr:cNvPr id="1455082" name="Arc 393">
          <a:extLst>
            <a:ext uri="{FF2B5EF4-FFF2-40B4-BE49-F238E27FC236}">
              <a16:creationId xmlns:a16="http://schemas.microsoft.com/office/drawing/2014/main" id="{00000000-0008-0000-0300-0000EA331600}"/>
            </a:ext>
          </a:extLst>
        </xdr:cNvPr>
        <xdr:cNvSpPr>
          <a:spLocks/>
        </xdr:cNvSpPr>
      </xdr:nvSpPr>
      <xdr:spPr bwMode="auto">
        <a:xfrm rot="2094536">
          <a:off x="3162300" y="27089100"/>
          <a:ext cx="304800" cy="180975"/>
        </a:xfrm>
        <a:custGeom>
          <a:avLst/>
          <a:gdLst>
            <a:gd name="T0" fmla="*/ 0 w 35895"/>
            <a:gd name="T1" fmla="*/ 2147483646 h 28324"/>
            <a:gd name="T2" fmla="*/ 2147483646 w 35895"/>
            <a:gd name="T3" fmla="*/ 2147483646 h 28324"/>
            <a:gd name="T4" fmla="*/ 2147483646 w 35895"/>
            <a:gd name="T5" fmla="*/ 2147483646 h 28324"/>
            <a:gd name="T6" fmla="*/ 0 60000 65536"/>
            <a:gd name="T7" fmla="*/ 0 60000 65536"/>
            <a:gd name="T8" fmla="*/ 0 60000 65536"/>
            <a:gd name="T9" fmla="*/ 0 w 35895"/>
            <a:gd name="T10" fmla="*/ 0 h 28324"/>
            <a:gd name="T11" fmla="*/ 35895 w 35895"/>
            <a:gd name="T12" fmla="*/ 28324 h 2832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35895" h="28324" fill="none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</a:path>
            <a:path w="35895" h="28324" stroke="0" extrusionOk="0">
              <a:moveTo>
                <a:pt x="0" y="5407"/>
              </a:moveTo>
              <a:cubicBezTo>
                <a:pt x="3946" y="1922"/>
                <a:pt x="9030" y="0"/>
                <a:pt x="14295" y="0"/>
              </a:cubicBezTo>
              <a:cubicBezTo>
                <a:pt x="26224" y="0"/>
                <a:pt x="35895" y="9670"/>
                <a:pt x="35895" y="21600"/>
              </a:cubicBezTo>
              <a:cubicBezTo>
                <a:pt x="35895" y="23883"/>
                <a:pt x="35532" y="26153"/>
                <a:pt x="34821" y="28323"/>
              </a:cubicBezTo>
              <a:lnTo>
                <a:pt x="14295" y="21600"/>
              </a:lnTo>
              <a:lnTo>
                <a:pt x="0" y="5407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57150</xdr:colOff>
      <xdr:row>118</xdr:row>
      <xdr:rowOff>161925</xdr:rowOff>
    </xdr:from>
    <xdr:to>
      <xdr:col>16</xdr:col>
      <xdr:colOff>57150</xdr:colOff>
      <xdr:row>120</xdr:row>
      <xdr:rowOff>57150</xdr:rowOff>
    </xdr:to>
    <xdr:sp macro="" textlink="">
      <xdr:nvSpPr>
        <xdr:cNvPr id="1455083" name="Line 397">
          <a:extLst>
            <a:ext uri="{FF2B5EF4-FFF2-40B4-BE49-F238E27FC236}">
              <a16:creationId xmlns:a16="http://schemas.microsoft.com/office/drawing/2014/main" id="{00000000-0008-0000-0300-0000EB331600}"/>
            </a:ext>
          </a:extLst>
        </xdr:cNvPr>
        <xdr:cNvSpPr>
          <a:spLocks noChangeShapeType="1"/>
        </xdr:cNvSpPr>
      </xdr:nvSpPr>
      <xdr:spPr bwMode="auto">
        <a:xfrm>
          <a:off x="14268450" y="26603325"/>
          <a:ext cx="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514350</xdr:colOff>
      <xdr:row>80</xdr:row>
      <xdr:rowOff>85725</xdr:rowOff>
    </xdr:from>
    <xdr:to>
      <xdr:col>3</xdr:col>
      <xdr:colOff>523875</xdr:colOff>
      <xdr:row>90</xdr:row>
      <xdr:rowOff>200025</xdr:rowOff>
    </xdr:to>
    <xdr:sp macro="" textlink="">
      <xdr:nvSpPr>
        <xdr:cNvPr id="1455084" name="Line 420">
          <a:extLst>
            <a:ext uri="{FF2B5EF4-FFF2-40B4-BE49-F238E27FC236}">
              <a16:creationId xmlns:a16="http://schemas.microsoft.com/office/drawing/2014/main" id="{00000000-0008-0000-0300-0000EC331600}"/>
            </a:ext>
          </a:extLst>
        </xdr:cNvPr>
        <xdr:cNvSpPr>
          <a:spLocks noChangeShapeType="1"/>
        </xdr:cNvSpPr>
      </xdr:nvSpPr>
      <xdr:spPr bwMode="auto">
        <a:xfrm flipH="1">
          <a:off x="3533775" y="18259425"/>
          <a:ext cx="9525" cy="22098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419100</xdr:colOff>
      <xdr:row>123</xdr:row>
      <xdr:rowOff>133350</xdr:rowOff>
    </xdr:from>
    <xdr:to>
      <xdr:col>18</xdr:col>
      <xdr:colOff>123825</xdr:colOff>
      <xdr:row>125</xdr:row>
      <xdr:rowOff>47625</xdr:rowOff>
    </xdr:to>
    <xdr:sp macro="" textlink="">
      <xdr:nvSpPr>
        <xdr:cNvPr id="1455085" name="Arc 492">
          <a:extLst>
            <a:ext uri="{FF2B5EF4-FFF2-40B4-BE49-F238E27FC236}">
              <a16:creationId xmlns:a16="http://schemas.microsoft.com/office/drawing/2014/main" id="{00000000-0008-0000-0300-0000ED331600}"/>
            </a:ext>
          </a:extLst>
        </xdr:cNvPr>
        <xdr:cNvSpPr>
          <a:spLocks/>
        </xdr:cNvSpPr>
      </xdr:nvSpPr>
      <xdr:spPr bwMode="auto">
        <a:xfrm flipH="1" flipV="1">
          <a:off x="15401925" y="27574875"/>
          <a:ext cx="619125" cy="33337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314325</xdr:colOff>
      <xdr:row>117</xdr:row>
      <xdr:rowOff>0</xdr:rowOff>
    </xdr:from>
    <xdr:to>
      <xdr:col>15</xdr:col>
      <xdr:colOff>314325</xdr:colOff>
      <xdr:row>123</xdr:row>
      <xdr:rowOff>190500</xdr:rowOff>
    </xdr:to>
    <xdr:sp macro="" textlink="">
      <xdr:nvSpPr>
        <xdr:cNvPr id="1455086" name="Line 390">
          <a:extLst>
            <a:ext uri="{FF2B5EF4-FFF2-40B4-BE49-F238E27FC236}">
              <a16:creationId xmlns:a16="http://schemas.microsoft.com/office/drawing/2014/main" id="{00000000-0008-0000-0300-0000EE331600}"/>
            </a:ext>
          </a:extLst>
        </xdr:cNvPr>
        <xdr:cNvSpPr>
          <a:spLocks noChangeShapeType="1"/>
        </xdr:cNvSpPr>
      </xdr:nvSpPr>
      <xdr:spPr bwMode="auto">
        <a:xfrm flipH="1">
          <a:off x="13906500" y="26241375"/>
          <a:ext cx="0" cy="1390650"/>
        </a:xfrm>
        <a:prstGeom prst="line">
          <a:avLst/>
        </a:prstGeom>
        <a:noFill/>
        <a:ln w="9525">
          <a:solidFill>
            <a:srgbClr val="000000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762000</xdr:colOff>
      <xdr:row>119</xdr:row>
      <xdr:rowOff>38100</xdr:rowOff>
    </xdr:from>
    <xdr:to>
      <xdr:col>6</xdr:col>
      <xdr:colOff>95250</xdr:colOff>
      <xdr:row>126</xdr:row>
      <xdr:rowOff>123825</xdr:rowOff>
    </xdr:to>
    <xdr:grpSp>
      <xdr:nvGrpSpPr>
        <xdr:cNvPr id="1455087" name="Group 4">
          <a:extLst>
            <a:ext uri="{FF2B5EF4-FFF2-40B4-BE49-F238E27FC236}">
              <a16:creationId xmlns:a16="http://schemas.microsoft.com/office/drawing/2014/main" id="{00000000-0008-0000-0300-0000EF331600}"/>
            </a:ext>
          </a:extLst>
        </xdr:cNvPr>
        <xdr:cNvGrpSpPr>
          <a:grpSpLocks/>
        </xdr:cNvGrpSpPr>
      </xdr:nvGrpSpPr>
      <xdr:grpSpPr bwMode="auto">
        <a:xfrm>
          <a:off x="2667000" y="26803350"/>
          <a:ext cx="4463143" cy="1528082"/>
          <a:chOff x="2597727" y="26344418"/>
          <a:chExt cx="4355523" cy="1557771"/>
        </a:xfrm>
      </xdr:grpSpPr>
      <xdr:sp macro="" textlink="">
        <xdr:nvSpPr>
          <xdr:cNvPr id="1456199" name="Line 392">
            <a:extLst>
              <a:ext uri="{FF2B5EF4-FFF2-40B4-BE49-F238E27FC236}">
                <a16:creationId xmlns:a16="http://schemas.microsoft.com/office/drawing/2014/main" id="{00000000-0008-0000-0300-000047381600}"/>
              </a:ext>
            </a:extLst>
          </xdr:cNvPr>
          <xdr:cNvSpPr>
            <a:spLocks noChangeShapeType="1"/>
          </xdr:cNvSpPr>
        </xdr:nvSpPr>
        <xdr:spPr bwMode="auto">
          <a:xfrm>
            <a:off x="2991716" y="26912455"/>
            <a:ext cx="3661064" cy="0"/>
          </a:xfrm>
          <a:prstGeom prst="line">
            <a:avLst/>
          </a:prstGeom>
          <a:noFill/>
          <a:ln w="9525">
            <a:solidFill>
              <a:srgbClr val="000000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456200" name="Group 1">
            <a:extLst>
              <a:ext uri="{FF2B5EF4-FFF2-40B4-BE49-F238E27FC236}">
                <a16:creationId xmlns:a16="http://schemas.microsoft.com/office/drawing/2014/main" id="{00000000-0008-0000-0300-000048381600}"/>
              </a:ext>
            </a:extLst>
          </xdr:cNvPr>
          <xdr:cNvGrpSpPr>
            <a:grpSpLocks/>
          </xdr:cNvGrpSpPr>
        </xdr:nvGrpSpPr>
        <xdr:grpSpPr bwMode="auto">
          <a:xfrm>
            <a:off x="2597727" y="26344418"/>
            <a:ext cx="4355523" cy="1557771"/>
            <a:chOff x="2597727" y="26344418"/>
            <a:chExt cx="4355523" cy="1557771"/>
          </a:xfrm>
        </xdr:grpSpPr>
        <xdr:sp macro="" textlink="">
          <xdr:nvSpPr>
            <xdr:cNvPr id="1456201" name="Line 390">
              <a:extLst>
                <a:ext uri="{FF2B5EF4-FFF2-40B4-BE49-F238E27FC236}">
                  <a16:creationId xmlns:a16="http://schemas.microsoft.com/office/drawing/2014/main" id="{00000000-0008-0000-0300-000049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321752" y="26344418"/>
              <a:ext cx="0" cy="1557771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02" name="Line 395">
              <a:extLst>
                <a:ext uri="{FF2B5EF4-FFF2-40B4-BE49-F238E27FC236}">
                  <a16:creationId xmlns:a16="http://schemas.microsoft.com/office/drawing/2014/main" id="{00000000-0008-0000-0300-00004A3816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3572741" y="26599861"/>
              <a:ext cx="691861" cy="116118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03" name="Rectangle 386">
              <a:extLst>
                <a:ext uri="{FF2B5EF4-FFF2-40B4-BE49-F238E27FC236}">
                  <a16:creationId xmlns:a16="http://schemas.microsoft.com/office/drawing/2014/main" id="{00000000-0008-0000-0300-00004B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597727" y="26912454"/>
              <a:ext cx="393989" cy="17318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4" name="Rectangle 387">
              <a:extLst>
                <a:ext uri="{FF2B5EF4-FFF2-40B4-BE49-F238E27FC236}">
                  <a16:creationId xmlns:a16="http://schemas.microsoft.com/office/drawing/2014/main" id="{00000000-0008-0000-0300-00004C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6912455"/>
              <a:ext cx="300470" cy="150668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5" name="Rectangle 388">
              <a:extLst>
                <a:ext uri="{FF2B5EF4-FFF2-40B4-BE49-F238E27FC236}">
                  <a16:creationId xmlns:a16="http://schemas.microsoft.com/office/drawing/2014/main" id="{00000000-0008-0000-0300-00004D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840182" y="27063123"/>
              <a:ext cx="151534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6" name="Rectangle 389">
              <a:extLst>
                <a:ext uri="{FF2B5EF4-FFF2-40B4-BE49-F238E27FC236}">
                  <a16:creationId xmlns:a16="http://schemas.microsoft.com/office/drawing/2014/main" id="{00000000-0008-0000-0300-00004E3816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652780" y="27063123"/>
              <a:ext cx="135947" cy="58362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56207" name="Line 391">
              <a:extLst>
                <a:ext uri="{FF2B5EF4-FFF2-40B4-BE49-F238E27FC236}">
                  <a16:creationId xmlns:a16="http://schemas.microsoft.com/office/drawing/2014/main" id="{00000000-0008-0000-0300-00004F3816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91716" y="27328091"/>
              <a:ext cx="3661064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arrow" w="med" len="med"/>
              <a:tailEnd type="arrow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08" name="Arc 393">
              <a:extLst>
                <a:ext uri="{FF2B5EF4-FFF2-40B4-BE49-F238E27FC236}">
                  <a16:creationId xmlns:a16="http://schemas.microsoft.com/office/drawing/2014/main" id="{00000000-0008-0000-0300-000050381600}"/>
                </a:ext>
              </a:extLst>
            </xdr:cNvPr>
            <xdr:cNvSpPr>
              <a:spLocks/>
            </xdr:cNvSpPr>
          </xdr:nvSpPr>
          <xdr:spPr bwMode="auto">
            <a:xfrm rot="2094536">
              <a:off x="3086966" y="26769580"/>
              <a:ext cx="304800" cy="188768"/>
            </a:xfrm>
            <a:custGeom>
              <a:avLst/>
              <a:gdLst>
                <a:gd name="T0" fmla="*/ 0 w 35895"/>
                <a:gd name="T1" fmla="*/ 2147483646 h 28324"/>
                <a:gd name="T2" fmla="*/ 2147483646 w 35895"/>
                <a:gd name="T3" fmla="*/ 2147483646 h 28324"/>
                <a:gd name="T4" fmla="*/ 2147483646 w 35895"/>
                <a:gd name="T5" fmla="*/ 2147483646 h 28324"/>
                <a:gd name="T6" fmla="*/ 0 60000 65536"/>
                <a:gd name="T7" fmla="*/ 0 60000 65536"/>
                <a:gd name="T8" fmla="*/ 0 60000 65536"/>
                <a:gd name="T9" fmla="*/ 0 w 35895"/>
                <a:gd name="T10" fmla="*/ 0 h 28324"/>
                <a:gd name="T11" fmla="*/ 35895 w 35895"/>
                <a:gd name="T12" fmla="*/ 28324 h 28324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35895" h="28324" fill="none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</a:path>
                <a:path w="35895" h="28324" stroke="0" extrusionOk="0">
                  <a:moveTo>
                    <a:pt x="0" y="5407"/>
                  </a:moveTo>
                  <a:cubicBezTo>
                    <a:pt x="3946" y="1922"/>
                    <a:pt x="9030" y="-1"/>
                    <a:pt x="14295" y="0"/>
                  </a:cubicBezTo>
                  <a:cubicBezTo>
                    <a:pt x="26224" y="0"/>
                    <a:pt x="35895" y="9670"/>
                    <a:pt x="35895" y="21600"/>
                  </a:cubicBezTo>
                  <a:cubicBezTo>
                    <a:pt x="35895" y="23883"/>
                    <a:pt x="35532" y="26153"/>
                    <a:pt x="34821" y="28323"/>
                  </a:cubicBezTo>
                  <a:lnTo>
                    <a:pt x="14295" y="21600"/>
                  </a:lnTo>
                  <a:lnTo>
                    <a:pt x="0" y="5407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sp macro="" textlink="">
          <xdr:nvSpPr>
            <xdr:cNvPr id="1456209" name="Line 397">
              <a:extLst>
                <a:ext uri="{FF2B5EF4-FFF2-40B4-BE49-F238E27FC236}">
                  <a16:creationId xmlns:a16="http://schemas.microsoft.com/office/drawing/2014/main" id="{00000000-0008-0000-0300-0000513816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4512252" y="26439668"/>
              <a:ext cx="0" cy="49963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56210" name="Freeform 502">
              <a:extLst>
                <a:ext uri="{FF2B5EF4-FFF2-40B4-BE49-F238E27FC236}">
                  <a16:creationId xmlns:a16="http://schemas.microsoft.com/office/drawing/2014/main" id="{00000000-0008-0000-0300-000052381600}"/>
                </a:ext>
              </a:extLst>
            </xdr:cNvPr>
            <xdr:cNvSpPr>
              <a:spLocks/>
            </xdr:cNvSpPr>
          </xdr:nvSpPr>
          <xdr:spPr bwMode="auto">
            <a:xfrm>
              <a:off x="2823730" y="26393774"/>
              <a:ext cx="1327439" cy="518680"/>
            </a:xfrm>
            <a:custGeom>
              <a:avLst/>
              <a:gdLst>
                <a:gd name="T0" fmla="*/ 2147483646 w 129"/>
                <a:gd name="T1" fmla="*/ 2147483646 h 51"/>
                <a:gd name="T2" fmla="*/ 2147483646 w 129"/>
                <a:gd name="T3" fmla="*/ 2147483646 h 51"/>
                <a:gd name="T4" fmla="*/ 2147483646 w 129"/>
                <a:gd name="T5" fmla="*/ 2147483646 h 51"/>
                <a:gd name="T6" fmla="*/ 2147483646 w 129"/>
                <a:gd name="T7" fmla="*/ 2147483646 h 51"/>
                <a:gd name="T8" fmla="*/ 2147483646 w 129"/>
                <a:gd name="T9" fmla="*/ 2147483646 h 51"/>
                <a:gd name="T10" fmla="*/ 2147483646 w 129"/>
                <a:gd name="T11" fmla="*/ 0 h 51"/>
                <a:gd name="T12" fmla="*/ 2147483646 w 129"/>
                <a:gd name="T13" fmla="*/ 2147483646 h 51"/>
                <a:gd name="T14" fmla="*/ 2147483646 w 129"/>
                <a:gd name="T15" fmla="*/ 2147483646 h 51"/>
                <a:gd name="T16" fmla="*/ 2147483646 w 129"/>
                <a:gd name="T17" fmla="*/ 2147483646 h 51"/>
                <a:gd name="T18" fmla="*/ 2147483646 w 129"/>
                <a:gd name="T19" fmla="*/ 2147483646 h 51"/>
                <a:gd name="T20" fmla="*/ 0 w 129"/>
                <a:gd name="T21" fmla="*/ 2147483646 h 51"/>
                <a:gd name="T22" fmla="*/ 2147483646 w 129"/>
                <a:gd name="T23" fmla="*/ 2147483646 h 51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w 129"/>
                <a:gd name="T37" fmla="*/ 0 h 51"/>
                <a:gd name="T38" fmla="*/ 129 w 129"/>
                <a:gd name="T39" fmla="*/ 51 h 51"/>
              </a:gdLst>
              <a:ahLst/>
              <a:cxnLst>
                <a:cxn ang="T24">
                  <a:pos x="T0" y="T1"/>
                </a:cxn>
                <a:cxn ang="T25">
                  <a:pos x="T2" y="T3"/>
                </a:cxn>
                <a:cxn ang="T26">
                  <a:pos x="T4" y="T5"/>
                </a:cxn>
                <a:cxn ang="T27">
                  <a:pos x="T6" y="T7"/>
                </a:cxn>
                <a:cxn ang="T28">
                  <a:pos x="T8" y="T9"/>
                </a:cxn>
                <a:cxn ang="T29">
                  <a:pos x="T10" y="T11"/>
                </a:cxn>
                <a:cxn ang="T30">
                  <a:pos x="T12" y="T13"/>
                </a:cxn>
                <a:cxn ang="T31">
                  <a:pos x="T14" y="T15"/>
                </a:cxn>
                <a:cxn ang="T32">
                  <a:pos x="T16" y="T17"/>
                </a:cxn>
                <a:cxn ang="T33">
                  <a:pos x="T18" y="T19"/>
                </a:cxn>
                <a:cxn ang="T34">
                  <a:pos x="T20" y="T21"/>
                </a:cxn>
                <a:cxn ang="T35">
                  <a:pos x="T22" y="T23"/>
                </a:cxn>
              </a:cxnLst>
              <a:rect l="T36" t="T37" r="T38" b="T39"/>
              <a:pathLst>
                <a:path w="129" h="51">
                  <a:moveTo>
                    <a:pt x="13" y="50"/>
                  </a:moveTo>
                  <a:lnTo>
                    <a:pt x="43" y="31"/>
                  </a:lnTo>
                  <a:lnTo>
                    <a:pt x="84" y="14"/>
                  </a:lnTo>
                  <a:lnTo>
                    <a:pt x="119" y="6"/>
                  </a:lnTo>
                  <a:lnTo>
                    <a:pt x="129" y="5"/>
                  </a:lnTo>
                  <a:lnTo>
                    <a:pt x="127" y="0"/>
                  </a:lnTo>
                  <a:lnTo>
                    <a:pt x="115" y="2"/>
                  </a:lnTo>
                  <a:lnTo>
                    <a:pt x="83" y="9"/>
                  </a:lnTo>
                  <a:lnTo>
                    <a:pt x="46" y="24"/>
                  </a:lnTo>
                  <a:lnTo>
                    <a:pt x="4" y="48"/>
                  </a:lnTo>
                  <a:lnTo>
                    <a:pt x="0" y="51"/>
                  </a:lnTo>
                  <a:lnTo>
                    <a:pt x="13" y="50"/>
                  </a:lnTo>
                  <a:close/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723900</xdr:colOff>
      <xdr:row>78</xdr:row>
      <xdr:rowOff>123825</xdr:rowOff>
    </xdr:from>
    <xdr:to>
      <xdr:col>2</xdr:col>
      <xdr:colOff>962025</xdr:colOff>
      <xdr:row>80</xdr:row>
      <xdr:rowOff>104775</xdr:rowOff>
    </xdr:to>
    <xdr:grpSp>
      <xdr:nvGrpSpPr>
        <xdr:cNvPr id="1455088" name="Group 152">
          <a:extLst>
            <a:ext uri="{FF2B5EF4-FFF2-40B4-BE49-F238E27FC236}">
              <a16:creationId xmlns:a16="http://schemas.microsoft.com/office/drawing/2014/main" id="{00000000-0008-0000-0300-0000F0331600}"/>
            </a:ext>
          </a:extLst>
        </xdr:cNvPr>
        <xdr:cNvGrpSpPr>
          <a:grpSpLocks/>
        </xdr:cNvGrpSpPr>
      </xdr:nvGrpSpPr>
      <xdr:grpSpPr bwMode="auto">
        <a:xfrm>
          <a:off x="2628900" y="17867539"/>
          <a:ext cx="238125" cy="389165"/>
          <a:chOff x="1412" y="648"/>
          <a:chExt cx="10" cy="35"/>
        </a:xfrm>
      </xdr:grpSpPr>
      <xdr:sp macro="" textlink="">
        <xdr:nvSpPr>
          <xdr:cNvPr id="1456196" name="Line 50">
            <a:extLst>
              <a:ext uri="{FF2B5EF4-FFF2-40B4-BE49-F238E27FC236}">
                <a16:creationId xmlns:a16="http://schemas.microsoft.com/office/drawing/2014/main" id="{00000000-0008-0000-0300-000044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7" name="Line 51">
            <a:extLst>
              <a:ext uri="{FF2B5EF4-FFF2-40B4-BE49-F238E27FC236}">
                <a16:creationId xmlns:a16="http://schemas.microsoft.com/office/drawing/2014/main" id="{00000000-0008-0000-0300-000045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8" name="Line 52">
            <a:extLst>
              <a:ext uri="{FF2B5EF4-FFF2-40B4-BE49-F238E27FC236}">
                <a16:creationId xmlns:a16="http://schemas.microsoft.com/office/drawing/2014/main" id="{00000000-0008-0000-0300-000046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561975</xdr:colOff>
      <xdr:row>92</xdr:row>
      <xdr:rowOff>114300</xdr:rowOff>
    </xdr:from>
    <xdr:to>
      <xdr:col>3</xdr:col>
      <xdr:colOff>857250</xdr:colOff>
      <xdr:row>94</xdr:row>
      <xdr:rowOff>66675</xdr:rowOff>
    </xdr:to>
    <xdr:grpSp>
      <xdr:nvGrpSpPr>
        <xdr:cNvPr id="1455089" name="Group 250">
          <a:extLst>
            <a:ext uri="{FF2B5EF4-FFF2-40B4-BE49-F238E27FC236}">
              <a16:creationId xmlns:a16="http://schemas.microsoft.com/office/drawing/2014/main" id="{00000000-0008-0000-0300-0000F1331600}"/>
            </a:ext>
          </a:extLst>
        </xdr:cNvPr>
        <xdr:cNvGrpSpPr>
          <a:grpSpLocks/>
        </xdr:cNvGrpSpPr>
      </xdr:nvGrpSpPr>
      <xdr:grpSpPr bwMode="auto">
        <a:xfrm>
          <a:off x="3582761" y="20797157"/>
          <a:ext cx="295275" cy="360589"/>
          <a:chOff x="1412" y="648"/>
          <a:chExt cx="10" cy="35"/>
        </a:xfrm>
      </xdr:grpSpPr>
      <xdr:sp macro="" textlink="">
        <xdr:nvSpPr>
          <xdr:cNvPr id="1456193" name="Line 251">
            <a:extLst>
              <a:ext uri="{FF2B5EF4-FFF2-40B4-BE49-F238E27FC236}">
                <a16:creationId xmlns:a16="http://schemas.microsoft.com/office/drawing/2014/main" id="{00000000-0008-0000-0300-000041381600}"/>
              </a:ext>
            </a:extLst>
          </xdr:cNvPr>
          <xdr:cNvSpPr>
            <a:spLocks noChangeShapeType="1"/>
          </xdr:cNvSpPr>
        </xdr:nvSpPr>
        <xdr:spPr bwMode="auto">
          <a:xfrm rot="-5400000">
            <a:off x="1398" y="666"/>
            <a:ext cx="35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4" name="Line 252">
            <a:extLst>
              <a:ext uri="{FF2B5EF4-FFF2-40B4-BE49-F238E27FC236}">
                <a16:creationId xmlns:a16="http://schemas.microsoft.com/office/drawing/2014/main" id="{00000000-0008-0000-0300-000042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4" y="669"/>
            <a:ext cx="5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6195" name="Line 253">
            <a:extLst>
              <a:ext uri="{FF2B5EF4-FFF2-40B4-BE49-F238E27FC236}">
                <a16:creationId xmlns:a16="http://schemas.microsoft.com/office/drawing/2014/main" id="{00000000-0008-0000-0300-000043381600}"/>
              </a:ext>
            </a:extLst>
          </xdr:cNvPr>
          <xdr:cNvSpPr>
            <a:spLocks noChangeShapeType="1"/>
          </xdr:cNvSpPr>
        </xdr:nvSpPr>
        <xdr:spPr bwMode="auto">
          <a:xfrm rot="16200000" flipH="1">
            <a:off x="1415" y="661"/>
            <a:ext cx="4" cy="1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971550</xdr:colOff>
      <xdr:row>105</xdr:row>
      <xdr:rowOff>38100</xdr:rowOff>
    </xdr:from>
    <xdr:to>
      <xdr:col>3</xdr:col>
      <xdr:colOff>47625</xdr:colOff>
      <xdr:row>108</xdr:row>
      <xdr:rowOff>76200</xdr:rowOff>
    </xdr:to>
    <xdr:sp macro="" textlink="">
      <xdr:nvSpPr>
        <xdr:cNvPr id="1455092" name="Rectangle 161">
          <a:extLst>
            <a:ext uri="{FF2B5EF4-FFF2-40B4-BE49-F238E27FC236}">
              <a16:creationId xmlns:a16="http://schemas.microsoft.com/office/drawing/2014/main" id="{00000000-0008-0000-0300-0000F4331600}"/>
            </a:ext>
          </a:extLst>
        </xdr:cNvPr>
        <xdr:cNvSpPr>
          <a:spLocks noChangeArrowheads="1"/>
        </xdr:cNvSpPr>
      </xdr:nvSpPr>
      <xdr:spPr bwMode="auto">
        <a:xfrm>
          <a:off x="2876550" y="23650575"/>
          <a:ext cx="19050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1238997</xdr:colOff>
      <xdr:row>92</xdr:row>
      <xdr:rowOff>38473</xdr:rowOff>
    </xdr:from>
    <xdr:to>
      <xdr:col>2</xdr:col>
      <xdr:colOff>508301</xdr:colOff>
      <xdr:row>94</xdr:row>
      <xdr:rowOff>123480</xdr:rowOff>
    </xdr:to>
    <xdr:cxnSp macro="">
      <xdr:nvCxnSpPr>
        <xdr:cNvPr id="6" name="Straight Connector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H="1">
          <a:off x="1647265" y="19711147"/>
          <a:ext cx="705970" cy="5042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974911</xdr:colOff>
      <xdr:row>94</xdr:row>
      <xdr:rowOff>121771</xdr:rowOff>
    </xdr:from>
    <xdr:to>
      <xdr:col>1</xdr:col>
      <xdr:colOff>1220849</xdr:colOff>
      <xdr:row>94</xdr:row>
      <xdr:rowOff>124573</xdr:rowOff>
    </xdr:to>
    <xdr:cxnSp macro="">
      <xdr:nvCxnSpPr>
        <xdr:cNvPr id="8" name="Straight Connector 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1389529" y="20204206"/>
          <a:ext cx="246530" cy="1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762000</xdr:colOff>
      <xdr:row>90</xdr:row>
      <xdr:rowOff>149225</xdr:rowOff>
    </xdr:from>
    <xdr:to>
      <xdr:col>2</xdr:col>
      <xdr:colOff>145702</xdr:colOff>
      <xdr:row>90</xdr:row>
      <xdr:rowOff>150626</xdr:rowOff>
    </xdr:to>
    <xdr:cxnSp macro="">
      <xdr:nvCxnSpPr>
        <xdr:cNvPr id="10" name="Straight Connector 1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stCxn id="1455023" idx="0"/>
        </xdr:cNvCxnSpPr>
      </xdr:nvCxnSpPr>
      <xdr:spPr>
        <a:xfrm flipH="1">
          <a:off x="1176618" y="19405787"/>
          <a:ext cx="813547" cy="28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1057275</xdr:colOff>
      <xdr:row>89</xdr:row>
      <xdr:rowOff>66675</xdr:rowOff>
    </xdr:from>
    <xdr:to>
      <xdr:col>1</xdr:col>
      <xdr:colOff>1123950</xdr:colOff>
      <xdr:row>90</xdr:row>
      <xdr:rowOff>142875</xdr:rowOff>
    </xdr:to>
    <xdr:sp macro="" textlink="">
      <xdr:nvSpPr>
        <xdr:cNvPr id="1455096" name="AutoShape 354">
          <a:extLst>
            <a:ext uri="{FF2B5EF4-FFF2-40B4-BE49-F238E27FC236}">
              <a16:creationId xmlns:a16="http://schemas.microsoft.com/office/drawing/2014/main" id="{00000000-0008-0000-0300-0000F8331600}"/>
            </a:ext>
          </a:extLst>
        </xdr:cNvPr>
        <xdr:cNvSpPr>
          <a:spLocks noChangeArrowheads="1"/>
        </xdr:cNvSpPr>
      </xdr:nvSpPr>
      <xdr:spPr bwMode="auto">
        <a:xfrm>
          <a:off x="1476375" y="20135850"/>
          <a:ext cx="66675" cy="276225"/>
        </a:xfrm>
        <a:prstGeom prst="downArrow">
          <a:avLst>
            <a:gd name="adj1" fmla="val 50000"/>
            <a:gd name="adj2" fmla="val 10293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509121</xdr:colOff>
      <xdr:row>209</xdr:row>
      <xdr:rowOff>4376</xdr:rowOff>
    </xdr:from>
    <xdr:to>
      <xdr:col>7</xdr:col>
      <xdr:colOff>451590</xdr:colOff>
      <xdr:row>209</xdr:row>
      <xdr:rowOff>4376</xdr:rowOff>
    </xdr:to>
    <xdr:cxnSp macro="">
      <xdr:nvCxnSpPr>
        <xdr:cNvPr id="12" name="Straight Connector 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3468221" y="46609747"/>
          <a:ext cx="4460501" cy="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250</xdr:row>
      <xdr:rowOff>171450</xdr:rowOff>
    </xdr:from>
    <xdr:to>
      <xdr:col>4</xdr:col>
      <xdr:colOff>1371600</xdr:colOff>
      <xdr:row>265</xdr:row>
      <xdr:rowOff>85725</xdr:rowOff>
    </xdr:to>
    <xdr:grpSp>
      <xdr:nvGrpSpPr>
        <xdr:cNvPr id="1455098" name="Group 39">
          <a:extLst>
            <a:ext uri="{FF2B5EF4-FFF2-40B4-BE49-F238E27FC236}">
              <a16:creationId xmlns:a16="http://schemas.microsoft.com/office/drawing/2014/main" id="{00000000-0008-0000-0300-0000FA331600}"/>
            </a:ext>
          </a:extLst>
        </xdr:cNvPr>
        <xdr:cNvGrpSpPr>
          <a:grpSpLocks/>
        </xdr:cNvGrpSpPr>
      </xdr:nvGrpSpPr>
      <xdr:grpSpPr bwMode="auto">
        <a:xfrm>
          <a:off x="498021" y="59022343"/>
          <a:ext cx="5064579" cy="2975882"/>
          <a:chOff x="497623" y="58283462"/>
          <a:chExt cx="5067698" cy="2983017"/>
        </a:xfrm>
      </xdr:grpSpPr>
      <xdr:grpSp>
        <xdr:nvGrpSpPr>
          <xdr:cNvPr id="1456160" name="Group 37">
            <a:extLst>
              <a:ext uri="{FF2B5EF4-FFF2-40B4-BE49-F238E27FC236}">
                <a16:creationId xmlns:a16="http://schemas.microsoft.com/office/drawing/2014/main" id="{00000000-0008-0000-0300-000020381600}"/>
              </a:ext>
            </a:extLst>
          </xdr:cNvPr>
          <xdr:cNvGrpSpPr>
            <a:grpSpLocks/>
          </xdr:cNvGrpSpPr>
        </xdr:nvGrpSpPr>
        <xdr:grpSpPr bwMode="auto">
          <a:xfrm>
            <a:off x="497623" y="58283462"/>
            <a:ext cx="5067698" cy="2983017"/>
            <a:chOff x="497623" y="58283462"/>
            <a:chExt cx="5067698" cy="2983017"/>
          </a:xfrm>
        </xdr:grpSpPr>
        <xdr:grpSp>
          <xdr:nvGrpSpPr>
            <xdr:cNvPr id="1456162" name="Group 31">
              <a:extLst>
                <a:ext uri="{FF2B5EF4-FFF2-40B4-BE49-F238E27FC236}">
                  <a16:creationId xmlns:a16="http://schemas.microsoft.com/office/drawing/2014/main" id="{00000000-0008-0000-0300-00002238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497623" y="58283462"/>
              <a:ext cx="5067698" cy="2983017"/>
              <a:chOff x="497623" y="58283462"/>
              <a:chExt cx="5067698" cy="2983017"/>
            </a:xfrm>
          </xdr:grpSpPr>
          <xdr:grpSp>
            <xdr:nvGrpSpPr>
              <xdr:cNvPr id="1456164" name="Group 24">
                <a:extLst>
                  <a:ext uri="{FF2B5EF4-FFF2-40B4-BE49-F238E27FC236}">
                    <a16:creationId xmlns:a16="http://schemas.microsoft.com/office/drawing/2014/main" id="{00000000-0008-0000-0300-000024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497623" y="58497107"/>
                <a:ext cx="5067698" cy="2769372"/>
                <a:chOff x="497623" y="58497107"/>
                <a:chExt cx="5067698" cy="2769372"/>
              </a:xfrm>
            </xdr:grpSpPr>
            <xdr:grpSp>
              <xdr:nvGrpSpPr>
                <xdr:cNvPr id="1456170" name="Group 17">
                  <a:extLst>
                    <a:ext uri="{FF2B5EF4-FFF2-40B4-BE49-F238E27FC236}">
                      <a16:creationId xmlns:a16="http://schemas.microsoft.com/office/drawing/2014/main" id="{00000000-0008-0000-0300-00002A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497623" y="58497107"/>
                  <a:ext cx="5067698" cy="2769372"/>
                  <a:chOff x="497623" y="58497107"/>
                  <a:chExt cx="5067698" cy="2769372"/>
                </a:xfrm>
              </xdr:grpSpPr>
              <xdr:grpSp>
                <xdr:nvGrpSpPr>
                  <xdr:cNvPr id="1456175" name="Group 15">
                    <a:extLst>
                      <a:ext uri="{FF2B5EF4-FFF2-40B4-BE49-F238E27FC236}">
                        <a16:creationId xmlns:a16="http://schemas.microsoft.com/office/drawing/2014/main" id="{00000000-0008-0000-0300-00002F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7623" y="58497107"/>
                    <a:ext cx="5067698" cy="2769372"/>
                    <a:chOff x="660909" y="58918929"/>
                    <a:chExt cx="4852543" cy="2606086"/>
                  </a:xfrm>
                </xdr:grpSpPr>
                <xdr:sp macro="" textlink="">
                  <xdr:nvSpPr>
                    <xdr:cNvPr id="205" name="Oval 204">
                      <a:extLst>
                        <a:ext uri="{FF2B5EF4-FFF2-40B4-BE49-F238E27FC236}">
                          <a16:creationId xmlns:a16="http://schemas.microsoft.com/office/drawing/2014/main" id="{00000000-0008-0000-0300-0000CD000000}"/>
                        </a:ext>
                      </a:extLst>
                    </xdr:cNvPr>
                    <xdr:cNvSpPr/>
                  </xdr:nvSpPr>
                  <xdr:spPr>
                    <a:xfrm>
                      <a:off x="1837559" y="59726981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06" name="Oval 205">
                      <a:extLst>
                        <a:ext uri="{FF2B5EF4-FFF2-40B4-BE49-F238E27FC236}">
                          <a16:creationId xmlns:a16="http://schemas.microsoft.com/office/drawing/2014/main" id="{00000000-0008-0000-0300-0000CE000000}"/>
                        </a:ext>
                      </a:extLst>
                    </xdr:cNvPr>
                    <xdr:cNvSpPr/>
                  </xdr:nvSpPr>
                  <xdr:spPr>
                    <a:xfrm>
                      <a:off x="2220655" y="59470119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07" name="Oval 206">
                      <a:extLst>
                        <a:ext uri="{FF2B5EF4-FFF2-40B4-BE49-F238E27FC236}">
                          <a16:creationId xmlns:a16="http://schemas.microsoft.com/office/drawing/2014/main" id="{00000000-0008-0000-0300-0000CF000000}"/>
                        </a:ext>
                      </a:extLst>
                    </xdr:cNvPr>
                    <xdr:cNvSpPr/>
                  </xdr:nvSpPr>
                  <xdr:spPr>
                    <a:xfrm>
                      <a:off x="2649357" y="59249952"/>
                      <a:ext cx="118577" cy="100910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08" name="Oval 207">
                      <a:extLst>
                        <a:ext uri="{FF2B5EF4-FFF2-40B4-BE49-F238E27FC236}">
                          <a16:creationId xmlns:a16="http://schemas.microsoft.com/office/drawing/2014/main" id="{00000000-0008-0000-0300-0000D0000000}"/>
                        </a:ext>
                      </a:extLst>
                    </xdr:cNvPr>
                    <xdr:cNvSpPr/>
                  </xdr:nvSpPr>
                  <xdr:spPr>
                    <a:xfrm>
                      <a:off x="2831784" y="59066479"/>
                      <a:ext cx="228033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2" name="Oval 211">
                      <a:extLst>
                        <a:ext uri="{FF2B5EF4-FFF2-40B4-BE49-F238E27FC236}">
                          <a16:creationId xmlns:a16="http://schemas.microsoft.com/office/drawing/2014/main" id="{00000000-0008-0000-0300-0000D4000000}"/>
                        </a:ext>
                      </a:extLst>
                    </xdr:cNvPr>
                    <xdr:cNvSpPr/>
                  </xdr:nvSpPr>
                  <xdr:spPr>
                    <a:xfrm>
                      <a:off x="3616217" y="58956395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4" name="Oval 213">
                      <a:extLst>
                        <a:ext uri="{FF2B5EF4-FFF2-40B4-BE49-F238E27FC236}">
                          <a16:creationId xmlns:a16="http://schemas.microsoft.com/office/drawing/2014/main" id="{00000000-0008-0000-0300-0000D6000000}"/>
                        </a:ext>
                      </a:extLst>
                    </xdr:cNvPr>
                    <xdr:cNvSpPr/>
                  </xdr:nvSpPr>
                  <xdr:spPr>
                    <a:xfrm>
                      <a:off x="4209103" y="58919700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6" name="Oval 215">
                      <a:extLst>
                        <a:ext uri="{FF2B5EF4-FFF2-40B4-BE49-F238E27FC236}">
                          <a16:creationId xmlns:a16="http://schemas.microsoft.com/office/drawing/2014/main" id="{00000000-0008-0000-0300-0000D8000000}"/>
                        </a:ext>
                      </a:extLst>
                    </xdr:cNvPr>
                    <xdr:cNvSpPr/>
                  </xdr:nvSpPr>
                  <xdr:spPr>
                    <a:xfrm>
                      <a:off x="4701654" y="58983916"/>
                      <a:ext cx="118577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17" name="Oval 216">
                      <a:extLst>
                        <a:ext uri="{FF2B5EF4-FFF2-40B4-BE49-F238E27FC236}">
                          <a16:creationId xmlns:a16="http://schemas.microsoft.com/office/drawing/2014/main" id="{00000000-0008-0000-0300-0000D9000000}"/>
                        </a:ext>
                      </a:extLst>
                    </xdr:cNvPr>
                    <xdr:cNvSpPr/>
                  </xdr:nvSpPr>
                  <xdr:spPr>
                    <a:xfrm>
                      <a:off x="3114544" y="59084826"/>
                      <a:ext cx="127699" cy="91736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grpSp>
                  <xdr:nvGrpSpPr>
                    <xdr:cNvPr id="1456185" name="Group 14">
                      <a:extLst>
                        <a:ext uri="{FF2B5EF4-FFF2-40B4-BE49-F238E27FC236}">
                          <a16:creationId xmlns:a16="http://schemas.microsoft.com/office/drawing/2014/main" id="{00000000-0008-0000-0300-000039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660909" y="58936409"/>
                      <a:ext cx="4852543" cy="2588606"/>
                      <a:chOff x="660909" y="58936409"/>
                      <a:chExt cx="4852543" cy="2588606"/>
                    </a:xfrm>
                  </xdr:grpSpPr>
                  <xdr:sp macro="" textlink="">
                    <xdr:nvSpPr>
                      <xdr:cNvPr id="15" name="Block Arc 1">
                        <a:extLst>
                          <a:ext uri="{FF2B5EF4-FFF2-40B4-BE49-F238E27FC236}">
                            <a16:creationId xmlns:a16="http://schemas.microsoft.com/office/drawing/2014/main" id="{00000000-0008-0000-0300-00000F000000}"/>
                          </a:ext>
                        </a:extLst>
                      </xdr:cNvPr>
                      <xdr:cNvSpPr/>
                    </xdr:nvSpPr>
                    <xdr:spPr>
                      <a:xfrm rot="20339608">
                        <a:off x="870699" y="58938048"/>
                        <a:ext cx="4542418" cy="2238368"/>
                      </a:xfrm>
                      <a:prstGeom prst="blockArc">
                        <a:avLst>
                          <a:gd name="adj1" fmla="val 11968811"/>
                          <a:gd name="adj2" fmla="val 21071644"/>
                          <a:gd name="adj3" fmla="val 19658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202" name="Block Arc 201">
                        <a:extLst>
                          <a:ext uri="{FF2B5EF4-FFF2-40B4-BE49-F238E27FC236}">
                            <a16:creationId xmlns:a16="http://schemas.microsoft.com/office/drawing/2014/main" id="{00000000-0008-0000-0300-0000CA000000}"/>
                          </a:ext>
                        </a:extLst>
                      </xdr:cNvPr>
                      <xdr:cNvSpPr/>
                    </xdr:nvSpPr>
                    <xdr:spPr>
                      <a:xfrm rot="19967299">
                        <a:off x="660909" y="59121521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17977894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sp macro="" textlink="">
                    <xdr:nvSpPr>
                      <xdr:cNvPr id="203" name="Block Arc 202">
                        <a:extLst>
                          <a:ext uri="{FF2B5EF4-FFF2-40B4-BE49-F238E27FC236}">
                            <a16:creationId xmlns:a16="http://schemas.microsoft.com/office/drawing/2014/main" id="{00000000-0008-0000-0300-0000CB000000}"/>
                          </a:ext>
                        </a:extLst>
                      </xdr:cNvPr>
                      <xdr:cNvSpPr/>
                    </xdr:nvSpPr>
                    <xdr:spPr>
                      <a:xfrm rot="20294698">
                        <a:off x="971034" y="59286647"/>
                        <a:ext cx="4542418" cy="2238368"/>
                      </a:xfrm>
                      <a:prstGeom prst="blockArc">
                        <a:avLst>
                          <a:gd name="adj1" fmla="val 12513883"/>
                          <a:gd name="adj2" fmla="val 20468663"/>
                          <a:gd name="adj3" fmla="val 0"/>
                        </a:avLst>
                      </a:prstGeom>
                      <a:noFill/>
                    </xdr:spPr>
                    <xdr:style>
                      <a:lnRef idx="2">
                        <a:schemeClr val="dk1">
                          <a:shade val="50000"/>
                        </a:schemeClr>
                      </a:lnRef>
                      <a:fillRef idx="1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  <xdr:cxnSp macro="">
                    <xdr:nvCxnSpPr>
                      <xdr:cNvPr id="16" name="Straight Connector 13">
                        <a:extLst>
                          <a:ext uri="{FF2B5EF4-FFF2-40B4-BE49-F238E27FC236}">
                            <a16:creationId xmlns:a16="http://schemas.microsoft.com/office/drawing/2014/main" id="{00000000-0008-0000-0300-000010000000}"/>
                          </a:ext>
                        </a:extLst>
                      </xdr:cNvPr>
                      <xdr:cNvCxnSpPr>
                        <a:stCxn id="202" idx="1"/>
                        <a:endCxn id="217" idx="0"/>
                      </xdr:cNvCxnSpPr>
                    </xdr:nvCxnSpPr>
                    <xdr:spPr>
                      <a:xfrm>
                        <a:off x="2986846" y="59002264"/>
                        <a:ext cx="191548" cy="8256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223" name="Oval 222">
                      <a:extLst>
                        <a:ext uri="{FF2B5EF4-FFF2-40B4-BE49-F238E27FC236}">
                          <a16:creationId xmlns:a16="http://schemas.microsoft.com/office/drawing/2014/main" id="{00000000-0008-0000-0300-0000DF000000}"/>
                        </a:ext>
                      </a:extLst>
                    </xdr:cNvPr>
                    <xdr:cNvSpPr/>
                  </xdr:nvSpPr>
                  <xdr:spPr>
                    <a:xfrm>
                      <a:off x="2339232" y="5928664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24" name="Oval 223">
                      <a:extLst>
                        <a:ext uri="{FF2B5EF4-FFF2-40B4-BE49-F238E27FC236}">
                          <a16:creationId xmlns:a16="http://schemas.microsoft.com/office/drawing/2014/main" id="{00000000-0008-0000-0300-0000E0000000}"/>
                        </a:ext>
                      </a:extLst>
                    </xdr:cNvPr>
                    <xdr:cNvSpPr/>
                  </xdr:nvSpPr>
                  <xdr:spPr>
                    <a:xfrm>
                      <a:off x="1956137" y="59488466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225" name="Oval 224">
                      <a:extLst>
                        <a:ext uri="{FF2B5EF4-FFF2-40B4-BE49-F238E27FC236}">
                          <a16:creationId xmlns:a16="http://schemas.microsoft.com/office/drawing/2014/main" id="{00000000-0008-0000-0300-0000E1000000}"/>
                        </a:ext>
                      </a:extLst>
                    </xdr:cNvPr>
                    <xdr:cNvSpPr/>
                  </xdr:nvSpPr>
                  <xdr:spPr>
                    <a:xfrm>
                      <a:off x="1509192" y="59791197"/>
                      <a:ext cx="237154" cy="220167"/>
                    </a:xfrm>
                    <a:prstGeom prst="ellipse">
                      <a:avLst/>
                    </a:prstGeom>
                    <a:solidFill>
                      <a:schemeClr val="tx1"/>
                    </a:solidFill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</xdr:grpSp>
              <xdr:sp macro="" textlink="">
                <xdr:nvSpPr>
                  <xdr:cNvPr id="17" name="Rectangle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SpPr/>
                </xdr:nvSpPr>
                <xdr:spPr>
                  <a:xfrm>
                    <a:off x="669086" y="59735977"/>
                    <a:ext cx="962101" cy="643396"/>
                  </a:xfrm>
                  <a:prstGeom prst="rect">
                    <a:avLst/>
                  </a:prstGeom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</xdr:grpSp>
            <xdr:cxnSp macro="">
              <xdr:nvCxnSpPr>
                <xdr:cNvPr id="20" name="Straight Arrow Connector 19">
                  <a:extLst>
                    <a:ext uri="{FF2B5EF4-FFF2-40B4-BE49-F238E27FC236}">
                      <a16:creationId xmlns:a16="http://schemas.microsoft.com/office/drawing/2014/main" id="{00000000-0008-0000-0300-000014000000}"/>
                    </a:ext>
                  </a:extLst>
                </xdr:cNvPr>
                <xdr:cNvCxnSpPr/>
              </xdr:nvCxnSpPr>
              <xdr:spPr>
                <a:xfrm flipV="1">
                  <a:off x="2869534" y="58780631"/>
                  <a:ext cx="0" cy="102358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1" name="Straight Arrow Connector 230">
                  <a:extLst>
                    <a:ext uri="{FF2B5EF4-FFF2-40B4-BE49-F238E27FC236}">
                      <a16:creationId xmlns:a16="http://schemas.microsoft.com/office/drawing/2014/main" id="{00000000-0008-0000-0300-0000E7000000}"/>
                    </a:ext>
                  </a:extLst>
                </xdr:cNvPr>
                <xdr:cNvCxnSpPr/>
              </xdr:nvCxnSpPr>
              <xdr:spPr>
                <a:xfrm flipH="1" flipV="1">
                  <a:off x="2383721" y="59014593"/>
                  <a:ext cx="504865" cy="799371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2" name="Straight Arrow Connector 231">
                  <a:extLst>
                    <a:ext uri="{FF2B5EF4-FFF2-40B4-BE49-F238E27FC236}">
                      <a16:creationId xmlns:a16="http://schemas.microsoft.com/office/drawing/2014/main" id="{00000000-0008-0000-0300-0000E8000000}"/>
                    </a:ext>
                  </a:extLst>
                </xdr:cNvPr>
                <xdr:cNvCxnSpPr/>
              </xdr:nvCxnSpPr>
              <xdr:spPr>
                <a:xfrm flipH="1" flipV="1">
                  <a:off x="1955062" y="59229059"/>
                  <a:ext cx="933523" cy="575157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3" name="Straight Arrow Connector 232">
                  <a:extLst>
                    <a:ext uri="{FF2B5EF4-FFF2-40B4-BE49-F238E27FC236}">
                      <a16:creationId xmlns:a16="http://schemas.microsoft.com/office/drawing/2014/main" id="{00000000-0008-0000-0300-0000E9000000}"/>
                    </a:ext>
                  </a:extLst>
                </xdr:cNvPr>
                <xdr:cNvCxnSpPr/>
              </xdr:nvCxnSpPr>
              <xdr:spPr>
                <a:xfrm flipH="1" flipV="1">
                  <a:off x="1516878" y="59531260"/>
                  <a:ext cx="1390759" cy="272956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39" name="Straight Arrow Connector 238">
                <a:extLst>
                  <a:ext uri="{FF2B5EF4-FFF2-40B4-BE49-F238E27FC236}">
                    <a16:creationId xmlns:a16="http://schemas.microsoft.com/office/drawing/2014/main" id="{00000000-0008-0000-0300-0000EF000000}"/>
                  </a:ext>
                </a:extLst>
              </xdr:cNvPr>
              <xdr:cNvCxnSpPr/>
            </xdr:nvCxnSpPr>
            <xdr:spPr>
              <a:xfrm>
                <a:off x="1488301" y="58283462"/>
                <a:ext cx="523916" cy="740880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241" name="Straight Arrow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/>
            </xdr:nvCxnSpPr>
            <xdr:spPr>
              <a:xfrm flipH="1" flipV="1">
                <a:off x="3688749" y="58683147"/>
                <a:ext cx="933523" cy="467924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243" name="Straight Arrow Connector 242">
                <a:extLst>
                  <a:ext uri="{FF2B5EF4-FFF2-40B4-BE49-F238E27FC236}">
                    <a16:creationId xmlns:a16="http://schemas.microsoft.com/office/drawing/2014/main" id="{00000000-0008-0000-0300-0000F3000000}"/>
                  </a:ext>
                </a:extLst>
              </xdr:cNvPr>
              <xdr:cNvCxnSpPr/>
            </xdr:nvCxnSpPr>
            <xdr:spPr>
              <a:xfrm flipH="1" flipV="1">
                <a:off x="4260294" y="58546669"/>
                <a:ext cx="352453" cy="643396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244" name="Straight Arrow Connector 243">
                <a:extLst>
                  <a:ext uri="{FF2B5EF4-FFF2-40B4-BE49-F238E27FC236}">
                    <a16:creationId xmlns:a16="http://schemas.microsoft.com/office/drawing/2014/main" id="{00000000-0008-0000-0300-0000F4000000}"/>
                  </a:ext>
                </a:extLst>
              </xdr:cNvPr>
              <xdr:cNvCxnSpPr/>
            </xdr:nvCxnSpPr>
            <xdr:spPr>
              <a:xfrm flipV="1">
                <a:off x="4612746" y="58605160"/>
                <a:ext cx="180989" cy="545912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Arrow Connector 30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CxnSpPr/>
            </xdr:nvCxnSpPr>
            <xdr:spPr>
              <a:xfrm flipV="1">
                <a:off x="869127" y="58390695"/>
                <a:ext cx="1752738" cy="1169811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35" name="Straight Arrow Connector 34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CxnSpPr>
              <a:endCxn id="15" idx="0"/>
            </xdr:cNvCxnSpPr>
          </xdr:nvCxnSpPr>
          <xdr:spPr>
            <a:xfrm flipH="1" flipV="1">
              <a:off x="1326363" y="59755474"/>
              <a:ext cx="1857521" cy="506918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CxnSpPr/>
        </xdr:nvCxnSpPr>
        <xdr:spPr>
          <a:xfrm flipH="1" flipV="1">
            <a:off x="3307719" y="58683147"/>
            <a:ext cx="1085935" cy="88710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685800</xdr:colOff>
      <xdr:row>834</xdr:row>
      <xdr:rowOff>95250</xdr:rowOff>
    </xdr:from>
    <xdr:to>
      <xdr:col>5</xdr:col>
      <xdr:colOff>361950</xdr:colOff>
      <xdr:row>849</xdr:row>
      <xdr:rowOff>57150</xdr:rowOff>
    </xdr:to>
    <xdr:grpSp>
      <xdr:nvGrpSpPr>
        <xdr:cNvPr id="1455099" name="Group 9">
          <a:extLst>
            <a:ext uri="{FF2B5EF4-FFF2-40B4-BE49-F238E27FC236}">
              <a16:creationId xmlns:a16="http://schemas.microsoft.com/office/drawing/2014/main" id="{00000000-0008-0000-0300-0000FB331600}"/>
            </a:ext>
          </a:extLst>
        </xdr:cNvPr>
        <xdr:cNvGrpSpPr>
          <a:grpSpLocks/>
        </xdr:cNvGrpSpPr>
      </xdr:nvGrpSpPr>
      <xdr:grpSpPr bwMode="auto">
        <a:xfrm>
          <a:off x="1107621" y="170905714"/>
          <a:ext cx="5391150" cy="3023507"/>
          <a:chOff x="1102533" y="170247389"/>
          <a:chExt cx="5388324" cy="3073845"/>
        </a:xfrm>
      </xdr:grpSpPr>
      <xdr:grpSp>
        <xdr:nvGrpSpPr>
          <xdr:cNvPr id="1455100" name="Group 5">
            <a:extLst>
              <a:ext uri="{FF2B5EF4-FFF2-40B4-BE49-F238E27FC236}">
                <a16:creationId xmlns:a16="http://schemas.microsoft.com/office/drawing/2014/main" id="{00000000-0008-0000-0300-0000FC331600}"/>
              </a:ext>
            </a:extLst>
          </xdr:cNvPr>
          <xdr:cNvGrpSpPr>
            <a:grpSpLocks/>
          </xdr:cNvGrpSpPr>
        </xdr:nvGrpSpPr>
        <xdr:grpSpPr bwMode="auto">
          <a:xfrm>
            <a:off x="1102533" y="170247389"/>
            <a:ext cx="5388324" cy="3073845"/>
            <a:chOff x="842760" y="170264708"/>
            <a:chExt cx="5388324" cy="3073845"/>
          </a:xfrm>
        </xdr:grpSpPr>
        <xdr:sp macro="" textlink="">
          <xdr:nvSpPr>
            <xdr:cNvPr id="14" name="Parallelogram 4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/>
          </xdr:nvSpPr>
          <xdr:spPr>
            <a:xfrm rot="9369034" flipH="1">
              <a:off x="842760" y="170264708"/>
              <a:ext cx="675921" cy="2065703"/>
            </a:xfrm>
            <a:prstGeom prst="parallelogram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grpSp>
          <xdr:nvGrpSpPr>
            <xdr:cNvPr id="1455103" name="Group 39">
              <a:extLst>
                <a:ext uri="{FF2B5EF4-FFF2-40B4-BE49-F238E27FC236}">
                  <a16:creationId xmlns:a16="http://schemas.microsoft.com/office/drawing/2014/main" id="{00000000-0008-0000-0300-0000FF33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254319" y="170306998"/>
              <a:ext cx="4976765" cy="3031555"/>
              <a:chOff x="591566" y="58283462"/>
              <a:chExt cx="4973756" cy="2983024"/>
            </a:xfrm>
          </xdr:grpSpPr>
          <xdr:grpSp>
            <xdr:nvGrpSpPr>
              <xdr:cNvPr id="1456128" name="Group 37">
                <a:extLst>
                  <a:ext uri="{FF2B5EF4-FFF2-40B4-BE49-F238E27FC236}">
                    <a16:creationId xmlns:a16="http://schemas.microsoft.com/office/drawing/2014/main" id="{00000000-0008-0000-0300-00000038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91566" y="58283462"/>
                <a:ext cx="4973756" cy="2983024"/>
                <a:chOff x="591566" y="58283462"/>
                <a:chExt cx="4973756" cy="2983024"/>
              </a:xfrm>
            </xdr:grpSpPr>
            <xdr:grpSp>
              <xdr:nvGrpSpPr>
                <xdr:cNvPr id="1456130" name="Group 31">
                  <a:extLst>
                    <a:ext uri="{FF2B5EF4-FFF2-40B4-BE49-F238E27FC236}">
                      <a16:creationId xmlns:a16="http://schemas.microsoft.com/office/drawing/2014/main" id="{00000000-0008-0000-0300-00000238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91566" y="58283462"/>
                  <a:ext cx="4973756" cy="2983024"/>
                  <a:chOff x="591566" y="58283462"/>
                  <a:chExt cx="4973756" cy="2983024"/>
                </a:xfrm>
              </xdr:grpSpPr>
              <xdr:grpSp>
                <xdr:nvGrpSpPr>
                  <xdr:cNvPr id="1456132" name="Group 24">
                    <a:extLst>
                      <a:ext uri="{FF2B5EF4-FFF2-40B4-BE49-F238E27FC236}">
                        <a16:creationId xmlns:a16="http://schemas.microsoft.com/office/drawing/2014/main" id="{00000000-0008-0000-0300-00000438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91566" y="58497933"/>
                    <a:ext cx="4973756" cy="2768553"/>
                    <a:chOff x="591566" y="58497933"/>
                    <a:chExt cx="4973756" cy="2768553"/>
                  </a:xfrm>
                </xdr:grpSpPr>
                <xdr:grpSp>
                  <xdr:nvGrpSpPr>
                    <xdr:cNvPr id="1456138" name="Group 17">
                      <a:extLst>
                        <a:ext uri="{FF2B5EF4-FFF2-40B4-BE49-F238E27FC236}">
                          <a16:creationId xmlns:a16="http://schemas.microsoft.com/office/drawing/2014/main" id="{00000000-0008-0000-0300-00000A38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91566" y="58497933"/>
                      <a:ext cx="4973756" cy="2768553"/>
                      <a:chOff x="591566" y="58497933"/>
                      <a:chExt cx="4973756" cy="2768553"/>
                    </a:xfrm>
                  </xdr:grpSpPr>
                  <xdr:grpSp>
                    <xdr:nvGrpSpPr>
                      <xdr:cNvPr id="1456143" name="Group 15">
                        <a:extLst>
                          <a:ext uri="{FF2B5EF4-FFF2-40B4-BE49-F238E27FC236}">
                            <a16:creationId xmlns:a16="http://schemas.microsoft.com/office/drawing/2014/main" id="{00000000-0008-0000-0300-00000F3816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91566" y="58497933"/>
                        <a:ext cx="4973756" cy="2768553"/>
                        <a:chOff x="750863" y="58919700"/>
                        <a:chExt cx="4762589" cy="2605315"/>
                      </a:xfrm>
                    </xdr:grpSpPr>
                    <xdr:sp macro="" textlink="">
                      <xdr:nvSpPr>
                        <xdr:cNvPr id="256" name="Oval 255">
                          <a:extLst>
                            <a:ext uri="{FF2B5EF4-FFF2-40B4-BE49-F238E27FC236}">
                              <a16:creationId xmlns:a16="http://schemas.microsoft.com/office/drawing/2014/main" id="{00000000-0008-0000-0300-000000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832886" y="59722053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58" name="Oval 257">
                          <a:extLst>
                            <a:ext uri="{FF2B5EF4-FFF2-40B4-BE49-F238E27FC236}">
                              <a16:creationId xmlns:a16="http://schemas.microsoft.com/office/drawing/2014/main" id="{00000000-0008-0000-0300-00000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215519" y="59465795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59" name="Oval 258">
                          <a:extLst>
                            <a:ext uri="{FF2B5EF4-FFF2-40B4-BE49-F238E27FC236}">
                              <a16:creationId xmlns:a16="http://schemas.microsoft.com/office/drawing/2014/main" id="{00000000-0008-0000-0300-000003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643704" y="59246145"/>
                          <a:ext cx="12754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0" name="Oval 259">
                          <a:extLst>
                            <a:ext uri="{FF2B5EF4-FFF2-40B4-BE49-F238E27FC236}">
                              <a16:creationId xmlns:a16="http://schemas.microsoft.com/office/drawing/2014/main" id="{00000000-0008-0000-0300-000004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35020" y="59063103"/>
                          <a:ext cx="22775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1" name="Oval 260">
                          <a:extLst>
                            <a:ext uri="{FF2B5EF4-FFF2-40B4-BE49-F238E27FC236}">
                              <a16:creationId xmlns:a16="http://schemas.microsoft.com/office/drawing/2014/main" id="{00000000-0008-0000-03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618507" y="58944126"/>
                          <a:ext cx="118434" cy="100673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2" name="Oval 261">
                          <a:extLst>
                            <a:ext uri="{FF2B5EF4-FFF2-40B4-BE49-F238E27FC236}">
                              <a16:creationId xmlns:a16="http://schemas.microsoft.com/office/drawing/2014/main" id="{00000000-0008-0000-0300-00000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210677" y="58916669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3" name="Oval 262">
                          <a:extLst>
                            <a:ext uri="{FF2B5EF4-FFF2-40B4-BE49-F238E27FC236}">
                              <a16:creationId xmlns:a16="http://schemas.microsoft.com/office/drawing/2014/main" id="{00000000-0008-0000-0300-000007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702634" y="58980734"/>
                          <a:ext cx="11843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4" name="Oval 263">
                          <a:extLst>
                            <a:ext uri="{FF2B5EF4-FFF2-40B4-BE49-F238E27FC236}">
                              <a16:creationId xmlns:a16="http://schemas.microsoft.com/office/drawing/2014/main" id="{00000000-0008-0000-0300-000008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117440" y="59081407"/>
                          <a:ext cx="127544" cy="91521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grpSp>
                      <xdr:nvGrpSpPr>
                        <xdr:cNvPr id="1456153" name="Group 14">
                          <a:extLst>
                            <a:ext uri="{FF2B5EF4-FFF2-40B4-BE49-F238E27FC236}">
                              <a16:creationId xmlns:a16="http://schemas.microsoft.com/office/drawing/2014/main" id="{00000000-0008-0000-0300-0000193816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750863" y="58938048"/>
                          <a:ext cx="4762589" cy="2586967"/>
                          <a:chOff x="750863" y="58938048"/>
                          <a:chExt cx="4762589" cy="2586967"/>
                        </a:xfrm>
                      </xdr:grpSpPr>
                      <xdr:sp macro="" textlink="">
                        <xdr:nvSpPr>
                          <xdr:cNvPr id="269" name="Block Arc 268">
                            <a:extLst>
                              <a:ext uri="{FF2B5EF4-FFF2-40B4-BE49-F238E27FC236}">
                                <a16:creationId xmlns:a16="http://schemas.microsoft.com/office/drawing/2014/main" id="{00000000-0008-0000-0300-00000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339608">
                            <a:off x="867193" y="58934973"/>
                            <a:ext cx="4546046" cy="2242262"/>
                          </a:xfrm>
                          <a:prstGeom prst="blockArc">
                            <a:avLst>
                              <a:gd name="adj1" fmla="val 11968811"/>
                              <a:gd name="adj2" fmla="val 21071644"/>
                              <a:gd name="adj3" fmla="val 19658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270" name="Block Arc 269">
                            <a:extLst>
                              <a:ext uri="{FF2B5EF4-FFF2-40B4-BE49-F238E27FC236}">
                                <a16:creationId xmlns:a16="http://schemas.microsoft.com/office/drawing/2014/main" id="{00000000-0008-0000-0300-00000E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147380">
                            <a:off x="748759" y="59044798"/>
                            <a:ext cx="4609818" cy="2269719"/>
                          </a:xfrm>
                          <a:prstGeom prst="blockArc">
                            <a:avLst>
                              <a:gd name="adj1" fmla="val 12513883"/>
                              <a:gd name="adj2" fmla="val 21119501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  <xdr:sp macro="" textlink="">
                        <xdr:nvSpPr>
                          <xdr:cNvPr id="271" name="Block Arc 270">
                            <a:extLst>
                              <a:ext uri="{FF2B5EF4-FFF2-40B4-BE49-F238E27FC236}">
                                <a16:creationId xmlns:a16="http://schemas.microsoft.com/office/drawing/2014/main" id="{00000000-0008-0000-0300-00000F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20294698">
                            <a:off x="967406" y="59282753"/>
                            <a:ext cx="4546046" cy="2242262"/>
                          </a:xfrm>
                          <a:prstGeom prst="blockArc">
                            <a:avLst>
                              <a:gd name="adj1" fmla="val 12513883"/>
                              <a:gd name="adj2" fmla="val 20468663"/>
                              <a:gd name="adj3" fmla="val 0"/>
                            </a:avLst>
                          </a:prstGeom>
                          <a:noFill/>
                        </xdr:spPr>
                        <xdr:style>
                          <a:lnRef idx="2">
                            <a:schemeClr val="dk1">
                              <a:shade val="50000"/>
                            </a:schemeClr>
                          </a:lnRef>
                          <a:fillRef idx="1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endParaRPr lang="en-US"/>
                          </a:p>
                        </xdr:txBody>
                      </xdr:sp>
                    </xdr:grpSp>
                    <xdr:sp macro="" textlink="">
                      <xdr:nvSpPr>
                        <xdr:cNvPr id="266" name="Oval 265">
                          <a:extLst>
                            <a:ext uri="{FF2B5EF4-FFF2-40B4-BE49-F238E27FC236}">
                              <a16:creationId xmlns:a16="http://schemas.microsoft.com/office/drawing/2014/main" id="{00000000-0008-0000-0300-00000A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33953" y="59282753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7" name="Oval 266">
                          <a:extLst>
                            <a:ext uri="{FF2B5EF4-FFF2-40B4-BE49-F238E27FC236}">
                              <a16:creationId xmlns:a16="http://schemas.microsoft.com/office/drawing/2014/main" id="{00000000-0008-0000-0300-00000B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51320" y="59484099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  <xdr:sp macro="" textlink="">
                      <xdr:nvSpPr>
                        <xdr:cNvPr id="268" name="Oval 267">
                          <a:extLst>
                            <a:ext uri="{FF2B5EF4-FFF2-40B4-BE49-F238E27FC236}">
                              <a16:creationId xmlns:a16="http://schemas.microsoft.com/office/drawing/2014/main" id="{00000000-0008-0000-0300-00000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504915" y="59786118"/>
                          <a:ext cx="236868" cy="219650"/>
                        </a:xfrm>
                        <a:prstGeom prst="ellipse">
                          <a:avLst/>
                        </a:prstGeom>
                        <a:solidFill>
                          <a:schemeClr val="tx1"/>
                        </a:solidFill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</xdr:grpSp>
                  <xdr:sp macro="" textlink="">
                    <xdr:nvSpPr>
                      <xdr:cNvPr id="255" name="Rectangle 254">
                        <a:extLst>
                          <a:ext uri="{FF2B5EF4-FFF2-40B4-BE49-F238E27FC236}">
                            <a16:creationId xmlns:a16="http://schemas.microsoft.com/office/drawing/2014/main" id="{00000000-0008-0000-0300-0000FF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65482" y="59729854"/>
                        <a:ext cx="960939" cy="651610"/>
                      </a:xfrm>
                      <a:prstGeom prst="rect">
                        <a:avLst/>
                      </a:prstGeom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endParaRPr lang="en-US"/>
                      </a:p>
                    </xdr:txBody>
                  </xdr:sp>
                </xdr:grpSp>
                <xdr:cxnSp macro="">
                  <xdr:nvCxnSpPr>
                    <xdr:cNvPr id="250" name="Straight Arrow Connector 249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872789" y="58776753"/>
                      <a:ext cx="0" cy="1021180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1" name="Straight Arrow Connector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78048" y="59010165"/>
                      <a:ext cx="513770" cy="797493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2" name="Straight Arrow Connector 251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949906" y="59224127"/>
                      <a:ext cx="941911" cy="573806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53" name="Straight Arrow Connector 252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1512251" y="59525618"/>
                      <a:ext cx="1398595" cy="272315"/>
                    </a:xfrm>
                    <a:prstGeom prst="straightConnector1">
                      <a:avLst/>
                    </a:prstGeom>
                    <a:ln>
                      <a:tailEnd type="triangle"/>
                    </a:ln>
                  </xdr:spPr>
                  <xdr:style>
                    <a:lnRef idx="1">
                      <a:schemeClr val="accent2"/>
                    </a:lnRef>
                    <a:fillRef idx="0">
                      <a:schemeClr val="accent2"/>
                    </a:fillRef>
                    <a:effectRef idx="0">
                      <a:schemeClr val="accent2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242" name="Straight Arrow Connector 241">
                    <a:extLst>
                      <a:ext uri="{FF2B5EF4-FFF2-40B4-BE49-F238E27FC236}">
                        <a16:creationId xmlns:a16="http://schemas.microsoft.com/office/drawing/2014/main" id="{00000000-0008-0000-0300-0000F2000000}"/>
                      </a:ext>
                    </a:extLst>
                  </xdr:cNvPr>
                  <xdr:cNvCxnSpPr/>
                </xdr:nvCxnSpPr>
                <xdr:spPr>
                  <a:xfrm>
                    <a:off x="1483708" y="58280751"/>
                    <a:ext cx="523284" cy="73914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5" name="Straight Arrow Connector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CxnSpPr/>
                </xdr:nvCxnSpPr>
                <xdr:spPr>
                  <a:xfrm flipH="1" flipV="1">
                    <a:off x="3691014" y="58669772"/>
                    <a:ext cx="932397" cy="476551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6" name="Straight Arrow Connector 245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CxnSpPr/>
                </xdr:nvCxnSpPr>
                <xdr:spPr>
                  <a:xfrm flipH="1" flipV="1">
                    <a:off x="4261870" y="58533615"/>
                    <a:ext cx="352027" cy="651610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7" name="Straight Arrow Connector 246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CxnSpPr/>
                </xdr:nvCxnSpPr>
                <xdr:spPr>
                  <a:xfrm flipV="1">
                    <a:off x="4613897" y="58591968"/>
                    <a:ext cx="180771" cy="554355"/>
                  </a:xfrm>
                  <a:prstGeom prst="straightConnector1">
                    <a:avLst/>
                  </a:prstGeom>
                  <a:ln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48" name="Straight Arrow Connector 24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CxnSpPr/>
                </xdr:nvCxnSpPr>
                <xdr:spPr>
                  <a:xfrm flipV="1">
                    <a:off x="865282" y="58387732"/>
                    <a:ext cx="1750622" cy="1167062"/>
                  </a:xfrm>
                  <a:prstGeom prst="straightConnector1">
                    <a:avLst/>
                  </a:prstGeom>
                  <a:ln>
                    <a:headEnd type="triangle"/>
                    <a:tailEnd type="triangle"/>
                  </a:ln>
                </xdr:spPr>
                <xdr:style>
                  <a:lnRef idx="1">
                    <a:schemeClr val="accent2"/>
                  </a:lnRef>
                  <a:fillRef idx="0">
                    <a:schemeClr val="accent2"/>
                  </a:fillRef>
                  <a:effectRef idx="0">
                    <a:schemeClr val="accent2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238" name="Straight Arrow Connector 237">
                  <a:extLst>
                    <a:ext uri="{FF2B5EF4-FFF2-40B4-BE49-F238E27FC236}">
                      <a16:creationId xmlns:a16="http://schemas.microsoft.com/office/drawing/2014/main" id="{00000000-0008-0000-0300-0000EE000000}"/>
                    </a:ext>
                  </a:extLst>
                </xdr:cNvPr>
                <xdr:cNvCxnSpPr>
                  <a:endCxn id="269" idx="0"/>
                </xdr:cNvCxnSpPr>
              </xdr:nvCxnSpPr>
              <xdr:spPr>
                <a:xfrm flipH="1" flipV="1">
                  <a:off x="1321966" y="59749305"/>
                  <a:ext cx="1864793" cy="515453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1">
                  <a:schemeClr val="accent2"/>
                </a:lnRef>
                <a:fillRef idx="0">
                  <a:schemeClr val="accent2"/>
                </a:fillRef>
                <a:effectRef idx="0">
                  <a:schemeClr val="accent2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36" name="Straight Arrow Connector 235">
                <a:extLst>
                  <a:ext uri="{FF2B5EF4-FFF2-40B4-BE49-F238E27FC236}">
                    <a16:creationId xmlns:a16="http://schemas.microsoft.com/office/drawing/2014/main" id="{00000000-0008-0000-0300-0000EC000000}"/>
                  </a:ext>
                </a:extLst>
              </xdr:cNvPr>
              <xdr:cNvCxnSpPr/>
            </xdr:nvCxnSpPr>
            <xdr:spPr>
              <a:xfrm flipH="1" flipV="1">
                <a:off x="3310444" y="58669772"/>
                <a:ext cx="1084625" cy="894748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accent2"/>
              </a:lnRef>
              <a:fillRef idx="0">
                <a:schemeClr val="accent2"/>
              </a:fillRef>
              <a:effectRef idx="0">
                <a:schemeClr val="accent2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273" name="Straight Arrow Connector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CxnSpPr/>
        </xdr:nvCxnSpPr>
        <xdr:spPr bwMode="auto">
          <a:xfrm flipH="1" flipV="1">
            <a:off x="4710616" y="170395645"/>
            <a:ext cx="809201" cy="76104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46</xdr:row>
          <xdr:rowOff>38100</xdr:rowOff>
        </xdr:from>
        <xdr:to>
          <xdr:col>12</xdr:col>
          <xdr:colOff>466725</xdr:colOff>
          <xdr:row>51</xdr:row>
          <xdr:rowOff>38100</xdr:rowOff>
        </xdr:to>
        <xdr:sp macro="" textlink="">
          <xdr:nvSpPr>
            <xdr:cNvPr id="1458995" name="Button 254771" hidden="1">
              <a:extLst>
                <a:ext uri="{63B3BB69-23CF-44E3-9099-C40C66FF867C}">
                  <a14:compatExt spid="_x0000_s1458995"/>
                </a:ext>
                <a:ext uri="{FF2B5EF4-FFF2-40B4-BE49-F238E27FC236}">
                  <a16:creationId xmlns:a16="http://schemas.microsoft.com/office/drawing/2014/main" id="{00000000-0008-0000-0300-00003343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254771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904875</xdr:colOff>
          <xdr:row>0</xdr:row>
          <xdr:rowOff>266700</xdr:rowOff>
        </xdr:from>
        <xdr:to>
          <xdr:col>3</xdr:col>
          <xdr:colOff>323850</xdr:colOff>
          <xdr:row>0</xdr:row>
          <xdr:rowOff>628650</xdr:rowOff>
        </xdr:to>
        <xdr:sp macro="" textlink="">
          <xdr:nvSpPr>
            <xdr:cNvPr id="1458996" name="Object 254772" hidden="1">
              <a:extLst>
                <a:ext uri="{63B3BB69-23CF-44E3-9099-C40C66FF867C}">
                  <a14:compatExt spid="_x0000_s1458996"/>
                </a:ext>
                <a:ext uri="{FF2B5EF4-FFF2-40B4-BE49-F238E27FC236}">
                  <a16:creationId xmlns:a16="http://schemas.microsoft.com/office/drawing/2014/main" id="{00000000-0008-0000-0300-00003443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0</xdr:row>
          <xdr:rowOff>76200</xdr:rowOff>
        </xdr:from>
        <xdr:to>
          <xdr:col>3</xdr:col>
          <xdr:colOff>142875</xdr:colOff>
          <xdr:row>1</xdr:row>
          <xdr:rowOff>276225</xdr:rowOff>
        </xdr:to>
        <xdr:sp macro="" textlink="">
          <xdr:nvSpPr>
            <xdr:cNvPr id="1459201" name="Object 1" hidden="1">
              <a:extLst>
                <a:ext uri="{63B3BB69-23CF-44E3-9099-C40C66FF867C}">
                  <a14:compatExt spid="_x0000_s1459201"/>
                </a:ext>
                <a:ext uri="{FF2B5EF4-FFF2-40B4-BE49-F238E27FC236}">
                  <a16:creationId xmlns:a16="http://schemas.microsoft.com/office/drawing/2014/main" id="{00000000-0008-0000-0400-00000144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11</xdr:row>
      <xdr:rowOff>142875</xdr:rowOff>
    </xdr:from>
    <xdr:to>
      <xdr:col>2</xdr:col>
      <xdr:colOff>0</xdr:colOff>
      <xdr:row>16</xdr:row>
      <xdr:rowOff>142875</xdr:rowOff>
    </xdr:to>
    <xdr:sp macro="" textlink="">
      <xdr:nvSpPr>
        <xdr:cNvPr id="1449188" name="Rectangle 25">
          <a:extLst>
            <a:ext uri="{FF2B5EF4-FFF2-40B4-BE49-F238E27FC236}">
              <a16:creationId xmlns:a16="http://schemas.microsoft.com/office/drawing/2014/main" id="{00000000-0008-0000-0500-0000E41C1600}"/>
            </a:ext>
          </a:extLst>
        </xdr:cNvPr>
        <xdr:cNvSpPr>
          <a:spLocks noChangeArrowheads="1"/>
        </xdr:cNvSpPr>
      </xdr:nvSpPr>
      <xdr:spPr bwMode="auto">
        <a:xfrm>
          <a:off x="1143000" y="3800475"/>
          <a:ext cx="76200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533400</xdr:colOff>
      <xdr:row>10</xdr:row>
      <xdr:rowOff>114300</xdr:rowOff>
    </xdr:from>
    <xdr:to>
      <xdr:col>3</xdr:col>
      <xdr:colOff>485775</xdr:colOff>
      <xdr:row>10</xdr:row>
      <xdr:rowOff>190500</xdr:rowOff>
    </xdr:to>
    <xdr:sp macro="" textlink="">
      <xdr:nvSpPr>
        <xdr:cNvPr id="1449189" name="Rectangle 26">
          <a:extLst>
            <a:ext uri="{FF2B5EF4-FFF2-40B4-BE49-F238E27FC236}">
              <a16:creationId xmlns:a16="http://schemas.microsoft.com/office/drawing/2014/main" id="{00000000-0008-0000-0500-0000E51C1600}"/>
            </a:ext>
          </a:extLst>
        </xdr:cNvPr>
        <xdr:cNvSpPr>
          <a:spLocks noChangeArrowheads="1"/>
        </xdr:cNvSpPr>
      </xdr:nvSpPr>
      <xdr:spPr bwMode="auto">
        <a:xfrm rot="-1370020">
          <a:off x="1143000" y="3571875"/>
          <a:ext cx="117157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523875</xdr:colOff>
      <xdr:row>17</xdr:row>
      <xdr:rowOff>38100</xdr:rowOff>
    </xdr:from>
    <xdr:to>
      <xdr:col>3</xdr:col>
      <xdr:colOff>142875</xdr:colOff>
      <xdr:row>17</xdr:row>
      <xdr:rowOff>133350</xdr:rowOff>
    </xdr:to>
    <xdr:sp macro="" textlink="">
      <xdr:nvSpPr>
        <xdr:cNvPr id="1449190" name="Rectangle 27">
          <a:extLst>
            <a:ext uri="{FF2B5EF4-FFF2-40B4-BE49-F238E27FC236}">
              <a16:creationId xmlns:a16="http://schemas.microsoft.com/office/drawing/2014/main" id="{00000000-0008-0000-0500-0000E61C1600}"/>
            </a:ext>
          </a:extLst>
        </xdr:cNvPr>
        <xdr:cNvSpPr>
          <a:spLocks noChangeArrowheads="1"/>
        </xdr:cNvSpPr>
      </xdr:nvSpPr>
      <xdr:spPr bwMode="auto">
        <a:xfrm rot="1466637">
          <a:off x="1133475" y="4895850"/>
          <a:ext cx="838200" cy="95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17</xdr:row>
      <xdr:rowOff>9525</xdr:rowOff>
    </xdr:from>
    <xdr:to>
      <xdr:col>4</xdr:col>
      <xdr:colOff>533400</xdr:colOff>
      <xdr:row>20</xdr:row>
      <xdr:rowOff>85725</xdr:rowOff>
    </xdr:to>
    <xdr:sp macro="" textlink="">
      <xdr:nvSpPr>
        <xdr:cNvPr id="1449191" name="AutoShape 29">
          <a:extLst>
            <a:ext uri="{FF2B5EF4-FFF2-40B4-BE49-F238E27FC236}">
              <a16:creationId xmlns:a16="http://schemas.microsoft.com/office/drawing/2014/main" id="{00000000-0008-0000-0500-0000E71C1600}"/>
            </a:ext>
          </a:extLst>
        </xdr:cNvPr>
        <xdr:cNvSpPr>
          <a:spLocks noChangeArrowheads="1"/>
        </xdr:cNvSpPr>
      </xdr:nvSpPr>
      <xdr:spPr bwMode="auto">
        <a:xfrm>
          <a:off x="1905000" y="4867275"/>
          <a:ext cx="1209675" cy="6762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2147483646 h 21600"/>
            <a:gd name="T4" fmla="*/ 2147483646 w 21600"/>
            <a:gd name="T5" fmla="*/ 2147483646 h 21600"/>
            <a:gd name="T6" fmla="*/ 2147483646 w 21600"/>
            <a:gd name="T7" fmla="*/ 2147483646 h 21600"/>
            <a:gd name="T8" fmla="*/ 0 60000 65536"/>
            <a:gd name="T9" fmla="*/ 0 60000 65536"/>
            <a:gd name="T10" fmla="*/ 0 60000 65536"/>
            <a:gd name="T11" fmla="*/ 0 60000 65536"/>
            <a:gd name="T12" fmla="*/ 0 w 21600"/>
            <a:gd name="T13" fmla="*/ 0 h 21600"/>
            <a:gd name="T14" fmla="*/ 21600 w 21600"/>
            <a:gd name="T15" fmla="*/ 851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684" y="11367"/>
              </a:moveTo>
              <a:cubicBezTo>
                <a:pt x="2671" y="11178"/>
                <a:pt x="2665" y="10989"/>
                <a:pt x="2665" y="10800"/>
              </a:cubicBezTo>
              <a:cubicBezTo>
                <a:pt x="2665" y="6307"/>
                <a:pt x="6307" y="2665"/>
                <a:pt x="10800" y="2665"/>
              </a:cubicBezTo>
              <a:cubicBezTo>
                <a:pt x="15292" y="2665"/>
                <a:pt x="18935" y="6307"/>
                <a:pt x="18935" y="10800"/>
              </a:cubicBezTo>
              <a:cubicBezTo>
                <a:pt x="18935" y="10989"/>
                <a:pt x="18928" y="11178"/>
                <a:pt x="18915" y="11367"/>
              </a:cubicBezTo>
              <a:lnTo>
                <a:pt x="21573" y="11553"/>
              </a:lnTo>
              <a:cubicBezTo>
                <a:pt x="21591" y="11303"/>
                <a:pt x="21600" y="11051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ubicBezTo>
                <a:pt x="0" y="11051"/>
                <a:pt x="8" y="11303"/>
                <a:pt x="26" y="11553"/>
              </a:cubicBezTo>
              <a:lnTo>
                <a:pt x="2684" y="11367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457200</xdr:colOff>
      <xdr:row>18</xdr:row>
      <xdr:rowOff>142875</xdr:rowOff>
    </xdr:from>
    <xdr:to>
      <xdr:col>6</xdr:col>
      <xdr:colOff>47625</xdr:colOff>
      <xdr:row>18</xdr:row>
      <xdr:rowOff>142875</xdr:rowOff>
    </xdr:to>
    <xdr:sp macro="" textlink="">
      <xdr:nvSpPr>
        <xdr:cNvPr id="1449192" name="Line 30">
          <a:extLst>
            <a:ext uri="{FF2B5EF4-FFF2-40B4-BE49-F238E27FC236}">
              <a16:creationId xmlns:a16="http://schemas.microsoft.com/office/drawing/2014/main" id="{00000000-0008-0000-0500-0000E81C1600}"/>
            </a:ext>
          </a:extLst>
        </xdr:cNvPr>
        <xdr:cNvSpPr>
          <a:spLocks noChangeShapeType="1"/>
        </xdr:cNvSpPr>
      </xdr:nvSpPr>
      <xdr:spPr bwMode="auto">
        <a:xfrm>
          <a:off x="1676400" y="5200650"/>
          <a:ext cx="217170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16</xdr:row>
      <xdr:rowOff>190500</xdr:rowOff>
    </xdr:from>
    <xdr:to>
      <xdr:col>5</xdr:col>
      <xdr:colOff>571500</xdr:colOff>
      <xdr:row>16</xdr:row>
      <xdr:rowOff>190500</xdr:rowOff>
    </xdr:to>
    <xdr:sp macro="" textlink="">
      <xdr:nvSpPr>
        <xdr:cNvPr id="1449193" name="Line 31">
          <a:extLst>
            <a:ext uri="{FF2B5EF4-FFF2-40B4-BE49-F238E27FC236}">
              <a16:creationId xmlns:a16="http://schemas.microsoft.com/office/drawing/2014/main" id="{00000000-0008-0000-0500-0000E91C1600}"/>
            </a:ext>
          </a:extLst>
        </xdr:cNvPr>
        <xdr:cNvSpPr>
          <a:spLocks noChangeShapeType="1"/>
        </xdr:cNvSpPr>
      </xdr:nvSpPr>
      <xdr:spPr bwMode="auto">
        <a:xfrm>
          <a:off x="2609850" y="4848225"/>
          <a:ext cx="1152525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16</xdr:row>
      <xdr:rowOff>47625</xdr:rowOff>
    </xdr:from>
    <xdr:to>
      <xdr:col>6</xdr:col>
      <xdr:colOff>428625</xdr:colOff>
      <xdr:row>16</xdr:row>
      <xdr:rowOff>47625</xdr:rowOff>
    </xdr:to>
    <xdr:sp macro="" textlink="">
      <xdr:nvSpPr>
        <xdr:cNvPr id="1449194" name="Line 32">
          <a:extLst>
            <a:ext uri="{FF2B5EF4-FFF2-40B4-BE49-F238E27FC236}">
              <a16:creationId xmlns:a16="http://schemas.microsoft.com/office/drawing/2014/main" id="{00000000-0008-0000-0500-0000EA1C1600}"/>
            </a:ext>
          </a:extLst>
        </xdr:cNvPr>
        <xdr:cNvSpPr>
          <a:spLocks noChangeShapeType="1"/>
        </xdr:cNvSpPr>
      </xdr:nvSpPr>
      <xdr:spPr bwMode="auto">
        <a:xfrm>
          <a:off x="1333500" y="4705350"/>
          <a:ext cx="289560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12</xdr:row>
      <xdr:rowOff>28575</xdr:rowOff>
    </xdr:from>
    <xdr:to>
      <xdr:col>6</xdr:col>
      <xdr:colOff>523875</xdr:colOff>
      <xdr:row>12</xdr:row>
      <xdr:rowOff>28575</xdr:rowOff>
    </xdr:to>
    <xdr:sp macro="" textlink="">
      <xdr:nvSpPr>
        <xdr:cNvPr id="1449195" name="Line 33">
          <a:extLst>
            <a:ext uri="{FF2B5EF4-FFF2-40B4-BE49-F238E27FC236}">
              <a16:creationId xmlns:a16="http://schemas.microsoft.com/office/drawing/2014/main" id="{00000000-0008-0000-0500-0000EB1C1600}"/>
            </a:ext>
          </a:extLst>
        </xdr:cNvPr>
        <xdr:cNvSpPr>
          <a:spLocks noChangeShapeType="1"/>
        </xdr:cNvSpPr>
      </xdr:nvSpPr>
      <xdr:spPr bwMode="auto">
        <a:xfrm>
          <a:off x="1371600" y="3886200"/>
          <a:ext cx="295275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542925</xdr:colOff>
      <xdr:row>9</xdr:row>
      <xdr:rowOff>76200</xdr:rowOff>
    </xdr:from>
    <xdr:to>
      <xdr:col>6</xdr:col>
      <xdr:colOff>457200</xdr:colOff>
      <xdr:row>9</xdr:row>
      <xdr:rowOff>76200</xdr:rowOff>
    </xdr:to>
    <xdr:sp macro="" textlink="">
      <xdr:nvSpPr>
        <xdr:cNvPr id="1449196" name="Line 34">
          <a:extLst>
            <a:ext uri="{FF2B5EF4-FFF2-40B4-BE49-F238E27FC236}">
              <a16:creationId xmlns:a16="http://schemas.microsoft.com/office/drawing/2014/main" id="{00000000-0008-0000-0500-0000EC1C1600}"/>
            </a:ext>
          </a:extLst>
        </xdr:cNvPr>
        <xdr:cNvSpPr>
          <a:spLocks noChangeShapeType="1"/>
        </xdr:cNvSpPr>
      </xdr:nvSpPr>
      <xdr:spPr bwMode="auto">
        <a:xfrm>
          <a:off x="2371725" y="3333750"/>
          <a:ext cx="1885950" cy="0"/>
        </a:xfrm>
        <a:prstGeom prst="line">
          <a:avLst/>
        </a:prstGeom>
        <a:noFill/>
        <a:ln w="9525">
          <a:solidFill>
            <a:srgbClr val="000000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9525</xdr:rowOff>
    </xdr:from>
    <xdr:to>
      <xdr:col>5</xdr:col>
      <xdr:colOff>0</xdr:colOff>
      <xdr:row>18</xdr:row>
      <xdr:rowOff>133350</xdr:rowOff>
    </xdr:to>
    <xdr:sp macro="" textlink="">
      <xdr:nvSpPr>
        <xdr:cNvPr id="1449197" name="Line 35">
          <a:extLst>
            <a:ext uri="{FF2B5EF4-FFF2-40B4-BE49-F238E27FC236}">
              <a16:creationId xmlns:a16="http://schemas.microsoft.com/office/drawing/2014/main" id="{00000000-0008-0000-0500-0000ED1C1600}"/>
            </a:ext>
          </a:extLst>
        </xdr:cNvPr>
        <xdr:cNvSpPr>
          <a:spLocks noChangeShapeType="1"/>
        </xdr:cNvSpPr>
      </xdr:nvSpPr>
      <xdr:spPr bwMode="auto">
        <a:xfrm>
          <a:off x="3190875" y="486727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504825</xdr:colOff>
      <xdr:row>16</xdr:row>
      <xdr:rowOff>28575</xdr:rowOff>
    </xdr:from>
    <xdr:to>
      <xdr:col>5</xdr:col>
      <xdr:colOff>504825</xdr:colOff>
      <xdr:row>18</xdr:row>
      <xdr:rowOff>133350</xdr:rowOff>
    </xdr:to>
    <xdr:sp macro="" textlink="">
      <xdr:nvSpPr>
        <xdr:cNvPr id="1449198" name="Line 36">
          <a:extLst>
            <a:ext uri="{FF2B5EF4-FFF2-40B4-BE49-F238E27FC236}">
              <a16:creationId xmlns:a16="http://schemas.microsoft.com/office/drawing/2014/main" id="{00000000-0008-0000-0500-0000EE1C1600}"/>
            </a:ext>
          </a:extLst>
        </xdr:cNvPr>
        <xdr:cNvSpPr>
          <a:spLocks noChangeShapeType="1"/>
        </xdr:cNvSpPr>
      </xdr:nvSpPr>
      <xdr:spPr bwMode="auto">
        <a:xfrm>
          <a:off x="3695700" y="4686300"/>
          <a:ext cx="0" cy="5048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333375</xdr:colOff>
      <xdr:row>12</xdr:row>
      <xdr:rowOff>28575</xdr:rowOff>
    </xdr:from>
    <xdr:to>
      <xdr:col>6</xdr:col>
      <xdr:colOff>333375</xdr:colOff>
      <xdr:row>18</xdr:row>
      <xdr:rowOff>114300</xdr:rowOff>
    </xdr:to>
    <xdr:sp macro="" textlink="">
      <xdr:nvSpPr>
        <xdr:cNvPr id="1449199" name="Line 37">
          <a:extLst>
            <a:ext uri="{FF2B5EF4-FFF2-40B4-BE49-F238E27FC236}">
              <a16:creationId xmlns:a16="http://schemas.microsoft.com/office/drawing/2014/main" id="{00000000-0008-0000-0500-0000EF1C1600}"/>
            </a:ext>
          </a:extLst>
        </xdr:cNvPr>
        <xdr:cNvSpPr>
          <a:spLocks noChangeShapeType="1"/>
        </xdr:cNvSpPr>
      </xdr:nvSpPr>
      <xdr:spPr bwMode="auto">
        <a:xfrm flipV="1">
          <a:off x="4133850" y="3886200"/>
          <a:ext cx="0" cy="12858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142875</xdr:colOff>
      <xdr:row>9</xdr:row>
      <xdr:rowOff>66675</xdr:rowOff>
    </xdr:from>
    <xdr:to>
      <xdr:col>7</xdr:col>
      <xdr:colOff>142875</xdr:colOff>
      <xdr:row>18</xdr:row>
      <xdr:rowOff>123825</xdr:rowOff>
    </xdr:to>
    <xdr:sp macro="" textlink="">
      <xdr:nvSpPr>
        <xdr:cNvPr id="1449200" name="Line 38">
          <a:extLst>
            <a:ext uri="{FF2B5EF4-FFF2-40B4-BE49-F238E27FC236}">
              <a16:creationId xmlns:a16="http://schemas.microsoft.com/office/drawing/2014/main" id="{00000000-0008-0000-0500-0000F01C1600}"/>
            </a:ext>
          </a:extLst>
        </xdr:cNvPr>
        <xdr:cNvSpPr>
          <a:spLocks noChangeShapeType="1"/>
        </xdr:cNvSpPr>
      </xdr:nvSpPr>
      <xdr:spPr bwMode="auto">
        <a:xfrm flipV="1">
          <a:off x="4552950" y="3324225"/>
          <a:ext cx="0" cy="18573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12</xdr:row>
      <xdr:rowOff>0</xdr:rowOff>
    </xdr:from>
    <xdr:to>
      <xdr:col>5</xdr:col>
      <xdr:colOff>495300</xdr:colOff>
      <xdr:row>16</xdr:row>
      <xdr:rowOff>28575</xdr:rowOff>
    </xdr:to>
    <xdr:sp macro="" textlink="">
      <xdr:nvSpPr>
        <xdr:cNvPr id="1449201" name="Line 39">
          <a:extLst>
            <a:ext uri="{FF2B5EF4-FFF2-40B4-BE49-F238E27FC236}">
              <a16:creationId xmlns:a16="http://schemas.microsoft.com/office/drawing/2014/main" id="{00000000-0008-0000-0500-0000F11C1600}"/>
            </a:ext>
          </a:extLst>
        </xdr:cNvPr>
        <xdr:cNvSpPr>
          <a:spLocks noChangeShapeType="1"/>
        </xdr:cNvSpPr>
      </xdr:nvSpPr>
      <xdr:spPr bwMode="auto">
        <a:xfrm flipV="1">
          <a:off x="3686175" y="3857625"/>
          <a:ext cx="0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9</xdr:row>
      <xdr:rowOff>66675</xdr:rowOff>
    </xdr:from>
    <xdr:to>
      <xdr:col>5</xdr:col>
      <xdr:colOff>495300</xdr:colOff>
      <xdr:row>11</xdr:row>
      <xdr:rowOff>190500</xdr:rowOff>
    </xdr:to>
    <xdr:sp macro="" textlink="">
      <xdr:nvSpPr>
        <xdr:cNvPr id="1449202" name="Line 40">
          <a:extLst>
            <a:ext uri="{FF2B5EF4-FFF2-40B4-BE49-F238E27FC236}">
              <a16:creationId xmlns:a16="http://schemas.microsoft.com/office/drawing/2014/main" id="{00000000-0008-0000-0500-0000F21C1600}"/>
            </a:ext>
          </a:extLst>
        </xdr:cNvPr>
        <xdr:cNvSpPr>
          <a:spLocks noChangeShapeType="1"/>
        </xdr:cNvSpPr>
      </xdr:nvSpPr>
      <xdr:spPr bwMode="auto">
        <a:xfrm flipV="1">
          <a:off x="3686175" y="3324225"/>
          <a:ext cx="0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485775</xdr:colOff>
      <xdr:row>18</xdr:row>
      <xdr:rowOff>142875</xdr:rowOff>
    </xdr:from>
    <xdr:to>
      <xdr:col>5</xdr:col>
      <xdr:colOff>485775</xdr:colOff>
      <xdr:row>26</xdr:row>
      <xdr:rowOff>104775</xdr:rowOff>
    </xdr:to>
    <xdr:sp macro="" textlink="">
      <xdr:nvSpPr>
        <xdr:cNvPr id="1449203" name="Line 41">
          <a:extLst>
            <a:ext uri="{FF2B5EF4-FFF2-40B4-BE49-F238E27FC236}">
              <a16:creationId xmlns:a16="http://schemas.microsoft.com/office/drawing/2014/main" id="{00000000-0008-0000-0500-0000F31C1600}"/>
            </a:ext>
          </a:extLst>
        </xdr:cNvPr>
        <xdr:cNvSpPr>
          <a:spLocks noChangeShapeType="1"/>
        </xdr:cNvSpPr>
      </xdr:nvSpPr>
      <xdr:spPr bwMode="auto">
        <a:xfrm>
          <a:off x="3676650" y="5200650"/>
          <a:ext cx="0" cy="176212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228600</xdr:colOff>
      <xdr:row>26</xdr:row>
      <xdr:rowOff>142875</xdr:rowOff>
    </xdr:from>
    <xdr:to>
      <xdr:col>6</xdr:col>
      <xdr:colOff>114300</xdr:colOff>
      <xdr:row>26</xdr:row>
      <xdr:rowOff>142875</xdr:rowOff>
    </xdr:to>
    <xdr:sp macro="" textlink="">
      <xdr:nvSpPr>
        <xdr:cNvPr id="1449204" name="Line 42">
          <a:extLst>
            <a:ext uri="{FF2B5EF4-FFF2-40B4-BE49-F238E27FC236}">
              <a16:creationId xmlns:a16="http://schemas.microsoft.com/office/drawing/2014/main" id="{00000000-0008-0000-0500-0000F41C1600}"/>
            </a:ext>
          </a:extLst>
        </xdr:cNvPr>
        <xdr:cNvSpPr>
          <a:spLocks noChangeShapeType="1"/>
        </xdr:cNvSpPr>
      </xdr:nvSpPr>
      <xdr:spPr bwMode="auto">
        <a:xfrm>
          <a:off x="3419475" y="7000875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26</xdr:row>
      <xdr:rowOff>152400</xdr:rowOff>
    </xdr:from>
    <xdr:to>
      <xdr:col>5</xdr:col>
      <xdr:colOff>495300</xdr:colOff>
      <xdr:row>31</xdr:row>
      <xdr:rowOff>85725</xdr:rowOff>
    </xdr:to>
    <xdr:sp macro="" textlink="">
      <xdr:nvSpPr>
        <xdr:cNvPr id="1449205" name="Line 43">
          <a:extLst>
            <a:ext uri="{FF2B5EF4-FFF2-40B4-BE49-F238E27FC236}">
              <a16:creationId xmlns:a16="http://schemas.microsoft.com/office/drawing/2014/main" id="{00000000-0008-0000-0500-0000F51C1600}"/>
            </a:ext>
          </a:extLst>
        </xdr:cNvPr>
        <xdr:cNvSpPr>
          <a:spLocks noChangeShapeType="1"/>
        </xdr:cNvSpPr>
      </xdr:nvSpPr>
      <xdr:spPr bwMode="auto">
        <a:xfrm>
          <a:off x="3686175" y="7010400"/>
          <a:ext cx="0" cy="9334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228600</xdr:colOff>
      <xdr:row>31</xdr:row>
      <xdr:rowOff>85725</xdr:rowOff>
    </xdr:from>
    <xdr:to>
      <xdr:col>6</xdr:col>
      <xdr:colOff>266700</xdr:colOff>
      <xdr:row>31</xdr:row>
      <xdr:rowOff>85725</xdr:rowOff>
    </xdr:to>
    <xdr:sp macro="" textlink="">
      <xdr:nvSpPr>
        <xdr:cNvPr id="1449206" name="Line 44">
          <a:extLst>
            <a:ext uri="{FF2B5EF4-FFF2-40B4-BE49-F238E27FC236}">
              <a16:creationId xmlns:a16="http://schemas.microsoft.com/office/drawing/2014/main" id="{00000000-0008-0000-0500-0000F61C1600}"/>
            </a:ext>
          </a:extLst>
        </xdr:cNvPr>
        <xdr:cNvSpPr>
          <a:spLocks noChangeShapeType="1"/>
        </xdr:cNvSpPr>
      </xdr:nvSpPr>
      <xdr:spPr bwMode="auto">
        <a:xfrm>
          <a:off x="3419475" y="7943850"/>
          <a:ext cx="647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18</xdr:row>
      <xdr:rowOff>142875</xdr:rowOff>
    </xdr:from>
    <xdr:to>
      <xdr:col>5</xdr:col>
      <xdr:colOff>190500</xdr:colOff>
      <xdr:row>31</xdr:row>
      <xdr:rowOff>66675</xdr:rowOff>
    </xdr:to>
    <xdr:sp macro="" textlink="">
      <xdr:nvSpPr>
        <xdr:cNvPr id="1449207" name="Line 45">
          <a:extLst>
            <a:ext uri="{FF2B5EF4-FFF2-40B4-BE49-F238E27FC236}">
              <a16:creationId xmlns:a16="http://schemas.microsoft.com/office/drawing/2014/main" id="{00000000-0008-0000-0500-0000F71C1600}"/>
            </a:ext>
          </a:extLst>
        </xdr:cNvPr>
        <xdr:cNvSpPr>
          <a:spLocks noChangeShapeType="1"/>
        </xdr:cNvSpPr>
      </xdr:nvSpPr>
      <xdr:spPr bwMode="auto">
        <a:xfrm>
          <a:off x="3381375" y="5200650"/>
          <a:ext cx="0" cy="272415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26</xdr:row>
      <xdr:rowOff>114300</xdr:rowOff>
    </xdr:from>
    <xdr:to>
      <xdr:col>1</xdr:col>
      <xdr:colOff>542925</xdr:colOff>
      <xdr:row>26</xdr:row>
      <xdr:rowOff>114300</xdr:rowOff>
    </xdr:to>
    <xdr:sp macro="" textlink="">
      <xdr:nvSpPr>
        <xdr:cNvPr id="1449208" name="Line 52">
          <a:extLst>
            <a:ext uri="{FF2B5EF4-FFF2-40B4-BE49-F238E27FC236}">
              <a16:creationId xmlns:a16="http://schemas.microsoft.com/office/drawing/2014/main" id="{00000000-0008-0000-0500-0000F81C1600}"/>
            </a:ext>
          </a:extLst>
        </xdr:cNvPr>
        <xdr:cNvSpPr>
          <a:spLocks noChangeShapeType="1"/>
        </xdr:cNvSpPr>
      </xdr:nvSpPr>
      <xdr:spPr bwMode="auto">
        <a:xfrm>
          <a:off x="600075" y="6972300"/>
          <a:ext cx="552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23</xdr:row>
      <xdr:rowOff>161925</xdr:rowOff>
    </xdr:from>
    <xdr:to>
      <xdr:col>3</xdr:col>
      <xdr:colOff>152400</xdr:colOff>
      <xdr:row>24</xdr:row>
      <xdr:rowOff>76200</xdr:rowOff>
    </xdr:to>
    <xdr:sp macro="" textlink="">
      <xdr:nvSpPr>
        <xdr:cNvPr id="1449209" name="Oval 47">
          <a:extLst>
            <a:ext uri="{FF2B5EF4-FFF2-40B4-BE49-F238E27FC236}">
              <a16:creationId xmlns:a16="http://schemas.microsoft.com/office/drawing/2014/main" id="{00000000-0008-0000-0500-0000F91C1600}"/>
            </a:ext>
          </a:extLst>
        </xdr:cNvPr>
        <xdr:cNvSpPr>
          <a:spLocks noChangeArrowheads="1"/>
        </xdr:cNvSpPr>
      </xdr:nvSpPr>
      <xdr:spPr bwMode="auto">
        <a:xfrm rot="2611000">
          <a:off x="1857375" y="6419850"/>
          <a:ext cx="123825" cy="114300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152400</xdr:colOff>
      <xdr:row>25</xdr:row>
      <xdr:rowOff>38100</xdr:rowOff>
    </xdr:from>
    <xdr:to>
      <xdr:col>2</xdr:col>
      <xdr:colOff>266700</xdr:colOff>
      <xdr:row>26</xdr:row>
      <xdr:rowOff>0</xdr:rowOff>
    </xdr:to>
    <xdr:sp macro="" textlink="">
      <xdr:nvSpPr>
        <xdr:cNvPr id="1449210" name="Oval 48">
          <a:extLst>
            <a:ext uri="{FF2B5EF4-FFF2-40B4-BE49-F238E27FC236}">
              <a16:creationId xmlns:a16="http://schemas.microsoft.com/office/drawing/2014/main" id="{00000000-0008-0000-0500-0000FA1C1600}"/>
            </a:ext>
          </a:extLst>
        </xdr:cNvPr>
        <xdr:cNvSpPr>
          <a:spLocks noChangeArrowheads="1"/>
        </xdr:cNvSpPr>
      </xdr:nvSpPr>
      <xdr:spPr bwMode="auto">
        <a:xfrm rot="2611000">
          <a:off x="1371600" y="6696075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24</xdr:row>
      <xdr:rowOff>152400</xdr:rowOff>
    </xdr:from>
    <xdr:to>
      <xdr:col>3</xdr:col>
      <xdr:colOff>485775</xdr:colOff>
      <xdr:row>25</xdr:row>
      <xdr:rowOff>114300</xdr:rowOff>
    </xdr:to>
    <xdr:sp macro="" textlink="">
      <xdr:nvSpPr>
        <xdr:cNvPr id="1449211" name="Oval 49">
          <a:extLst>
            <a:ext uri="{FF2B5EF4-FFF2-40B4-BE49-F238E27FC236}">
              <a16:creationId xmlns:a16="http://schemas.microsoft.com/office/drawing/2014/main" id="{00000000-0008-0000-0500-0000FB1C1600}"/>
            </a:ext>
          </a:extLst>
        </xdr:cNvPr>
        <xdr:cNvSpPr>
          <a:spLocks noChangeArrowheads="1"/>
        </xdr:cNvSpPr>
      </xdr:nvSpPr>
      <xdr:spPr bwMode="auto">
        <a:xfrm rot="2611000">
          <a:off x="2200275" y="6610350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800000"/>
          </a:solidFill>
          <a:round/>
          <a:headEnd/>
          <a:tailEnd/>
        </a:ln>
      </xdr:spPr>
    </xdr:sp>
    <xdr:clientData/>
  </xdr:twoCellAnchor>
  <xdr:twoCellAnchor>
    <xdr:from>
      <xdr:col>2</xdr:col>
      <xdr:colOff>228600</xdr:colOff>
      <xdr:row>27</xdr:row>
      <xdr:rowOff>95250</xdr:rowOff>
    </xdr:from>
    <xdr:to>
      <xdr:col>2</xdr:col>
      <xdr:colOff>342900</xdr:colOff>
      <xdr:row>28</xdr:row>
      <xdr:rowOff>57150</xdr:rowOff>
    </xdr:to>
    <xdr:sp macro="" textlink="">
      <xdr:nvSpPr>
        <xdr:cNvPr id="1449212" name="Oval 50">
          <a:extLst>
            <a:ext uri="{FF2B5EF4-FFF2-40B4-BE49-F238E27FC236}">
              <a16:creationId xmlns:a16="http://schemas.microsoft.com/office/drawing/2014/main" id="{00000000-0008-0000-0500-0000FC1C1600}"/>
            </a:ext>
          </a:extLst>
        </xdr:cNvPr>
        <xdr:cNvSpPr>
          <a:spLocks noChangeArrowheads="1"/>
        </xdr:cNvSpPr>
      </xdr:nvSpPr>
      <xdr:spPr bwMode="auto">
        <a:xfrm rot="2611000">
          <a:off x="1447800" y="7153275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26</xdr:row>
      <xdr:rowOff>133350</xdr:rowOff>
    </xdr:from>
    <xdr:to>
      <xdr:col>3</xdr:col>
      <xdr:colOff>276225</xdr:colOff>
      <xdr:row>26</xdr:row>
      <xdr:rowOff>133350</xdr:rowOff>
    </xdr:to>
    <xdr:sp macro="" textlink="">
      <xdr:nvSpPr>
        <xdr:cNvPr id="1449213" name="Line 53">
          <a:extLst>
            <a:ext uri="{FF2B5EF4-FFF2-40B4-BE49-F238E27FC236}">
              <a16:creationId xmlns:a16="http://schemas.microsoft.com/office/drawing/2014/main" id="{00000000-0008-0000-0500-0000FD1C1600}"/>
            </a:ext>
          </a:extLst>
        </xdr:cNvPr>
        <xdr:cNvSpPr>
          <a:spLocks noChangeShapeType="1"/>
        </xdr:cNvSpPr>
      </xdr:nvSpPr>
      <xdr:spPr bwMode="auto">
        <a:xfrm rot="2611000">
          <a:off x="1619250" y="6991350"/>
          <a:ext cx="485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23</xdr:row>
      <xdr:rowOff>142875</xdr:rowOff>
    </xdr:from>
    <xdr:to>
      <xdr:col>3</xdr:col>
      <xdr:colOff>0</xdr:colOff>
      <xdr:row>26</xdr:row>
      <xdr:rowOff>9525</xdr:rowOff>
    </xdr:to>
    <xdr:sp macro="" textlink="">
      <xdr:nvSpPr>
        <xdr:cNvPr id="1449214" name="Line 54">
          <a:extLst>
            <a:ext uri="{FF2B5EF4-FFF2-40B4-BE49-F238E27FC236}">
              <a16:creationId xmlns:a16="http://schemas.microsoft.com/office/drawing/2014/main" id="{00000000-0008-0000-0500-0000FE1C1600}"/>
            </a:ext>
          </a:extLst>
        </xdr:cNvPr>
        <xdr:cNvSpPr>
          <a:spLocks noChangeShapeType="1"/>
        </xdr:cNvSpPr>
      </xdr:nvSpPr>
      <xdr:spPr bwMode="auto">
        <a:xfrm rot="2611000" flipV="1">
          <a:off x="1828800" y="6400800"/>
          <a:ext cx="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23</xdr:row>
      <xdr:rowOff>57150</xdr:rowOff>
    </xdr:from>
    <xdr:to>
      <xdr:col>2</xdr:col>
      <xdr:colOff>438150</xdr:colOff>
      <xdr:row>25</xdr:row>
      <xdr:rowOff>76200</xdr:rowOff>
    </xdr:to>
    <xdr:sp macro="" textlink="">
      <xdr:nvSpPr>
        <xdr:cNvPr id="1449215" name="Line 64">
          <a:extLst>
            <a:ext uri="{FF2B5EF4-FFF2-40B4-BE49-F238E27FC236}">
              <a16:creationId xmlns:a16="http://schemas.microsoft.com/office/drawing/2014/main" id="{00000000-0008-0000-0500-0000FF1C1600}"/>
            </a:ext>
          </a:extLst>
        </xdr:cNvPr>
        <xdr:cNvSpPr>
          <a:spLocks noChangeShapeType="1"/>
        </xdr:cNvSpPr>
      </xdr:nvSpPr>
      <xdr:spPr bwMode="auto">
        <a:xfrm flipV="1">
          <a:off x="1323975" y="6315075"/>
          <a:ext cx="333375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14</xdr:row>
      <xdr:rowOff>38100</xdr:rowOff>
    </xdr:from>
    <xdr:to>
      <xdr:col>5</xdr:col>
      <xdr:colOff>104775</xdr:colOff>
      <xdr:row>14</xdr:row>
      <xdr:rowOff>38100</xdr:rowOff>
    </xdr:to>
    <xdr:sp macro="" textlink="">
      <xdr:nvSpPr>
        <xdr:cNvPr id="1449216" name="Line 65">
          <a:extLst>
            <a:ext uri="{FF2B5EF4-FFF2-40B4-BE49-F238E27FC236}">
              <a16:creationId xmlns:a16="http://schemas.microsoft.com/office/drawing/2014/main" id="{00000000-0008-0000-0500-0000001D1600}"/>
            </a:ext>
          </a:extLst>
        </xdr:cNvPr>
        <xdr:cNvSpPr>
          <a:spLocks noChangeShapeType="1"/>
        </xdr:cNvSpPr>
      </xdr:nvSpPr>
      <xdr:spPr bwMode="auto">
        <a:xfrm>
          <a:off x="1228725" y="4295775"/>
          <a:ext cx="2066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333375</xdr:colOff>
      <xdr:row>27</xdr:row>
      <xdr:rowOff>38100</xdr:rowOff>
    </xdr:from>
    <xdr:to>
      <xdr:col>3</xdr:col>
      <xdr:colOff>447675</xdr:colOff>
      <xdr:row>28</xdr:row>
      <xdr:rowOff>0</xdr:rowOff>
    </xdr:to>
    <xdr:sp macro="" textlink="">
      <xdr:nvSpPr>
        <xdr:cNvPr id="1449217" name="Oval 50">
          <a:extLst>
            <a:ext uri="{FF2B5EF4-FFF2-40B4-BE49-F238E27FC236}">
              <a16:creationId xmlns:a16="http://schemas.microsoft.com/office/drawing/2014/main" id="{00000000-0008-0000-0500-0000011D1600}"/>
            </a:ext>
          </a:extLst>
        </xdr:cNvPr>
        <xdr:cNvSpPr>
          <a:spLocks noChangeArrowheads="1"/>
        </xdr:cNvSpPr>
      </xdr:nvSpPr>
      <xdr:spPr bwMode="auto">
        <a:xfrm rot="2611000">
          <a:off x="2162175" y="7096125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76200</xdr:colOff>
      <xdr:row>28</xdr:row>
      <xdr:rowOff>95250</xdr:rowOff>
    </xdr:from>
    <xdr:to>
      <xdr:col>3</xdr:col>
      <xdr:colOff>190500</xdr:colOff>
      <xdr:row>29</xdr:row>
      <xdr:rowOff>57150</xdr:rowOff>
    </xdr:to>
    <xdr:sp macro="" textlink="">
      <xdr:nvSpPr>
        <xdr:cNvPr id="1449218" name="Oval 50">
          <a:extLst>
            <a:ext uri="{FF2B5EF4-FFF2-40B4-BE49-F238E27FC236}">
              <a16:creationId xmlns:a16="http://schemas.microsoft.com/office/drawing/2014/main" id="{00000000-0008-0000-0500-0000021D1600}"/>
            </a:ext>
          </a:extLst>
        </xdr:cNvPr>
        <xdr:cNvSpPr>
          <a:spLocks noChangeArrowheads="1"/>
        </xdr:cNvSpPr>
      </xdr:nvSpPr>
      <xdr:spPr bwMode="auto">
        <a:xfrm rot="2611000">
          <a:off x="1905000" y="7353300"/>
          <a:ext cx="114300" cy="161925"/>
        </a:xfrm>
        <a:prstGeom prst="ellipse">
          <a:avLst/>
        </a:prstGeom>
        <a:solidFill>
          <a:srgbClr val="9933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88900</xdr:colOff>
      <xdr:row>19</xdr:row>
      <xdr:rowOff>19050</xdr:rowOff>
    </xdr:from>
    <xdr:to>
      <xdr:col>3</xdr:col>
      <xdr:colOff>232972</xdr:colOff>
      <xdr:row>22</xdr:row>
      <xdr:rowOff>22250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24050" y="4248150"/>
          <a:ext cx="13335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438150</xdr:colOff>
      <xdr:row>18</xdr:row>
      <xdr:rowOff>190500</xdr:rowOff>
    </xdr:from>
    <xdr:to>
      <xdr:col>4</xdr:col>
      <xdr:colOff>579231</xdr:colOff>
      <xdr:row>22</xdr:row>
      <xdr:rowOff>60349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867025" y="4219575"/>
          <a:ext cx="142875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</xdr:col>
      <xdr:colOff>142875</xdr:colOff>
      <xdr:row>22</xdr:row>
      <xdr:rowOff>117475</xdr:rowOff>
    </xdr:from>
    <xdr:to>
      <xdr:col>4</xdr:col>
      <xdr:colOff>472592</xdr:colOff>
      <xdr:row>22</xdr:row>
      <xdr:rowOff>117475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1971675" y="4953000"/>
          <a:ext cx="9525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223662</xdr:colOff>
      <xdr:row>335</xdr:row>
      <xdr:rowOff>183367</xdr:rowOff>
    </xdr:from>
    <xdr:to>
      <xdr:col>11</xdr:col>
      <xdr:colOff>380127</xdr:colOff>
      <xdr:row>363</xdr:row>
      <xdr:rowOff>17318</xdr:rowOff>
    </xdr:to>
    <xdr:pic>
      <xdr:nvPicPr>
        <xdr:cNvPr id="1449224" name="Picture 37">
          <a:extLst>
            <a:ext uri="{FF2B5EF4-FFF2-40B4-BE49-F238E27FC236}">
              <a16:creationId xmlns:a16="http://schemas.microsoft.com/office/drawing/2014/main" id="{00000000-0008-0000-0500-0000081D1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662" y="76660458"/>
          <a:ext cx="7412783" cy="5652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285750</xdr:rowOff>
        </xdr:from>
        <xdr:to>
          <xdr:col>4</xdr:col>
          <xdr:colOff>66675</xdr:colOff>
          <xdr:row>0</xdr:row>
          <xdr:rowOff>647700</xdr:rowOff>
        </xdr:to>
        <xdr:sp macro="" textlink="">
          <xdr:nvSpPr>
            <xdr:cNvPr id="1460225" name="Object 1" hidden="1">
              <a:extLst>
                <a:ext uri="{63B3BB69-23CF-44E3-9099-C40C66FF867C}">
                  <a14:compatExt spid="_x0000_s1460225"/>
                </a:ext>
                <a:ext uri="{FF2B5EF4-FFF2-40B4-BE49-F238E27FC236}">
                  <a16:creationId xmlns:a16="http://schemas.microsoft.com/office/drawing/2014/main" id="{00000000-0008-0000-0500-0000014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111125</xdr:colOff>
      <xdr:row>80</xdr:row>
      <xdr:rowOff>149678</xdr:rowOff>
    </xdr:from>
    <xdr:to>
      <xdr:col>4</xdr:col>
      <xdr:colOff>492344</xdr:colOff>
      <xdr:row>80</xdr:row>
      <xdr:rowOff>149678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 bwMode="auto">
        <a:xfrm flipH="1">
          <a:off x="2987675" y="12236903"/>
          <a:ext cx="3812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219075</xdr:colOff>
      <xdr:row>51</xdr:row>
      <xdr:rowOff>152400</xdr:rowOff>
    </xdr:from>
    <xdr:to>
      <xdr:col>7</xdr:col>
      <xdr:colOff>28575</xdr:colOff>
      <xdr:row>68</xdr:row>
      <xdr:rowOff>104775</xdr:rowOff>
    </xdr:to>
    <xdr:grpSp>
      <xdr:nvGrpSpPr>
        <xdr:cNvPr id="1455112" name="Group 44">
          <a:extLst>
            <a:ext uri="{FF2B5EF4-FFF2-40B4-BE49-F238E27FC236}">
              <a16:creationId xmlns:a16="http://schemas.microsoft.com/office/drawing/2014/main" id="{00000000-0008-0000-0600-000008341600}"/>
            </a:ext>
          </a:extLst>
        </xdr:cNvPr>
        <xdr:cNvGrpSpPr>
          <a:grpSpLocks/>
        </xdr:cNvGrpSpPr>
      </xdr:nvGrpSpPr>
      <xdr:grpSpPr bwMode="auto">
        <a:xfrm>
          <a:off x="1362075" y="10725150"/>
          <a:ext cx="4122964" cy="2782661"/>
          <a:chOff x="1171575" y="6561364"/>
          <a:chExt cx="2735036" cy="2724151"/>
        </a:xfrm>
      </xdr:grpSpPr>
      <xdr:grpSp>
        <xdr:nvGrpSpPr>
          <xdr:cNvPr id="1455142" name="Group 41">
            <a:extLst>
              <a:ext uri="{FF2B5EF4-FFF2-40B4-BE49-F238E27FC236}">
                <a16:creationId xmlns:a16="http://schemas.microsoft.com/office/drawing/2014/main" id="{00000000-0008-0000-0600-000026341600}"/>
              </a:ext>
            </a:extLst>
          </xdr:cNvPr>
          <xdr:cNvGrpSpPr>
            <a:grpSpLocks/>
          </xdr:cNvGrpSpPr>
        </xdr:nvGrpSpPr>
        <xdr:grpSpPr bwMode="auto">
          <a:xfrm>
            <a:off x="1171575" y="6561364"/>
            <a:ext cx="2735036" cy="2286000"/>
            <a:chOff x="2073942" y="11064875"/>
            <a:chExt cx="5018284" cy="4154297"/>
          </a:xfrm>
        </xdr:grpSpPr>
        <xdr:grpSp>
          <xdr:nvGrpSpPr>
            <xdr:cNvPr id="1455147" name="Group 44">
              <a:extLst>
                <a:ext uri="{FF2B5EF4-FFF2-40B4-BE49-F238E27FC236}">
                  <a16:creationId xmlns:a16="http://schemas.microsoft.com/office/drawing/2014/main" id="{00000000-0008-0000-0600-00002B34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2073942" y="11064875"/>
              <a:ext cx="3968181" cy="4154297"/>
              <a:chOff x="2343817" y="11652250"/>
              <a:chExt cx="3968181" cy="4154297"/>
            </a:xfrm>
          </xdr:grpSpPr>
          <xdr:sp macro="" textlink="">
            <xdr:nvSpPr>
              <xdr:cNvPr id="12" name="Oval 11">
                <a:extLst>
                  <a:ext uri="{FF2B5EF4-FFF2-40B4-BE49-F238E27FC236}">
                    <a16:creationId xmlns:a16="http://schemas.microsoft.com/office/drawing/2014/main" id="{00000000-0008-0000-0600-00000C000000}"/>
                  </a:ext>
                </a:extLst>
              </xdr:cNvPr>
              <xdr:cNvSpPr/>
            </xdr:nvSpPr>
            <xdr:spPr>
              <a:xfrm>
                <a:off x="2343817" y="11652250"/>
                <a:ext cx="3954500" cy="4148211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  <xdr:sp macro="" textlink="">
            <xdr:nvSpPr>
              <xdr:cNvPr id="13" name="Oval 12">
                <a:extLst>
                  <a:ext uri="{FF2B5EF4-FFF2-40B4-BE49-F238E27FC236}">
                    <a16:creationId xmlns:a16="http://schemas.microsoft.com/office/drawing/2014/main" id="{00000000-0008-0000-0600-00000D000000}"/>
                  </a:ext>
                </a:extLst>
              </xdr:cNvPr>
              <xdr:cNvSpPr/>
            </xdr:nvSpPr>
            <xdr:spPr>
              <a:xfrm>
                <a:off x="3141655" y="12369225"/>
                <a:ext cx="2520705" cy="2645978"/>
              </a:xfrm>
              <a:prstGeom prst="ellipse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endParaRPr lang="en-US"/>
              </a:p>
            </xdr:txBody>
          </xdr:sp>
        </xdr:grpSp>
        <xdr:sp macro="" textlink="">
          <xdr:nvSpPr>
            <xdr:cNvPr id="10" name="Up Arrow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/>
          </xdr:nvSpPr>
          <xdr:spPr>
            <a:xfrm>
              <a:off x="6895657" y="12976807"/>
              <a:ext cx="196569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11" name="Up Arrow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SpPr/>
          </xdr:nvSpPr>
          <xdr:spPr>
            <a:xfrm>
              <a:off x="5080287" y="12908524"/>
              <a:ext cx="92503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</xdr:grp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>
            <a:endCxn id="13" idx="6"/>
          </xdr:cNvCxnSpPr>
        </xdr:nvCxnSpPr>
        <xdr:spPr>
          <a:xfrm flipV="1">
            <a:off x="1606408" y="7688599"/>
            <a:ext cx="1386424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 flipV="1">
            <a:off x="1196783" y="9078855"/>
            <a:ext cx="2117447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411048" y="6777417"/>
            <a:ext cx="1783445" cy="1850544"/>
          </a:xfrm>
          <a:prstGeom prst="ellipse">
            <a:avLst/>
          </a:prstGeom>
          <a:noFill/>
          <a:ln w="762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CxnSpPr/>
        </xdr:nvCxnSpPr>
        <xdr:spPr>
          <a:xfrm flipV="1">
            <a:off x="1436256" y="9276121"/>
            <a:ext cx="1676312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15875</xdr:colOff>
      <xdr:row>423</xdr:row>
      <xdr:rowOff>3176</xdr:rowOff>
    </xdr:from>
    <xdr:to>
      <xdr:col>26</xdr:col>
      <xdr:colOff>17</xdr:colOff>
      <xdr:row>424</xdr:row>
      <xdr:rowOff>138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V="1">
          <a:off x="16589375" y="57597676"/>
          <a:ext cx="565167" cy="15239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72</xdr:row>
      <xdr:rowOff>152400</xdr:rowOff>
    </xdr:from>
    <xdr:to>
      <xdr:col>7</xdr:col>
      <xdr:colOff>190500</xdr:colOff>
      <xdr:row>83</xdr:row>
      <xdr:rowOff>47625</xdr:rowOff>
    </xdr:to>
    <xdr:grpSp>
      <xdr:nvGrpSpPr>
        <xdr:cNvPr id="1455114" name="Group 35">
          <a:extLst>
            <a:ext uri="{FF2B5EF4-FFF2-40B4-BE49-F238E27FC236}">
              <a16:creationId xmlns:a16="http://schemas.microsoft.com/office/drawing/2014/main" id="{00000000-0008-0000-0600-00000A341600}"/>
            </a:ext>
          </a:extLst>
        </xdr:cNvPr>
        <xdr:cNvGrpSpPr>
          <a:grpSpLocks/>
        </xdr:cNvGrpSpPr>
      </xdr:nvGrpSpPr>
      <xdr:grpSpPr bwMode="auto">
        <a:xfrm>
          <a:off x="395968" y="14208579"/>
          <a:ext cx="5250996" cy="1704975"/>
          <a:chOff x="387163" y="10192868"/>
          <a:chExt cx="5193366" cy="1632140"/>
        </a:xfrm>
      </xdr:grpSpPr>
      <xdr:grpSp>
        <xdr:nvGrpSpPr>
          <xdr:cNvPr id="1455123" name="Group 49">
            <a:extLst>
              <a:ext uri="{FF2B5EF4-FFF2-40B4-BE49-F238E27FC236}">
                <a16:creationId xmlns:a16="http://schemas.microsoft.com/office/drawing/2014/main" id="{00000000-0008-0000-0600-000013341600}"/>
              </a:ext>
            </a:extLst>
          </xdr:cNvPr>
          <xdr:cNvGrpSpPr>
            <a:grpSpLocks/>
          </xdr:cNvGrpSpPr>
        </xdr:nvGrpSpPr>
        <xdr:grpSpPr bwMode="auto">
          <a:xfrm>
            <a:off x="387163" y="10192868"/>
            <a:ext cx="5193366" cy="1632140"/>
            <a:chOff x="397328" y="9990360"/>
            <a:chExt cx="3668486" cy="1690013"/>
          </a:xfrm>
        </xdr:grpSpPr>
        <xdr:grpSp>
          <xdr:nvGrpSpPr>
            <xdr:cNvPr id="1455125" name="Group 9">
              <a:extLst>
                <a:ext uri="{FF2B5EF4-FFF2-40B4-BE49-F238E27FC236}">
                  <a16:creationId xmlns:a16="http://schemas.microsoft.com/office/drawing/2014/main" id="{00000000-0008-0000-0600-00001534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97328" y="9990360"/>
              <a:ext cx="3668486" cy="1336730"/>
              <a:chOff x="397328" y="9010646"/>
              <a:chExt cx="3668486" cy="1336729"/>
            </a:xfrm>
          </xdr:grpSpPr>
          <xdr:grpSp>
            <xdr:nvGrpSpPr>
              <xdr:cNvPr id="1455127" name="Group 2">
                <a:extLst>
                  <a:ext uri="{FF2B5EF4-FFF2-40B4-BE49-F238E27FC236}">
                    <a16:creationId xmlns:a16="http://schemas.microsoft.com/office/drawing/2014/main" id="{00000000-0008-0000-0600-00001734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97328" y="9010646"/>
                <a:ext cx="3668486" cy="1336729"/>
                <a:chOff x="397328" y="9010646"/>
                <a:chExt cx="3668486" cy="1336729"/>
              </a:xfrm>
            </xdr:grpSpPr>
            <xdr:grpSp>
              <xdr:nvGrpSpPr>
                <xdr:cNvPr id="1455129" name="Group 7">
                  <a:extLst>
                    <a:ext uri="{FF2B5EF4-FFF2-40B4-BE49-F238E27FC236}">
                      <a16:creationId xmlns:a16="http://schemas.microsoft.com/office/drawing/2014/main" id="{00000000-0008-0000-0600-00001934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97328" y="9010646"/>
                  <a:ext cx="3668486" cy="1336729"/>
                  <a:chOff x="490257" y="13205021"/>
                  <a:chExt cx="5269772" cy="1748213"/>
                </a:xfrm>
              </xdr:grpSpPr>
              <xdr:cxnSp macro="">
                <xdr:nvCxnSpPr>
                  <xdr:cNvPr id="21" name="Straight Connector 20">
                    <a:extLst>
                      <a:ext uri="{FF2B5EF4-FFF2-40B4-BE49-F238E27FC236}">
                        <a16:creationId xmlns:a16="http://schemas.microsoft.com/office/drawing/2014/main" id="{00000000-0008-0000-0600-000015000000}"/>
                      </a:ext>
                    </a:extLst>
                  </xdr:cNvPr>
                  <xdr:cNvCxnSpPr/>
                </xdr:nvCxnSpPr>
                <xdr:spPr>
                  <a:xfrm flipV="1">
                    <a:off x="2418688" y="13866846"/>
                    <a:ext cx="0" cy="586901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grpSp>
                <xdr:nvGrpSpPr>
                  <xdr:cNvPr id="1455132" name="Group 119">
                    <a:extLst>
                      <a:ext uri="{FF2B5EF4-FFF2-40B4-BE49-F238E27FC236}">
                        <a16:creationId xmlns:a16="http://schemas.microsoft.com/office/drawing/2014/main" id="{00000000-0008-0000-0600-00001C34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0257" y="13205021"/>
                    <a:ext cx="5269772" cy="1748213"/>
                    <a:chOff x="490257" y="13205021"/>
                    <a:chExt cx="5269772" cy="1748213"/>
                  </a:xfrm>
                </xdr:grpSpPr>
                <xdr:sp macro="" textlink="">
                  <xdr:nvSpPr>
                    <xdr:cNvPr id="24" name="Rectangle 23">
                      <a:extLst>
                        <a:ext uri="{FF2B5EF4-FFF2-40B4-BE49-F238E27FC236}">
                          <a16:creationId xmlns:a16="http://schemas.microsoft.com/office/drawing/2014/main" id="{00000000-0008-0000-0600-000018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316077" y="13205021"/>
                      <a:ext cx="162294" cy="1148828"/>
                    </a:xfrm>
                    <a:prstGeom prst="rect">
                      <a:avLst/>
                    </a:prstGeom>
                    <a:noFill/>
                    <a:ln w="3810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cxnSp macro="">
                  <xdr:nvCxnSpPr>
                    <xdr:cNvPr id="26" name="Straight Arrow Connector 25">
                      <a:extLst>
                        <a:ext uri="{FF2B5EF4-FFF2-40B4-BE49-F238E27FC236}">
                          <a16:creationId xmlns:a16="http://schemas.microsoft.com/office/drawing/2014/main" id="{00000000-0008-0000-0600-00001A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5721842" y="14403798"/>
                      <a:ext cx="38187" cy="437054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7" name="Straight Arrow Connector 26">
                      <a:extLst>
                        <a:ext uri="{FF2B5EF4-FFF2-40B4-BE49-F238E27FC236}">
                          <a16:creationId xmlns:a16="http://schemas.microsoft.com/office/drawing/2014/main" id="{00000000-0008-0000-0600-00001B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447328" y="13279945"/>
                      <a:ext cx="859202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8" name="Straight Arrow Connector 27">
                      <a:extLst>
                        <a:ext uri="{FF2B5EF4-FFF2-40B4-BE49-F238E27FC236}">
                          <a16:creationId xmlns:a16="http://schemas.microsoft.com/office/drawing/2014/main" id="{00000000-0008-0000-0600-00001C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2741" y="13579639"/>
                      <a:ext cx="1517923" cy="24975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9" name="Straight Arrow Connector 28">
                      <a:extLst>
                        <a:ext uri="{FF2B5EF4-FFF2-40B4-BE49-F238E27FC236}">
                          <a16:creationId xmlns:a16="http://schemas.microsoft.com/office/drawing/2014/main" id="{00000000-0008-0000-0600-00001D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2741" y="13804410"/>
                      <a:ext cx="1842511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0" name="Straight Connector 29">
                      <a:extLst>
                        <a:ext uri="{FF2B5EF4-FFF2-40B4-BE49-F238E27FC236}">
                          <a16:creationId xmlns:a16="http://schemas.microsoft.com/office/drawing/2014/main" id="{00000000-0008-0000-0600-00001E000000}"/>
                        </a:ext>
                      </a:extLst>
                    </xdr:cNvPr>
                    <xdr:cNvCxnSpPr/>
                  </xdr:nvCxnSpPr>
                  <xdr:spPr bwMode="auto">
                    <a:xfrm flipV="1">
                      <a:off x="3621571" y="13542177"/>
                      <a:ext cx="0" cy="474516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1" name="Straight Arrow Connector 30">
                      <a:extLst>
                        <a:ext uri="{FF2B5EF4-FFF2-40B4-BE49-F238E27FC236}">
                          <a16:creationId xmlns:a16="http://schemas.microsoft.com/office/drawing/2014/main" id="{00000000-0008-0000-0600-00001F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490257" y="14216489"/>
                      <a:ext cx="1899791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" name="Straight Arrow Connector 31">
                      <a:extLst>
                        <a:ext uri="{FF2B5EF4-FFF2-40B4-BE49-F238E27FC236}">
                          <a16:creationId xmlns:a16="http://schemas.microsoft.com/office/drawing/2014/main" id="{00000000-0008-0000-0600-000020000000}"/>
                        </a:ext>
                      </a:extLst>
                    </xdr:cNvPr>
                    <xdr:cNvCxnSpPr/>
                  </xdr:nvCxnSpPr>
                  <xdr:spPr bwMode="auto">
                    <a:xfrm flipH="1">
                      <a:off x="1750420" y="14953238"/>
                      <a:ext cx="668268" cy="0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3" name="Straight Arrow Connector 32">
                      <a:extLst>
                        <a:ext uri="{FF2B5EF4-FFF2-40B4-BE49-F238E27FC236}">
                          <a16:creationId xmlns:a16="http://schemas.microsoft.com/office/drawing/2014/main" id="{00000000-0008-0000-0600-000021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1244445" y="14578620"/>
                      <a:ext cx="544161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00000000-0008-0000-0600-000014000000}"/>
                    </a:ext>
                  </a:extLst>
                </xdr:cNvPr>
                <xdr:cNvSpPr/>
              </xdr:nvSpPr>
              <xdr:spPr>
                <a:xfrm>
                  <a:off x="2258154" y="9812685"/>
                  <a:ext cx="318999" cy="420116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en-US"/>
                </a:p>
              </xdr:txBody>
            </xdr:sp>
          </xdr:grpSp>
          <xdr:cxnSp macro="">
            <xdr:nvCxnSpPr>
              <xdr:cNvPr id="18" name="Straight Arrow Connector 17">
                <a:extLst>
                  <a:ext uri="{FF2B5EF4-FFF2-40B4-BE49-F238E27FC236}">
                    <a16:creationId xmlns:a16="http://schemas.microsoft.com/office/drawing/2014/main" id="{00000000-0008-0000-0600-000012000000}"/>
                  </a:ext>
                </a:extLst>
              </xdr:cNvPr>
              <xdr:cNvCxnSpPr/>
            </xdr:nvCxnSpPr>
            <xdr:spPr bwMode="auto">
              <a:xfrm>
                <a:off x="2670194" y="9812685"/>
                <a:ext cx="19937" cy="429664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6" name="Straight Arrow Connector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CxnSpPr/>
          </xdr:nvCxnSpPr>
          <xdr:spPr>
            <a:xfrm flipV="1">
              <a:off x="1267929" y="11670825"/>
              <a:ext cx="2213054" cy="9548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/>
        </xdr:nvSpPr>
        <xdr:spPr>
          <a:xfrm>
            <a:off x="1647871" y="11105760"/>
            <a:ext cx="3358753" cy="276634"/>
          </a:xfrm>
          <a:prstGeom prst="rect">
            <a:avLst/>
          </a:prstGeom>
          <a:noFill/>
          <a:ln w="38100"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</xdr:grpSp>
    <xdr:clientData/>
  </xdr:twoCellAnchor>
  <xdr:twoCellAnchor>
    <xdr:from>
      <xdr:col>2</xdr:col>
      <xdr:colOff>742950</xdr:colOff>
      <xdr:row>192</xdr:row>
      <xdr:rowOff>28575</xdr:rowOff>
    </xdr:from>
    <xdr:to>
      <xdr:col>6</xdr:col>
      <xdr:colOff>609600</xdr:colOff>
      <xdr:row>194</xdr:row>
      <xdr:rowOff>114300</xdr:rowOff>
    </xdr:to>
    <xdr:grpSp>
      <xdr:nvGrpSpPr>
        <xdr:cNvPr id="1455115" name="Group 35">
          <a:extLst>
            <a:ext uri="{FF2B5EF4-FFF2-40B4-BE49-F238E27FC236}">
              <a16:creationId xmlns:a16="http://schemas.microsoft.com/office/drawing/2014/main" id="{00000000-0008-0000-0600-00000B341600}"/>
            </a:ext>
          </a:extLst>
        </xdr:cNvPr>
        <xdr:cNvGrpSpPr>
          <a:grpSpLocks/>
        </xdr:cNvGrpSpPr>
      </xdr:nvGrpSpPr>
      <xdr:grpSpPr bwMode="auto">
        <a:xfrm>
          <a:off x="1885950" y="35461575"/>
          <a:ext cx="3241221" cy="412296"/>
          <a:chOff x="1431636" y="1368714"/>
          <a:chExt cx="3434196" cy="405245"/>
        </a:xfrm>
      </xdr:grpSpPr>
      <xdr:sp macro="" textlink="">
        <xdr:nvSpPr>
          <xdr:cNvPr id="1455120" name="Rectangle 15">
            <a:extLst>
              <a:ext uri="{FF2B5EF4-FFF2-40B4-BE49-F238E27FC236}">
                <a16:creationId xmlns:a16="http://schemas.microsoft.com/office/drawing/2014/main" id="{00000000-0008-0000-0600-000010341600}"/>
              </a:ext>
            </a:extLst>
          </xdr:cNvPr>
          <xdr:cNvSpPr>
            <a:spLocks noChangeArrowheads="1"/>
          </xdr:cNvSpPr>
        </xdr:nvSpPr>
        <xdr:spPr bwMode="auto">
          <a:xfrm>
            <a:off x="1431636" y="1368714"/>
            <a:ext cx="3313698" cy="405245"/>
          </a:xfrm>
          <a:prstGeom prst="rect">
            <a:avLst/>
          </a:prstGeom>
          <a:solidFill>
            <a:srgbClr val="FF00FF">
              <a:alpha val="10196"/>
            </a:srgbClr>
          </a:solidFill>
          <a:ln w="9525" algn="ctr">
            <a:solidFill>
              <a:srgbClr val="000000"/>
            </a:solidFill>
            <a:miter lim="800000"/>
            <a:headEnd/>
            <a:tailEnd/>
          </a:ln>
          <a:effectLst>
            <a:outerShdw dist="35921" dir="2700000" algn="ctr" rotWithShape="0">
              <a:srgbClr val="000000"/>
            </a:outerShdw>
          </a:effectLst>
        </xdr:spPr>
      </xdr:sp>
      <xdr:sp macro="" textlink="">
        <xdr:nvSpPr>
          <xdr:cNvPr id="1455121" name="Line 17">
            <a:extLst>
              <a:ext uri="{FF2B5EF4-FFF2-40B4-BE49-F238E27FC236}">
                <a16:creationId xmlns:a16="http://schemas.microsoft.com/office/drawing/2014/main" id="{00000000-0008-0000-0600-000011341600}"/>
              </a:ext>
            </a:extLst>
          </xdr:cNvPr>
          <xdr:cNvSpPr>
            <a:spLocks noChangeShapeType="1"/>
          </xdr:cNvSpPr>
        </xdr:nvSpPr>
        <xdr:spPr bwMode="auto">
          <a:xfrm>
            <a:off x="1431636" y="1623170"/>
            <a:ext cx="3122909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5122" name="Line 21">
            <a:extLst>
              <a:ext uri="{FF2B5EF4-FFF2-40B4-BE49-F238E27FC236}">
                <a16:creationId xmlns:a16="http://schemas.microsoft.com/office/drawing/2014/main" id="{00000000-0008-0000-0600-000012341600}"/>
              </a:ext>
            </a:extLst>
          </xdr:cNvPr>
          <xdr:cNvSpPr>
            <a:spLocks noChangeShapeType="1"/>
          </xdr:cNvSpPr>
        </xdr:nvSpPr>
        <xdr:spPr bwMode="auto">
          <a:xfrm>
            <a:off x="4865832" y="1368714"/>
            <a:ext cx="0" cy="38639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771525</xdr:colOff>
      <xdr:row>197</xdr:row>
      <xdr:rowOff>0</xdr:rowOff>
    </xdr:from>
    <xdr:to>
      <xdr:col>2</xdr:col>
      <xdr:colOff>76200</xdr:colOff>
      <xdr:row>198</xdr:row>
      <xdr:rowOff>28575</xdr:rowOff>
    </xdr:to>
    <xdr:sp macro="" textlink="">
      <xdr:nvSpPr>
        <xdr:cNvPr id="1455116" name="Text Box 12">
          <a:extLst>
            <a:ext uri="{FF2B5EF4-FFF2-40B4-BE49-F238E27FC236}">
              <a16:creationId xmlns:a16="http://schemas.microsoft.com/office/drawing/2014/main" id="{00000000-0008-0000-0600-00000C341600}"/>
            </a:ext>
          </a:extLst>
        </xdr:cNvPr>
        <xdr:cNvSpPr txBox="1">
          <a:spLocks noChangeArrowheads="1"/>
        </xdr:cNvSpPr>
      </xdr:nvSpPr>
      <xdr:spPr bwMode="auto">
        <a:xfrm>
          <a:off x="1133475" y="359664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542925</xdr:colOff>
      <xdr:row>197</xdr:row>
      <xdr:rowOff>0</xdr:rowOff>
    </xdr:from>
    <xdr:to>
      <xdr:col>3</xdr:col>
      <xdr:colOff>647700</xdr:colOff>
      <xdr:row>198</xdr:row>
      <xdr:rowOff>133350</xdr:rowOff>
    </xdr:to>
    <xdr:sp macro="" textlink="">
      <xdr:nvSpPr>
        <xdr:cNvPr id="1455117" name="Text Box 13">
          <a:extLst>
            <a:ext uri="{FF2B5EF4-FFF2-40B4-BE49-F238E27FC236}">
              <a16:creationId xmlns:a16="http://schemas.microsoft.com/office/drawing/2014/main" id="{00000000-0008-0000-0600-00000D341600}"/>
            </a:ext>
          </a:extLst>
        </xdr:cNvPr>
        <xdr:cNvSpPr txBox="1">
          <a:spLocks noChangeArrowheads="1"/>
        </xdr:cNvSpPr>
      </xdr:nvSpPr>
      <xdr:spPr bwMode="auto">
        <a:xfrm>
          <a:off x="2552700" y="35966400"/>
          <a:ext cx="1047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0</xdr:row>
          <xdr:rowOff>142875</xdr:rowOff>
        </xdr:from>
        <xdr:to>
          <xdr:col>4</xdr:col>
          <xdr:colOff>152400</xdr:colOff>
          <xdr:row>1</xdr:row>
          <xdr:rowOff>342900</xdr:rowOff>
        </xdr:to>
        <xdr:sp macro="" textlink="">
          <xdr:nvSpPr>
            <xdr:cNvPr id="1461249" name="Object 1" hidden="1">
              <a:extLst>
                <a:ext uri="{63B3BB69-23CF-44E3-9099-C40C66FF867C}">
                  <a14:compatExt spid="_x0000_s1461249"/>
                </a:ext>
                <a:ext uri="{FF2B5EF4-FFF2-40B4-BE49-F238E27FC236}">
                  <a16:creationId xmlns:a16="http://schemas.microsoft.com/office/drawing/2014/main" id="{00000000-0008-0000-0600-0000014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94</xdr:row>
      <xdr:rowOff>47625</xdr:rowOff>
    </xdr:from>
    <xdr:to>
      <xdr:col>4</xdr:col>
      <xdr:colOff>647700</xdr:colOff>
      <xdr:row>96</xdr:row>
      <xdr:rowOff>104775</xdr:rowOff>
    </xdr:to>
    <xdr:sp macro="" textlink="">
      <xdr:nvSpPr>
        <xdr:cNvPr id="1431780" name="Line 1">
          <a:extLst>
            <a:ext uri="{FF2B5EF4-FFF2-40B4-BE49-F238E27FC236}">
              <a16:creationId xmlns:a16="http://schemas.microsoft.com/office/drawing/2014/main" id="{00000000-0008-0000-0800-0000E4D81500}"/>
            </a:ext>
          </a:extLst>
        </xdr:cNvPr>
        <xdr:cNvSpPr>
          <a:spLocks noChangeShapeType="1"/>
        </xdr:cNvSpPr>
      </xdr:nvSpPr>
      <xdr:spPr bwMode="auto">
        <a:xfrm flipH="1">
          <a:off x="1990725" y="15297150"/>
          <a:ext cx="10572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647700</xdr:colOff>
      <xdr:row>93</xdr:row>
      <xdr:rowOff>9525</xdr:rowOff>
    </xdr:from>
    <xdr:to>
      <xdr:col>4</xdr:col>
      <xdr:colOff>647700</xdr:colOff>
      <xdr:row>97</xdr:row>
      <xdr:rowOff>0</xdr:rowOff>
    </xdr:to>
    <xdr:sp macro="" textlink="">
      <xdr:nvSpPr>
        <xdr:cNvPr id="1431781" name="Line 2">
          <a:extLst>
            <a:ext uri="{FF2B5EF4-FFF2-40B4-BE49-F238E27FC236}">
              <a16:creationId xmlns:a16="http://schemas.microsoft.com/office/drawing/2014/main" id="{00000000-0008-0000-0800-0000E5D81500}"/>
            </a:ext>
          </a:extLst>
        </xdr:cNvPr>
        <xdr:cNvSpPr>
          <a:spLocks noChangeShapeType="1"/>
        </xdr:cNvSpPr>
      </xdr:nvSpPr>
      <xdr:spPr bwMode="auto">
        <a:xfrm>
          <a:off x="3048000" y="15097125"/>
          <a:ext cx="0" cy="790575"/>
        </a:xfrm>
        <a:prstGeom prst="line">
          <a:avLst/>
        </a:prstGeom>
        <a:noFill/>
        <a:ln w="9525" cap="rnd">
          <a:solidFill>
            <a:srgbClr val="00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96</xdr:row>
      <xdr:rowOff>219075</xdr:rowOff>
    </xdr:from>
    <xdr:to>
      <xdr:col>4</xdr:col>
      <xdr:colOff>628650</xdr:colOff>
      <xdr:row>96</xdr:row>
      <xdr:rowOff>219075</xdr:rowOff>
    </xdr:to>
    <xdr:sp macro="" textlink="">
      <xdr:nvSpPr>
        <xdr:cNvPr id="1431782" name="Line 3">
          <a:extLst>
            <a:ext uri="{FF2B5EF4-FFF2-40B4-BE49-F238E27FC236}">
              <a16:creationId xmlns:a16="http://schemas.microsoft.com/office/drawing/2014/main" id="{00000000-0008-0000-0800-0000E6D81500}"/>
            </a:ext>
          </a:extLst>
        </xdr:cNvPr>
        <xdr:cNvSpPr>
          <a:spLocks noChangeShapeType="1"/>
        </xdr:cNvSpPr>
      </xdr:nvSpPr>
      <xdr:spPr bwMode="auto">
        <a:xfrm>
          <a:off x="1990725" y="1586865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93</xdr:row>
      <xdr:rowOff>161925</xdr:rowOff>
    </xdr:from>
    <xdr:to>
      <xdr:col>4</xdr:col>
      <xdr:colOff>600075</xdr:colOff>
      <xdr:row>96</xdr:row>
      <xdr:rowOff>47625</xdr:rowOff>
    </xdr:to>
    <xdr:sp macro="" textlink="">
      <xdr:nvSpPr>
        <xdr:cNvPr id="1431783" name="Line 4">
          <a:extLst>
            <a:ext uri="{FF2B5EF4-FFF2-40B4-BE49-F238E27FC236}">
              <a16:creationId xmlns:a16="http://schemas.microsoft.com/office/drawing/2014/main" id="{00000000-0008-0000-0800-0000E7D81500}"/>
            </a:ext>
          </a:extLst>
        </xdr:cNvPr>
        <xdr:cNvSpPr>
          <a:spLocks noChangeShapeType="1"/>
        </xdr:cNvSpPr>
      </xdr:nvSpPr>
      <xdr:spPr bwMode="auto">
        <a:xfrm flipV="1">
          <a:off x="1914525" y="15249525"/>
          <a:ext cx="1123950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838200</xdr:colOff>
      <xdr:row>94</xdr:row>
      <xdr:rowOff>47625</xdr:rowOff>
    </xdr:from>
    <xdr:to>
      <xdr:col>4</xdr:col>
      <xdr:colOff>838200</xdr:colOff>
      <xdr:row>96</xdr:row>
      <xdr:rowOff>142875</xdr:rowOff>
    </xdr:to>
    <xdr:sp macro="" textlink="">
      <xdr:nvSpPr>
        <xdr:cNvPr id="1431784" name="Line 5">
          <a:extLst>
            <a:ext uri="{FF2B5EF4-FFF2-40B4-BE49-F238E27FC236}">
              <a16:creationId xmlns:a16="http://schemas.microsoft.com/office/drawing/2014/main" id="{00000000-0008-0000-0800-0000E8D81500}"/>
            </a:ext>
          </a:extLst>
        </xdr:cNvPr>
        <xdr:cNvSpPr>
          <a:spLocks noChangeShapeType="1"/>
        </xdr:cNvSpPr>
      </xdr:nvSpPr>
      <xdr:spPr bwMode="auto">
        <a:xfrm>
          <a:off x="3048000" y="15297150"/>
          <a:ext cx="0" cy="49530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94</xdr:row>
      <xdr:rowOff>47625</xdr:rowOff>
    </xdr:from>
    <xdr:to>
      <xdr:col>5</xdr:col>
      <xdr:colOff>647700</xdr:colOff>
      <xdr:row>96</xdr:row>
      <xdr:rowOff>104775</xdr:rowOff>
    </xdr:to>
    <xdr:sp macro="" textlink="">
      <xdr:nvSpPr>
        <xdr:cNvPr id="1431785" name="Line 1">
          <a:extLst>
            <a:ext uri="{FF2B5EF4-FFF2-40B4-BE49-F238E27FC236}">
              <a16:creationId xmlns:a16="http://schemas.microsoft.com/office/drawing/2014/main" id="{00000000-0008-0000-0800-0000E9D81500}"/>
            </a:ext>
          </a:extLst>
        </xdr:cNvPr>
        <xdr:cNvSpPr>
          <a:spLocks noChangeShapeType="1"/>
        </xdr:cNvSpPr>
      </xdr:nvSpPr>
      <xdr:spPr bwMode="auto">
        <a:xfrm flipH="1">
          <a:off x="2600325" y="15297150"/>
          <a:ext cx="10572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96</xdr:row>
      <xdr:rowOff>219075</xdr:rowOff>
    </xdr:from>
    <xdr:to>
      <xdr:col>5</xdr:col>
      <xdr:colOff>628650</xdr:colOff>
      <xdr:row>96</xdr:row>
      <xdr:rowOff>219075</xdr:rowOff>
    </xdr:to>
    <xdr:sp macro="" textlink="">
      <xdr:nvSpPr>
        <xdr:cNvPr id="1431786" name="Line 3">
          <a:extLst>
            <a:ext uri="{FF2B5EF4-FFF2-40B4-BE49-F238E27FC236}">
              <a16:creationId xmlns:a16="http://schemas.microsoft.com/office/drawing/2014/main" id="{00000000-0008-0000-0800-0000EAD81500}"/>
            </a:ext>
          </a:extLst>
        </xdr:cNvPr>
        <xdr:cNvSpPr>
          <a:spLocks noChangeShapeType="1"/>
        </xdr:cNvSpPr>
      </xdr:nvSpPr>
      <xdr:spPr bwMode="auto">
        <a:xfrm>
          <a:off x="2600325" y="15868650"/>
          <a:ext cx="1057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93</xdr:row>
      <xdr:rowOff>161925</xdr:rowOff>
    </xdr:from>
    <xdr:to>
      <xdr:col>5</xdr:col>
      <xdr:colOff>600075</xdr:colOff>
      <xdr:row>96</xdr:row>
      <xdr:rowOff>47625</xdr:rowOff>
    </xdr:to>
    <xdr:sp macro="" textlink="">
      <xdr:nvSpPr>
        <xdr:cNvPr id="1431787" name="Line 4">
          <a:extLst>
            <a:ext uri="{FF2B5EF4-FFF2-40B4-BE49-F238E27FC236}">
              <a16:creationId xmlns:a16="http://schemas.microsoft.com/office/drawing/2014/main" id="{00000000-0008-0000-0800-0000EBD81500}"/>
            </a:ext>
          </a:extLst>
        </xdr:cNvPr>
        <xdr:cNvSpPr>
          <a:spLocks noChangeShapeType="1"/>
        </xdr:cNvSpPr>
      </xdr:nvSpPr>
      <xdr:spPr bwMode="auto">
        <a:xfrm flipV="1">
          <a:off x="2524125" y="15249525"/>
          <a:ext cx="1123950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74</xdr:row>
      <xdr:rowOff>149678</xdr:rowOff>
    </xdr:from>
    <xdr:to>
      <xdr:col>4</xdr:col>
      <xdr:colOff>489169</xdr:colOff>
      <xdr:row>74</xdr:row>
      <xdr:rowOff>149678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/>
      </xdr:nvCxnSpPr>
      <xdr:spPr bwMode="auto">
        <a:xfrm flipH="1">
          <a:off x="3136900" y="12646478"/>
          <a:ext cx="40028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219075</xdr:colOff>
      <xdr:row>45</xdr:row>
      <xdr:rowOff>152400</xdr:rowOff>
    </xdr:from>
    <xdr:to>
      <xdr:col>7</xdr:col>
      <xdr:colOff>28575</xdr:colOff>
      <xdr:row>62</xdr:row>
      <xdr:rowOff>104775</xdr:rowOff>
    </xdr:to>
    <xdr:grpSp>
      <xdr:nvGrpSpPr>
        <xdr:cNvPr id="1451193" name="Group 44">
          <a:extLst>
            <a:ext uri="{FF2B5EF4-FFF2-40B4-BE49-F238E27FC236}">
              <a16:creationId xmlns:a16="http://schemas.microsoft.com/office/drawing/2014/main" id="{00000000-0008-0000-0900-0000B9241600}"/>
            </a:ext>
          </a:extLst>
        </xdr:cNvPr>
        <xdr:cNvGrpSpPr>
          <a:grpSpLocks/>
        </xdr:cNvGrpSpPr>
      </xdr:nvGrpSpPr>
      <xdr:grpSpPr bwMode="auto">
        <a:xfrm>
          <a:off x="1919968" y="8371114"/>
          <a:ext cx="4068536" cy="2782661"/>
          <a:chOff x="1171575" y="6561364"/>
          <a:chExt cx="2735036" cy="2724151"/>
        </a:xfrm>
      </xdr:grpSpPr>
      <xdr:grpSp>
        <xdr:nvGrpSpPr>
          <xdr:cNvPr id="1451221" name="Group 41">
            <a:extLst>
              <a:ext uri="{FF2B5EF4-FFF2-40B4-BE49-F238E27FC236}">
                <a16:creationId xmlns:a16="http://schemas.microsoft.com/office/drawing/2014/main" id="{00000000-0008-0000-0900-0000D5241600}"/>
              </a:ext>
            </a:extLst>
          </xdr:cNvPr>
          <xdr:cNvGrpSpPr>
            <a:grpSpLocks/>
          </xdr:cNvGrpSpPr>
        </xdr:nvGrpSpPr>
        <xdr:grpSpPr bwMode="auto">
          <a:xfrm>
            <a:off x="1171575" y="6561364"/>
            <a:ext cx="2735036" cy="2282650"/>
            <a:chOff x="2073942" y="11064877"/>
            <a:chExt cx="5018282" cy="4148210"/>
          </a:xfrm>
        </xdr:grpSpPr>
        <xdr:sp macro="" textlink="">
          <xdr:nvSpPr>
            <xdr:cNvPr id="12" name="Oval 11">
              <a:extLst>
                <a:ext uri="{FF2B5EF4-FFF2-40B4-BE49-F238E27FC236}">
                  <a16:creationId xmlns:a16="http://schemas.microsoft.com/office/drawing/2014/main" id="{00000000-0008-0000-0900-00000C000000}"/>
                </a:ext>
              </a:extLst>
            </xdr:cNvPr>
            <xdr:cNvSpPr/>
          </xdr:nvSpPr>
          <xdr:spPr bwMode="auto">
            <a:xfrm>
              <a:off x="2073942" y="11064877"/>
              <a:ext cx="3965496" cy="4148212"/>
            </a:xfrm>
            <a:prstGeom prst="ellipse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10" name="Up Arrow 9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SpPr/>
          </xdr:nvSpPr>
          <xdr:spPr>
            <a:xfrm>
              <a:off x="6893364" y="12976810"/>
              <a:ext cx="198860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11" name="Up Arrow 10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SpPr/>
          </xdr:nvSpPr>
          <xdr:spPr>
            <a:xfrm>
              <a:off x="5080232" y="12908527"/>
              <a:ext cx="93581" cy="392629"/>
            </a:xfrm>
            <a:prstGeom prst="upArrow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</xdr:grp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 flipV="1">
            <a:off x="1605101" y="7688599"/>
            <a:ext cx="1389832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CxnSpPr/>
        </xdr:nvCxnSpPr>
        <xdr:spPr>
          <a:xfrm flipV="1">
            <a:off x="1197077" y="9078855"/>
            <a:ext cx="2116625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 flipV="1">
            <a:off x="1432965" y="9276121"/>
            <a:ext cx="1683099" cy="939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15875</xdr:colOff>
      <xdr:row>415</xdr:row>
      <xdr:rowOff>15876</xdr:rowOff>
    </xdr:from>
    <xdr:to>
      <xdr:col>26</xdr:col>
      <xdr:colOff>17</xdr:colOff>
      <xdr:row>416</xdr:row>
      <xdr:rowOff>454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CxnSpPr/>
      </xdr:nvCxnSpPr>
      <xdr:spPr>
        <a:xfrm flipV="1">
          <a:off x="17795875" y="73269476"/>
          <a:ext cx="593742" cy="14922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28575</xdr:colOff>
      <xdr:row>66</xdr:row>
      <xdr:rowOff>152400</xdr:rowOff>
    </xdr:from>
    <xdr:to>
      <xdr:col>7</xdr:col>
      <xdr:colOff>190500</xdr:colOff>
      <xdr:row>77</xdr:row>
      <xdr:rowOff>47625</xdr:rowOff>
    </xdr:to>
    <xdr:grpSp>
      <xdr:nvGrpSpPr>
        <xdr:cNvPr id="1451195" name="Group 35">
          <a:extLst>
            <a:ext uri="{FF2B5EF4-FFF2-40B4-BE49-F238E27FC236}">
              <a16:creationId xmlns:a16="http://schemas.microsoft.com/office/drawing/2014/main" id="{00000000-0008-0000-0900-0000BB241600}"/>
            </a:ext>
          </a:extLst>
        </xdr:cNvPr>
        <xdr:cNvGrpSpPr>
          <a:grpSpLocks/>
        </xdr:cNvGrpSpPr>
      </xdr:nvGrpSpPr>
      <xdr:grpSpPr bwMode="auto">
        <a:xfrm>
          <a:off x="654504" y="11854543"/>
          <a:ext cx="5495925" cy="1704975"/>
          <a:chOff x="387163" y="10192868"/>
          <a:chExt cx="5193366" cy="1632140"/>
        </a:xfrm>
      </xdr:grpSpPr>
      <xdr:grpSp>
        <xdr:nvGrpSpPr>
          <xdr:cNvPr id="1451202" name="Group 49">
            <a:extLst>
              <a:ext uri="{FF2B5EF4-FFF2-40B4-BE49-F238E27FC236}">
                <a16:creationId xmlns:a16="http://schemas.microsoft.com/office/drawing/2014/main" id="{00000000-0008-0000-0900-0000C2241600}"/>
              </a:ext>
            </a:extLst>
          </xdr:cNvPr>
          <xdr:cNvGrpSpPr>
            <a:grpSpLocks/>
          </xdr:cNvGrpSpPr>
        </xdr:nvGrpSpPr>
        <xdr:grpSpPr bwMode="auto">
          <a:xfrm>
            <a:off x="598057" y="10192880"/>
            <a:ext cx="7460258" cy="1632125"/>
            <a:chOff x="546299" y="9990375"/>
            <a:chExt cx="5269772" cy="1689998"/>
          </a:xfrm>
        </xdr:grpSpPr>
        <xdr:grpSp>
          <xdr:nvGrpSpPr>
            <xdr:cNvPr id="1451204" name="Group 9">
              <a:extLst>
                <a:ext uri="{FF2B5EF4-FFF2-40B4-BE49-F238E27FC236}">
                  <a16:creationId xmlns:a16="http://schemas.microsoft.com/office/drawing/2014/main" id="{00000000-0008-0000-0900-0000C424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46299" y="9990375"/>
              <a:ext cx="5269772" cy="1339013"/>
              <a:chOff x="546299" y="9010655"/>
              <a:chExt cx="5269772" cy="1339011"/>
            </a:xfrm>
          </xdr:grpSpPr>
          <xdr:grpSp>
            <xdr:nvGrpSpPr>
              <xdr:cNvPr id="1451206" name="Group 2">
                <a:extLst>
                  <a:ext uri="{FF2B5EF4-FFF2-40B4-BE49-F238E27FC236}">
                    <a16:creationId xmlns:a16="http://schemas.microsoft.com/office/drawing/2014/main" id="{00000000-0008-0000-0900-0000C624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46299" y="9010655"/>
                <a:ext cx="5269772" cy="1339011"/>
                <a:chOff x="546299" y="9010655"/>
                <a:chExt cx="5269772" cy="1339011"/>
              </a:xfrm>
            </xdr:grpSpPr>
            <xdr:grpSp>
              <xdr:nvGrpSpPr>
                <xdr:cNvPr id="1451208" name="Group 7">
                  <a:extLst>
                    <a:ext uri="{FF2B5EF4-FFF2-40B4-BE49-F238E27FC236}">
                      <a16:creationId xmlns:a16="http://schemas.microsoft.com/office/drawing/2014/main" id="{00000000-0008-0000-0900-0000C824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46299" y="9010655"/>
                  <a:ext cx="5269772" cy="1339011"/>
                  <a:chOff x="490257" y="13205021"/>
                  <a:chExt cx="5269772" cy="1751196"/>
                </a:xfrm>
              </xdr:grpSpPr>
              <xdr:cxnSp macro="">
                <xdr:nvCxnSpPr>
                  <xdr:cNvPr id="24" name="Straight Connector 23">
                    <a:extLst>
                      <a:ext uri="{FF2B5EF4-FFF2-40B4-BE49-F238E27FC236}">
                        <a16:creationId xmlns:a16="http://schemas.microsoft.com/office/drawing/2014/main" id="{00000000-0008-0000-0900-000018000000}"/>
                      </a:ext>
                    </a:extLst>
                  </xdr:cNvPr>
                  <xdr:cNvCxnSpPr/>
                </xdr:nvCxnSpPr>
                <xdr:spPr>
                  <a:xfrm flipV="1">
                    <a:off x="2419461" y="13866829"/>
                    <a:ext cx="0" cy="586901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grpSp>
                <xdr:nvGrpSpPr>
                  <xdr:cNvPr id="1451211" name="Group 119">
                    <a:extLst>
                      <a:ext uri="{FF2B5EF4-FFF2-40B4-BE49-F238E27FC236}">
                        <a16:creationId xmlns:a16="http://schemas.microsoft.com/office/drawing/2014/main" id="{00000000-0008-0000-0900-0000CB24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490257" y="13205021"/>
                    <a:ext cx="5269772" cy="1751196"/>
                    <a:chOff x="490257" y="13205021"/>
                    <a:chExt cx="5269772" cy="1751196"/>
                  </a:xfrm>
                </xdr:grpSpPr>
                <xdr:sp macro="" textlink="">
                  <xdr:nvSpPr>
                    <xdr:cNvPr id="26" name="Rectangle 25">
                      <a:extLst>
                        <a:ext uri="{FF2B5EF4-FFF2-40B4-BE49-F238E27FC236}">
                          <a16:creationId xmlns:a16="http://schemas.microsoft.com/office/drawing/2014/main" id="{00000000-0008-0000-0900-00001A0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319159" y="13205005"/>
                      <a:ext cx="152062" cy="1148827"/>
                    </a:xfrm>
                    <a:prstGeom prst="rect">
                      <a:avLst/>
                    </a:prstGeom>
                    <a:noFill/>
                    <a:ln w="38100">
                      <a:solidFill>
                        <a:sysClr val="windowText" lastClr="00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cxnSp macro="">
                  <xdr:nvCxnSpPr>
                    <xdr:cNvPr id="27" name="Straight Arrow Connector 26">
                      <a:extLst>
                        <a:ext uri="{FF2B5EF4-FFF2-40B4-BE49-F238E27FC236}">
                          <a16:creationId xmlns:a16="http://schemas.microsoft.com/office/drawing/2014/main" id="{00000000-0008-0000-0900-00001B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5714129" y="14403781"/>
                      <a:ext cx="38015" cy="424566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8" name="Straight Arrow Connector 27">
                      <a:extLst>
                        <a:ext uri="{FF2B5EF4-FFF2-40B4-BE49-F238E27FC236}">
                          <a16:creationId xmlns:a16="http://schemas.microsoft.com/office/drawing/2014/main" id="{00000000-0008-0000-0900-00001C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451141" y="13279929"/>
                      <a:ext cx="861682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9" name="Straight Arrow Connector 28">
                      <a:extLst>
                        <a:ext uri="{FF2B5EF4-FFF2-40B4-BE49-F238E27FC236}">
                          <a16:creationId xmlns:a16="http://schemas.microsoft.com/office/drawing/2014/main" id="{00000000-0008-0000-0900-00001D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1674" y="13579623"/>
                      <a:ext cx="1514280" cy="24974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0" name="Straight Arrow Connector 29">
                      <a:extLst>
                        <a:ext uri="{FF2B5EF4-FFF2-40B4-BE49-F238E27FC236}">
                          <a16:creationId xmlns:a16="http://schemas.microsoft.com/office/drawing/2014/main" id="{00000000-0008-0000-0900-00001E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2121674" y="13804393"/>
                      <a:ext cx="1843747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1" name="Straight Connector 30">
                      <a:extLst>
                        <a:ext uri="{FF2B5EF4-FFF2-40B4-BE49-F238E27FC236}">
                          <a16:creationId xmlns:a16="http://schemas.microsoft.com/office/drawing/2014/main" id="{00000000-0008-0000-0900-00001F000000}"/>
                        </a:ext>
                      </a:extLst>
                    </xdr:cNvPr>
                    <xdr:cNvCxnSpPr/>
                  </xdr:nvCxnSpPr>
                  <xdr:spPr bwMode="auto">
                    <a:xfrm flipV="1">
                      <a:off x="3616946" y="13542161"/>
                      <a:ext cx="0" cy="474515"/>
                    </a:xfrm>
                    <a:prstGeom prst="line">
                      <a:avLst/>
                    </a:prstGeom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2" name="Straight Arrow Connector 31">
                      <a:extLst>
                        <a:ext uri="{FF2B5EF4-FFF2-40B4-BE49-F238E27FC236}">
                          <a16:creationId xmlns:a16="http://schemas.microsoft.com/office/drawing/2014/main" id="{00000000-0008-0000-0900-000020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499683" y="14216472"/>
                      <a:ext cx="1888098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3" name="Straight Arrow Connector 32">
                      <a:extLst>
                        <a:ext uri="{FF2B5EF4-FFF2-40B4-BE49-F238E27FC236}">
                          <a16:creationId xmlns:a16="http://schemas.microsoft.com/office/drawing/2014/main" id="{00000000-0008-0000-0900-000021000000}"/>
                        </a:ext>
                      </a:extLst>
                    </xdr:cNvPr>
                    <xdr:cNvCxnSpPr/>
                  </xdr:nvCxnSpPr>
                  <xdr:spPr bwMode="auto">
                    <a:xfrm flipH="1">
                      <a:off x="1754192" y="14953220"/>
                      <a:ext cx="665270" cy="0"/>
                    </a:xfrm>
                    <a:prstGeom prst="straightConnector1">
                      <a:avLst/>
                    </a:prstGeom>
                    <a:ln>
                      <a:headEnd type="triangle"/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Arrow Connector 33">
                      <a:extLst>
                        <a:ext uri="{FF2B5EF4-FFF2-40B4-BE49-F238E27FC236}">
                          <a16:creationId xmlns:a16="http://schemas.microsoft.com/office/drawing/2014/main" id="{00000000-0008-0000-0900-000022000000}"/>
                        </a:ext>
                      </a:extLst>
                    </xdr:cNvPr>
                    <xdr:cNvCxnSpPr/>
                  </xdr:nvCxnSpPr>
                  <xdr:spPr bwMode="auto">
                    <a:xfrm>
                      <a:off x="1234648" y="14578603"/>
                      <a:ext cx="551223" cy="0"/>
                    </a:xfrm>
                    <a:prstGeom prst="straightConnector1">
                      <a:avLst/>
                    </a:prstGeom>
                    <a:ln w="1905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  <xdr:sp macro="" textlink="">
              <xdr:nvSpPr>
                <xdr:cNvPr id="23" name="Rectangle 19">
                  <a:extLst>
                    <a:ext uri="{FF2B5EF4-FFF2-40B4-BE49-F238E27FC236}">
                      <a16:creationId xmlns:a16="http://schemas.microsoft.com/office/drawing/2014/main" id="{00000000-0008-0000-0900-000017000000}"/>
                    </a:ext>
                  </a:extLst>
                </xdr:cNvPr>
                <xdr:cNvSpPr/>
              </xdr:nvSpPr>
              <xdr:spPr>
                <a:xfrm>
                  <a:off x="2253747" y="9812682"/>
                  <a:ext cx="316795" cy="420116"/>
                </a:xfrm>
                <a:prstGeom prst="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en-US"/>
                </a:p>
              </xdr:txBody>
            </xdr:sp>
          </xdr:grpSp>
          <xdr:cxnSp macro="">
            <xdr:nvCxnSpPr>
              <xdr:cNvPr id="21" name="Straight Arrow Connector 17">
                <a:extLst>
                  <a:ext uri="{FF2B5EF4-FFF2-40B4-BE49-F238E27FC236}">
                    <a16:creationId xmlns:a16="http://schemas.microsoft.com/office/drawing/2014/main" id="{00000000-0008-0000-0900-000015000000}"/>
                  </a:ext>
                </a:extLst>
              </xdr:cNvPr>
              <xdr:cNvCxnSpPr/>
            </xdr:nvCxnSpPr>
            <xdr:spPr bwMode="auto">
              <a:xfrm>
                <a:off x="2671916" y="9812682"/>
                <a:ext cx="12672" cy="420116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" name="Straight Arrow Connector 15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CxnSpPr/>
          </xdr:nvCxnSpPr>
          <xdr:spPr>
            <a:xfrm flipV="1">
              <a:off x="1271682" y="11670828"/>
              <a:ext cx="2211229" cy="9548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1651869" y="11105760"/>
            <a:ext cx="3354609" cy="276634"/>
          </a:xfrm>
          <a:prstGeom prst="rect">
            <a:avLst/>
          </a:prstGeom>
          <a:noFill/>
          <a:ln w="38100"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</xdr:grpSp>
    <xdr:clientData/>
  </xdr:twoCellAnchor>
  <xdr:twoCellAnchor>
    <xdr:from>
      <xdr:col>2</xdr:col>
      <xdr:colOff>742950</xdr:colOff>
      <xdr:row>186</xdr:row>
      <xdr:rowOff>28575</xdr:rowOff>
    </xdr:from>
    <xdr:to>
      <xdr:col>6</xdr:col>
      <xdr:colOff>609600</xdr:colOff>
      <xdr:row>188</xdr:row>
      <xdr:rowOff>114300</xdr:rowOff>
    </xdr:to>
    <xdr:grpSp>
      <xdr:nvGrpSpPr>
        <xdr:cNvPr id="1451196" name="Group 34">
          <a:extLst>
            <a:ext uri="{FF2B5EF4-FFF2-40B4-BE49-F238E27FC236}">
              <a16:creationId xmlns:a16="http://schemas.microsoft.com/office/drawing/2014/main" id="{00000000-0008-0000-0900-0000BC241600}"/>
            </a:ext>
          </a:extLst>
        </xdr:cNvPr>
        <xdr:cNvGrpSpPr>
          <a:grpSpLocks/>
        </xdr:cNvGrpSpPr>
      </xdr:nvGrpSpPr>
      <xdr:grpSpPr bwMode="auto">
        <a:xfrm>
          <a:off x="2443843" y="32277504"/>
          <a:ext cx="3254828" cy="412296"/>
          <a:chOff x="1431636" y="1368714"/>
          <a:chExt cx="3434196" cy="405245"/>
        </a:xfrm>
      </xdr:grpSpPr>
      <xdr:sp macro="" textlink="">
        <xdr:nvSpPr>
          <xdr:cNvPr id="1451199" name="Rectangle 15">
            <a:extLst>
              <a:ext uri="{FF2B5EF4-FFF2-40B4-BE49-F238E27FC236}">
                <a16:creationId xmlns:a16="http://schemas.microsoft.com/office/drawing/2014/main" id="{00000000-0008-0000-0900-0000BF241600}"/>
              </a:ext>
            </a:extLst>
          </xdr:cNvPr>
          <xdr:cNvSpPr>
            <a:spLocks noChangeArrowheads="1"/>
          </xdr:cNvSpPr>
        </xdr:nvSpPr>
        <xdr:spPr bwMode="auto">
          <a:xfrm>
            <a:off x="1431636" y="1368714"/>
            <a:ext cx="3314049" cy="405245"/>
          </a:xfrm>
          <a:prstGeom prst="rect">
            <a:avLst/>
          </a:prstGeom>
          <a:solidFill>
            <a:srgbClr val="FF00FF">
              <a:alpha val="10196"/>
            </a:srgbClr>
          </a:solidFill>
          <a:ln w="9525" algn="ctr">
            <a:solidFill>
              <a:srgbClr val="000000"/>
            </a:solidFill>
            <a:miter lim="800000"/>
            <a:headEnd/>
            <a:tailEnd/>
          </a:ln>
          <a:effectLst>
            <a:outerShdw dist="35921" dir="2700000" algn="ctr" rotWithShape="0">
              <a:srgbClr val="000000"/>
            </a:outerShdw>
          </a:effectLst>
        </xdr:spPr>
      </xdr:sp>
      <xdr:sp macro="" textlink="">
        <xdr:nvSpPr>
          <xdr:cNvPr id="1451200" name="Line 17">
            <a:extLst>
              <a:ext uri="{FF2B5EF4-FFF2-40B4-BE49-F238E27FC236}">
                <a16:creationId xmlns:a16="http://schemas.microsoft.com/office/drawing/2014/main" id="{00000000-0008-0000-0900-0000C0241600}"/>
              </a:ext>
            </a:extLst>
          </xdr:cNvPr>
          <xdr:cNvSpPr>
            <a:spLocks noChangeShapeType="1"/>
          </xdr:cNvSpPr>
        </xdr:nvSpPr>
        <xdr:spPr bwMode="auto">
          <a:xfrm>
            <a:off x="1431636" y="1623170"/>
            <a:ext cx="3123817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51201" name="Line 21">
            <a:extLst>
              <a:ext uri="{FF2B5EF4-FFF2-40B4-BE49-F238E27FC236}">
                <a16:creationId xmlns:a16="http://schemas.microsoft.com/office/drawing/2014/main" id="{00000000-0008-0000-0900-0000C1241600}"/>
              </a:ext>
            </a:extLst>
          </xdr:cNvPr>
          <xdr:cNvSpPr>
            <a:spLocks noChangeShapeType="1"/>
          </xdr:cNvSpPr>
        </xdr:nvSpPr>
        <xdr:spPr bwMode="auto">
          <a:xfrm>
            <a:off x="4865832" y="1368714"/>
            <a:ext cx="0" cy="38639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ffectLst>
            <a:outerShdw dist="35921" dir="2700000" algn="ctr" rotWithShape="0">
              <a:srgbClr val="000000"/>
            </a:outerShdw>
          </a:effectLst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771525</xdr:colOff>
      <xdr:row>191</xdr:row>
      <xdr:rowOff>0</xdr:rowOff>
    </xdr:from>
    <xdr:to>
      <xdr:col>1</xdr:col>
      <xdr:colOff>847725</xdr:colOff>
      <xdr:row>192</xdr:row>
      <xdr:rowOff>28575</xdr:rowOff>
    </xdr:to>
    <xdr:sp macro="" textlink="">
      <xdr:nvSpPr>
        <xdr:cNvPr id="1451197" name="Text Box 12">
          <a:extLst>
            <a:ext uri="{FF2B5EF4-FFF2-40B4-BE49-F238E27FC236}">
              <a16:creationId xmlns:a16="http://schemas.microsoft.com/office/drawing/2014/main" id="{00000000-0008-0000-0900-0000BD241600}"/>
            </a:ext>
          </a:extLst>
        </xdr:cNvPr>
        <xdr:cNvSpPr txBox="1">
          <a:spLocks noChangeArrowheads="1"/>
        </xdr:cNvSpPr>
      </xdr:nvSpPr>
      <xdr:spPr bwMode="auto">
        <a:xfrm>
          <a:off x="1390650" y="328041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542925</xdr:colOff>
      <xdr:row>191</xdr:row>
      <xdr:rowOff>0</xdr:rowOff>
    </xdr:from>
    <xdr:to>
      <xdr:col>3</xdr:col>
      <xdr:colOff>647700</xdr:colOff>
      <xdr:row>192</xdr:row>
      <xdr:rowOff>133350</xdr:rowOff>
    </xdr:to>
    <xdr:sp macro="" textlink="">
      <xdr:nvSpPr>
        <xdr:cNvPr id="1451198" name="Text Box 13">
          <a:extLst>
            <a:ext uri="{FF2B5EF4-FFF2-40B4-BE49-F238E27FC236}">
              <a16:creationId xmlns:a16="http://schemas.microsoft.com/office/drawing/2014/main" id="{00000000-0008-0000-0900-0000BE241600}"/>
            </a:ext>
          </a:extLst>
        </xdr:cNvPr>
        <xdr:cNvSpPr txBox="1">
          <a:spLocks noChangeArrowheads="1"/>
        </xdr:cNvSpPr>
      </xdr:nvSpPr>
      <xdr:spPr bwMode="auto">
        <a:xfrm>
          <a:off x="3124200" y="32804100"/>
          <a:ext cx="1047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5</xdr:row>
          <xdr:rowOff>0</xdr:rowOff>
        </xdr:from>
        <xdr:to>
          <xdr:col>8</xdr:col>
          <xdr:colOff>419100</xdr:colOff>
          <xdr:row>6</xdr:row>
          <xdr:rowOff>123825</xdr:rowOff>
        </xdr:to>
        <xdr:sp macro="" textlink="">
          <xdr:nvSpPr>
            <xdr:cNvPr id="1332067" name="Button 55139" hidden="1">
              <a:extLst>
                <a:ext uri="{63B3BB69-23CF-44E3-9099-C40C66FF867C}">
                  <a14:compatExt spid="_x0000_s1332067"/>
                </a:ext>
                <a:ext uri="{FF2B5EF4-FFF2-40B4-BE49-F238E27FC236}">
                  <a16:creationId xmlns:a16="http://schemas.microsoft.com/office/drawing/2014/main" id="{00000000-0008-0000-0A00-00006353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staad 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3</xdr:row>
      <xdr:rowOff>47625</xdr:rowOff>
    </xdr:from>
    <xdr:to>
      <xdr:col>12</xdr:col>
      <xdr:colOff>381000</xdr:colOff>
      <xdr:row>60</xdr:row>
      <xdr:rowOff>38100</xdr:rowOff>
    </xdr:to>
    <xdr:grpSp>
      <xdr:nvGrpSpPr>
        <xdr:cNvPr id="1452994" name="Group 34">
          <a:extLst>
            <a:ext uri="{FF2B5EF4-FFF2-40B4-BE49-F238E27FC236}">
              <a16:creationId xmlns:a16="http://schemas.microsoft.com/office/drawing/2014/main" id="{00000000-0008-0000-0B00-0000C22B1600}"/>
            </a:ext>
          </a:extLst>
        </xdr:cNvPr>
        <xdr:cNvGrpSpPr>
          <a:grpSpLocks/>
        </xdr:cNvGrpSpPr>
      </xdr:nvGrpSpPr>
      <xdr:grpSpPr bwMode="auto">
        <a:xfrm>
          <a:off x="1728107" y="537482"/>
          <a:ext cx="6123214" cy="9297761"/>
          <a:chOff x="1714500" y="519545"/>
          <a:chExt cx="6057901" cy="8866910"/>
        </a:xfrm>
      </xdr:grpSpPr>
      <xdr:grpSp>
        <xdr:nvGrpSpPr>
          <xdr:cNvPr id="1457220" name="Group 10">
            <a:extLst>
              <a:ext uri="{FF2B5EF4-FFF2-40B4-BE49-F238E27FC236}">
                <a16:creationId xmlns:a16="http://schemas.microsoft.com/office/drawing/2014/main" id="{00000000-0008-0000-0B00-0000443C1600}"/>
              </a:ext>
            </a:extLst>
          </xdr:cNvPr>
          <xdr:cNvGrpSpPr>
            <a:grpSpLocks/>
          </xdr:cNvGrpSpPr>
        </xdr:nvGrpSpPr>
        <xdr:grpSpPr bwMode="auto">
          <a:xfrm>
            <a:off x="1714500" y="1078057"/>
            <a:ext cx="6051839" cy="5232688"/>
            <a:chOff x="1604818" y="1108364"/>
            <a:chExt cx="6107546" cy="5426364"/>
          </a:xfrm>
        </xdr:grpSpPr>
        <xdr:grpSp>
          <xdr:nvGrpSpPr>
            <xdr:cNvPr id="1457244" name="Group 8">
              <a:extLst>
                <a:ext uri="{FF2B5EF4-FFF2-40B4-BE49-F238E27FC236}">
                  <a16:creationId xmlns:a16="http://schemas.microsoft.com/office/drawing/2014/main" id="{00000000-0008-0000-0B00-00005C3C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604818" y="1108364"/>
              <a:ext cx="6107546" cy="5426364"/>
              <a:chOff x="1604818" y="1108364"/>
              <a:chExt cx="6107546" cy="5426364"/>
            </a:xfrm>
          </xdr:grpSpPr>
          <xdr:grpSp>
            <xdr:nvGrpSpPr>
              <xdr:cNvPr id="1457246" name="Group 5">
                <a:extLst>
                  <a:ext uri="{FF2B5EF4-FFF2-40B4-BE49-F238E27FC236}">
                    <a16:creationId xmlns:a16="http://schemas.microsoft.com/office/drawing/2014/main" id="{00000000-0008-0000-0B00-00005E3C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604818" y="1108364"/>
                <a:ext cx="6107546" cy="5426364"/>
                <a:chOff x="1604818" y="1108364"/>
                <a:chExt cx="6107546" cy="5426364"/>
              </a:xfrm>
            </xdr:grpSpPr>
            <xdr:sp macro="" textlink="">
              <xdr:nvSpPr>
                <xdr:cNvPr id="3" name="Oval 2">
                  <a:extLst>
                    <a:ext uri="{FF2B5EF4-FFF2-40B4-BE49-F238E27FC236}">
                      <a16:creationId xmlns:a16="http://schemas.microsoft.com/office/drawing/2014/main" id="{00000000-0008-0000-0B00-000003000000}"/>
                    </a:ext>
                  </a:extLst>
                </xdr:cNvPr>
                <xdr:cNvSpPr/>
              </xdr:nvSpPr>
              <xdr:spPr>
                <a:xfrm>
                  <a:off x="2359473" y="1593076"/>
                  <a:ext cx="4671221" cy="4493060"/>
                </a:xfrm>
                <a:prstGeom prst="ellipse">
                  <a:avLst/>
                </a:prstGeom>
                <a:noFill/>
                <a:ln w="57150">
                  <a:solidFill>
                    <a:schemeClr val="tx1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  <xdr:sp macro="" textlink="">
              <xdr:nvSpPr>
                <xdr:cNvPr id="4" name="Oval 3">
                  <a:extLst>
                    <a:ext uri="{FF2B5EF4-FFF2-40B4-BE49-F238E27FC236}">
                      <a16:creationId xmlns:a16="http://schemas.microsoft.com/office/drawing/2014/main" id="{00000000-0008-0000-0B00-000004000000}"/>
                    </a:ext>
                  </a:extLst>
                </xdr:cNvPr>
                <xdr:cNvSpPr/>
              </xdr:nvSpPr>
              <xdr:spPr>
                <a:xfrm>
                  <a:off x="1604818" y="1108623"/>
                  <a:ext cx="6094558" cy="5423969"/>
                </a:xfrm>
                <a:prstGeom prst="ellipse">
                  <a:avLst/>
                </a:prstGeom>
                <a:noFill/>
                <a:ln w="57150"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  <xdr:sp macro="" textlink="">
              <xdr:nvSpPr>
                <xdr:cNvPr id="5" name="Oval 4">
                  <a:extLst>
                    <a:ext uri="{FF2B5EF4-FFF2-40B4-BE49-F238E27FC236}">
                      <a16:creationId xmlns:a16="http://schemas.microsoft.com/office/drawing/2014/main" id="{00000000-0008-0000-0B00-000005000000}"/>
                    </a:ext>
                  </a:extLst>
                </xdr:cNvPr>
                <xdr:cNvSpPr/>
              </xdr:nvSpPr>
              <xdr:spPr>
                <a:xfrm>
                  <a:off x="2989945" y="2096526"/>
                  <a:ext cx="3372068" cy="3400667"/>
                </a:xfrm>
                <a:prstGeom prst="ellipse">
                  <a:avLst/>
                </a:prstGeom>
                <a:noFill/>
                <a:ln w="57150"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7" name="Oval 6">
                <a:extLst>
                  <a:ext uri="{FF2B5EF4-FFF2-40B4-BE49-F238E27FC236}">
                    <a16:creationId xmlns:a16="http://schemas.microsoft.com/office/drawing/2014/main" id="{00000000-0008-0000-0B00-000007000000}"/>
                  </a:ext>
                </a:extLst>
              </xdr:cNvPr>
              <xdr:cNvSpPr/>
            </xdr:nvSpPr>
            <xdr:spPr>
              <a:xfrm>
                <a:off x="2082448" y="1317603"/>
                <a:ext cx="5292140" cy="5034507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  <xdr:sp macro="" textlink="">
            <xdr:nvSpPr>
              <xdr:cNvPr id="8" name="Oval 7">
                <a:extLst>
                  <a:ext uri="{FF2B5EF4-FFF2-40B4-BE49-F238E27FC236}">
                    <a16:creationId xmlns:a16="http://schemas.microsoft.com/office/drawing/2014/main" id="{00000000-0008-0000-0B00-000008000000}"/>
                  </a:ext>
                </a:extLst>
              </xdr:cNvPr>
              <xdr:cNvSpPr/>
            </xdr:nvSpPr>
            <xdr:spPr>
              <a:xfrm>
                <a:off x="2540973" y="1754560"/>
                <a:ext cx="4279565" cy="4122596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00000000-0008-0000-0B00-00000A000000}"/>
                </a:ext>
              </a:extLst>
            </xdr:cNvPr>
            <xdr:cNvSpPr/>
          </xdr:nvSpPr>
          <xdr:spPr>
            <a:xfrm>
              <a:off x="4470598" y="1365098"/>
              <a:ext cx="420314" cy="351466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grpSp>
        <xdr:nvGrpSpPr>
          <xdr:cNvPr id="1457221" name="Group 11">
            <a:extLst>
              <a:ext uri="{FF2B5EF4-FFF2-40B4-BE49-F238E27FC236}">
                <a16:creationId xmlns:a16="http://schemas.microsoft.com/office/drawing/2014/main" id="{00000000-0008-0000-0B00-0000453C1600}"/>
              </a:ext>
            </a:extLst>
          </xdr:cNvPr>
          <xdr:cNvGrpSpPr>
            <a:grpSpLocks/>
          </xdr:cNvGrpSpPr>
        </xdr:nvGrpSpPr>
        <xdr:grpSpPr bwMode="auto">
          <a:xfrm>
            <a:off x="1714500" y="3638983"/>
            <a:ext cx="6057901" cy="5747472"/>
            <a:chOff x="1593273" y="3638983"/>
            <a:chExt cx="6057900" cy="3721244"/>
          </a:xfrm>
        </xdr:grpSpPr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CxnSpPr/>
          </xdr:nvCxnSpPr>
          <xdr:spPr>
            <a:xfrm flipV="1">
              <a:off x="1640600" y="7223820"/>
              <a:ext cx="5963245" cy="17792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>
              <a:extLst>
                <a:ext uri="{FF2B5EF4-FFF2-40B4-BE49-F238E27FC236}">
                  <a16:creationId xmlns:a16="http://schemas.microsoft.com/office/drawing/2014/main" id="{00000000-0008-0000-0B00-00000B000000}"/>
                </a:ext>
              </a:extLst>
            </xdr:cNvPr>
            <xdr:cNvCxnSpPr>
              <a:stCxn id="4" idx="2"/>
            </xdr:cNvCxnSpPr>
          </xdr:nvCxnSpPr>
          <xdr:spPr>
            <a:xfrm>
              <a:off x="1593273" y="3700966"/>
              <a:ext cx="0" cy="3659261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CxnSpPr/>
          </xdr:nvCxnSpPr>
          <xdr:spPr>
            <a:xfrm>
              <a:off x="7651173" y="3647589"/>
              <a:ext cx="0" cy="3659261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2" name="Group 16">
            <a:extLst>
              <a:ext uri="{FF2B5EF4-FFF2-40B4-BE49-F238E27FC236}">
                <a16:creationId xmlns:a16="http://schemas.microsoft.com/office/drawing/2014/main" id="{00000000-0008-0000-0B00-0000463C1600}"/>
              </a:ext>
            </a:extLst>
          </xdr:cNvPr>
          <xdr:cNvGrpSpPr>
            <a:grpSpLocks/>
          </xdr:cNvGrpSpPr>
        </xdr:nvGrpSpPr>
        <xdr:grpSpPr bwMode="auto">
          <a:xfrm>
            <a:off x="3096492" y="3115974"/>
            <a:ext cx="3311235" cy="3721244"/>
            <a:chOff x="1593273" y="3638983"/>
            <a:chExt cx="6057900" cy="3721244"/>
          </a:xfrm>
        </xdr:grpSpPr>
        <xdr:cxnSp macro="">
          <xdr:nvCxnSpPr>
            <xdr:cNvPr id="18" name="Straight Arrow Connector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CxnSpPr/>
          </xdr:nvCxnSpPr>
          <xdr:spPr>
            <a:xfrm flipV="1">
              <a:off x="1645162" y="7225575"/>
              <a:ext cx="5974387" cy="18320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9" name="Straight Connector 18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CxnSpPr/>
          </xdr:nvCxnSpPr>
          <xdr:spPr>
            <a:xfrm>
              <a:off x="1593211" y="3680643"/>
              <a:ext cx="0" cy="368233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0" name="Straight Connector 19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CxnSpPr/>
          </xdr:nvCxnSpPr>
          <xdr:spPr>
            <a:xfrm>
              <a:off x="7654184" y="3625683"/>
              <a:ext cx="0" cy="370981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3" name="Group 20">
            <a:extLst>
              <a:ext uri="{FF2B5EF4-FFF2-40B4-BE49-F238E27FC236}">
                <a16:creationId xmlns:a16="http://schemas.microsoft.com/office/drawing/2014/main" id="{00000000-0008-0000-0B00-0000473C1600}"/>
              </a:ext>
            </a:extLst>
          </xdr:cNvPr>
          <xdr:cNvGrpSpPr>
            <a:grpSpLocks/>
          </xdr:cNvGrpSpPr>
        </xdr:nvGrpSpPr>
        <xdr:grpSpPr bwMode="auto">
          <a:xfrm>
            <a:off x="2175162" y="3614737"/>
            <a:ext cx="5237020" cy="5217535"/>
            <a:chOff x="1593273" y="3638983"/>
            <a:chExt cx="6057900" cy="3721244"/>
          </a:xfrm>
        </xdr:grpSpPr>
        <xdr:cxnSp macro="">
          <xdr:nvCxnSpPr>
            <xdr:cNvPr id="22" name="Straight Arrow Connector 21">
              <a:extLst>
                <a:ext uri="{FF2B5EF4-FFF2-40B4-BE49-F238E27FC236}">
                  <a16:creationId xmlns:a16="http://schemas.microsoft.com/office/drawing/2014/main" id="{00000000-0008-0000-0B00-000016000000}"/>
                </a:ext>
              </a:extLst>
            </xdr:cNvPr>
            <xdr:cNvCxnSpPr/>
          </xdr:nvCxnSpPr>
          <xdr:spPr>
            <a:xfrm flipV="1">
              <a:off x="1651658" y="7213232"/>
              <a:ext cx="5956333" cy="13066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3" name="Straight Connector 22">
              <a:extLst>
                <a:ext uri="{FF2B5EF4-FFF2-40B4-BE49-F238E27FC236}">
                  <a16:creationId xmlns:a16="http://schemas.microsoft.com/office/drawing/2014/main" id="{00000000-0008-0000-0B00-000017000000}"/>
                </a:ext>
              </a:extLst>
            </xdr:cNvPr>
            <xdr:cNvCxnSpPr/>
          </xdr:nvCxnSpPr>
          <xdr:spPr>
            <a:xfrm>
              <a:off x="1596912" y="3691888"/>
              <a:ext cx="0" cy="365853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00000000-0008-0000-0B00-000018000000}"/>
                </a:ext>
              </a:extLst>
            </xdr:cNvPr>
            <xdr:cNvCxnSpPr/>
          </xdr:nvCxnSpPr>
          <xdr:spPr>
            <a:xfrm>
              <a:off x="7651788" y="3639624"/>
              <a:ext cx="0" cy="365200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4" name="Group 24">
            <a:extLst>
              <a:ext uri="{FF2B5EF4-FFF2-40B4-BE49-F238E27FC236}">
                <a16:creationId xmlns:a16="http://schemas.microsoft.com/office/drawing/2014/main" id="{00000000-0008-0000-0B00-0000483C1600}"/>
              </a:ext>
            </a:extLst>
          </xdr:cNvPr>
          <xdr:cNvGrpSpPr>
            <a:grpSpLocks/>
          </xdr:cNvGrpSpPr>
        </xdr:nvGrpSpPr>
        <xdr:grpSpPr bwMode="auto">
          <a:xfrm>
            <a:off x="2656608" y="3351500"/>
            <a:ext cx="4270664" cy="4095317"/>
            <a:chOff x="1593273" y="3638983"/>
            <a:chExt cx="6057900" cy="3721244"/>
          </a:xfrm>
        </xdr:grpSpPr>
        <xdr:cxnSp macro="">
          <xdr:nvCxnSpPr>
            <xdr:cNvPr id="26" name="Straight Arrow Connector 25">
              <a:extLst>
                <a:ext uri="{FF2B5EF4-FFF2-40B4-BE49-F238E27FC236}">
                  <a16:creationId xmlns:a16="http://schemas.microsoft.com/office/drawing/2014/main" id="{00000000-0008-0000-0B00-00001A000000}"/>
                </a:ext>
              </a:extLst>
            </xdr:cNvPr>
            <xdr:cNvCxnSpPr/>
          </xdr:nvCxnSpPr>
          <xdr:spPr>
            <a:xfrm flipV="1">
              <a:off x="1653277" y="7216651"/>
              <a:ext cx="5948022" cy="16647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7" name="Straight Connector 26">
              <a:extLst>
                <a:ext uri="{FF2B5EF4-FFF2-40B4-BE49-F238E27FC236}">
                  <a16:creationId xmlns:a16="http://schemas.microsoft.com/office/drawing/2014/main" id="{00000000-0008-0000-0B00-00001B000000}"/>
                </a:ext>
              </a:extLst>
            </xdr:cNvPr>
            <xdr:cNvCxnSpPr/>
          </xdr:nvCxnSpPr>
          <xdr:spPr>
            <a:xfrm>
              <a:off x="1599570" y="3695879"/>
              <a:ext cx="0" cy="366226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00000000-0008-0000-0B00-00001C000000}"/>
                </a:ext>
              </a:extLst>
            </xdr:cNvPr>
            <xdr:cNvCxnSpPr/>
          </xdr:nvCxnSpPr>
          <xdr:spPr>
            <a:xfrm>
              <a:off x="7655006" y="3637615"/>
              <a:ext cx="0" cy="365394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5" name="Group 28">
            <a:extLst>
              <a:ext uri="{FF2B5EF4-FFF2-40B4-BE49-F238E27FC236}">
                <a16:creationId xmlns:a16="http://schemas.microsoft.com/office/drawing/2014/main" id="{00000000-0008-0000-0B00-0000493C1600}"/>
              </a:ext>
            </a:extLst>
          </xdr:cNvPr>
          <xdr:cNvGrpSpPr>
            <a:grpSpLocks/>
          </xdr:cNvGrpSpPr>
        </xdr:nvGrpSpPr>
        <xdr:grpSpPr bwMode="auto">
          <a:xfrm>
            <a:off x="2483427" y="3282228"/>
            <a:ext cx="4599710" cy="4839999"/>
            <a:chOff x="1593273" y="3638983"/>
            <a:chExt cx="6057900" cy="3721244"/>
          </a:xfrm>
        </xdr:grpSpPr>
        <xdr:cxnSp macro="">
          <xdr:nvCxnSpPr>
            <xdr:cNvPr id="30" name="Straight Arrow Connector 29">
              <a:extLst>
                <a:ext uri="{FF2B5EF4-FFF2-40B4-BE49-F238E27FC236}">
                  <a16:creationId xmlns:a16="http://schemas.microsoft.com/office/drawing/2014/main" id="{00000000-0008-0000-0B00-00001E000000}"/>
                </a:ext>
              </a:extLst>
            </xdr:cNvPr>
            <xdr:cNvCxnSpPr/>
          </xdr:nvCxnSpPr>
          <xdr:spPr>
            <a:xfrm flipV="1">
              <a:off x="1640209" y="7219484"/>
              <a:ext cx="5958841" cy="21128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CxnSpPr/>
          </xdr:nvCxnSpPr>
          <xdr:spPr>
            <a:xfrm>
              <a:off x="1590344" y="3698128"/>
              <a:ext cx="0" cy="366220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2" name="Straight Connector 31"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CxnSpPr/>
          </xdr:nvCxnSpPr>
          <xdr:spPr>
            <a:xfrm>
              <a:off x="7648914" y="3662915"/>
              <a:ext cx="0" cy="3641081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457226" name="Group 33">
            <a:extLst>
              <a:ext uri="{FF2B5EF4-FFF2-40B4-BE49-F238E27FC236}">
                <a16:creationId xmlns:a16="http://schemas.microsoft.com/office/drawing/2014/main" id="{00000000-0008-0000-0B00-00004A3C1600}"/>
              </a:ext>
            </a:extLst>
          </xdr:cNvPr>
          <xdr:cNvGrpSpPr>
            <a:grpSpLocks/>
          </xdr:cNvGrpSpPr>
        </xdr:nvGrpSpPr>
        <xdr:grpSpPr bwMode="auto">
          <a:xfrm>
            <a:off x="4745182" y="519545"/>
            <a:ext cx="1801090" cy="969819"/>
            <a:chOff x="4623955" y="519545"/>
            <a:chExt cx="1801090" cy="969819"/>
          </a:xfrm>
        </xdr:grpSpPr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CxnSpPr/>
          </xdr:nvCxnSpPr>
          <xdr:spPr>
            <a:xfrm flipV="1">
              <a:off x="4622224" y="519545"/>
              <a:ext cx="700445" cy="970963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" name="Straight Arrow Connector 32"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CxnSpPr/>
          </xdr:nvCxnSpPr>
          <xdr:spPr>
            <a:xfrm>
              <a:off x="5322669" y="519545"/>
              <a:ext cx="1097995" cy="0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17</xdr:col>
      <xdr:colOff>19050</xdr:colOff>
      <xdr:row>6</xdr:row>
      <xdr:rowOff>76200</xdr:rowOff>
    </xdr:from>
    <xdr:to>
      <xdr:col>27</xdr:col>
      <xdr:colOff>9525</xdr:colOff>
      <xdr:row>40</xdr:row>
      <xdr:rowOff>9525</xdr:rowOff>
    </xdr:to>
    <xdr:grpSp>
      <xdr:nvGrpSpPr>
        <xdr:cNvPr id="1452995" name="Group 10">
          <a:extLst>
            <a:ext uri="{FF2B5EF4-FFF2-40B4-BE49-F238E27FC236}">
              <a16:creationId xmlns:a16="http://schemas.microsoft.com/office/drawing/2014/main" id="{00000000-0008-0000-0B00-0000C32B1600}"/>
            </a:ext>
          </a:extLst>
        </xdr:cNvPr>
        <xdr:cNvGrpSpPr>
          <a:grpSpLocks/>
        </xdr:cNvGrpSpPr>
      </xdr:nvGrpSpPr>
      <xdr:grpSpPr bwMode="auto">
        <a:xfrm>
          <a:off x="10550979" y="1055914"/>
          <a:ext cx="6113689" cy="5485040"/>
          <a:chOff x="1604818" y="1108364"/>
          <a:chExt cx="6107546" cy="5426364"/>
        </a:xfrm>
      </xdr:grpSpPr>
      <xdr:grpSp>
        <xdr:nvGrpSpPr>
          <xdr:cNvPr id="1457213" name="Group 8">
            <a:extLst>
              <a:ext uri="{FF2B5EF4-FFF2-40B4-BE49-F238E27FC236}">
                <a16:creationId xmlns:a16="http://schemas.microsoft.com/office/drawing/2014/main" id="{00000000-0008-0000-0B00-00003D3C1600}"/>
              </a:ext>
            </a:extLst>
          </xdr:cNvPr>
          <xdr:cNvGrpSpPr>
            <a:grpSpLocks/>
          </xdr:cNvGrpSpPr>
        </xdr:nvGrpSpPr>
        <xdr:grpSpPr bwMode="auto">
          <a:xfrm>
            <a:off x="1604818" y="1108364"/>
            <a:ext cx="6107546" cy="5426364"/>
            <a:chOff x="1604818" y="1108364"/>
            <a:chExt cx="6107546" cy="5426364"/>
          </a:xfrm>
        </xdr:grpSpPr>
        <xdr:grpSp>
          <xdr:nvGrpSpPr>
            <xdr:cNvPr id="1457215" name="Group 5">
              <a:extLst>
                <a:ext uri="{FF2B5EF4-FFF2-40B4-BE49-F238E27FC236}">
                  <a16:creationId xmlns:a16="http://schemas.microsoft.com/office/drawing/2014/main" id="{00000000-0008-0000-0B00-00003F3C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604818" y="1108364"/>
              <a:ext cx="6107546" cy="5426364"/>
              <a:chOff x="1604818" y="1108364"/>
              <a:chExt cx="6107546" cy="5426364"/>
            </a:xfrm>
          </xdr:grpSpPr>
          <xdr:sp macro="" textlink="">
            <xdr:nvSpPr>
              <xdr:cNvPr id="48" name="Oval 47">
                <a:extLst>
                  <a:ext uri="{FF2B5EF4-FFF2-40B4-BE49-F238E27FC236}">
                    <a16:creationId xmlns:a16="http://schemas.microsoft.com/office/drawing/2014/main" id="{00000000-0008-0000-0B00-000030000000}"/>
                  </a:ext>
                </a:extLst>
              </xdr:cNvPr>
              <xdr:cNvSpPr/>
            </xdr:nvSpPr>
            <xdr:spPr>
              <a:xfrm>
                <a:off x="2359898" y="1593030"/>
                <a:ext cx="4673850" cy="4495044"/>
              </a:xfrm>
              <a:prstGeom prst="ellipse">
                <a:avLst/>
              </a:prstGeom>
              <a:noFill/>
              <a:ln w="57150">
                <a:solidFill>
                  <a:schemeClr val="tx1"/>
                </a:solidFill>
                <a:prstDash val="lg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B00-000031000000}"/>
                  </a:ext>
                </a:extLst>
              </xdr:cNvPr>
              <xdr:cNvSpPr/>
            </xdr:nvSpPr>
            <xdr:spPr>
              <a:xfrm>
                <a:off x="1604818" y="1108364"/>
                <a:ext cx="6107546" cy="5426364"/>
              </a:xfrm>
              <a:prstGeom prst="ellipse">
                <a:avLst/>
              </a:prstGeom>
              <a:noFill/>
              <a:ln w="57150">
                <a:solidFill>
                  <a:srgbClr val="92D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B00-00002E000000}"/>
                </a:ext>
              </a:extLst>
            </xdr:cNvPr>
            <xdr:cNvSpPr/>
          </xdr:nvSpPr>
          <xdr:spPr>
            <a:xfrm>
              <a:off x="2082717" y="1317436"/>
              <a:ext cx="5295118" cy="5036730"/>
            </a:xfrm>
            <a:prstGeom prst="ellipse">
              <a:avLst/>
            </a:prstGeom>
            <a:noFill/>
            <a:ln>
              <a:solidFill>
                <a:schemeClr val="accent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marL="0" indent="0" algn="ctr"/>
              <a:endParaRPr 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7" name="Oval 46">
              <a:extLst>
                <a:ext uri="{FF2B5EF4-FFF2-40B4-BE49-F238E27FC236}">
                  <a16:creationId xmlns:a16="http://schemas.microsoft.com/office/drawing/2014/main" id="{00000000-0008-0000-0B00-00002F000000}"/>
                </a:ext>
              </a:extLst>
            </xdr:cNvPr>
            <xdr:cNvSpPr/>
          </xdr:nvSpPr>
          <xdr:spPr>
            <a:xfrm>
              <a:off x="2541500" y="1754586"/>
              <a:ext cx="4281973" cy="4124417"/>
            </a:xfrm>
            <a:prstGeom prst="ellipse">
              <a:avLst/>
            </a:prstGeom>
            <a:noFill/>
            <a:ln>
              <a:solidFill>
                <a:schemeClr val="accent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44" name="Oval 43">
            <a:extLst>
              <a:ext uri="{FF2B5EF4-FFF2-40B4-BE49-F238E27FC236}">
                <a16:creationId xmlns:a16="http://schemas.microsoft.com/office/drawing/2014/main" id="{00000000-0008-0000-0B00-00002C000000}"/>
              </a:ext>
            </a:extLst>
          </xdr:cNvPr>
          <xdr:cNvSpPr/>
        </xdr:nvSpPr>
        <xdr:spPr>
          <a:xfrm>
            <a:off x="4472210" y="1364952"/>
            <a:ext cx="420551" cy="351621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17</xdr:col>
      <xdr:colOff>476250</xdr:colOff>
      <xdr:row>22</xdr:row>
      <xdr:rowOff>114300</xdr:rowOff>
    </xdr:from>
    <xdr:to>
      <xdr:col>26</xdr:col>
      <xdr:colOff>257175</xdr:colOff>
      <xdr:row>56</xdr:row>
      <xdr:rowOff>38100</xdr:rowOff>
    </xdr:to>
    <xdr:grpSp>
      <xdr:nvGrpSpPr>
        <xdr:cNvPr id="1452996" name="Group 50">
          <a:extLst>
            <a:ext uri="{FF2B5EF4-FFF2-40B4-BE49-F238E27FC236}">
              <a16:creationId xmlns:a16="http://schemas.microsoft.com/office/drawing/2014/main" id="{00000000-0008-0000-0B00-0000C42B1600}"/>
            </a:ext>
          </a:extLst>
        </xdr:cNvPr>
        <xdr:cNvGrpSpPr>
          <a:grpSpLocks/>
        </xdr:cNvGrpSpPr>
      </xdr:nvGrpSpPr>
      <xdr:grpSpPr bwMode="auto">
        <a:xfrm>
          <a:off x="11008179" y="3706586"/>
          <a:ext cx="5291817" cy="5475514"/>
          <a:chOff x="1593273" y="3638983"/>
          <a:chExt cx="6057900" cy="3721244"/>
        </a:xfrm>
      </xdr:grpSpPr>
      <xdr:cxnSp macro="">
        <xdr:nvCxnSpPr>
          <xdr:cNvPr id="52" name="Straight Arrow Connector 51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CxnSpPr/>
        </xdr:nvCxnSpPr>
        <xdr:spPr>
          <a:xfrm flipV="1">
            <a:off x="1648046" y="7223129"/>
            <a:ext cx="5959308" cy="1305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CxnSpPr/>
        </xdr:nvCxnSpPr>
        <xdr:spPr>
          <a:xfrm>
            <a:off x="1593273" y="3691211"/>
            <a:ext cx="0" cy="366901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CxnSpPr/>
        </xdr:nvCxnSpPr>
        <xdr:spPr>
          <a:xfrm>
            <a:off x="7651173" y="3638983"/>
            <a:ext cx="0" cy="366901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352425</xdr:colOff>
      <xdr:row>21</xdr:row>
      <xdr:rowOff>9525</xdr:rowOff>
    </xdr:from>
    <xdr:to>
      <xdr:col>25</xdr:col>
      <xdr:colOff>381000</xdr:colOff>
      <xdr:row>47</xdr:row>
      <xdr:rowOff>47625</xdr:rowOff>
    </xdr:to>
    <xdr:grpSp>
      <xdr:nvGrpSpPr>
        <xdr:cNvPr id="1452997" name="Group 54">
          <a:extLst>
            <a:ext uri="{FF2B5EF4-FFF2-40B4-BE49-F238E27FC236}">
              <a16:creationId xmlns:a16="http://schemas.microsoft.com/office/drawing/2014/main" id="{00000000-0008-0000-0B00-0000C52B1600}"/>
            </a:ext>
          </a:extLst>
        </xdr:cNvPr>
        <xdr:cNvGrpSpPr>
          <a:grpSpLocks/>
        </xdr:cNvGrpSpPr>
      </xdr:nvGrpSpPr>
      <xdr:grpSpPr bwMode="auto">
        <a:xfrm>
          <a:off x="11496675" y="3438525"/>
          <a:ext cx="4314825" cy="4283529"/>
          <a:chOff x="1593273" y="3638983"/>
          <a:chExt cx="6057900" cy="3721244"/>
        </a:xfrm>
      </xdr:grpSpPr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CxnSpPr/>
        </xdr:nvCxnSpPr>
        <xdr:spPr>
          <a:xfrm flipV="1">
            <a:off x="1647002" y="7218386"/>
            <a:ext cx="5950443" cy="1668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CxnSpPr/>
        </xdr:nvCxnSpPr>
        <xdr:spPr>
          <a:xfrm>
            <a:off x="1593273" y="3697388"/>
            <a:ext cx="0" cy="366283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CxnSpPr/>
        </xdr:nvCxnSpPr>
        <xdr:spPr>
          <a:xfrm>
            <a:off x="7651173" y="3638983"/>
            <a:ext cx="0" cy="366283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180975</xdr:colOff>
      <xdr:row>20</xdr:row>
      <xdr:rowOff>95250</xdr:rowOff>
    </xdr:from>
    <xdr:to>
      <xdr:col>25</xdr:col>
      <xdr:colOff>533400</xdr:colOff>
      <xdr:row>51</xdr:row>
      <xdr:rowOff>104775</xdr:rowOff>
    </xdr:to>
    <xdr:grpSp>
      <xdr:nvGrpSpPr>
        <xdr:cNvPr id="1452998" name="Group 58">
          <a:extLst>
            <a:ext uri="{FF2B5EF4-FFF2-40B4-BE49-F238E27FC236}">
              <a16:creationId xmlns:a16="http://schemas.microsoft.com/office/drawing/2014/main" id="{00000000-0008-0000-0B00-0000C62B1600}"/>
            </a:ext>
          </a:extLst>
        </xdr:cNvPr>
        <xdr:cNvGrpSpPr>
          <a:grpSpLocks/>
        </xdr:cNvGrpSpPr>
      </xdr:nvGrpSpPr>
      <xdr:grpSpPr bwMode="auto">
        <a:xfrm>
          <a:off x="11325225" y="3360964"/>
          <a:ext cx="4638675" cy="5071382"/>
          <a:chOff x="1593273" y="3638983"/>
          <a:chExt cx="6057900" cy="3721244"/>
        </a:xfrm>
      </xdr:grpSpPr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CxnSpPr/>
        </xdr:nvCxnSpPr>
        <xdr:spPr>
          <a:xfrm flipV="1">
            <a:off x="1643235" y="7219271"/>
            <a:ext cx="5957976" cy="21143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CxnSpPr/>
        </xdr:nvCxnSpPr>
        <xdr:spPr>
          <a:xfrm>
            <a:off x="1593273" y="3695365"/>
            <a:ext cx="0" cy="366486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B00-00003E000000}"/>
              </a:ext>
            </a:extLst>
          </xdr:cNvPr>
          <xdr:cNvCxnSpPr/>
        </xdr:nvCxnSpPr>
        <xdr:spPr>
          <a:xfrm>
            <a:off x="7651173" y="3638983"/>
            <a:ext cx="0" cy="366486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19050</xdr:colOff>
      <xdr:row>2</xdr:row>
      <xdr:rowOff>142875</xdr:rowOff>
    </xdr:from>
    <xdr:to>
      <xdr:col>25</xdr:col>
      <xdr:colOff>0</xdr:colOff>
      <xdr:row>9</xdr:row>
      <xdr:rowOff>19050</xdr:rowOff>
    </xdr:to>
    <xdr:grpSp>
      <xdr:nvGrpSpPr>
        <xdr:cNvPr id="1452999" name="Group 62">
          <a:extLst>
            <a:ext uri="{FF2B5EF4-FFF2-40B4-BE49-F238E27FC236}">
              <a16:creationId xmlns:a16="http://schemas.microsoft.com/office/drawing/2014/main" id="{00000000-0008-0000-0B00-0000C72B1600}"/>
            </a:ext>
          </a:extLst>
        </xdr:cNvPr>
        <xdr:cNvGrpSpPr>
          <a:grpSpLocks/>
        </xdr:cNvGrpSpPr>
      </xdr:nvGrpSpPr>
      <xdr:grpSpPr bwMode="auto">
        <a:xfrm>
          <a:off x="13612586" y="469446"/>
          <a:ext cx="1817914" cy="1019175"/>
          <a:chOff x="4623955" y="519545"/>
          <a:chExt cx="1801090" cy="969819"/>
        </a:xfrm>
      </xdr:grpSpPr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00000000-0008-0000-0B00-000040000000}"/>
              </a:ext>
            </a:extLst>
          </xdr:cNvPr>
          <xdr:cNvCxnSpPr/>
        </xdr:nvCxnSpPr>
        <xdr:spPr>
          <a:xfrm flipV="1">
            <a:off x="4623955" y="519545"/>
            <a:ext cx="710957" cy="9698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B00-000041000000}"/>
              </a:ext>
            </a:extLst>
          </xdr:cNvPr>
          <xdr:cNvCxnSpPr/>
        </xdr:nvCxnSpPr>
        <xdr:spPr>
          <a:xfrm>
            <a:off x="5334912" y="519545"/>
            <a:ext cx="1090133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308264</xdr:colOff>
      <xdr:row>5</xdr:row>
      <xdr:rowOff>73313</xdr:rowOff>
    </xdr:from>
    <xdr:to>
      <xdr:col>27</xdr:col>
      <xdr:colOff>381000</xdr:colOff>
      <xdr:row>41</xdr:row>
      <xdr:rowOff>39249</xdr:rowOff>
    </xdr:to>
    <xdr:sp macro="" textlink="">
      <xdr:nvSpPr>
        <xdr:cNvPr id="66" name="Oval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SpPr/>
      </xdr:nvSpPr>
      <xdr:spPr bwMode="auto">
        <a:xfrm>
          <a:off x="10127673" y="849456"/>
          <a:ext cx="6740236" cy="5592908"/>
        </a:xfrm>
        <a:prstGeom prst="ellipse">
          <a:avLst/>
        </a:prstGeom>
        <a:noFill/>
        <a:ln w="571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38100</xdr:colOff>
      <xdr:row>22</xdr:row>
      <xdr:rowOff>76200</xdr:rowOff>
    </xdr:from>
    <xdr:to>
      <xdr:col>27</xdr:col>
      <xdr:colOff>19050</xdr:colOff>
      <xdr:row>61</xdr:row>
      <xdr:rowOff>0</xdr:rowOff>
    </xdr:to>
    <xdr:grpSp>
      <xdr:nvGrpSpPr>
        <xdr:cNvPr id="1453001" name="Group 67">
          <a:extLst>
            <a:ext uri="{FF2B5EF4-FFF2-40B4-BE49-F238E27FC236}">
              <a16:creationId xmlns:a16="http://schemas.microsoft.com/office/drawing/2014/main" id="{00000000-0008-0000-0B00-0000C92B1600}"/>
            </a:ext>
          </a:extLst>
        </xdr:cNvPr>
        <xdr:cNvGrpSpPr>
          <a:grpSpLocks/>
        </xdr:cNvGrpSpPr>
      </xdr:nvGrpSpPr>
      <xdr:grpSpPr bwMode="auto">
        <a:xfrm>
          <a:off x="10570029" y="3668486"/>
          <a:ext cx="6104164" cy="6291943"/>
          <a:chOff x="1593273" y="3638983"/>
          <a:chExt cx="6057900" cy="3721244"/>
        </a:xfrm>
      </xdr:grpSpPr>
      <xdr:cxnSp macro="">
        <xdr:nvCxnSpPr>
          <xdr:cNvPr id="69" name="Straight Arrow Connector 68">
            <a:extLst>
              <a:ext uri="{FF2B5EF4-FFF2-40B4-BE49-F238E27FC236}">
                <a16:creationId xmlns:a16="http://schemas.microsoft.com/office/drawing/2014/main" id="{00000000-0008-0000-0B00-000045000000}"/>
              </a:ext>
            </a:extLst>
          </xdr:cNvPr>
          <xdr:cNvCxnSpPr/>
        </xdr:nvCxnSpPr>
        <xdr:spPr>
          <a:xfrm flipV="1">
            <a:off x="1640749" y="7223876"/>
            <a:ext cx="5962949" cy="1704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00000000-0008-0000-0B00-000046000000}"/>
              </a:ext>
            </a:extLst>
          </xdr:cNvPr>
          <xdr:cNvCxnSpPr/>
        </xdr:nvCxnSpPr>
        <xdr:spPr>
          <a:xfrm>
            <a:off x="1593273" y="3695796"/>
            <a:ext cx="0" cy="36644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00000000-0008-0000-0B00-000047000000}"/>
              </a:ext>
            </a:extLst>
          </xdr:cNvPr>
          <xdr:cNvCxnSpPr/>
        </xdr:nvCxnSpPr>
        <xdr:spPr>
          <a:xfrm>
            <a:off x="7651173" y="3638983"/>
            <a:ext cx="0" cy="36644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295275</xdr:colOff>
      <xdr:row>21</xdr:row>
      <xdr:rowOff>104775</xdr:rowOff>
    </xdr:from>
    <xdr:to>
      <xdr:col>27</xdr:col>
      <xdr:colOff>361950</xdr:colOff>
      <xdr:row>66</xdr:row>
      <xdr:rowOff>38100</xdr:rowOff>
    </xdr:to>
    <xdr:grpSp>
      <xdr:nvGrpSpPr>
        <xdr:cNvPr id="1453002" name="Group 71">
          <a:extLst>
            <a:ext uri="{FF2B5EF4-FFF2-40B4-BE49-F238E27FC236}">
              <a16:creationId xmlns:a16="http://schemas.microsoft.com/office/drawing/2014/main" id="{00000000-0008-0000-0B00-0000CA2B1600}"/>
            </a:ext>
          </a:extLst>
        </xdr:cNvPr>
        <xdr:cNvGrpSpPr>
          <a:grpSpLocks/>
        </xdr:cNvGrpSpPr>
      </xdr:nvGrpSpPr>
      <xdr:grpSpPr bwMode="auto">
        <a:xfrm>
          <a:off x="10214882" y="3533775"/>
          <a:ext cx="6802211" cy="7281182"/>
          <a:chOff x="1593273" y="3638983"/>
          <a:chExt cx="6057900" cy="3721244"/>
        </a:xfrm>
      </xdr:grpSpPr>
      <xdr:cxnSp macro="">
        <xdr:nvCxnSpPr>
          <xdr:cNvPr id="73" name="Straight Arrow Connector 72">
            <a:extLst>
              <a:ext uri="{FF2B5EF4-FFF2-40B4-BE49-F238E27FC236}">
                <a16:creationId xmlns:a16="http://schemas.microsoft.com/office/drawing/2014/main" id="{00000000-0008-0000-0B00-000049000000}"/>
              </a:ext>
            </a:extLst>
          </xdr:cNvPr>
          <xdr:cNvCxnSpPr/>
        </xdr:nvCxnSpPr>
        <xdr:spPr>
          <a:xfrm flipV="1">
            <a:off x="1644395" y="7222767"/>
            <a:ext cx="5955657" cy="14728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00000000-0008-0000-0B00-00004A000000}"/>
              </a:ext>
            </a:extLst>
          </xdr:cNvPr>
          <xdr:cNvCxnSpPr/>
        </xdr:nvCxnSpPr>
        <xdr:spPr>
          <a:xfrm>
            <a:off x="1593273" y="3692985"/>
            <a:ext cx="0" cy="366724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00000000-0008-0000-0B00-00004B000000}"/>
              </a:ext>
            </a:extLst>
          </xdr:cNvPr>
          <xdr:cNvCxnSpPr/>
        </xdr:nvCxnSpPr>
        <xdr:spPr>
          <a:xfrm>
            <a:off x="7651173" y="3638983"/>
            <a:ext cx="0" cy="366724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27709</xdr:colOff>
      <xdr:row>3</xdr:row>
      <xdr:rowOff>77642</xdr:rowOff>
    </xdr:from>
    <xdr:to>
      <xdr:col>28</xdr:col>
      <xdr:colOff>92943</xdr:colOff>
      <xdr:row>43</xdr:row>
      <xdr:rowOff>51962</xdr:rowOff>
    </xdr:to>
    <xdr:sp macro="" textlink="">
      <xdr:nvSpPr>
        <xdr:cNvPr id="76" name="Oval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/>
      </xdr:nvSpPr>
      <xdr:spPr bwMode="auto">
        <a:xfrm>
          <a:off x="9847118" y="551583"/>
          <a:ext cx="7332517" cy="6202508"/>
        </a:xfrm>
        <a:prstGeom prst="ellipse">
          <a:avLst/>
        </a:prstGeom>
        <a:noFill/>
        <a:ln w="5715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16</xdr:col>
      <xdr:colOff>19050</xdr:colOff>
      <xdr:row>22</xdr:row>
      <xdr:rowOff>104775</xdr:rowOff>
    </xdr:from>
    <xdr:to>
      <xdr:col>28</xdr:col>
      <xdr:colOff>85725</xdr:colOff>
      <xdr:row>72</xdr:row>
      <xdr:rowOff>123825</xdr:rowOff>
    </xdr:to>
    <xdr:grpSp>
      <xdr:nvGrpSpPr>
        <xdr:cNvPr id="1453004" name="Group 76">
          <a:extLst>
            <a:ext uri="{FF2B5EF4-FFF2-40B4-BE49-F238E27FC236}">
              <a16:creationId xmlns:a16="http://schemas.microsoft.com/office/drawing/2014/main" id="{00000000-0008-0000-0B00-0000CC2B1600}"/>
            </a:ext>
          </a:extLst>
        </xdr:cNvPr>
        <xdr:cNvGrpSpPr>
          <a:grpSpLocks/>
        </xdr:cNvGrpSpPr>
      </xdr:nvGrpSpPr>
      <xdr:grpSpPr bwMode="auto">
        <a:xfrm>
          <a:off x="9938657" y="3697061"/>
          <a:ext cx="7414532" cy="8183335"/>
          <a:chOff x="1593273" y="3638983"/>
          <a:chExt cx="6057900" cy="3721244"/>
        </a:xfrm>
      </xdr:grpSpPr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00000000-0008-0000-0B00-00004E000000}"/>
              </a:ext>
            </a:extLst>
          </xdr:cNvPr>
          <xdr:cNvCxnSpPr/>
        </xdr:nvCxnSpPr>
        <xdr:spPr>
          <a:xfrm flipV="1">
            <a:off x="1647990" y="7220462"/>
            <a:ext cx="5956284" cy="17471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0000000-0008-0000-0B00-00004F000000}"/>
              </a:ext>
            </a:extLst>
          </xdr:cNvPr>
          <xdr:cNvCxnSpPr/>
        </xdr:nvCxnSpPr>
        <xdr:spPr>
          <a:xfrm>
            <a:off x="1593273" y="3695763"/>
            <a:ext cx="0" cy="366446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" name="Straight Connector 79">
            <a:extLst>
              <a:ext uri="{FF2B5EF4-FFF2-40B4-BE49-F238E27FC236}">
                <a16:creationId xmlns:a16="http://schemas.microsoft.com/office/drawing/2014/main" id="{00000000-0008-0000-0B00-000050000000}"/>
              </a:ext>
            </a:extLst>
          </xdr:cNvPr>
          <xdr:cNvCxnSpPr/>
        </xdr:nvCxnSpPr>
        <xdr:spPr>
          <a:xfrm>
            <a:off x="7651173" y="3638983"/>
            <a:ext cx="0" cy="366446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441180</xdr:colOff>
      <xdr:row>2</xdr:row>
      <xdr:rowOff>38820</xdr:rowOff>
    </xdr:from>
    <xdr:to>
      <xdr:col>28</xdr:col>
      <xdr:colOff>285749</xdr:colOff>
      <xdr:row>45</xdr:row>
      <xdr:rowOff>95250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SpPr/>
      </xdr:nvSpPr>
      <xdr:spPr bwMode="auto">
        <a:xfrm>
          <a:off x="9847118" y="384895"/>
          <a:ext cx="7893194" cy="7211292"/>
        </a:xfrm>
        <a:prstGeom prst="ellipse">
          <a:avLst/>
        </a:prstGeom>
        <a:noFill/>
        <a:ln w="571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409575</xdr:colOff>
      <xdr:row>23</xdr:row>
      <xdr:rowOff>85725</xdr:rowOff>
    </xdr:from>
    <xdr:to>
      <xdr:col>28</xdr:col>
      <xdr:colOff>285750</xdr:colOff>
      <xdr:row>76</xdr:row>
      <xdr:rowOff>114300</xdr:rowOff>
    </xdr:to>
    <xdr:grpSp>
      <xdr:nvGrpSpPr>
        <xdr:cNvPr id="1453006" name="Group 81">
          <a:extLst>
            <a:ext uri="{FF2B5EF4-FFF2-40B4-BE49-F238E27FC236}">
              <a16:creationId xmlns:a16="http://schemas.microsoft.com/office/drawing/2014/main" id="{00000000-0008-0000-0B00-0000CE2B1600}"/>
            </a:ext>
          </a:extLst>
        </xdr:cNvPr>
        <xdr:cNvGrpSpPr>
          <a:grpSpLocks/>
        </xdr:cNvGrpSpPr>
      </xdr:nvGrpSpPr>
      <xdr:grpSpPr bwMode="auto">
        <a:xfrm>
          <a:off x="9716861" y="3841296"/>
          <a:ext cx="7836353" cy="8682718"/>
          <a:chOff x="1593273" y="3638983"/>
          <a:chExt cx="6057900" cy="3721244"/>
        </a:xfrm>
      </xdr:grpSpPr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B00-000053000000}"/>
              </a:ext>
            </a:extLst>
          </xdr:cNvPr>
          <xdr:cNvCxnSpPr/>
        </xdr:nvCxnSpPr>
        <xdr:spPr>
          <a:xfrm flipV="1">
            <a:off x="1645050" y="7220269"/>
            <a:ext cx="5954346" cy="20582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00000000-0008-0000-0B00-000054000000}"/>
              </a:ext>
            </a:extLst>
          </xdr:cNvPr>
          <xdr:cNvCxnSpPr/>
        </xdr:nvCxnSpPr>
        <xdr:spPr>
          <a:xfrm>
            <a:off x="1593273" y="3692496"/>
            <a:ext cx="0" cy="36677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B00-000055000000}"/>
              </a:ext>
            </a:extLst>
          </xdr:cNvPr>
          <xdr:cNvCxnSpPr/>
        </xdr:nvCxnSpPr>
        <xdr:spPr>
          <a:xfrm>
            <a:off x="7651173" y="3638983"/>
            <a:ext cx="0" cy="366773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418235</xdr:colOff>
      <xdr:row>5</xdr:row>
      <xdr:rowOff>1300</xdr:rowOff>
    </xdr:from>
    <xdr:to>
      <xdr:col>43</xdr:col>
      <xdr:colOff>490971</xdr:colOff>
      <xdr:row>40</xdr:row>
      <xdr:rowOff>132641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SpPr/>
      </xdr:nvSpPr>
      <xdr:spPr bwMode="auto">
        <a:xfrm>
          <a:off x="19935826" y="780618"/>
          <a:ext cx="6740236" cy="5592908"/>
        </a:xfrm>
        <a:prstGeom prst="ellipse">
          <a:avLst/>
        </a:prstGeom>
        <a:noFill/>
        <a:ln w="571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33</xdr:col>
      <xdr:colOff>152400</xdr:colOff>
      <xdr:row>22</xdr:row>
      <xdr:rowOff>9525</xdr:rowOff>
    </xdr:from>
    <xdr:to>
      <xdr:col>43</xdr:col>
      <xdr:colOff>133350</xdr:colOff>
      <xdr:row>60</xdr:row>
      <xdr:rowOff>85725</xdr:rowOff>
    </xdr:to>
    <xdr:grpSp>
      <xdr:nvGrpSpPr>
        <xdr:cNvPr id="1453008" name="Group 67">
          <a:extLst>
            <a:ext uri="{FF2B5EF4-FFF2-40B4-BE49-F238E27FC236}">
              <a16:creationId xmlns:a16="http://schemas.microsoft.com/office/drawing/2014/main" id="{00000000-0008-0000-0B00-0000D02B1600}"/>
            </a:ext>
          </a:extLst>
        </xdr:cNvPr>
        <xdr:cNvGrpSpPr>
          <a:grpSpLocks/>
        </xdr:cNvGrpSpPr>
      </xdr:nvGrpSpPr>
      <xdr:grpSpPr bwMode="auto">
        <a:xfrm>
          <a:off x="20481471" y="3601811"/>
          <a:ext cx="6104165" cy="6281057"/>
          <a:chOff x="1593273" y="3638983"/>
          <a:chExt cx="6057900" cy="3721244"/>
        </a:xfrm>
      </xdr:grpSpPr>
      <xdr:cxnSp macro="">
        <xdr:nvCxnSpPr>
          <xdr:cNvPr id="94" name="Straight Arrow Connector 93">
            <a:extLst>
              <a:ext uri="{FF2B5EF4-FFF2-40B4-BE49-F238E27FC236}">
                <a16:creationId xmlns:a16="http://schemas.microsoft.com/office/drawing/2014/main" id="{00000000-0008-0000-0B00-00005E000000}"/>
              </a:ext>
            </a:extLst>
          </xdr:cNvPr>
          <xdr:cNvCxnSpPr/>
        </xdr:nvCxnSpPr>
        <xdr:spPr>
          <a:xfrm flipV="1">
            <a:off x="1640749" y="7223668"/>
            <a:ext cx="5962949" cy="1707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B00-00005F000000}"/>
              </a:ext>
            </a:extLst>
          </xdr:cNvPr>
          <xdr:cNvCxnSpPr/>
        </xdr:nvCxnSpPr>
        <xdr:spPr>
          <a:xfrm>
            <a:off x="1593273" y="3695883"/>
            <a:ext cx="0" cy="366434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" name="Straight Connector 95">
            <a:extLst>
              <a:ext uri="{FF2B5EF4-FFF2-40B4-BE49-F238E27FC236}">
                <a16:creationId xmlns:a16="http://schemas.microsoft.com/office/drawing/2014/main" id="{00000000-0008-0000-0B00-000060000000}"/>
              </a:ext>
            </a:extLst>
          </xdr:cNvPr>
          <xdr:cNvCxnSpPr/>
        </xdr:nvCxnSpPr>
        <xdr:spPr>
          <a:xfrm>
            <a:off x="7651173" y="3638983"/>
            <a:ext cx="0" cy="366434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409575</xdr:colOff>
      <xdr:row>21</xdr:row>
      <xdr:rowOff>38100</xdr:rowOff>
    </xdr:from>
    <xdr:to>
      <xdr:col>43</xdr:col>
      <xdr:colOff>476250</xdr:colOff>
      <xdr:row>65</xdr:row>
      <xdr:rowOff>123825</xdr:rowOff>
    </xdr:to>
    <xdr:grpSp>
      <xdr:nvGrpSpPr>
        <xdr:cNvPr id="1453009" name="Group 71">
          <a:extLst>
            <a:ext uri="{FF2B5EF4-FFF2-40B4-BE49-F238E27FC236}">
              <a16:creationId xmlns:a16="http://schemas.microsoft.com/office/drawing/2014/main" id="{00000000-0008-0000-0B00-0000D12B1600}"/>
            </a:ext>
          </a:extLst>
        </xdr:cNvPr>
        <xdr:cNvGrpSpPr>
          <a:grpSpLocks/>
        </xdr:cNvGrpSpPr>
      </xdr:nvGrpSpPr>
      <xdr:grpSpPr bwMode="auto">
        <a:xfrm>
          <a:off x="20126325" y="3467100"/>
          <a:ext cx="6802211" cy="7270296"/>
          <a:chOff x="1593273" y="3638983"/>
          <a:chExt cx="6057900" cy="3721244"/>
        </a:xfrm>
      </xdr:grpSpPr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B00-000062000000}"/>
              </a:ext>
            </a:extLst>
          </xdr:cNvPr>
          <xdr:cNvCxnSpPr/>
        </xdr:nvCxnSpPr>
        <xdr:spPr>
          <a:xfrm flipV="1">
            <a:off x="1644395" y="7222585"/>
            <a:ext cx="5955657" cy="14747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B00-000063000000}"/>
              </a:ext>
            </a:extLst>
          </xdr:cNvPr>
          <xdr:cNvCxnSpPr/>
        </xdr:nvCxnSpPr>
        <xdr:spPr>
          <a:xfrm>
            <a:off x="1593273" y="3693057"/>
            <a:ext cx="0" cy="366717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Straight Connector 99">
            <a:extLst>
              <a:ext uri="{FF2B5EF4-FFF2-40B4-BE49-F238E27FC236}">
                <a16:creationId xmlns:a16="http://schemas.microsoft.com/office/drawing/2014/main" id="{00000000-0008-0000-0B00-000064000000}"/>
              </a:ext>
            </a:extLst>
          </xdr:cNvPr>
          <xdr:cNvCxnSpPr/>
        </xdr:nvCxnSpPr>
        <xdr:spPr>
          <a:xfrm>
            <a:off x="7651173" y="3638983"/>
            <a:ext cx="0" cy="366717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551151</xdr:colOff>
      <xdr:row>1</xdr:row>
      <xdr:rowOff>132195</xdr:rowOff>
    </xdr:from>
    <xdr:to>
      <xdr:col>44</xdr:col>
      <xdr:colOff>395714</xdr:colOff>
      <xdr:row>45</xdr:row>
      <xdr:rowOff>20061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SpPr/>
      </xdr:nvSpPr>
      <xdr:spPr bwMode="auto">
        <a:xfrm>
          <a:off x="19462606" y="294409"/>
          <a:ext cx="7724341" cy="6745866"/>
        </a:xfrm>
        <a:prstGeom prst="ellipse">
          <a:avLst/>
        </a:prstGeom>
        <a:noFill/>
        <a:ln w="57150"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31</xdr:col>
      <xdr:colOff>523875</xdr:colOff>
      <xdr:row>23</xdr:row>
      <xdr:rowOff>19050</xdr:rowOff>
    </xdr:from>
    <xdr:to>
      <xdr:col>44</xdr:col>
      <xdr:colOff>400050</xdr:colOff>
      <xdr:row>71</xdr:row>
      <xdr:rowOff>38100</xdr:rowOff>
    </xdr:to>
    <xdr:grpSp>
      <xdr:nvGrpSpPr>
        <xdr:cNvPr id="1453011" name="Group 81">
          <a:extLst>
            <a:ext uri="{FF2B5EF4-FFF2-40B4-BE49-F238E27FC236}">
              <a16:creationId xmlns:a16="http://schemas.microsoft.com/office/drawing/2014/main" id="{00000000-0008-0000-0B00-0000D32B1600}"/>
            </a:ext>
          </a:extLst>
        </xdr:cNvPr>
        <xdr:cNvGrpSpPr>
          <a:grpSpLocks/>
        </xdr:cNvGrpSpPr>
      </xdr:nvGrpSpPr>
      <xdr:grpSpPr bwMode="auto">
        <a:xfrm>
          <a:off x="19628304" y="3774621"/>
          <a:ext cx="7836353" cy="7856765"/>
          <a:chOff x="1593273" y="3638983"/>
          <a:chExt cx="6057900" cy="3721244"/>
        </a:xfrm>
      </xdr:grpSpPr>
      <xdr:cxnSp macro="">
        <xdr:nvCxnSpPr>
          <xdr:cNvPr id="103" name="Straight Arrow Connector 102">
            <a:extLst>
              <a:ext uri="{FF2B5EF4-FFF2-40B4-BE49-F238E27FC236}">
                <a16:creationId xmlns:a16="http://schemas.microsoft.com/office/drawing/2014/main" id="{00000000-0008-0000-0B00-000067000000}"/>
              </a:ext>
            </a:extLst>
          </xdr:cNvPr>
          <xdr:cNvCxnSpPr/>
        </xdr:nvCxnSpPr>
        <xdr:spPr>
          <a:xfrm flipV="1">
            <a:off x="1645050" y="7219202"/>
            <a:ext cx="5954346" cy="22746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B00-000068000000}"/>
              </a:ext>
            </a:extLst>
          </xdr:cNvPr>
          <xdr:cNvCxnSpPr/>
        </xdr:nvCxnSpPr>
        <xdr:spPr>
          <a:xfrm>
            <a:off x="1593273" y="3693573"/>
            <a:ext cx="0" cy="366665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B00-000069000000}"/>
              </a:ext>
            </a:extLst>
          </xdr:cNvPr>
          <xdr:cNvCxnSpPr/>
        </xdr:nvCxnSpPr>
        <xdr:spPr>
          <a:xfrm>
            <a:off x="7651173" y="3638983"/>
            <a:ext cx="0" cy="366665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172318</xdr:colOff>
      <xdr:row>6</xdr:row>
      <xdr:rowOff>112713</xdr:rowOff>
    </xdr:from>
    <xdr:to>
      <xdr:col>43</xdr:col>
      <xdr:colOff>121227</xdr:colOff>
      <xdr:row>39</xdr:row>
      <xdr:rowOff>78814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SpPr/>
      </xdr:nvSpPr>
      <xdr:spPr bwMode="auto">
        <a:xfrm>
          <a:off x="20296045" y="1054245"/>
          <a:ext cx="6010273" cy="5093710"/>
        </a:xfrm>
        <a:prstGeom prst="ellipse">
          <a:avLst/>
        </a:prstGeom>
        <a:noFill/>
        <a:ln w="571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48</xdr:col>
      <xdr:colOff>499052</xdr:colOff>
      <xdr:row>5</xdr:row>
      <xdr:rowOff>97559</xdr:rowOff>
    </xdr:from>
    <xdr:to>
      <xdr:col>48</xdr:col>
      <xdr:colOff>499053</xdr:colOff>
      <xdr:row>20</xdr:row>
      <xdr:rowOff>18777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CxnSpPr/>
      </xdr:nvCxnSpPr>
      <xdr:spPr bwMode="auto">
        <a:xfrm flipV="1">
          <a:off x="29718000" y="883227"/>
          <a:ext cx="1" cy="2268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248803</xdr:colOff>
      <xdr:row>4</xdr:row>
      <xdr:rowOff>25111</xdr:rowOff>
    </xdr:from>
    <xdr:to>
      <xdr:col>49</xdr:col>
      <xdr:colOff>53169</xdr:colOff>
      <xdr:row>6</xdr:row>
      <xdr:rowOff>55746</xdr:rowOff>
    </xdr:to>
    <xdr:sp macro="" textlink="">
      <xdr:nvSpPr>
        <xdr:cNvPr id="110" name="Oval 109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SpPr/>
      </xdr:nvSpPr>
      <xdr:spPr bwMode="auto">
        <a:xfrm>
          <a:off x="29458226" y="658091"/>
          <a:ext cx="416715" cy="33907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52</xdr:col>
      <xdr:colOff>114300</xdr:colOff>
      <xdr:row>25</xdr:row>
      <xdr:rowOff>80392</xdr:rowOff>
    </xdr:from>
    <xdr:to>
      <xdr:col>67</xdr:col>
      <xdr:colOff>0</xdr:colOff>
      <xdr:row>29</xdr:row>
      <xdr:rowOff>38081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SpPr/>
      </xdr:nvSpPr>
      <xdr:spPr>
        <a:xfrm>
          <a:off x="31927800" y="3880867"/>
          <a:ext cx="9029700" cy="576833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52</xdr:col>
      <xdr:colOff>152400</xdr:colOff>
      <xdr:row>42</xdr:row>
      <xdr:rowOff>96267</xdr:rowOff>
    </xdr:from>
    <xdr:to>
      <xdr:col>67</xdr:col>
      <xdr:colOff>38100</xdr:colOff>
      <xdr:row>46</xdr:row>
      <xdr:rowOff>76225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SpPr/>
      </xdr:nvSpPr>
      <xdr:spPr>
        <a:xfrm>
          <a:off x="31965900" y="6509767"/>
          <a:ext cx="9029700" cy="576833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</xdr:col>
      <xdr:colOff>189592</xdr:colOff>
      <xdr:row>105</xdr:row>
      <xdr:rowOff>61686</xdr:rowOff>
    </xdr:from>
    <xdr:to>
      <xdr:col>4</xdr:col>
      <xdr:colOff>478990</xdr:colOff>
      <xdr:row>111</xdr:row>
      <xdr:rowOff>2766</xdr:rowOff>
    </xdr:to>
    <xdr:cxnSp macro="">
      <xdr:nvCxnSpPr>
        <xdr:cNvPr id="1393346" name="Straight Connector 1393345">
          <a:extLst>
            <a:ext uri="{FF2B5EF4-FFF2-40B4-BE49-F238E27FC236}">
              <a16:creationId xmlns:a16="http://schemas.microsoft.com/office/drawing/2014/main" id="{00000000-0008-0000-0B00-0000C2421500}"/>
            </a:ext>
          </a:extLst>
        </xdr:cNvPr>
        <xdr:cNvCxnSpPr/>
      </xdr:nvCxnSpPr>
      <xdr:spPr>
        <a:xfrm>
          <a:off x="2136321" y="17213036"/>
          <a:ext cx="914400" cy="914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571500</xdr:colOff>
      <xdr:row>55</xdr:row>
      <xdr:rowOff>17318</xdr:rowOff>
    </xdr:from>
    <xdr:to>
      <xdr:col>54</xdr:col>
      <xdr:colOff>588818</xdr:colOff>
      <xdr:row>94</xdr:row>
      <xdr:rowOff>97562</xdr:rowOff>
    </xdr:to>
    <xdr:cxnSp macro="">
      <xdr:nvCxnSpPr>
        <xdr:cNvPr id="1393357" name="Straight Arrow Connector 1393356">
          <a:extLst>
            <a:ext uri="{FF2B5EF4-FFF2-40B4-BE49-F238E27FC236}">
              <a16:creationId xmlns:a16="http://schemas.microsoft.com/office/drawing/2014/main" id="{00000000-0008-0000-0B00-0000CD421500}"/>
            </a:ext>
          </a:extLst>
        </xdr:cNvPr>
        <xdr:cNvCxnSpPr/>
      </xdr:nvCxnSpPr>
      <xdr:spPr>
        <a:xfrm>
          <a:off x="33424091" y="8589818"/>
          <a:ext cx="17318" cy="616527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571500</xdr:colOff>
      <xdr:row>75</xdr:row>
      <xdr:rowOff>113434</xdr:rowOff>
    </xdr:from>
    <xdr:to>
      <xdr:col>56</xdr:col>
      <xdr:colOff>481703</xdr:colOff>
      <xdr:row>75</xdr:row>
      <xdr:rowOff>113434</xdr:rowOff>
    </xdr:to>
    <xdr:cxnSp macro="">
      <xdr:nvCxnSpPr>
        <xdr:cNvPr id="1393359" name="Straight Arrow Connector 1393358">
          <a:extLst>
            <a:ext uri="{FF2B5EF4-FFF2-40B4-BE49-F238E27FC236}">
              <a16:creationId xmlns:a16="http://schemas.microsoft.com/office/drawing/2014/main" id="{00000000-0008-0000-0B00-0000CF421500}"/>
            </a:ext>
          </a:extLst>
        </xdr:cNvPr>
        <xdr:cNvCxnSpPr/>
      </xdr:nvCxnSpPr>
      <xdr:spPr>
        <a:xfrm>
          <a:off x="34030227" y="11793682"/>
          <a:ext cx="51954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190500</xdr:colOff>
      <xdr:row>4</xdr:row>
      <xdr:rowOff>77065</xdr:rowOff>
    </xdr:from>
    <xdr:to>
      <xdr:col>53</xdr:col>
      <xdr:colOff>75674</xdr:colOff>
      <xdr:row>9</xdr:row>
      <xdr:rowOff>17388</xdr:rowOff>
    </xdr:to>
    <xdr:sp macro="" textlink="">
      <xdr:nvSpPr>
        <xdr:cNvPr id="1393360" name="Rectangle 1393359">
          <a:extLst>
            <a:ext uri="{FF2B5EF4-FFF2-40B4-BE49-F238E27FC236}">
              <a16:creationId xmlns:a16="http://schemas.microsoft.com/office/drawing/2014/main" id="{00000000-0008-0000-0B00-0000D0421500}"/>
            </a:ext>
          </a:extLst>
        </xdr:cNvPr>
        <xdr:cNvSpPr/>
      </xdr:nvSpPr>
      <xdr:spPr>
        <a:xfrm>
          <a:off x="31830818" y="710045"/>
          <a:ext cx="484909" cy="71004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49</xdr:col>
      <xdr:colOff>457200</xdr:colOff>
      <xdr:row>18</xdr:row>
      <xdr:rowOff>28575</xdr:rowOff>
    </xdr:from>
    <xdr:to>
      <xdr:col>69</xdr:col>
      <xdr:colOff>457200</xdr:colOff>
      <xdr:row>97</xdr:row>
      <xdr:rowOff>66675</xdr:rowOff>
    </xdr:to>
    <xdr:grpSp>
      <xdr:nvGrpSpPr>
        <xdr:cNvPr id="1453021" name="Group 1393362">
          <a:extLst>
            <a:ext uri="{FF2B5EF4-FFF2-40B4-BE49-F238E27FC236}">
              <a16:creationId xmlns:a16="http://schemas.microsoft.com/office/drawing/2014/main" id="{00000000-0008-0000-0B00-0000DD2B1600}"/>
            </a:ext>
          </a:extLst>
        </xdr:cNvPr>
        <xdr:cNvGrpSpPr>
          <a:grpSpLocks/>
        </xdr:cNvGrpSpPr>
      </xdr:nvGrpSpPr>
      <xdr:grpSpPr bwMode="auto">
        <a:xfrm>
          <a:off x="30583414" y="2967718"/>
          <a:ext cx="12246429" cy="12937671"/>
          <a:chOff x="30279109" y="2838312"/>
          <a:chExt cx="12125837" cy="12348497"/>
        </a:xfrm>
      </xdr:grpSpPr>
      <xdr:grpSp>
        <xdr:nvGrpSpPr>
          <xdr:cNvPr id="1453035" name="Group 1393354">
            <a:extLst>
              <a:ext uri="{FF2B5EF4-FFF2-40B4-BE49-F238E27FC236}">
                <a16:creationId xmlns:a16="http://schemas.microsoft.com/office/drawing/2014/main" id="{00000000-0008-0000-0B00-0000EB2B1600}"/>
              </a:ext>
            </a:extLst>
          </xdr:cNvPr>
          <xdr:cNvGrpSpPr>
            <a:grpSpLocks/>
          </xdr:cNvGrpSpPr>
        </xdr:nvGrpSpPr>
        <xdr:grpSpPr bwMode="auto">
          <a:xfrm>
            <a:off x="30279109" y="2838312"/>
            <a:ext cx="12125837" cy="12348497"/>
            <a:chOff x="30583414" y="2971910"/>
            <a:chExt cx="12249539" cy="12934840"/>
          </a:xfrm>
        </xdr:grpSpPr>
        <xdr:grpSp>
          <xdr:nvGrpSpPr>
            <xdr:cNvPr id="1453037" name="Group 1393343">
              <a:extLst>
                <a:ext uri="{FF2B5EF4-FFF2-40B4-BE49-F238E27FC236}">
                  <a16:creationId xmlns:a16="http://schemas.microsoft.com/office/drawing/2014/main" id="{00000000-0008-0000-0B00-0000ED2B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0583414" y="2971910"/>
              <a:ext cx="12249539" cy="12934840"/>
              <a:chOff x="30583414" y="2971910"/>
              <a:chExt cx="12249539" cy="12934840"/>
            </a:xfrm>
          </xdr:grpSpPr>
          <xdr:grpSp>
            <xdr:nvGrpSpPr>
              <xdr:cNvPr id="1453042" name="Group 49">
                <a:extLst>
                  <a:ext uri="{FF2B5EF4-FFF2-40B4-BE49-F238E27FC236}">
                    <a16:creationId xmlns:a16="http://schemas.microsoft.com/office/drawing/2014/main" id="{00000000-0008-0000-0B00-0000F22B16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30583414" y="2971910"/>
                <a:ext cx="12249539" cy="12472197"/>
                <a:chOff x="30583414" y="2971910"/>
                <a:chExt cx="12249539" cy="13032812"/>
              </a:xfrm>
            </xdr:grpSpPr>
            <xdr:grpSp>
              <xdr:nvGrpSpPr>
                <xdr:cNvPr id="1453045" name="Group 41">
                  <a:extLst>
                    <a:ext uri="{FF2B5EF4-FFF2-40B4-BE49-F238E27FC236}">
                      <a16:creationId xmlns:a16="http://schemas.microsoft.com/office/drawing/2014/main" id="{00000000-0008-0000-0B00-0000F52B16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30583414" y="2971910"/>
                  <a:ext cx="12249539" cy="13030091"/>
                  <a:chOff x="30441900" y="2775967"/>
                  <a:chExt cx="12195110" cy="12159234"/>
                </a:xfrm>
              </xdr:grpSpPr>
              <xdr:grpSp>
                <xdr:nvGrpSpPr>
                  <xdr:cNvPr id="1453048" name="Group 40">
                    <a:extLst>
                      <a:ext uri="{FF2B5EF4-FFF2-40B4-BE49-F238E27FC236}">
                        <a16:creationId xmlns:a16="http://schemas.microsoft.com/office/drawing/2014/main" id="{00000000-0008-0000-0B00-0000F82B16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30441900" y="2775967"/>
                    <a:ext cx="12195110" cy="12159234"/>
                    <a:chOff x="29864283" y="2623566"/>
                    <a:chExt cx="12696527" cy="13309161"/>
                  </a:xfrm>
                </xdr:grpSpPr>
                <xdr:grpSp>
                  <xdr:nvGrpSpPr>
                    <xdr:cNvPr id="1453052" name="Group 39">
                      <a:extLst>
                        <a:ext uri="{FF2B5EF4-FFF2-40B4-BE49-F238E27FC236}">
                          <a16:creationId xmlns:a16="http://schemas.microsoft.com/office/drawing/2014/main" id="{00000000-0008-0000-0B00-0000FC2B16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31775400" y="4076700"/>
                      <a:ext cx="8915400" cy="11856027"/>
                      <a:chOff x="30861000" y="2362200"/>
                      <a:chExt cx="8915400" cy="11856027"/>
                    </a:xfrm>
                  </xdr:grpSpPr>
                  <xdr:grpSp>
                    <xdr:nvGrpSpPr>
                      <xdr:cNvPr id="1453055" name="Group 35">
                        <a:extLst>
                          <a:ext uri="{FF2B5EF4-FFF2-40B4-BE49-F238E27FC236}">
                            <a16:creationId xmlns:a16="http://schemas.microsoft.com/office/drawing/2014/main" id="{00000000-0008-0000-0B00-0000FF2B16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30937200" y="5372100"/>
                        <a:ext cx="8839200" cy="8846127"/>
                        <a:chOff x="30937200" y="5372100"/>
                        <a:chExt cx="8839200" cy="8846127"/>
                      </a:xfrm>
                    </xdr:grpSpPr>
                    <xdr:grpSp>
                      <xdr:nvGrpSpPr>
                        <xdr:cNvPr id="1457156" name="Group 34">
                          <a:extLst>
                            <a:ext uri="{FF2B5EF4-FFF2-40B4-BE49-F238E27FC236}">
                              <a16:creationId xmlns:a16="http://schemas.microsoft.com/office/drawing/2014/main" id="{00000000-0008-0000-0B00-0000043C16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30937200" y="5372100"/>
                          <a:ext cx="8839200" cy="8846127"/>
                          <a:chOff x="30937200" y="5372100"/>
                          <a:chExt cx="8839200" cy="8846127"/>
                        </a:xfrm>
                      </xdr:grpSpPr>
                      <xdr:grpSp>
                        <xdr:nvGrpSpPr>
                          <xdr:cNvPr id="1457158" name="Group 20">
                            <a:extLst>
                              <a:ext uri="{FF2B5EF4-FFF2-40B4-BE49-F238E27FC236}">
                                <a16:creationId xmlns:a16="http://schemas.microsoft.com/office/drawing/2014/main" id="{00000000-0008-0000-0B00-0000063C1600}"/>
                              </a:ext>
                            </a:extLst>
                          </xdr:cNvPr>
                          <xdr:cNvGrpSpPr>
                            <a:grpSpLocks/>
                          </xdr:cNvGrpSpPr>
                        </xdr:nvGrpSpPr>
                        <xdr:grpSpPr bwMode="auto">
                          <a:xfrm>
                            <a:off x="31816740" y="6389325"/>
                            <a:ext cx="6871603" cy="7828902"/>
                            <a:chOff x="31816740" y="6389325"/>
                            <a:chExt cx="6871603" cy="7828902"/>
                          </a:xfrm>
                        </xdr:grpSpPr>
                        <xdr:grpSp>
                          <xdr:nvGrpSpPr>
                            <xdr:cNvPr id="1457163" name="Group 15">
                              <a:extLst>
                                <a:ext uri="{FF2B5EF4-FFF2-40B4-BE49-F238E27FC236}">
                                  <a16:creationId xmlns:a16="http://schemas.microsoft.com/office/drawing/2014/main" id="{00000000-0008-0000-0B00-00000B3C1600}"/>
                                </a:ext>
                              </a:extLst>
                            </xdr:cNvPr>
                            <xdr:cNvGrpSpPr>
                              <a:grpSpLocks/>
                            </xdr:cNvGrpSpPr>
                          </xdr:nvGrpSpPr>
                          <xdr:grpSpPr bwMode="auto">
                            <a:xfrm>
                              <a:off x="32201426" y="7277101"/>
                              <a:ext cx="6477001" cy="6941126"/>
                              <a:chOff x="32201426" y="7277101"/>
                              <a:chExt cx="6477001" cy="6941126"/>
                            </a:xfrm>
                          </xdr:grpSpPr>
                          <xdr:grpSp>
                            <xdr:nvGrpSpPr>
                              <xdr:cNvPr id="1457166" name="Group 12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0E3C1600}"/>
                                  </a:ext>
                                </a:extLst>
                              </xdr:cNvPr>
                              <xdr:cNvGrpSpPr>
                                <a:grpSpLocks/>
                              </xdr:cNvGrpSpPr>
                            </xdr:nvGrpSpPr>
                            <xdr:grpSpPr bwMode="auto">
                              <a:xfrm>
                                <a:off x="32201426" y="7277101"/>
                                <a:ext cx="6477001" cy="6941126"/>
                                <a:chOff x="31325126" y="4914901"/>
                                <a:chExt cx="6477001" cy="6941126"/>
                              </a:xfrm>
                            </xdr:grpSpPr>
                            <xdr:grpSp>
                              <xdr:nvGrpSpPr>
                                <xdr:cNvPr id="1457170" name="Group 1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123C1600}"/>
                                    </a:ext>
                                  </a:extLst>
                                </xdr:cNvPr>
                                <xdr:cNvGrpSpPr>
                                  <a:grpSpLocks/>
                                </xdr:cNvGrpSpPr>
                              </xdr:nvGrpSpPr>
                              <xdr:grpSpPr bwMode="auto">
                                <a:xfrm>
                                  <a:off x="31325126" y="4914901"/>
                                  <a:ext cx="6477001" cy="6941126"/>
                                  <a:chOff x="31325126" y="4914901"/>
                                  <a:chExt cx="6477001" cy="6941126"/>
                                </a:xfrm>
                              </xdr:grpSpPr>
                              <xdr:grpSp>
                                <xdr:nvGrpSpPr>
                                  <xdr:cNvPr id="1457174" name="Group 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B00-0000163C1600}"/>
                                      </a:ext>
                                    </a:extLst>
                                  </xdr:cNvPr>
                                  <xdr:cNvGrpSpPr>
                                    <a:grpSpLocks/>
                                  </xdr:cNvGrpSpPr>
                                </xdr:nvGrpSpPr>
                                <xdr:grpSpPr bwMode="auto">
                                  <a:xfrm>
                                    <a:off x="31325126" y="4914901"/>
                                    <a:ext cx="6477001" cy="6941126"/>
                                    <a:chOff x="31325126" y="4914901"/>
                                    <a:chExt cx="6477001" cy="6941126"/>
                                  </a:xfrm>
                                </xdr:grpSpPr>
                                <xdr:sp macro="" textlink="">
                                  <xdr:nvSpPr>
                                    <xdr:cNvPr id="2" name="Rectangle 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02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1386583" y="11286677"/>
                                      <a:ext cx="6387941" cy="584207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97" name="Rectangle 9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61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2041248" y="4962892"/>
                                      <a:ext cx="545554" cy="6323785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2" name="Rectangle 10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66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6574305" y="4962892"/>
                                      <a:ext cx="505877" cy="6323785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7" name="Rectangle 10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B00-00006B00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34421847" y="4962892"/>
                                      <a:ext cx="535635" cy="6323785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</xdr:spPr>
                                  <xdr:style>
                                    <a:lnRef idx="2">
                                      <a:schemeClr val="dk1">
                                        <a:shade val="50000"/>
                                      </a:schemeClr>
                                    </a:lnRef>
                                    <a:fillRef idx="1">
                                      <a:schemeClr val="dk1"/>
                                    </a:fillRef>
                                    <a:effectRef idx="0">
                                      <a:schemeClr val="dk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endParaRPr lang="en-US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09" name="Rectangle 1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B00-00006D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2626479" y="7094735"/>
                                    <a:ext cx="1755692" cy="46121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2">
                                    <a:schemeClr val="dk1">
                                      <a:shade val="50000"/>
                                    </a:schemeClr>
                                  </a:lnRef>
                                  <a:fillRef idx="1">
                                    <a:schemeClr val="dk1"/>
                                  </a:fillRef>
                                  <a:effectRef idx="0">
                                    <a:schemeClr val="dk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endParaRPr lang="en-US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11" name="Rectangle 1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B00-00006F00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34917805" y="7094735"/>
                                    <a:ext cx="1666419" cy="46121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</xdr:spPr>
                                <xdr:style>
                                  <a:lnRef idx="2">
                                    <a:schemeClr val="dk1">
                                      <a:shade val="50000"/>
                                    </a:schemeClr>
                                  </a:lnRef>
                                  <a:fillRef idx="1">
                                    <a:schemeClr val="dk1"/>
                                  </a:fillRef>
                                  <a:effectRef idx="0">
                                    <a:schemeClr val="dk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endParaRPr lang="en-US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12" name="Rectangle 11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70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1942056" y="10784464"/>
                                  <a:ext cx="793533" cy="1045423"/>
                                </a:xfrm>
                                <a:prstGeom prst="rect">
                                  <a:avLst/>
                                </a:prstGeom>
                                <a:noFill/>
                              </xdr:spPr>
                              <xdr:style>
                                <a:lnRef idx="2">
                                  <a:schemeClr val="dk1">
                                    <a:shade val="50000"/>
                                  </a:schemeClr>
                                </a:lnRef>
                                <a:fillRef idx="1">
                                  <a:schemeClr val="dk1"/>
                                </a:fillRef>
                                <a:effectRef idx="0">
                                  <a:schemeClr val="dk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endParaRPr lang="en-US"/>
                                </a:p>
                              </xdr:txBody>
                            </xdr:sp>
                            <xdr:sp macro="" textlink="">
                              <xdr:nvSpPr>
                                <xdr:cNvPr id="114" name="Rectangle 11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72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4322655" y="10835710"/>
                                  <a:ext cx="783614" cy="1014675"/>
                                </a:xfrm>
                                <a:prstGeom prst="rect">
                                  <a:avLst/>
                                </a:prstGeom>
                                <a:noFill/>
                              </xdr:spPr>
                              <xdr:style>
                                <a:lnRef idx="2">
                                  <a:schemeClr val="dk1">
                                    <a:shade val="50000"/>
                                  </a:schemeClr>
                                </a:lnRef>
                                <a:fillRef idx="1">
                                  <a:schemeClr val="dk1"/>
                                </a:fillRef>
                                <a:effectRef idx="0">
                                  <a:schemeClr val="dk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endParaRPr lang="en-US"/>
                                </a:p>
                              </xdr:txBody>
                            </xdr:sp>
                            <xdr:sp macro="" textlink="">
                              <xdr:nvSpPr>
                                <xdr:cNvPr id="115" name="Rectangle 11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B00-00007300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36435437" y="10784464"/>
                                  <a:ext cx="763776" cy="1045423"/>
                                </a:xfrm>
                                <a:prstGeom prst="rect">
                                  <a:avLst/>
                                </a:prstGeom>
                                <a:noFill/>
                              </xdr:spPr>
                              <xdr:style>
                                <a:lnRef idx="2">
                                  <a:schemeClr val="dk1">
                                    <a:shade val="50000"/>
                                  </a:schemeClr>
                                </a:lnRef>
                                <a:fillRef idx="1">
                                  <a:schemeClr val="dk1"/>
                                </a:fillRef>
                                <a:effectRef idx="0">
                                  <a:schemeClr val="dk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endParaRPr lang="en-US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16" name="Rectangle 115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74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2788599" y="7325092"/>
                                <a:ext cx="793533" cy="1035174"/>
                              </a:xfrm>
                              <a:prstGeom prst="rect">
                                <a:avLst/>
                              </a:prstGeom>
                              <a:noFill/>
                            </xdr:spPr>
                            <xdr:style>
                              <a:lnRef idx="2">
                                <a:schemeClr val="dk1">
                                  <a:shade val="50000"/>
                                </a:schemeClr>
                              </a:lnRef>
                              <a:fillRef idx="1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endParaRPr lang="en-US"/>
                              </a:p>
                            </xdr:txBody>
                          </xdr:sp>
                          <xdr:sp macro="" textlink="">
                            <xdr:nvSpPr>
                              <xdr:cNvPr id="117" name="Rectangle 116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75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5159279" y="7325092"/>
                                <a:ext cx="783614" cy="1035174"/>
                              </a:xfrm>
                              <a:prstGeom prst="rect">
                                <a:avLst/>
                              </a:prstGeom>
                              <a:noFill/>
                            </xdr:spPr>
                            <xdr:style>
                              <a:lnRef idx="2">
                                <a:schemeClr val="dk1">
                                  <a:shade val="50000"/>
                                </a:schemeClr>
                              </a:lnRef>
                              <a:fillRef idx="1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endParaRPr lang="en-US"/>
                              </a:p>
                            </xdr:txBody>
                          </xdr:sp>
                          <xdr:sp macro="" textlink="">
                            <xdr:nvSpPr>
                              <xdr:cNvPr id="118" name="Rectangle 117">
                                <a:extLst>
                                  <a:ext uri="{FF2B5EF4-FFF2-40B4-BE49-F238E27FC236}">
                                    <a16:creationId xmlns:a16="http://schemas.microsoft.com/office/drawing/2014/main" id="{00000000-0008-0000-0B00-00007600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37311737" y="7325092"/>
                                <a:ext cx="763776" cy="1035174"/>
                              </a:xfrm>
                              <a:prstGeom prst="rect">
                                <a:avLst/>
                              </a:prstGeom>
                              <a:noFill/>
                            </xdr:spPr>
                            <xdr:style>
                              <a:lnRef idx="2">
                                <a:schemeClr val="dk1">
                                  <a:shade val="50000"/>
                                </a:schemeClr>
                              </a:lnRef>
                              <a:fillRef idx="1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endParaRPr lang="en-US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7" name="Arc 16">
                              <a:extLst>
                                <a:ext uri="{FF2B5EF4-FFF2-40B4-BE49-F238E27FC236}">
                                  <a16:creationId xmlns:a16="http://schemas.microsoft.com/office/drawing/2014/main" id="{00000000-0008-0000-0B00-00001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9104887">
                              <a:off x="31866117" y="6402660"/>
                              <a:ext cx="6784707" cy="6395529"/>
                            </a:xfrm>
                            <a:prstGeom prst="arc">
                              <a:avLst/>
                            </a:prstGeom>
                          </xdr:spPr>
                          <xdr:style>
                            <a:lnRef idx="1">
                              <a:schemeClr val="dk1"/>
                            </a:lnRef>
                            <a:fillRef idx="0">
                              <a:schemeClr val="dk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endParaRPr lang="en-US"/>
                            </a:p>
                          </xdr:txBody>
                        </xdr:sp>
                        <xdr:sp macro="" textlink="">
                          <xdr:nvSpPr>
                            <xdr:cNvPr id="119" name="Arc 118">
                              <a:extLst>
                                <a:ext uri="{FF2B5EF4-FFF2-40B4-BE49-F238E27FC236}">
                                  <a16:creationId xmlns:a16="http://schemas.microsoft.com/office/drawing/2014/main" id="{00000000-0008-0000-0B00-00007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9104887">
                              <a:off x="31866117" y="6792132"/>
                              <a:ext cx="6784707" cy="6375031"/>
                            </a:xfrm>
                            <a:prstGeom prst="arc">
                              <a:avLst/>
                            </a:prstGeom>
                          </xdr:spPr>
                          <xdr:style>
                            <a:lnRef idx="1">
                              <a:schemeClr val="dk1"/>
                            </a:lnRef>
                            <a:fillRef idx="0">
                              <a:schemeClr val="dk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endParaRPr lang="en-US"/>
                            </a:p>
                          </xdr:txBody>
                        </xdr:sp>
                      </xdr:grpSp>
                      <xdr:cxnSp macro="">
                        <xdr:nvCxnSpPr>
                          <xdr:cNvPr id="29" name="Straight Connector 28">
                            <a:extLst>
                              <a:ext uri="{FF2B5EF4-FFF2-40B4-BE49-F238E27FC236}">
                                <a16:creationId xmlns:a16="http://schemas.microsoft.com/office/drawing/2014/main" id="{00000000-0008-0000-0B00-00001D000000}"/>
                              </a:ext>
                            </a:extLst>
                          </xdr:cNvPr>
                          <xdr:cNvCxnSpPr>
                            <a:stCxn id="97" idx="0"/>
                          </xdr:cNvCxnSpPr>
                        </xdr:nvCxnSpPr>
                        <xdr:spPr>
                          <a:xfrm flipH="1" flipV="1">
                            <a:off x="31181695" y="5428983"/>
                            <a:ext cx="1973913" cy="1896110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20" name="Straight Connector 119">
                            <a:extLst>
                              <a:ext uri="{FF2B5EF4-FFF2-40B4-BE49-F238E27FC236}">
                                <a16:creationId xmlns:a16="http://schemas.microsoft.com/office/drawing/2014/main" id="{00000000-0008-0000-0B00-000078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 flipH="1" flipV="1">
                            <a:off x="30983311" y="5695463"/>
                            <a:ext cx="1973913" cy="1916609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21" name="Straight Connector 120">
                            <a:extLst>
                              <a:ext uri="{FF2B5EF4-FFF2-40B4-BE49-F238E27FC236}">
                                <a16:creationId xmlns:a16="http://schemas.microsoft.com/office/drawing/2014/main" id="{00000000-0008-0000-0B00-000079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 flipV="1">
                            <a:off x="37698584" y="5469979"/>
                            <a:ext cx="1725934" cy="1834615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22" name="Straight Connector 121">
                            <a:extLst>
                              <a:ext uri="{FF2B5EF4-FFF2-40B4-BE49-F238E27FC236}">
                                <a16:creationId xmlns:a16="http://schemas.microsoft.com/office/drawing/2014/main" id="{00000000-0008-0000-0B00-00007A00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 flipV="1">
                            <a:off x="38055674" y="5623718"/>
                            <a:ext cx="1706096" cy="1834615"/>
                          </a:xfrm>
                          <a:prstGeom prst="line">
                            <a:avLst/>
                          </a:prstGeom>
                        </xdr:spPr>
                        <xdr:style>
                          <a:lnRef idx="1">
                            <a:schemeClr val="dk1"/>
                          </a:lnRef>
                          <a:fillRef idx="0">
                            <a:schemeClr val="dk1"/>
                          </a:fillRef>
                          <a:effectRef idx="0">
                            <a:schemeClr val="dk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  <xdr:sp macro="" textlink="">
                      <xdr:nvSpPr>
                        <xdr:cNvPr id="123" name="Rectangle 122">
                          <a:extLst>
                            <a:ext uri="{FF2B5EF4-FFF2-40B4-BE49-F238E27FC236}">
                              <a16:creationId xmlns:a16="http://schemas.microsoft.com/office/drawing/2014/main" id="{00000000-0008-0000-0B00-00007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3036578" y="7304594"/>
                          <a:ext cx="4721521" cy="666201"/>
                        </a:xfrm>
                        <a:prstGeom prst="rect">
                          <a:avLst/>
                        </a:prstGeom>
                        <a:noFill/>
                      </xdr:spPr>
                      <xdr:style>
                        <a:lnRef idx="2">
                          <a:schemeClr val="dk1">
                            <a:shade val="50000"/>
                          </a:schemeClr>
                        </a:lnRef>
                        <a:fillRef idx="1">
                          <a:schemeClr val="dk1"/>
                        </a:fillRef>
                        <a:effectRef idx="0">
                          <a:schemeClr val="dk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endParaRPr lang="en-US"/>
                        </a:p>
                      </xdr:txBody>
                    </xdr:sp>
                  </xdr:grpSp>
                  <xdr:cxnSp macro="">
                    <xdr:nvCxnSpPr>
                      <xdr:cNvPr id="38" name="Straight Connector 37">
                        <a:extLst>
                          <a:ext uri="{FF2B5EF4-FFF2-40B4-BE49-F238E27FC236}">
                            <a16:creationId xmlns:a16="http://schemas.microsoft.com/office/drawing/2014/main" id="{00000000-0008-0000-0B00-000026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9424518" y="2446453"/>
                        <a:ext cx="0" cy="294153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26" name="Straight Connector 125">
                        <a:extLst>
                          <a:ext uri="{FF2B5EF4-FFF2-40B4-BE49-F238E27FC236}">
                            <a16:creationId xmlns:a16="http://schemas.microsoft.com/office/drawing/2014/main" id="{00000000-0008-0000-0B00-00007E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9761770" y="2477200"/>
                        <a:ext cx="0" cy="2951782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27" name="Straight Connector 126">
                        <a:extLst>
                          <a:ext uri="{FF2B5EF4-FFF2-40B4-BE49-F238E27FC236}">
                            <a16:creationId xmlns:a16="http://schemas.microsoft.com/office/drawing/2014/main" id="{00000000-0008-0000-0B00-00007F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1171775" y="2364459"/>
                        <a:ext cx="0" cy="294153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28" name="Straight Connector 127">
                        <a:extLst>
                          <a:ext uri="{FF2B5EF4-FFF2-40B4-BE49-F238E27FC236}">
                            <a16:creationId xmlns:a16="http://schemas.microsoft.com/office/drawing/2014/main" id="{00000000-0008-0000-0B00-00008000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30864281" y="2405456"/>
                        <a:ext cx="0" cy="2941533"/>
                      </a:xfrm>
                      <a:prstGeom prst="line">
                        <a:avLst/>
                      </a:prstGeom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130" name="Arc 129">
                      <a:extLst>
                        <a:ext uri="{FF2B5EF4-FFF2-40B4-BE49-F238E27FC236}">
                          <a16:creationId xmlns:a16="http://schemas.microsoft.com/office/drawing/2014/main" id="{00000000-0008-0000-0B00-000082000000}"/>
                        </a:ext>
                      </a:extLst>
                    </xdr:cNvPr>
                    <xdr:cNvSpPr/>
                  </xdr:nvSpPr>
                  <xdr:spPr>
                    <a:xfrm rot="18872230">
                      <a:off x="30507035" y="2875503"/>
                      <a:ext cx="11827628" cy="12061701"/>
                    </a:xfrm>
                    <a:prstGeom prst="arc">
                      <a:avLst/>
                    </a:prstGeom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  <xdr:sp macro="" textlink="">
                  <xdr:nvSpPr>
                    <xdr:cNvPr id="131" name="Arc 130">
                      <a:extLst>
                        <a:ext uri="{FF2B5EF4-FFF2-40B4-BE49-F238E27FC236}">
                          <a16:creationId xmlns:a16="http://schemas.microsoft.com/office/drawing/2014/main" id="{00000000-0008-0000-0B00-000083000000}"/>
                        </a:ext>
                      </a:extLst>
                    </xdr:cNvPr>
                    <xdr:cNvSpPr/>
                  </xdr:nvSpPr>
                  <xdr:spPr>
                    <a:xfrm rot="18872230">
                      <a:off x="29842641" y="2645208"/>
                      <a:ext cx="12739811" cy="12696527"/>
                    </a:xfrm>
                    <a:prstGeom prst="arc">
                      <a:avLst/>
                    </a:prstGeom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rtlCol="0" anchor="t"/>
                    <a:lstStyle/>
                    <a:p>
                      <a:endParaRPr lang="en-US"/>
                    </a:p>
                  </xdr:txBody>
                </xdr:sp>
              </xdr:grpSp>
              <xdr:sp macro="" textlink="">
                <xdr:nvSpPr>
                  <xdr:cNvPr id="135" name="Rectangle 134">
                    <a:extLst>
                      <a:ext uri="{FF2B5EF4-FFF2-40B4-BE49-F238E27FC236}">
                        <a16:creationId xmlns:a16="http://schemas.microsoft.com/office/drawing/2014/main" id="{00000000-0008-0000-0B00-000087000000}"/>
                      </a:ext>
                    </a:extLst>
                  </xdr:cNvPr>
                  <xdr:cNvSpPr/>
                </xdr:nvSpPr>
                <xdr:spPr>
                  <a:xfrm>
                    <a:off x="38711709" y="10557200"/>
                    <a:ext cx="342987" cy="458821"/>
                  </a:xfrm>
                  <a:prstGeom prst="rect">
                    <a:avLst/>
                  </a:prstGeom>
                  <a:noFill/>
                </xdr:spPr>
                <xdr:style>
                  <a:lnRef idx="2">
                    <a:schemeClr val="dk1">
                      <a:shade val="50000"/>
                    </a:schemeClr>
                  </a:lnRef>
                  <a:fillRef idx="1">
                    <a:schemeClr val="dk1"/>
                  </a:fillRef>
                  <a:effectRef idx="0">
                    <a:schemeClr val="dk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  <xdr:sp macro="" textlink="">
                <xdr:nvSpPr>
                  <xdr:cNvPr id="136" name="Rectangle 135">
                    <a:extLst>
                      <a:ext uri="{FF2B5EF4-FFF2-40B4-BE49-F238E27FC236}">
                        <a16:creationId xmlns:a16="http://schemas.microsoft.com/office/drawing/2014/main" id="{00000000-0008-0000-0B00-000088000000}"/>
                      </a:ext>
                    </a:extLst>
                  </xdr:cNvPr>
                  <xdr:cNvSpPr/>
                </xdr:nvSpPr>
                <xdr:spPr>
                  <a:xfrm>
                    <a:off x="34329091" y="10510381"/>
                    <a:ext cx="342987" cy="468185"/>
                  </a:xfrm>
                  <a:prstGeom prst="rect">
                    <a:avLst/>
                  </a:prstGeom>
                  <a:noFill/>
                </xdr:spPr>
                <xdr:style>
                  <a:lnRef idx="2">
                    <a:schemeClr val="dk1">
                      <a:shade val="50000"/>
                    </a:schemeClr>
                  </a:lnRef>
                  <a:fillRef idx="1">
                    <a:schemeClr val="dk1"/>
                  </a:fillRef>
                  <a:effectRef idx="0">
                    <a:schemeClr val="dk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  <xdr:sp macro="" textlink="">
                <xdr:nvSpPr>
                  <xdr:cNvPr id="137" name="Rectangle 136">
                    <a:extLst>
                      <a:ext uri="{FF2B5EF4-FFF2-40B4-BE49-F238E27FC236}">
                        <a16:creationId xmlns:a16="http://schemas.microsoft.com/office/drawing/2014/main" id="{00000000-0008-0000-0B00-000089000000}"/>
                      </a:ext>
                    </a:extLst>
                  </xdr:cNvPr>
                  <xdr:cNvSpPr/>
                </xdr:nvSpPr>
                <xdr:spPr>
                  <a:xfrm>
                    <a:off x="36577565" y="10557200"/>
                    <a:ext cx="342987" cy="458821"/>
                  </a:xfrm>
                  <a:prstGeom prst="rect">
                    <a:avLst/>
                  </a:prstGeom>
                  <a:noFill/>
                </xdr:spPr>
                <xdr:style>
                  <a:lnRef idx="2">
                    <a:schemeClr val="dk1">
                      <a:shade val="50000"/>
                    </a:schemeClr>
                  </a:lnRef>
                  <a:fillRef idx="1">
                    <a:schemeClr val="dk1"/>
                  </a:fillRef>
                  <a:effectRef idx="0">
                    <a:schemeClr val="dk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endParaRPr lang="en-US"/>
                  </a:p>
                </xdr:txBody>
              </xdr:sp>
            </xdr:grpSp>
            <xdr:cxnSp macro="">
              <xdr:nvCxnSpPr>
                <xdr:cNvPr id="45" name="Straight Connector 44">
                  <a:extLst>
                    <a:ext uri="{FF2B5EF4-FFF2-40B4-BE49-F238E27FC236}">
                      <a16:creationId xmlns:a16="http://schemas.microsoft.com/office/drawing/2014/main" id="{00000000-0008-0000-0B00-00002D000000}"/>
                    </a:ext>
                  </a:extLst>
                </xdr:cNvPr>
                <xdr:cNvCxnSpPr/>
              </xdr:nvCxnSpPr>
              <xdr:spPr>
                <a:xfrm>
                  <a:off x="35665059" y="15414486"/>
                  <a:ext cx="0" cy="59202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B00-00008D000000}"/>
                    </a:ext>
                  </a:extLst>
                </xdr:cNvPr>
                <xdr:cNvCxnSpPr/>
              </xdr:nvCxnSpPr>
              <xdr:spPr>
                <a:xfrm>
                  <a:off x="38057547" y="15414486"/>
                  <a:ext cx="0" cy="592026"/>
                </a:xfrm>
                <a:prstGeom prst="line">
                  <a:avLst/>
                </a:prstGeom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5" name="Straight Arrow Connector 54">
                <a:extLst>
                  <a:ext uri="{FF2B5EF4-FFF2-40B4-BE49-F238E27FC236}">
                    <a16:creationId xmlns:a16="http://schemas.microsoft.com/office/drawing/2014/main" id="{00000000-0008-0000-0B00-000037000000}"/>
                  </a:ext>
                </a:extLst>
              </xdr:cNvPr>
              <xdr:cNvCxnSpPr/>
            </xdr:nvCxnSpPr>
            <xdr:spPr>
              <a:xfrm>
                <a:off x="33751068" y="15580258"/>
                <a:ext cx="1913990" cy="9603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63" name="Straight Arrow Connector 62">
                <a:extLst>
                  <a:ext uri="{FF2B5EF4-FFF2-40B4-BE49-F238E27FC236}">
                    <a16:creationId xmlns:a16="http://schemas.microsoft.com/office/drawing/2014/main" id="{00000000-0008-0000-0B00-00003F000000}"/>
                  </a:ext>
                </a:extLst>
              </xdr:cNvPr>
              <xdr:cNvCxnSpPr/>
            </xdr:nvCxnSpPr>
            <xdr:spPr>
              <a:xfrm>
                <a:off x="33798918" y="15906750"/>
                <a:ext cx="6172619" cy="0"/>
              </a:xfrm>
              <a:prstGeom prst="straightConnector1">
                <a:avLst/>
              </a:prstGeom>
              <a:ln>
                <a:headEnd type="triangle"/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393348" name="Straight Arrow Connector 1393347">
              <a:extLst>
                <a:ext uri="{FF2B5EF4-FFF2-40B4-BE49-F238E27FC236}">
                  <a16:creationId xmlns:a16="http://schemas.microsoft.com/office/drawing/2014/main" id="{00000000-0008-0000-0B00-0000C4421500}"/>
                </a:ext>
              </a:extLst>
            </xdr:cNvPr>
            <xdr:cNvCxnSpPr/>
          </xdr:nvCxnSpPr>
          <xdr:spPr>
            <a:xfrm>
              <a:off x="33368270" y="14898466"/>
              <a:ext cx="0" cy="528149"/>
            </a:xfrm>
            <a:prstGeom prst="straightConnector1">
              <a:avLst/>
            </a:prstGeom>
            <a:ln>
              <a:headEnd type="triangle"/>
              <a:tailEnd type="triangle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grpSp>
          <xdr:nvGrpSpPr>
            <xdr:cNvPr id="1453039" name="Group 1393353">
              <a:extLst>
                <a:ext uri="{FF2B5EF4-FFF2-40B4-BE49-F238E27FC236}">
                  <a16:creationId xmlns:a16="http://schemas.microsoft.com/office/drawing/2014/main" id="{00000000-0008-0000-0B00-0000EF2B16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32766000" y="13852071"/>
              <a:ext cx="1945821" cy="1319893"/>
              <a:chOff x="32766000" y="13852071"/>
              <a:chExt cx="1945821" cy="1319893"/>
            </a:xfrm>
          </xdr:grpSpPr>
          <xdr:cxnSp macro="">
            <xdr:nvCxnSpPr>
              <xdr:cNvPr id="1393350" name="Straight Connector 1393349">
                <a:extLst>
                  <a:ext uri="{FF2B5EF4-FFF2-40B4-BE49-F238E27FC236}">
                    <a16:creationId xmlns:a16="http://schemas.microsoft.com/office/drawing/2014/main" id="{00000000-0008-0000-0B00-0000C6421500}"/>
                  </a:ext>
                </a:extLst>
              </xdr:cNvPr>
              <xdr:cNvCxnSpPr/>
            </xdr:nvCxnSpPr>
            <xdr:spPr>
              <a:xfrm flipH="1" flipV="1">
                <a:off x="33894617" y="13851772"/>
                <a:ext cx="803876" cy="1305967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393353" name="Straight Arrow Connector 1393352">
                <a:extLst>
                  <a:ext uri="{FF2B5EF4-FFF2-40B4-BE49-F238E27FC236}">
                    <a16:creationId xmlns:a16="http://schemas.microsoft.com/office/drawing/2014/main" id="{00000000-0008-0000-0B00-0000C9421500}"/>
                  </a:ext>
                </a:extLst>
              </xdr:cNvPr>
              <xdr:cNvCxnSpPr/>
            </xdr:nvCxnSpPr>
            <xdr:spPr>
              <a:xfrm flipH="1">
                <a:off x="32765363" y="13851772"/>
                <a:ext cx="1129254" cy="0"/>
              </a:xfrm>
              <a:prstGeom prst="straightConnector1">
                <a:avLst/>
              </a:prstGeom>
              <a:ln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1393362" name="Straight Arrow Connector 1393361">
            <a:extLst>
              <a:ext uri="{FF2B5EF4-FFF2-40B4-BE49-F238E27FC236}">
                <a16:creationId xmlns:a16="http://schemas.microsoft.com/office/drawing/2014/main" id="{00000000-0008-0000-0B00-0000D2421500}"/>
              </a:ext>
            </a:extLst>
          </xdr:cNvPr>
          <xdr:cNvCxnSpPr/>
        </xdr:nvCxnSpPr>
        <xdr:spPr>
          <a:xfrm>
            <a:off x="39278754" y="13445002"/>
            <a:ext cx="0" cy="131093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51</xdr:col>
      <xdr:colOff>571501</xdr:colOff>
      <xdr:row>49</xdr:row>
      <xdr:rowOff>128587</xdr:rowOff>
    </xdr:from>
    <xdr:to>
      <xdr:col>56</xdr:col>
      <xdr:colOff>154215</xdr:colOff>
      <xdr:row>58</xdr:row>
      <xdr:rowOff>54464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rot="10800000">
          <a:off x="31731858" y="8120062"/>
          <a:ext cx="2621643" cy="14049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33339</xdr:colOff>
      <xdr:row>49</xdr:row>
      <xdr:rowOff>136524</xdr:rowOff>
    </xdr:from>
    <xdr:to>
      <xdr:col>51</xdr:col>
      <xdr:colOff>560387</xdr:colOff>
      <xdr:row>49</xdr:row>
      <xdr:rowOff>136524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31099127" y="8310562"/>
          <a:ext cx="115569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254000</xdr:colOff>
      <xdr:row>49</xdr:row>
      <xdr:rowOff>20865</xdr:rowOff>
    </xdr:from>
    <xdr:to>
      <xdr:col>54</xdr:col>
      <xdr:colOff>462249</xdr:colOff>
      <xdr:row>50</xdr:row>
      <xdr:rowOff>81262</xdr:rowOff>
    </xdr:to>
    <xdr:cxnSp macro="">
      <xdr:nvCxnSpPr>
        <xdr:cNvPr id="154" name="Straight Arrow Connector 153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CxnSpPr/>
      </xdr:nvCxnSpPr>
      <xdr:spPr>
        <a:xfrm rot="5400000">
          <a:off x="33233179" y="8032750"/>
          <a:ext cx="226786" cy="2177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415473</xdr:colOff>
      <xdr:row>56</xdr:row>
      <xdr:rowOff>3</xdr:rowOff>
    </xdr:from>
    <xdr:to>
      <xdr:col>56</xdr:col>
      <xdr:colOff>190501</xdr:colOff>
      <xdr:row>56</xdr:row>
      <xdr:rowOff>3631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CxnSpPr/>
      </xdr:nvCxnSpPr>
      <xdr:spPr>
        <a:xfrm rot="10800000" flipV="1">
          <a:off x="32183616" y="9144003"/>
          <a:ext cx="2206171" cy="72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78467</xdr:colOff>
      <xdr:row>44</xdr:row>
      <xdr:rowOff>0</xdr:rowOff>
    </xdr:from>
    <xdr:to>
      <xdr:col>53</xdr:col>
      <xdr:colOff>83003</xdr:colOff>
      <xdr:row>54</xdr:row>
      <xdr:rowOff>154650</xdr:rowOff>
    </xdr:to>
    <xdr:cxnSp macro="">
      <xdr:nvCxnSpPr>
        <xdr:cNvPr id="157" name="Straight Arrow Connector 156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CxnSpPr/>
      </xdr:nvCxnSpPr>
      <xdr:spPr>
        <a:xfrm rot="5400000">
          <a:off x="31573107" y="8069035"/>
          <a:ext cx="1778000" cy="907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404363</xdr:colOff>
      <xdr:row>41</xdr:row>
      <xdr:rowOff>3857</xdr:rowOff>
    </xdr:from>
    <xdr:to>
      <xdr:col>52</xdr:col>
      <xdr:colOff>417235</xdr:colOff>
      <xdr:row>44</xdr:row>
      <xdr:rowOff>36307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CxnSpPr/>
      </xdr:nvCxnSpPr>
      <xdr:spPr>
        <a:xfrm rot="10800000">
          <a:off x="31574245" y="6704921"/>
          <a:ext cx="611185" cy="5159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473985</xdr:colOff>
      <xdr:row>41</xdr:row>
      <xdr:rowOff>21318</xdr:rowOff>
    </xdr:from>
    <xdr:to>
      <xdr:col>51</xdr:col>
      <xdr:colOff>402770</xdr:colOff>
      <xdr:row>41</xdr:row>
      <xdr:rowOff>22906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CxnSpPr/>
      </xdr:nvCxnSpPr>
      <xdr:spPr>
        <a:xfrm rot="10800000">
          <a:off x="30418771" y="6722382"/>
          <a:ext cx="1144356" cy="15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472168</xdr:colOff>
      <xdr:row>35</xdr:row>
      <xdr:rowOff>75746</xdr:rowOff>
    </xdr:from>
    <xdr:to>
      <xdr:col>53</xdr:col>
      <xdr:colOff>151687</xdr:colOff>
      <xdr:row>35</xdr:row>
      <xdr:rowOff>75746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>
          <a:off x="32230786" y="5787571"/>
          <a:ext cx="290285" cy="158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444500</xdr:colOff>
      <xdr:row>29</xdr:row>
      <xdr:rowOff>36739</xdr:rowOff>
    </xdr:from>
    <xdr:to>
      <xdr:col>51</xdr:col>
      <xdr:colOff>444500</xdr:colOff>
      <xdr:row>43</xdr:row>
      <xdr:rowOff>54471</xdr:rowOff>
    </xdr:to>
    <xdr:cxnSp macro="">
      <xdr:nvCxnSpPr>
        <xdr:cNvPr id="170" name="Straight Arrow Connector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rot="16200000" flipH="1">
          <a:off x="30452786" y="5914571"/>
          <a:ext cx="2313214" cy="907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499160</xdr:colOff>
      <xdr:row>25</xdr:row>
      <xdr:rowOff>78242</xdr:rowOff>
    </xdr:from>
    <xdr:to>
      <xdr:col>52</xdr:col>
      <xdr:colOff>527986</xdr:colOff>
      <xdr:row>28</xdr:row>
      <xdr:rowOff>98030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CxnSpPr/>
      </xdr:nvCxnSpPr>
      <xdr:spPr>
        <a:xfrm rot="10800000">
          <a:off x="31859542" y="4160385"/>
          <a:ext cx="625194" cy="5159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584657</xdr:colOff>
      <xdr:row>25</xdr:row>
      <xdr:rowOff>95703</xdr:rowOff>
    </xdr:from>
    <xdr:to>
      <xdr:col>51</xdr:col>
      <xdr:colOff>497628</xdr:colOff>
      <xdr:row>25</xdr:row>
      <xdr:rowOff>97291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CxnSpPr/>
      </xdr:nvCxnSpPr>
      <xdr:spPr>
        <a:xfrm rot="10800000">
          <a:off x="30704521" y="4177846"/>
          <a:ext cx="1153428" cy="158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34635</xdr:colOff>
      <xdr:row>49</xdr:row>
      <xdr:rowOff>115458</xdr:rowOff>
    </xdr:from>
    <xdr:to>
      <xdr:col>61</xdr:col>
      <xdr:colOff>473363</xdr:colOff>
      <xdr:row>64</xdr:row>
      <xdr:rowOff>80819</xdr:rowOff>
    </xdr:to>
    <xdr:cxnSp macro="">
      <xdr:nvCxnSpPr>
        <xdr:cNvPr id="165" name="Straight Arrow Connector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 rot="5400000" flipH="1" flipV="1">
          <a:off x="36241183" y="8705274"/>
          <a:ext cx="2389906" cy="1050637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383021</xdr:colOff>
      <xdr:row>20</xdr:row>
      <xdr:rowOff>46182</xdr:rowOff>
    </xdr:from>
    <xdr:to>
      <xdr:col>61</xdr:col>
      <xdr:colOff>219373</xdr:colOff>
      <xdr:row>35</xdr:row>
      <xdr:rowOff>11542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CxnSpPr/>
      </xdr:nvCxnSpPr>
      <xdr:spPr>
        <a:xfrm rot="5400000" flipH="1" flipV="1">
          <a:off x="35987185" y="3948543"/>
          <a:ext cx="2389906" cy="1050637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4</xdr:row>
          <xdr:rowOff>28575</xdr:rowOff>
        </xdr:from>
        <xdr:to>
          <xdr:col>3</xdr:col>
          <xdr:colOff>600075</xdr:colOff>
          <xdr:row>7</xdr:row>
          <xdr:rowOff>28575</xdr:rowOff>
        </xdr:to>
        <xdr:sp macro="" textlink="">
          <xdr:nvSpPr>
            <xdr:cNvPr id="1422747" name="Button 13723" hidden="1">
              <a:extLst>
                <a:ext uri="{63B3BB69-23CF-44E3-9099-C40C66FF867C}">
                  <a14:compatExt spid="_x0000_s1422747"/>
                </a:ext>
                <a:ext uri="{FF2B5EF4-FFF2-40B4-BE49-F238E27FC236}">
                  <a16:creationId xmlns:a16="http://schemas.microsoft.com/office/drawing/2014/main" id="{00000000-0008-0000-0B00-00009BB5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76200</xdr:rowOff>
        </xdr:from>
        <xdr:to>
          <xdr:col>7</xdr:col>
          <xdr:colOff>161925</xdr:colOff>
          <xdr:row>1</xdr:row>
          <xdr:rowOff>85725</xdr:rowOff>
        </xdr:to>
        <xdr:sp macro="" textlink="">
          <xdr:nvSpPr>
            <xdr:cNvPr id="1351681" name="Button 1" hidden="1">
              <a:extLst>
                <a:ext uri="{63B3BB69-23CF-44E3-9099-C40C66FF867C}">
                  <a14:compatExt spid="_x0000_s1351681"/>
                </a:ext>
                <a:ext uri="{FF2B5EF4-FFF2-40B4-BE49-F238E27FC236}">
                  <a16:creationId xmlns:a16="http://schemas.microsoft.com/office/drawing/2014/main" id="{00000000-0008-0000-0C00-000001A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rcc dwg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TRUCTURAL%20DESIGN/ESR/MEIL%20FORMAT/580KL-19m%20OHT%20@Goleipur/3%20ST_TANK%20DESIGN_580KL%20_19%20M-Intz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p."/>
      <sheetName val="Data"/>
      <sheetName val="L Calc.-1"/>
      <sheetName val="L C-2-Seis"/>
      <sheetName val="L Calc.-2"/>
      <sheetName val=" Loads-for staad"/>
      <sheetName val="Hyd"/>
      <sheetName val="Design - 1"/>
      <sheetName val="Continuity Analysis-2"/>
      <sheetName val="Sesmic wts"/>
      <sheetName val="B1"/>
      <sheetName val="B1(a)"/>
      <sheetName val="C1"/>
      <sheetName val="RRB "/>
      <sheetName val="RRB reactions"/>
      <sheetName val="RAFT "/>
      <sheetName val="Sheet4"/>
      <sheetName val="Sheet5"/>
      <sheetName val="AV"/>
      <sheetName val="Ste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96">
          <cell r="H196">
            <v>40880.171999999999</v>
          </cell>
        </row>
        <row r="879">
          <cell r="H879">
            <v>-118269.73000000001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png"/><Relationship Id="rId4" Type="http://schemas.openxmlformats.org/officeDocument/2006/relationships/oleObject" Target="../embeddings/oleObject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png"/><Relationship Id="rId4" Type="http://schemas.openxmlformats.org/officeDocument/2006/relationships/oleObject" Target="../embeddings/oleObject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6"/>
  <sheetViews>
    <sheetView view="pageBreakPreview" zoomScale="85" zoomScaleSheetLayoutView="85" workbookViewId="0">
      <selection activeCell="J3" sqref="J3"/>
    </sheetView>
  </sheetViews>
  <sheetFormatPr defaultRowHeight="12.75" x14ac:dyDescent="0.2"/>
  <cols>
    <col min="4" max="4" width="16" customWidth="1"/>
    <col min="5" max="5" width="16.140625" customWidth="1"/>
    <col min="6" max="6" width="14.140625" customWidth="1"/>
    <col min="7" max="7" width="18" customWidth="1"/>
  </cols>
  <sheetData>
    <row r="1" spans="1:14" s="313" customFormat="1" ht="47.25" customHeight="1" x14ac:dyDescent="0.2">
      <c r="A1" s="311"/>
      <c r="B1" s="1056" t="s">
        <v>1948</v>
      </c>
      <c r="C1" s="1057"/>
      <c r="D1" s="1057"/>
      <c r="E1" s="1057"/>
      <c r="F1" s="1058"/>
      <c r="G1" s="702"/>
    </row>
    <row r="2" spans="1:14" s="313" customFormat="1" ht="39.75" customHeight="1" x14ac:dyDescent="0.2">
      <c r="A2" s="1052" t="s">
        <v>685</v>
      </c>
      <c r="B2" s="1059" t="s">
        <v>1949</v>
      </c>
      <c r="C2" s="1059"/>
      <c r="D2" s="1059"/>
      <c r="E2" s="1060" t="s">
        <v>686</v>
      </c>
      <c r="F2" s="1060"/>
      <c r="G2" s="703" t="s">
        <v>687</v>
      </c>
    </row>
    <row r="3" spans="1:14" s="313" customFormat="1" ht="102" customHeight="1" x14ac:dyDescent="0.25">
      <c r="A3" s="1052"/>
      <c r="B3" s="1059"/>
      <c r="C3" s="1059"/>
      <c r="D3" s="1059"/>
      <c r="E3" s="1061" t="s">
        <v>2094</v>
      </c>
      <c r="F3" s="1061"/>
      <c r="G3" s="760" t="s">
        <v>1947</v>
      </c>
      <c r="H3" s="314"/>
      <c r="I3" s="314"/>
      <c r="J3" s="314"/>
      <c r="K3" s="314"/>
      <c r="L3" s="314"/>
      <c r="M3" s="314"/>
      <c r="N3" s="314"/>
    </row>
    <row r="4" spans="1:14" s="313" customFormat="1" ht="17.25" customHeight="1" x14ac:dyDescent="0.2">
      <c r="A4" s="1052" t="s">
        <v>688</v>
      </c>
      <c r="B4" s="1054" t="s">
        <v>2093</v>
      </c>
      <c r="C4" s="1054"/>
      <c r="D4" s="1054"/>
      <c r="E4" s="527" t="s">
        <v>689</v>
      </c>
      <c r="F4" s="527" t="s">
        <v>690</v>
      </c>
      <c r="G4" s="703" t="s">
        <v>691</v>
      </c>
    </row>
    <row r="5" spans="1:14" s="313" customFormat="1" ht="38.25" customHeight="1" thickBot="1" x14ac:dyDescent="0.25">
      <c r="A5" s="1053"/>
      <c r="B5" s="1055"/>
      <c r="C5" s="1055"/>
      <c r="D5" s="1055"/>
      <c r="E5" s="761" t="s">
        <v>692</v>
      </c>
      <c r="F5" s="761" t="s">
        <v>693</v>
      </c>
      <c r="G5" s="762">
        <v>45055</v>
      </c>
    </row>
    <row r="6" spans="1:14" x14ac:dyDescent="0.2">
      <c r="A6" s="756"/>
      <c r="B6" s="194"/>
      <c r="C6" s="194"/>
      <c r="D6" s="194"/>
      <c r="E6" s="194"/>
      <c r="F6" s="194"/>
      <c r="G6" s="192"/>
      <c r="K6" s="164"/>
    </row>
    <row r="7" spans="1:14" x14ac:dyDescent="0.2">
      <c r="A7" s="757"/>
      <c r="G7" s="758"/>
    </row>
    <row r="8" spans="1:14" x14ac:dyDescent="0.2">
      <c r="A8" s="757"/>
      <c r="G8" s="758"/>
    </row>
    <row r="9" spans="1:14" x14ac:dyDescent="0.2">
      <c r="A9" s="757"/>
      <c r="G9" s="758"/>
    </row>
    <row r="10" spans="1:14" x14ac:dyDescent="0.2">
      <c r="A10" s="757"/>
      <c r="G10" s="758"/>
    </row>
    <row r="11" spans="1:14" x14ac:dyDescent="0.2">
      <c r="A11" s="757"/>
      <c r="G11" s="758"/>
    </row>
    <row r="12" spans="1:14" x14ac:dyDescent="0.2">
      <c r="A12" s="757"/>
      <c r="G12" s="758"/>
    </row>
    <row r="13" spans="1:14" x14ac:dyDescent="0.2">
      <c r="A13" s="757"/>
      <c r="G13" s="758"/>
    </row>
    <row r="14" spans="1:14" x14ac:dyDescent="0.2">
      <c r="A14" s="757"/>
      <c r="G14" s="758"/>
    </row>
    <row r="15" spans="1:14" x14ac:dyDescent="0.2">
      <c r="A15" s="757"/>
      <c r="G15" s="758"/>
    </row>
    <row r="16" spans="1:14" x14ac:dyDescent="0.2">
      <c r="A16" s="757"/>
      <c r="G16" s="758"/>
    </row>
    <row r="17" spans="1:7" x14ac:dyDescent="0.2">
      <c r="A17" s="757"/>
      <c r="G17" s="758"/>
    </row>
    <row r="18" spans="1:7" x14ac:dyDescent="0.2">
      <c r="A18" s="757"/>
      <c r="G18" s="758"/>
    </row>
    <row r="19" spans="1:7" x14ac:dyDescent="0.2">
      <c r="A19" s="757"/>
      <c r="G19" s="758"/>
    </row>
    <row r="20" spans="1:7" x14ac:dyDescent="0.2">
      <c r="A20" s="757"/>
      <c r="G20" s="758"/>
    </row>
    <row r="21" spans="1:7" x14ac:dyDescent="0.2">
      <c r="A21" s="757"/>
      <c r="G21" s="758"/>
    </row>
    <row r="22" spans="1:7" x14ac:dyDescent="0.2">
      <c r="A22" s="757"/>
      <c r="G22" s="758"/>
    </row>
    <row r="23" spans="1:7" x14ac:dyDescent="0.2">
      <c r="A23" s="757"/>
      <c r="G23" s="758"/>
    </row>
    <row r="24" spans="1:7" x14ac:dyDescent="0.2">
      <c r="A24" s="757"/>
      <c r="G24" s="758"/>
    </row>
    <row r="25" spans="1:7" x14ac:dyDescent="0.2">
      <c r="A25" s="757"/>
      <c r="G25" s="758"/>
    </row>
    <row r="26" spans="1:7" x14ac:dyDescent="0.2">
      <c r="A26" s="757"/>
      <c r="G26" s="758"/>
    </row>
    <row r="27" spans="1:7" x14ac:dyDescent="0.2">
      <c r="A27" s="757"/>
      <c r="G27" s="758"/>
    </row>
    <row r="28" spans="1:7" x14ac:dyDescent="0.2">
      <c r="A28" s="757"/>
      <c r="G28" s="758"/>
    </row>
    <row r="29" spans="1:7" x14ac:dyDescent="0.2">
      <c r="A29" s="757"/>
      <c r="G29" s="758"/>
    </row>
    <row r="30" spans="1:7" x14ac:dyDescent="0.2">
      <c r="A30" s="757"/>
      <c r="G30" s="758"/>
    </row>
    <row r="31" spans="1:7" x14ac:dyDescent="0.2">
      <c r="A31" s="757"/>
      <c r="G31" s="758"/>
    </row>
    <row r="32" spans="1:7" x14ac:dyDescent="0.2">
      <c r="A32" s="757"/>
      <c r="G32" s="758"/>
    </row>
    <row r="33" spans="1:7" x14ac:dyDescent="0.2">
      <c r="A33" s="757"/>
      <c r="G33" s="758"/>
    </row>
    <row r="34" spans="1:7" x14ac:dyDescent="0.2">
      <c r="A34" s="757"/>
      <c r="G34" s="758"/>
    </row>
    <row r="35" spans="1:7" x14ac:dyDescent="0.2">
      <c r="A35" s="757"/>
      <c r="G35" s="758"/>
    </row>
    <row r="36" spans="1:7" x14ac:dyDescent="0.2">
      <c r="A36" s="757"/>
      <c r="G36" s="758"/>
    </row>
  </sheetData>
  <mergeCells count="7">
    <mergeCell ref="A4:A5"/>
    <mergeCell ref="B4:D5"/>
    <mergeCell ref="B1:F1"/>
    <mergeCell ref="A2:A3"/>
    <mergeCell ref="B2:D3"/>
    <mergeCell ref="E2:F2"/>
    <mergeCell ref="E3:F3"/>
  </mergeCells>
  <conditionalFormatting sqref="E4:G5">
    <cfRule type="expression" dxfId="19" priority="3" stopIfTrue="1">
      <formula>MOD(ROW()-8,28)=0</formula>
    </cfRule>
    <cfRule type="expression" dxfId="18" priority="4" stopIfTrue="1">
      <formula>MOD(ROW()-8,28)=1</formula>
    </cfRule>
  </conditionalFormatting>
  <conditionalFormatting sqref="B4">
    <cfRule type="expression" dxfId="17" priority="1" stopIfTrue="1">
      <formula>MOD(ROW()-8,28)=0</formula>
    </cfRule>
    <cfRule type="expression" dxfId="16" priority="2" stopIfTrue="1">
      <formula>MOD(ROW()-8,28)=1</formula>
    </cfRule>
  </conditionalFormatting>
  <pageMargins left="0.19685039370078741" right="0.19685039370078741" top="0.23622047244094488" bottom="0.23622047244094488" header="0.31496062992125984" footer="0.31496062992125984"/>
  <pageSetup paperSize="9" scale="110" orientation="portrait" r:id="rId1"/>
  <drawing r:id="rId2"/>
  <legacyDrawing r:id="rId3"/>
  <oleObjects>
    <mc:AlternateContent xmlns:mc="http://schemas.openxmlformats.org/markup-compatibility/2006">
      <mc:Choice Requires="x14">
        <oleObject progId="StaticMetafile" shapeId="1025" r:id="rId4">
          <objectPr defaultSize="0" autoPict="0" r:id="rId5">
            <anchor moveWithCells="1" sizeWithCells="1">
              <from>
                <xdr:col>1</xdr:col>
                <xdr:colOff>561975</xdr:colOff>
                <xdr:row>0</xdr:row>
                <xdr:rowOff>104775</xdr:rowOff>
              </from>
              <to>
                <xdr:col>2</xdr:col>
                <xdr:colOff>485775</xdr:colOff>
                <xdr:row>0</xdr:row>
                <xdr:rowOff>466725</xdr:rowOff>
              </to>
            </anchor>
          </objectPr>
        </oleObject>
      </mc:Choice>
      <mc:Fallback>
        <oleObject progId="StaticMetafile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5"/>
  <sheetViews>
    <sheetView view="pageBreakPreview" zoomScale="80" zoomScaleNormal="80" zoomScaleSheetLayoutView="80" workbookViewId="0">
      <selection activeCell="L5" sqref="L5"/>
    </sheetView>
  </sheetViews>
  <sheetFormatPr defaultRowHeight="12.75" x14ac:dyDescent="0.2"/>
  <cols>
    <col min="1" max="3" width="9.140625" style="324"/>
    <col min="4" max="4" width="22" style="324" customWidth="1"/>
    <col min="5" max="5" width="11.28515625" style="324" customWidth="1"/>
    <col min="6" max="6" width="12.85546875" style="324" customWidth="1"/>
    <col min="7" max="7" width="20.7109375" style="324" customWidth="1"/>
    <col min="8" max="16384" width="9.140625" style="324"/>
  </cols>
  <sheetData>
    <row r="1" spans="1:14" s="322" customFormat="1" ht="46.5" customHeight="1" x14ac:dyDescent="0.2">
      <c r="A1" s="321"/>
      <c r="B1" s="1070" t="str">
        <f>'cover page'!B1:F1</f>
        <v xml:space="preserve">              JMC – SPML JOINT VENTURE</v>
      </c>
      <c r="C1" s="1070"/>
      <c r="D1" s="1070"/>
      <c r="E1" s="1070"/>
      <c r="F1" s="1070"/>
      <c r="G1" s="743"/>
    </row>
    <row r="2" spans="1:14" s="322" customFormat="1" ht="17.25" customHeight="1" x14ac:dyDescent="0.2">
      <c r="A2" s="1071" t="s">
        <v>685</v>
      </c>
      <c r="B2" s="1072" t="str">
        <f>'cover page'!$B$2:$D$3</f>
        <v>EXECUTION OF MEGA PWS TO MOHANA, DARINGABADI, GUMMA, R.UDAYGIRI AND NUAGADA BLOCK IN GAJAPATI &amp; KANDHAMAL DISTRICT INCLUDING FIVE YEARS OPERATION &amp; MAINTENANCE</v>
      </c>
      <c r="C2" s="1072"/>
      <c r="D2" s="1072"/>
      <c r="E2" s="1073" t="s">
        <v>686</v>
      </c>
      <c r="F2" s="1073"/>
      <c r="G2" s="744" t="s">
        <v>687</v>
      </c>
    </row>
    <row r="3" spans="1:14" s="322" customFormat="1" ht="141" customHeight="1" x14ac:dyDescent="0.25">
      <c r="A3" s="1071"/>
      <c r="B3" s="1072"/>
      <c r="C3" s="1072"/>
      <c r="D3" s="1072"/>
      <c r="E3" s="1074" t="str">
        <f>'cover page'!E3:F3</f>
        <v>32129-MB-WSE-ESR-CV-DD-</v>
      </c>
      <c r="F3" s="1074"/>
      <c r="G3" s="745" t="str">
        <f>'cover page'!$G$3</f>
        <v>R0</v>
      </c>
      <c r="H3" s="323"/>
      <c r="I3" s="323"/>
      <c r="J3" s="323"/>
      <c r="K3" s="323"/>
      <c r="L3" s="323"/>
      <c r="M3" s="323"/>
      <c r="N3" s="323"/>
    </row>
    <row r="4" spans="1:14" s="322" customFormat="1" ht="29.25" customHeight="1" x14ac:dyDescent="0.2">
      <c r="A4" s="1071" t="s">
        <v>688</v>
      </c>
      <c r="B4" s="1076" t="str">
        <f>'cover page'!$B$4:$D$5</f>
        <v xml:space="preserve">Structural Design Report of 250 KL ESR with 10 m Staging at  MOHANA A PRO ESR </v>
      </c>
      <c r="C4" s="1077"/>
      <c r="D4" s="1078"/>
      <c r="E4" s="763" t="s">
        <v>689</v>
      </c>
      <c r="F4" s="763" t="s">
        <v>690</v>
      </c>
      <c r="G4" s="744" t="s">
        <v>691</v>
      </c>
    </row>
    <row r="5" spans="1:14" s="322" customFormat="1" ht="24" customHeight="1" thickBot="1" x14ac:dyDescent="0.25">
      <c r="A5" s="1075"/>
      <c r="B5" s="1079"/>
      <c r="C5" s="1080"/>
      <c r="D5" s="1081"/>
      <c r="E5" s="746" t="str">
        <f>'cover page'!$E$5</f>
        <v>SKS</v>
      </c>
      <c r="F5" s="746" t="str">
        <f>'cover page'!$F$5</f>
        <v>JKS</v>
      </c>
      <c r="G5" s="747">
        <f>'cover page'!$G$5</f>
        <v>45055</v>
      </c>
    </row>
    <row r="6" spans="1:14" x14ac:dyDescent="0.2">
      <c r="A6" s="748"/>
      <c r="B6" s="749"/>
      <c r="C6" s="749"/>
      <c r="D6" s="749"/>
      <c r="E6" s="749"/>
      <c r="F6" s="749"/>
      <c r="G6" s="750"/>
    </row>
    <row r="7" spans="1:14" x14ac:dyDescent="0.2">
      <c r="A7" s="751"/>
      <c r="D7" s="1082" t="s">
        <v>1345</v>
      </c>
      <c r="G7" s="752"/>
    </row>
    <row r="8" spans="1:14" x14ac:dyDescent="0.2">
      <c r="A8" s="751"/>
      <c r="D8" s="1082"/>
      <c r="G8" s="752"/>
    </row>
    <row r="9" spans="1:14" ht="12.75" customHeight="1" x14ac:dyDescent="0.2">
      <c r="A9" s="751"/>
      <c r="G9" s="752"/>
    </row>
    <row r="10" spans="1:14" ht="13.5" customHeight="1" x14ac:dyDescent="0.2">
      <c r="A10" s="751"/>
      <c r="B10" s="1062" t="s">
        <v>1367</v>
      </c>
      <c r="C10" s="1063"/>
      <c r="E10" s="1062" t="s">
        <v>1346</v>
      </c>
      <c r="F10" s="1063"/>
      <c r="G10" s="752"/>
    </row>
    <row r="11" spans="1:14" ht="12.75" customHeight="1" x14ac:dyDescent="0.2">
      <c r="A11" s="751"/>
      <c r="B11" s="1066"/>
      <c r="C11" s="1067"/>
      <c r="E11" s="1066"/>
      <c r="F11" s="1067"/>
      <c r="G11" s="752"/>
    </row>
    <row r="12" spans="1:14" ht="12.75" customHeight="1" x14ac:dyDescent="0.2">
      <c r="A12" s="751"/>
      <c r="C12" s="765"/>
      <c r="E12" s="765"/>
      <c r="F12" s="765"/>
      <c r="G12" s="752"/>
    </row>
    <row r="13" spans="1:14" ht="13.5" customHeight="1" x14ac:dyDescent="0.2">
      <c r="A13" s="751"/>
      <c r="B13" s="1062" t="s">
        <v>1368</v>
      </c>
      <c r="C13" s="1063"/>
      <c r="E13" s="1062" t="s">
        <v>1347</v>
      </c>
      <c r="F13" s="1063"/>
      <c r="G13" s="752"/>
    </row>
    <row r="14" spans="1:14" ht="12.75" customHeight="1" x14ac:dyDescent="0.2">
      <c r="A14" s="751"/>
      <c r="B14" s="1066"/>
      <c r="C14" s="1067"/>
      <c r="E14" s="1066"/>
      <c r="F14" s="1067"/>
      <c r="G14" s="752"/>
    </row>
    <row r="15" spans="1:14" ht="12.75" customHeight="1" x14ac:dyDescent="0.2">
      <c r="A15" s="751"/>
      <c r="C15" s="765"/>
      <c r="E15" s="765"/>
      <c r="F15" s="765"/>
      <c r="G15" s="752"/>
    </row>
    <row r="16" spans="1:14" ht="13.5" customHeight="1" x14ac:dyDescent="0.2">
      <c r="A16" s="751"/>
      <c r="B16" s="1062" t="s">
        <v>1924</v>
      </c>
      <c r="C16" s="1063"/>
      <c r="E16" s="1062" t="s">
        <v>1349</v>
      </c>
      <c r="F16" s="1063"/>
      <c r="G16" s="752"/>
    </row>
    <row r="17" spans="1:7" ht="12.75" customHeight="1" x14ac:dyDescent="0.2">
      <c r="A17" s="751"/>
      <c r="B17" s="1066"/>
      <c r="C17" s="1067"/>
      <c r="E17" s="1066"/>
      <c r="F17" s="1067"/>
      <c r="G17" s="752"/>
    </row>
    <row r="18" spans="1:7" ht="12.75" customHeight="1" x14ac:dyDescent="0.2">
      <c r="A18" s="751"/>
      <c r="C18" s="765"/>
      <c r="E18" s="765"/>
      <c r="F18" s="765"/>
      <c r="G18" s="752"/>
    </row>
    <row r="19" spans="1:7" ht="13.5" customHeight="1" x14ac:dyDescent="0.2">
      <c r="A19" s="751"/>
      <c r="B19" s="1062" t="s">
        <v>1968</v>
      </c>
      <c r="C19" s="1063"/>
      <c r="E19" s="1062" t="s">
        <v>1350</v>
      </c>
      <c r="F19" s="1063"/>
      <c r="G19" s="752"/>
    </row>
    <row r="20" spans="1:7" ht="16.5" customHeight="1" x14ac:dyDescent="0.2">
      <c r="A20" s="751"/>
      <c r="B20" s="1066"/>
      <c r="C20" s="1067"/>
      <c r="E20" s="1066"/>
      <c r="F20" s="1067"/>
      <c r="G20" s="752"/>
    </row>
    <row r="21" spans="1:7" ht="12.75" customHeight="1" x14ac:dyDescent="0.2">
      <c r="A21" s="751"/>
      <c r="C21" s="765"/>
      <c r="E21" s="765"/>
      <c r="F21" s="765"/>
      <c r="G21" s="752"/>
    </row>
    <row r="22" spans="1:7" ht="13.5" customHeight="1" x14ac:dyDescent="0.2">
      <c r="A22" s="751"/>
      <c r="B22" s="1062" t="s">
        <v>1969</v>
      </c>
      <c r="C22" s="1063"/>
      <c r="E22" s="1062" t="s">
        <v>1348</v>
      </c>
      <c r="F22" s="1063"/>
      <c r="G22" s="752"/>
    </row>
    <row r="23" spans="1:7" ht="17.25" customHeight="1" x14ac:dyDescent="0.2">
      <c r="A23" s="751"/>
      <c r="B23" s="1066"/>
      <c r="C23" s="1067"/>
      <c r="E23" s="1066"/>
      <c r="F23" s="1067"/>
      <c r="G23" s="752"/>
    </row>
    <row r="24" spans="1:7" ht="12.75" customHeight="1" x14ac:dyDescent="0.2">
      <c r="A24" s="751"/>
      <c r="E24" s="765"/>
      <c r="F24" s="765"/>
      <c r="G24" s="752"/>
    </row>
    <row r="25" spans="1:7" ht="12.75" customHeight="1" x14ac:dyDescent="0.2">
      <c r="A25" s="751"/>
      <c r="B25" s="1062">
        <v>53</v>
      </c>
      <c r="C25" s="1063"/>
      <c r="E25" s="1062" t="s">
        <v>1411</v>
      </c>
      <c r="F25" s="1063"/>
      <c r="G25" s="752"/>
    </row>
    <row r="26" spans="1:7" ht="12.75" customHeight="1" x14ac:dyDescent="0.2">
      <c r="A26" s="751"/>
      <c r="B26" s="1066"/>
      <c r="C26" s="1067"/>
      <c r="E26" s="1066"/>
      <c r="F26" s="1067"/>
      <c r="G26" s="752"/>
    </row>
    <row r="27" spans="1:7" ht="12.75" customHeight="1" x14ac:dyDescent="0.2">
      <c r="A27" s="751"/>
      <c r="E27" s="765"/>
      <c r="F27" s="765"/>
      <c r="G27" s="752"/>
    </row>
    <row r="28" spans="1:7" ht="12.75" customHeight="1" x14ac:dyDescent="0.2">
      <c r="A28" s="751"/>
      <c r="B28" s="1062" t="s">
        <v>1970</v>
      </c>
      <c r="C28" s="1063"/>
      <c r="E28" s="1062" t="s">
        <v>1412</v>
      </c>
      <c r="F28" s="1063"/>
      <c r="G28" s="752"/>
    </row>
    <row r="29" spans="1:7" ht="12.75" customHeight="1" x14ac:dyDescent="0.2">
      <c r="A29" s="751"/>
      <c r="B29" s="1066"/>
      <c r="C29" s="1067"/>
      <c r="E29" s="1066"/>
      <c r="F29" s="1067"/>
      <c r="G29" s="752"/>
    </row>
    <row r="30" spans="1:7" ht="12.75" customHeight="1" x14ac:dyDescent="0.2">
      <c r="A30" s="751"/>
      <c r="E30" s="765"/>
      <c r="F30" s="765"/>
      <c r="G30" s="752"/>
    </row>
    <row r="31" spans="1:7" ht="12.75" customHeight="1" x14ac:dyDescent="0.2">
      <c r="A31" s="751"/>
      <c r="E31" s="765"/>
      <c r="F31" s="765"/>
      <c r="G31" s="752"/>
    </row>
    <row r="32" spans="1:7" ht="12.75" customHeight="1" x14ac:dyDescent="0.2">
      <c r="A32" s="751"/>
      <c r="E32" s="1062" t="s">
        <v>1939</v>
      </c>
      <c r="F32" s="1063"/>
      <c r="G32" s="752"/>
    </row>
    <row r="33" spans="1:7" ht="12.75" customHeight="1" x14ac:dyDescent="0.2">
      <c r="A33" s="751"/>
      <c r="E33" s="1064"/>
      <c r="F33" s="1065"/>
      <c r="G33" s="752"/>
    </row>
    <row r="34" spans="1:7" ht="16.5" customHeight="1" x14ac:dyDescent="0.2">
      <c r="A34" s="751"/>
      <c r="E34" s="1068"/>
      <c r="F34" s="1069"/>
      <c r="G34" s="752"/>
    </row>
    <row r="35" spans="1:7" ht="12.75" customHeight="1" x14ac:dyDescent="0.2">
      <c r="A35" s="751"/>
      <c r="E35" s="765"/>
      <c r="F35" s="765"/>
      <c r="G35" s="752"/>
    </row>
    <row r="36" spans="1:7" ht="12.75" customHeight="1" x14ac:dyDescent="0.2">
      <c r="A36" s="751"/>
      <c r="E36" s="1062" t="s">
        <v>1352</v>
      </c>
      <c r="F36" s="1063"/>
      <c r="G36" s="752"/>
    </row>
    <row r="37" spans="1:7" ht="12.75" customHeight="1" x14ac:dyDescent="0.2">
      <c r="A37" s="751"/>
      <c r="E37" s="1064"/>
      <c r="F37" s="1065"/>
      <c r="G37" s="752"/>
    </row>
    <row r="38" spans="1:7" x14ac:dyDescent="0.2">
      <c r="A38" s="751"/>
      <c r="E38" s="1068"/>
      <c r="F38" s="1069"/>
      <c r="G38" s="752"/>
    </row>
    <row r="39" spans="1:7" ht="12.75" customHeight="1" x14ac:dyDescent="0.2">
      <c r="A39" s="751"/>
      <c r="E39" s="765"/>
      <c r="F39" s="765"/>
      <c r="G39" s="752"/>
    </row>
    <row r="40" spans="1:7" ht="12.75" customHeight="1" x14ac:dyDescent="0.2">
      <c r="A40" s="751"/>
      <c r="E40" s="1062" t="s">
        <v>1351</v>
      </c>
      <c r="F40" s="1063"/>
      <c r="G40" s="752"/>
    </row>
    <row r="41" spans="1:7" ht="12.75" customHeight="1" x14ac:dyDescent="0.2">
      <c r="A41" s="751"/>
      <c r="E41" s="1064"/>
      <c r="F41" s="1065"/>
      <c r="G41" s="752"/>
    </row>
    <row r="42" spans="1:7" ht="12.75" customHeight="1" x14ac:dyDescent="0.2">
      <c r="A42" s="751"/>
      <c r="E42" s="1064"/>
      <c r="F42" s="1065"/>
      <c r="G42" s="752"/>
    </row>
    <row r="43" spans="1:7" ht="12.75" customHeight="1" x14ac:dyDescent="0.2">
      <c r="A43" s="751"/>
      <c r="E43" s="1064"/>
      <c r="F43" s="1065"/>
      <c r="G43" s="752"/>
    </row>
    <row r="44" spans="1:7" x14ac:dyDescent="0.2">
      <c r="A44" s="751"/>
      <c r="E44" s="1066"/>
      <c r="F44" s="1067"/>
      <c r="G44" s="752"/>
    </row>
    <row r="45" spans="1:7" ht="13.5" thickBot="1" x14ac:dyDescent="0.25">
      <c r="A45" s="753"/>
      <c r="B45" s="754"/>
      <c r="C45" s="754"/>
      <c r="D45" s="754"/>
      <c r="E45" s="754"/>
      <c r="F45" s="754"/>
      <c r="G45" s="755"/>
    </row>
  </sheetData>
  <mergeCells count="25">
    <mergeCell ref="A4:A5"/>
    <mergeCell ref="B4:D5"/>
    <mergeCell ref="E25:F26"/>
    <mergeCell ref="B28:C29"/>
    <mergeCell ref="D7:D8"/>
    <mergeCell ref="E10:F11"/>
    <mergeCell ref="E13:F14"/>
    <mergeCell ref="E16:F17"/>
    <mergeCell ref="E19:F20"/>
    <mergeCell ref="B10:C11"/>
    <mergeCell ref="B13:C14"/>
    <mergeCell ref="B16:C17"/>
    <mergeCell ref="B19:C20"/>
    <mergeCell ref="B22:C23"/>
    <mergeCell ref="E22:F23"/>
    <mergeCell ref="B1:F1"/>
    <mergeCell ref="A2:A3"/>
    <mergeCell ref="B2:D3"/>
    <mergeCell ref="E2:F2"/>
    <mergeCell ref="E3:F3"/>
    <mergeCell ref="E40:F44"/>
    <mergeCell ref="E36:F38"/>
    <mergeCell ref="B25:C26"/>
    <mergeCell ref="E28:F29"/>
    <mergeCell ref="E32:F34"/>
  </mergeCells>
  <conditionalFormatting sqref="B4">
    <cfRule type="expression" dxfId="15" priority="3" stopIfTrue="1">
      <formula>MOD(ROW()-8,28)=0</formula>
    </cfRule>
    <cfRule type="expression" dxfId="14" priority="4" stopIfTrue="1">
      <formula>MOD(ROW()-8,28)=1</formula>
    </cfRule>
  </conditionalFormatting>
  <conditionalFormatting sqref="E4:G5">
    <cfRule type="expression" dxfId="13" priority="1" stopIfTrue="1">
      <formula>MOD(ROW()-8,28)=0</formula>
    </cfRule>
    <cfRule type="expression" dxfId="12" priority="2" stopIfTrue="1">
      <formula>MOD(ROW()-8,28)=1</formula>
    </cfRule>
  </conditionalFormatting>
  <pageMargins left="0.19685039370078741" right="0.19685039370078741" top="0.23622047244094488" bottom="0.23622047244094488" header="0.31496062992125984" footer="0.31496062992125984"/>
  <pageSetup paperSize="9" orientation="portrait" r:id="rId1"/>
  <ignoredErrors>
    <ignoredError sqref="G3 B2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2049" r:id="rId4">
          <objectPr defaultSize="0" autoPict="0" r:id="rId5">
            <anchor moveWithCells="1" sizeWithCells="1">
              <from>
                <xdr:col>1</xdr:col>
                <xdr:colOff>561975</xdr:colOff>
                <xdr:row>0</xdr:row>
                <xdr:rowOff>104775</xdr:rowOff>
              </from>
              <to>
                <xdr:col>2</xdr:col>
                <xdr:colOff>485775</xdr:colOff>
                <xdr:row>0</xdr:row>
                <xdr:rowOff>466725</xdr:rowOff>
              </to>
            </anchor>
          </objectPr>
        </oleObject>
      </mc:Choice>
      <mc:Fallback>
        <oleObject progId="StaticMetafile" shapeId="2049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11"/>
  <sheetViews>
    <sheetView view="pageBreakPreview" topLeftCell="A17" zoomScale="85" zoomScaleNormal="85" zoomScaleSheetLayoutView="85" workbookViewId="0">
      <selection activeCell="Q106" sqref="Q106"/>
    </sheetView>
  </sheetViews>
  <sheetFormatPr defaultColWidth="8.42578125" defaultRowHeight="15" x14ac:dyDescent="0.25"/>
  <cols>
    <col min="1" max="1" width="11.5703125" style="319" customWidth="1"/>
    <col min="2" max="2" width="5.42578125" style="313" customWidth="1"/>
    <col min="3" max="3" width="4.28515625" style="313" customWidth="1"/>
    <col min="4" max="4" width="9.42578125" style="313" bestFit="1" customWidth="1"/>
    <col min="5" max="6" width="7.85546875" style="313" customWidth="1"/>
    <col min="7" max="7" width="10.7109375" style="313" customWidth="1"/>
    <col min="8" max="8" width="4.28515625" style="313" customWidth="1"/>
    <col min="9" max="9" width="6.7109375" style="313" customWidth="1"/>
    <col min="10" max="10" width="7.85546875" style="313" customWidth="1"/>
    <col min="11" max="11" width="8.28515625" style="313" customWidth="1"/>
    <col min="12" max="12" width="11.85546875" style="313" customWidth="1"/>
    <col min="13" max="13" width="14.42578125" style="313" customWidth="1"/>
    <col min="14" max="14" width="4.85546875" style="320" customWidth="1"/>
    <col min="15" max="16384" width="8.42578125" style="320"/>
  </cols>
  <sheetData>
    <row r="1" spans="1:14" s="313" customFormat="1" ht="57.75" customHeight="1" x14ac:dyDescent="0.2">
      <c r="A1" s="317"/>
      <c r="B1" s="1092" t="str">
        <f>'cover page'!B1:F1</f>
        <v xml:space="preserve">              JMC – SPML JOINT VENTURE</v>
      </c>
      <c r="C1" s="1092"/>
      <c r="D1" s="1092"/>
      <c r="E1" s="1092"/>
      <c r="F1" s="1092"/>
      <c r="G1" s="1092"/>
      <c r="H1" s="1092"/>
      <c r="I1" s="1092"/>
      <c r="J1" s="1092"/>
      <c r="K1" s="1092"/>
      <c r="L1" s="1092"/>
      <c r="M1" s="702"/>
    </row>
    <row r="2" spans="1:14" s="313" customFormat="1" x14ac:dyDescent="0.25">
      <c r="A2" s="1093" t="s">
        <v>685</v>
      </c>
      <c r="B2" s="1095" t="str">
        <f>index!B2</f>
        <v>EXECUTION OF MEGA PWS TO MOHANA, DARINGABADI, GUMMA, R.UDAYGIRI AND NUAGADA BLOCK IN GAJAPATI &amp; KANDHAMAL DISTRICT INCLUDING FIVE YEARS OPERATION &amp; MAINTENANCE</v>
      </c>
      <c r="C2" s="1096"/>
      <c r="D2" s="1096"/>
      <c r="E2" s="1096"/>
      <c r="F2" s="1096"/>
      <c r="G2" s="1096"/>
      <c r="H2" s="1096"/>
      <c r="I2" s="1096"/>
      <c r="J2" s="1097"/>
      <c r="K2" s="1101" t="s">
        <v>686</v>
      </c>
      <c r="L2" s="1102"/>
      <c r="M2" s="703" t="s">
        <v>687</v>
      </c>
      <c r="N2" s="314"/>
    </row>
    <row r="3" spans="1:14" s="313" customFormat="1" ht="78" customHeight="1" x14ac:dyDescent="0.2">
      <c r="A3" s="1094"/>
      <c r="B3" s="1098"/>
      <c r="C3" s="1099"/>
      <c r="D3" s="1099"/>
      <c r="E3" s="1099"/>
      <c r="F3" s="1099"/>
      <c r="G3" s="1099"/>
      <c r="H3" s="1099"/>
      <c r="I3" s="1099"/>
      <c r="J3" s="1100"/>
      <c r="K3" s="1103" t="str">
        <f>'cover page'!E3</f>
        <v>32129-MB-WSE-ESR-CV-DD-</v>
      </c>
      <c r="L3" s="1104"/>
      <c r="M3" s="704" t="str">
        <f>index!G3</f>
        <v>R0</v>
      </c>
    </row>
    <row r="4" spans="1:14" s="313" customFormat="1" x14ac:dyDescent="0.2">
      <c r="A4" s="1093" t="s">
        <v>688</v>
      </c>
      <c r="B4" s="1106" t="str">
        <f>index!B4</f>
        <v xml:space="preserve">Structural Design Report of 250 KL ESR with 10 m Staging at  MOHANA A PRO ESR </v>
      </c>
      <c r="C4" s="1107"/>
      <c r="D4" s="1107"/>
      <c r="E4" s="1107"/>
      <c r="F4" s="1107"/>
      <c r="G4" s="1107"/>
      <c r="H4" s="1107"/>
      <c r="I4" s="1107"/>
      <c r="J4" s="1108"/>
      <c r="K4" s="527" t="s">
        <v>689</v>
      </c>
      <c r="L4" s="527" t="s">
        <v>690</v>
      </c>
      <c r="M4" s="703" t="s">
        <v>691</v>
      </c>
    </row>
    <row r="5" spans="1:14" s="313" customFormat="1" ht="15.75" thickBot="1" x14ac:dyDescent="0.3">
      <c r="A5" s="1105"/>
      <c r="B5" s="1109"/>
      <c r="C5" s="1110"/>
      <c r="D5" s="1110"/>
      <c r="E5" s="1110"/>
      <c r="F5" s="1110"/>
      <c r="G5" s="1110"/>
      <c r="H5" s="1110"/>
      <c r="I5" s="1110"/>
      <c r="J5" s="1111"/>
      <c r="K5" s="705" t="str">
        <f>index!E5</f>
        <v>SKS</v>
      </c>
      <c r="L5" s="705" t="str">
        <f>index!F5</f>
        <v>JKS</v>
      </c>
      <c r="M5" s="759">
        <f>index!G5</f>
        <v>45055</v>
      </c>
      <c r="N5" s="318"/>
    </row>
    <row r="6" spans="1:14" s="318" customFormat="1" x14ac:dyDescent="0.25">
      <c r="A6" s="706">
        <v>1</v>
      </c>
      <c r="B6" s="707" t="s">
        <v>694</v>
      </c>
      <c r="C6" s="708"/>
      <c r="D6" s="709"/>
      <c r="E6" s="709"/>
      <c r="F6" s="709"/>
      <c r="G6" s="709"/>
      <c r="H6" s="709"/>
      <c r="I6" s="709"/>
      <c r="J6" s="710"/>
      <c r="K6" s="711"/>
      <c r="L6" s="712"/>
      <c r="M6" s="713"/>
    </row>
    <row r="7" spans="1:14" s="318" customFormat="1" x14ac:dyDescent="0.25">
      <c r="A7" s="714">
        <v>1.1000000000000001</v>
      </c>
      <c r="B7" s="665" t="s">
        <v>695</v>
      </c>
      <c r="C7" s="666"/>
      <c r="D7" s="661"/>
      <c r="E7" s="661"/>
      <c r="F7" s="661"/>
      <c r="G7" s="661"/>
      <c r="H7" s="661"/>
      <c r="I7" s="661"/>
      <c r="J7" s="662"/>
      <c r="K7" s="663"/>
      <c r="L7" s="664"/>
      <c r="M7" s="715"/>
    </row>
    <row r="8" spans="1:14" s="318" customFormat="1" ht="33.75" x14ac:dyDescent="0.25">
      <c r="A8" s="716"/>
      <c r="B8" s="666" t="s">
        <v>696</v>
      </c>
      <c r="C8" s="667"/>
      <c r="D8" s="667"/>
      <c r="E8" s="667"/>
      <c r="F8" s="667"/>
      <c r="G8" s="666"/>
      <c r="H8" s="666"/>
      <c r="I8" s="666"/>
      <c r="J8" s="662"/>
      <c r="K8" s="668"/>
      <c r="L8" s="669"/>
      <c r="M8" s="715"/>
    </row>
    <row r="9" spans="1:14" s="318" customFormat="1" ht="27.75" customHeight="1" x14ac:dyDescent="0.25">
      <c r="A9" s="716"/>
      <c r="B9" s="663" t="s">
        <v>697</v>
      </c>
      <c r="C9" s="663"/>
      <c r="D9" s="668"/>
      <c r="E9" s="1089">
        <f>Calculation!F59</f>
        <v>250</v>
      </c>
      <c r="F9" s="1089"/>
      <c r="G9" s="666" t="s">
        <v>698</v>
      </c>
      <c r="H9" s="668"/>
      <c r="I9" s="668"/>
      <c r="J9" s="662"/>
      <c r="K9" s="670">
        <f>Calculation!F57</f>
        <v>10</v>
      </c>
      <c r="L9" s="671" t="s">
        <v>74</v>
      </c>
      <c r="M9" s="715"/>
    </row>
    <row r="10" spans="1:14" s="318" customFormat="1" x14ac:dyDescent="0.25">
      <c r="A10" s="716"/>
      <c r="B10" s="666" t="s">
        <v>699</v>
      </c>
      <c r="C10" s="666"/>
      <c r="D10" s="666"/>
      <c r="E10" s="666"/>
      <c r="F10" s="666"/>
      <c r="G10" s="666"/>
      <c r="H10" s="666"/>
      <c r="I10" s="666"/>
      <c r="J10" s="662"/>
      <c r="K10" s="662"/>
      <c r="L10" s="672"/>
      <c r="M10" s="715"/>
    </row>
    <row r="11" spans="1:14" s="318" customFormat="1" x14ac:dyDescent="0.25">
      <c r="A11" s="717"/>
      <c r="B11" s="674" t="s">
        <v>700</v>
      </c>
      <c r="C11" s="675"/>
      <c r="D11" s="675"/>
      <c r="E11" s="675"/>
      <c r="F11" s="675"/>
      <c r="G11" s="666"/>
      <c r="H11" s="666"/>
      <c r="I11" s="666"/>
      <c r="J11" s="662"/>
      <c r="K11" s="666"/>
      <c r="L11" s="672"/>
      <c r="M11" s="715"/>
    </row>
    <row r="12" spans="1:14" s="318" customFormat="1" x14ac:dyDescent="0.25">
      <c r="A12" s="717"/>
      <c r="B12" s="674" t="s">
        <v>701</v>
      </c>
      <c r="C12" s="675"/>
      <c r="D12" s="675"/>
      <c r="E12" s="675"/>
      <c r="F12" s="675"/>
      <c r="G12" s="666"/>
      <c r="H12" s="666"/>
      <c r="I12" s="666"/>
      <c r="J12" s="662"/>
      <c r="K12" s="666"/>
      <c r="L12" s="672"/>
      <c r="M12" s="715"/>
    </row>
    <row r="13" spans="1:14" s="318" customFormat="1" x14ac:dyDescent="0.25">
      <c r="A13" s="717"/>
      <c r="B13" s="676"/>
      <c r="C13" s="676"/>
      <c r="D13" s="676"/>
      <c r="E13" s="676"/>
      <c r="F13" s="676"/>
      <c r="G13" s="666"/>
      <c r="H13" s="666"/>
      <c r="I13" s="666"/>
      <c r="J13" s="662"/>
      <c r="K13" s="666"/>
      <c r="L13" s="672"/>
      <c r="M13" s="715"/>
    </row>
    <row r="14" spans="1:14" s="318" customFormat="1" x14ac:dyDescent="0.25">
      <c r="A14" s="717"/>
      <c r="B14" s="663" t="s">
        <v>702</v>
      </c>
      <c r="C14" s="663"/>
      <c r="D14" s="663"/>
      <c r="E14" s="663"/>
      <c r="F14" s="663"/>
      <c r="G14" s="663"/>
      <c r="H14" s="663"/>
      <c r="I14" s="663"/>
      <c r="J14" s="663"/>
      <c r="K14" s="663"/>
      <c r="L14" s="663"/>
      <c r="M14" s="715"/>
    </row>
    <row r="15" spans="1:14" s="318" customFormat="1" x14ac:dyDescent="0.25">
      <c r="A15" s="717"/>
      <c r="B15" s="663" t="s">
        <v>703</v>
      </c>
      <c r="C15" s="663"/>
      <c r="D15" s="663"/>
      <c r="E15" s="663"/>
      <c r="F15" s="663"/>
      <c r="G15" s="663"/>
      <c r="H15" s="663"/>
      <c r="I15" s="663"/>
      <c r="J15" s="663"/>
      <c r="K15" s="663"/>
      <c r="L15" s="663"/>
      <c r="M15" s="715"/>
    </row>
    <row r="16" spans="1:14" s="318" customFormat="1" x14ac:dyDescent="0.25">
      <c r="A16" s="717"/>
      <c r="B16" s="1090" t="s">
        <v>704</v>
      </c>
      <c r="C16" s="1090"/>
      <c r="D16" s="1090"/>
      <c r="E16" s="1090"/>
      <c r="F16" s="1090"/>
      <c r="G16" s="1090"/>
      <c r="H16" s="1090"/>
      <c r="I16" s="1090"/>
      <c r="J16" s="1090"/>
      <c r="K16" s="1090"/>
      <c r="L16" s="1090"/>
      <c r="M16" s="1091"/>
    </row>
    <row r="17" spans="1:13" s="318" customFormat="1" x14ac:dyDescent="0.25">
      <c r="A17" s="717"/>
      <c r="B17" s="663" t="s">
        <v>705</v>
      </c>
      <c r="C17" s="663"/>
      <c r="D17" s="663"/>
      <c r="E17" s="663"/>
      <c r="F17" s="663"/>
      <c r="G17" s="663"/>
      <c r="H17" s="663"/>
      <c r="I17" s="663"/>
      <c r="J17" s="663"/>
      <c r="K17" s="663"/>
      <c r="L17" s="663"/>
      <c r="M17" s="715"/>
    </row>
    <row r="18" spans="1:13" s="318" customFormat="1" x14ac:dyDescent="0.25">
      <c r="A18" s="717"/>
      <c r="B18" s="663" t="s">
        <v>706</v>
      </c>
      <c r="C18" s="663"/>
      <c r="D18" s="663"/>
      <c r="E18" s="663"/>
      <c r="F18" s="663"/>
      <c r="G18" s="663"/>
      <c r="H18" s="663"/>
      <c r="I18" s="663"/>
      <c r="J18" s="663"/>
      <c r="K18" s="663"/>
      <c r="L18" s="663"/>
      <c r="M18" s="715"/>
    </row>
    <row r="19" spans="1:13" s="318" customFormat="1" x14ac:dyDescent="0.25">
      <c r="A19" s="717"/>
      <c r="B19" s="663" t="s">
        <v>707</v>
      </c>
      <c r="C19" s="663"/>
      <c r="D19" s="663"/>
      <c r="E19" s="663"/>
      <c r="F19" s="663"/>
      <c r="G19" s="663"/>
      <c r="H19" s="663"/>
      <c r="I19" s="663"/>
      <c r="J19" s="663"/>
      <c r="K19" s="663"/>
      <c r="L19" s="663"/>
      <c r="M19" s="715"/>
    </row>
    <row r="20" spans="1:13" s="318" customFormat="1" x14ac:dyDescent="0.25">
      <c r="A20" s="717"/>
      <c r="B20" s="663" t="s">
        <v>708</v>
      </c>
      <c r="C20" s="663"/>
      <c r="D20" s="663"/>
      <c r="E20" s="663"/>
      <c r="F20" s="663"/>
      <c r="G20" s="663"/>
      <c r="H20" s="663"/>
      <c r="I20" s="663"/>
      <c r="J20" s="663"/>
      <c r="K20" s="663"/>
      <c r="L20" s="663"/>
      <c r="M20" s="715"/>
    </row>
    <row r="21" spans="1:13" s="318" customFormat="1" x14ac:dyDescent="0.25">
      <c r="A21" s="717"/>
      <c r="B21" s="663"/>
      <c r="C21" s="663"/>
      <c r="D21" s="663"/>
      <c r="E21" s="663"/>
      <c r="F21" s="663"/>
      <c r="G21" s="663"/>
      <c r="H21" s="663"/>
      <c r="I21" s="663"/>
      <c r="J21" s="663"/>
      <c r="K21" s="663"/>
      <c r="L21" s="663"/>
      <c r="M21" s="715"/>
    </row>
    <row r="22" spans="1:13" s="318" customFormat="1" x14ac:dyDescent="0.25">
      <c r="A22" s="714">
        <v>1.2</v>
      </c>
      <c r="B22" s="665" t="s">
        <v>709</v>
      </c>
      <c r="C22" s="661"/>
      <c r="D22" s="661"/>
      <c r="E22" s="661"/>
      <c r="F22" s="661"/>
      <c r="G22" s="661"/>
      <c r="H22" s="661"/>
      <c r="I22" s="661"/>
      <c r="J22" s="662"/>
      <c r="K22" s="663"/>
      <c r="L22" s="666"/>
      <c r="M22" s="718"/>
    </row>
    <row r="23" spans="1:13" s="318" customFormat="1" x14ac:dyDescent="0.25">
      <c r="A23" s="717" t="s">
        <v>710</v>
      </c>
      <c r="B23" s="663" t="s">
        <v>711</v>
      </c>
      <c r="C23" s="663"/>
      <c r="D23" s="663"/>
      <c r="E23" s="663"/>
      <c r="F23" s="663"/>
      <c r="G23" s="663"/>
      <c r="H23" s="663"/>
      <c r="I23" s="663"/>
      <c r="J23" s="662"/>
      <c r="K23" s="663"/>
      <c r="L23" s="672"/>
      <c r="M23" s="715"/>
    </row>
    <row r="24" spans="1:13" s="318" customFormat="1" x14ac:dyDescent="0.25">
      <c r="A24" s="717" t="s">
        <v>712</v>
      </c>
      <c r="B24" s="677" t="s">
        <v>713</v>
      </c>
      <c r="C24" s="677"/>
      <c r="D24" s="677"/>
      <c r="E24" s="677"/>
      <c r="F24" s="677"/>
      <c r="G24" s="677"/>
      <c r="H24" s="677"/>
      <c r="I24" s="677"/>
      <c r="J24" s="662"/>
      <c r="K24" s="663"/>
      <c r="L24" s="672"/>
      <c r="M24" s="715"/>
    </row>
    <row r="25" spans="1:13" s="318" customFormat="1" x14ac:dyDescent="0.25">
      <c r="A25" s="719"/>
      <c r="B25" s="677"/>
      <c r="C25" s="677"/>
      <c r="D25" s="677"/>
      <c r="E25" s="677"/>
      <c r="F25" s="662" t="s">
        <v>714</v>
      </c>
      <c r="G25" s="677"/>
      <c r="H25" s="677"/>
      <c r="I25" s="677"/>
      <c r="J25" s="668"/>
      <c r="K25" s="663"/>
      <c r="L25" s="672"/>
      <c r="M25" s="715"/>
    </row>
    <row r="26" spans="1:13" s="318" customFormat="1" x14ac:dyDescent="0.25">
      <c r="A26" s="717"/>
      <c r="B26" s="677"/>
      <c r="C26" s="677"/>
      <c r="D26" s="677"/>
      <c r="E26" s="677"/>
      <c r="F26" s="662" t="s">
        <v>715</v>
      </c>
      <c r="G26" s="677"/>
      <c r="H26" s="677"/>
      <c r="I26" s="677"/>
      <c r="J26" s="668"/>
      <c r="K26" s="663"/>
      <c r="L26" s="672"/>
      <c r="M26" s="715"/>
    </row>
    <row r="27" spans="1:13" s="318" customFormat="1" x14ac:dyDescent="0.25">
      <c r="A27" s="717"/>
      <c r="B27" s="677"/>
      <c r="C27" s="677"/>
      <c r="D27" s="677"/>
      <c r="E27" s="677"/>
      <c r="F27" s="662"/>
      <c r="G27" s="677"/>
      <c r="H27" s="677"/>
      <c r="I27" s="677"/>
      <c r="J27" s="668"/>
      <c r="K27" s="663"/>
      <c r="L27" s="672"/>
      <c r="M27" s="715"/>
    </row>
    <row r="28" spans="1:13" s="318" customFormat="1" x14ac:dyDescent="0.25">
      <c r="A28" s="717" t="s">
        <v>716</v>
      </c>
      <c r="B28" s="663" t="s">
        <v>717</v>
      </c>
      <c r="C28" s="663"/>
      <c r="D28" s="663"/>
      <c r="E28" s="663"/>
      <c r="F28" s="663"/>
      <c r="G28" s="663"/>
      <c r="H28" s="663"/>
      <c r="I28" s="663"/>
      <c r="J28" s="662"/>
      <c r="K28" s="663"/>
      <c r="L28" s="672"/>
      <c r="M28" s="715"/>
    </row>
    <row r="29" spans="1:13" s="318" customFormat="1" x14ac:dyDescent="0.25">
      <c r="A29" s="717" t="s">
        <v>718</v>
      </c>
      <c r="B29" s="663" t="s">
        <v>719</v>
      </c>
      <c r="C29" s="678"/>
      <c r="D29" s="678"/>
      <c r="E29" s="678"/>
      <c r="F29" s="678"/>
      <c r="G29" s="678"/>
      <c r="H29" s="678"/>
      <c r="I29" s="678"/>
      <c r="J29" s="678"/>
      <c r="K29" s="678"/>
      <c r="L29" s="678"/>
      <c r="M29" s="720"/>
    </row>
    <row r="30" spans="1:13" s="318" customFormat="1" x14ac:dyDescent="0.25">
      <c r="A30" s="717" t="s">
        <v>720</v>
      </c>
      <c r="B30" s="663" t="s">
        <v>721</v>
      </c>
      <c r="C30" s="663"/>
      <c r="D30" s="663"/>
      <c r="E30" s="663"/>
      <c r="F30" s="663"/>
      <c r="G30" s="663"/>
      <c r="H30" s="663"/>
      <c r="I30" s="663"/>
      <c r="J30" s="663"/>
      <c r="K30" s="663"/>
      <c r="L30" s="672"/>
      <c r="M30" s="715"/>
    </row>
    <row r="31" spans="1:13" s="318" customFormat="1" x14ac:dyDescent="0.25">
      <c r="A31" s="717"/>
      <c r="B31" s="663"/>
      <c r="C31" s="663"/>
      <c r="D31" s="663"/>
      <c r="E31" s="663"/>
      <c r="F31" s="663"/>
      <c r="G31" s="663"/>
      <c r="H31" s="663"/>
      <c r="I31" s="663"/>
      <c r="J31" s="662"/>
      <c r="K31" s="663"/>
      <c r="L31" s="672"/>
      <c r="M31" s="715"/>
    </row>
    <row r="32" spans="1:13" s="318" customFormat="1" x14ac:dyDescent="0.25">
      <c r="A32" s="721">
        <v>1.3</v>
      </c>
      <c r="B32" s="679" t="s">
        <v>722</v>
      </c>
      <c r="C32" s="680"/>
      <c r="D32" s="680"/>
      <c r="E32" s="680"/>
      <c r="F32" s="680"/>
      <c r="G32" s="680"/>
      <c r="H32" s="680"/>
      <c r="I32" s="680"/>
      <c r="J32" s="681"/>
      <c r="K32" s="682"/>
      <c r="L32" s="683"/>
      <c r="M32" s="722"/>
    </row>
    <row r="33" spans="1:16" s="318" customFormat="1" x14ac:dyDescent="0.25">
      <c r="A33" s="723"/>
      <c r="B33" s="682" t="s">
        <v>1950</v>
      </c>
      <c r="C33" s="682"/>
      <c r="D33" s="682"/>
      <c r="E33" s="682"/>
      <c r="F33" s="682"/>
      <c r="G33" s="682"/>
      <c r="H33" s="682"/>
      <c r="I33" s="682"/>
      <c r="J33" s="681"/>
      <c r="K33" s="682"/>
      <c r="L33" s="683"/>
      <c r="M33" s="722"/>
      <c r="P33" s="313"/>
    </row>
    <row r="34" spans="1:16" s="318" customFormat="1" x14ac:dyDescent="0.25">
      <c r="A34" s="723"/>
      <c r="B34" s="682" t="s">
        <v>723</v>
      </c>
      <c r="C34" s="682"/>
      <c r="D34" s="682"/>
      <c r="E34" s="682"/>
      <c r="F34" s="682"/>
      <c r="G34" s="682"/>
      <c r="H34" s="682"/>
      <c r="I34" s="682"/>
      <c r="J34" s="681"/>
      <c r="K34" s="682"/>
      <c r="L34" s="683"/>
      <c r="M34" s="722"/>
    </row>
    <row r="35" spans="1:16" s="318" customFormat="1" x14ac:dyDescent="0.25">
      <c r="A35" s="723"/>
      <c r="B35" s="682"/>
      <c r="C35" s="682"/>
      <c r="D35" s="682"/>
      <c r="E35" s="682"/>
      <c r="F35" s="682"/>
      <c r="G35" s="682"/>
      <c r="H35" s="682"/>
      <c r="I35" s="682"/>
      <c r="J35" s="681"/>
      <c r="K35" s="682"/>
      <c r="L35" s="683"/>
      <c r="M35" s="722"/>
    </row>
    <row r="36" spans="1:16" s="318" customFormat="1" ht="16.5" customHeight="1" x14ac:dyDescent="0.25">
      <c r="A36" s="714">
        <v>1.4</v>
      </c>
      <c r="B36" s="665" t="s">
        <v>724</v>
      </c>
      <c r="C36" s="668"/>
      <c r="D36" s="668"/>
      <c r="E36" s="668"/>
      <c r="F36" s="668"/>
      <c r="G36" s="668"/>
      <c r="H36" s="668"/>
      <c r="I36" s="668"/>
      <c r="J36" s="668"/>
      <c r="K36" s="668"/>
      <c r="L36" s="668"/>
      <c r="M36" s="718"/>
    </row>
    <row r="37" spans="1:16" s="318" customFormat="1" x14ac:dyDescent="0.25">
      <c r="A37" s="717" t="s">
        <v>710</v>
      </c>
      <c r="B37" s="668" t="s">
        <v>725</v>
      </c>
      <c r="C37" s="668"/>
      <c r="D37" s="668"/>
      <c r="E37" s="684" t="s">
        <v>110</v>
      </c>
      <c r="F37" s="661">
        <v>30</v>
      </c>
      <c r="G37" s="668" t="s">
        <v>1353</v>
      </c>
      <c r="H37" s="668"/>
      <c r="I37" s="668"/>
      <c r="J37" s="668"/>
      <c r="K37" s="668"/>
      <c r="L37" s="668"/>
      <c r="M37" s="718"/>
    </row>
    <row r="38" spans="1:16" s="318" customFormat="1" ht="34.5" customHeight="1" x14ac:dyDescent="0.25">
      <c r="A38" s="717" t="s">
        <v>712</v>
      </c>
      <c r="B38" s="668" t="s">
        <v>725</v>
      </c>
      <c r="C38" s="668"/>
      <c r="D38" s="668"/>
      <c r="E38" s="911" t="s">
        <v>110</v>
      </c>
      <c r="F38" s="661">
        <v>25</v>
      </c>
      <c r="G38" s="1083" t="s">
        <v>1354</v>
      </c>
      <c r="H38" s="1084"/>
      <c r="I38" s="1084"/>
      <c r="J38" s="1084"/>
      <c r="K38" s="1084"/>
      <c r="L38" s="1085"/>
      <c r="M38" s="718"/>
    </row>
    <row r="39" spans="1:16" s="318" customFormat="1" x14ac:dyDescent="0.25">
      <c r="A39" s="717" t="s">
        <v>716</v>
      </c>
      <c r="B39" s="666" t="s">
        <v>726</v>
      </c>
      <c r="C39" s="666"/>
      <c r="D39" s="668"/>
      <c r="E39" s="684" t="s">
        <v>727</v>
      </c>
      <c r="F39" s="661">
        <f>Calculation!F47</f>
        <v>500</v>
      </c>
      <c r="G39" s="666"/>
      <c r="H39" s="666"/>
      <c r="I39" s="666"/>
      <c r="J39" s="685"/>
      <c r="K39" s="663"/>
      <c r="L39" s="666"/>
      <c r="M39" s="718"/>
    </row>
    <row r="40" spans="1:16" s="318" customFormat="1" x14ac:dyDescent="0.25">
      <c r="A40" s="717"/>
      <c r="B40" s="663"/>
      <c r="C40" s="663"/>
      <c r="D40" s="663"/>
      <c r="E40" s="663"/>
      <c r="F40" s="496"/>
      <c r="G40" s="663"/>
      <c r="H40" s="663"/>
      <c r="I40" s="663"/>
      <c r="J40" s="662"/>
      <c r="K40" s="663"/>
      <c r="L40" s="672"/>
      <c r="M40" s="715"/>
    </row>
    <row r="41" spans="1:16" s="318" customFormat="1" x14ac:dyDescent="0.25">
      <c r="A41" s="714">
        <v>1.5</v>
      </c>
      <c r="B41" s="665" t="s">
        <v>728</v>
      </c>
      <c r="C41" s="663"/>
      <c r="D41" s="663"/>
      <c r="E41" s="663"/>
      <c r="F41" s="663"/>
      <c r="G41" s="663" t="s">
        <v>729</v>
      </c>
      <c r="H41" s="663"/>
      <c r="I41" s="663"/>
      <c r="J41" s="662"/>
      <c r="K41" s="663"/>
      <c r="L41" s="672"/>
      <c r="M41" s="715"/>
    </row>
    <row r="42" spans="1:16" s="318" customFormat="1" x14ac:dyDescent="0.25">
      <c r="A42" s="719"/>
      <c r="B42" s="661" t="s">
        <v>730</v>
      </c>
      <c r="C42" s="661"/>
      <c r="D42" s="661"/>
      <c r="E42" s="661"/>
      <c r="F42" s="686"/>
      <c r="G42" s="686"/>
      <c r="H42" s="661"/>
      <c r="I42" s="661"/>
      <c r="J42" s="662"/>
      <c r="K42" s="663"/>
      <c r="L42" s="672"/>
      <c r="M42" s="715"/>
    </row>
    <row r="43" spans="1:16" s="318" customFormat="1" x14ac:dyDescent="0.25">
      <c r="A43" s="717"/>
      <c r="B43" s="663" t="s">
        <v>731</v>
      </c>
      <c r="C43" s="663"/>
      <c r="D43" s="663"/>
      <c r="E43" s="663"/>
      <c r="F43" s="666"/>
      <c r="G43" s="666"/>
      <c r="H43" s="663"/>
      <c r="I43" s="663"/>
      <c r="J43" s="673"/>
      <c r="K43" s="687"/>
      <c r="L43" s="672"/>
      <c r="M43" s="715"/>
    </row>
    <row r="44" spans="1:16" s="318" customFormat="1" ht="30" x14ac:dyDescent="0.25">
      <c r="A44" s="717" t="s">
        <v>710</v>
      </c>
      <c r="B44" s="663" t="s">
        <v>732</v>
      </c>
      <c r="C44" s="663"/>
      <c r="D44" s="663"/>
      <c r="E44" s="663"/>
      <c r="F44" s="666"/>
      <c r="G44" s="666"/>
      <c r="H44" s="668"/>
      <c r="I44" s="673" t="s">
        <v>442</v>
      </c>
      <c r="J44" s="688">
        <f>IF(F37=25,1.3,IF(F37=30,1.5,IF(F37=35,1.6,IF(F37=40,1.8,IF(F37=45,2,IF(F37=50,2.1))))))</f>
        <v>1.5</v>
      </c>
      <c r="K44" s="689" t="s">
        <v>733</v>
      </c>
      <c r="L44" s="690" t="s">
        <v>734</v>
      </c>
      <c r="M44" s="724" t="s">
        <v>1262</v>
      </c>
    </row>
    <row r="45" spans="1:16" s="318" customFormat="1" ht="30" x14ac:dyDescent="0.25">
      <c r="A45" s="717" t="s">
        <v>712</v>
      </c>
      <c r="B45" s="663" t="s">
        <v>735</v>
      </c>
      <c r="C45" s="663"/>
      <c r="D45" s="663"/>
      <c r="E45" s="663"/>
      <c r="F45" s="666"/>
      <c r="G45" s="666"/>
      <c r="H45" s="668"/>
      <c r="I45" s="673" t="s">
        <v>442</v>
      </c>
      <c r="J45" s="691">
        <f>IF(F37=25,1.8,IF(F37=30,2,IF(F37=35,2.2,IF(F37=40,2.4,IF(F37=45,2.6,IF(F37=50,2.8))))))</f>
        <v>2</v>
      </c>
      <c r="K45" s="689" t="s">
        <v>733</v>
      </c>
      <c r="L45" s="690" t="s">
        <v>734</v>
      </c>
      <c r="M45" s="724" t="s">
        <v>1263</v>
      </c>
    </row>
    <row r="46" spans="1:16" s="318" customFormat="1" x14ac:dyDescent="0.25">
      <c r="A46" s="716"/>
      <c r="B46" s="668" t="s">
        <v>736</v>
      </c>
      <c r="C46" s="692"/>
      <c r="D46" s="692"/>
      <c r="E46" s="692"/>
      <c r="F46" s="686"/>
      <c r="G46" s="686"/>
      <c r="H46" s="668"/>
      <c r="I46" s="668"/>
      <c r="J46" s="668"/>
      <c r="K46" s="689"/>
      <c r="L46" s="690"/>
      <c r="M46" s="724"/>
    </row>
    <row r="47" spans="1:16" s="318" customFormat="1" ht="30" x14ac:dyDescent="0.25">
      <c r="A47" s="717" t="s">
        <v>710</v>
      </c>
      <c r="B47" s="663" t="s">
        <v>737</v>
      </c>
      <c r="C47" s="663"/>
      <c r="D47" s="663"/>
      <c r="E47" s="663"/>
      <c r="F47" s="666"/>
      <c r="G47" s="666"/>
      <c r="H47" s="668"/>
      <c r="I47" s="673" t="s">
        <v>442</v>
      </c>
      <c r="J47" s="688">
        <f>IF(F37=25,6,IF(F37=30,8,IF(F37=35,9,IF(F37=40,10,IF(F37=45,11,IF(F37=50,12))))))</f>
        <v>8</v>
      </c>
      <c r="K47" s="689" t="s">
        <v>733</v>
      </c>
      <c r="L47" s="690" t="s">
        <v>1264</v>
      </c>
      <c r="M47" s="724" t="s">
        <v>1265</v>
      </c>
    </row>
    <row r="48" spans="1:16" s="318" customFormat="1" ht="30" x14ac:dyDescent="0.25">
      <c r="A48" s="717" t="s">
        <v>712</v>
      </c>
      <c r="B48" s="663" t="s">
        <v>739</v>
      </c>
      <c r="C48" s="663"/>
      <c r="D48" s="663"/>
      <c r="E48" s="663"/>
      <c r="F48" s="666"/>
      <c r="G48" s="666"/>
      <c r="H48" s="668"/>
      <c r="I48" s="673" t="s">
        <v>442</v>
      </c>
      <c r="J48" s="688">
        <f>IF(F37=25,8.5,IF(F37=30,10,IF(F37=35,11.5,IF(F37=40,13,IF(F37=45,14.5,IF(F37=50,16))))))</f>
        <v>10</v>
      </c>
      <c r="K48" s="689" t="s">
        <v>733</v>
      </c>
      <c r="L48" s="690" t="s">
        <v>738</v>
      </c>
      <c r="M48" s="724" t="s">
        <v>1266</v>
      </c>
    </row>
    <row r="49" spans="1:13" s="318" customFormat="1" x14ac:dyDescent="0.25">
      <c r="A49" s="717"/>
      <c r="B49" s="663"/>
      <c r="C49" s="663"/>
      <c r="D49" s="663"/>
      <c r="E49" s="663"/>
      <c r="F49" s="666"/>
      <c r="G49" s="666"/>
      <c r="H49" s="668"/>
      <c r="I49" s="668"/>
      <c r="J49" s="668"/>
      <c r="K49" s="668"/>
      <c r="L49" s="690"/>
      <c r="M49" s="718"/>
    </row>
    <row r="50" spans="1:13" s="318" customFormat="1" ht="30" x14ac:dyDescent="0.25">
      <c r="A50" s="717" t="s">
        <v>716</v>
      </c>
      <c r="B50" s="663" t="s">
        <v>740</v>
      </c>
      <c r="C50" s="663"/>
      <c r="D50" s="663"/>
      <c r="E50" s="663"/>
      <c r="F50" s="666"/>
      <c r="G50" s="666"/>
      <c r="H50" s="668"/>
      <c r="I50" s="673" t="s">
        <v>442</v>
      </c>
      <c r="J50" s="688">
        <f>F37</f>
        <v>30</v>
      </c>
      <c r="K50" s="689" t="s">
        <v>741</v>
      </c>
      <c r="L50" s="690" t="s">
        <v>742</v>
      </c>
      <c r="M50" s="724"/>
    </row>
    <row r="51" spans="1:13" s="318" customFormat="1" x14ac:dyDescent="0.25">
      <c r="A51" s="716"/>
      <c r="B51" s="661" t="s">
        <v>743</v>
      </c>
      <c r="C51" s="692"/>
      <c r="D51" s="692"/>
      <c r="E51" s="692"/>
      <c r="F51" s="693"/>
      <c r="G51" s="693"/>
      <c r="H51" s="668"/>
      <c r="I51" s="692"/>
      <c r="J51" s="673"/>
      <c r="K51" s="668"/>
      <c r="L51" s="690"/>
      <c r="M51" s="715"/>
    </row>
    <row r="52" spans="1:13" s="318" customFormat="1" x14ac:dyDescent="0.25">
      <c r="A52" s="717" t="s">
        <v>710</v>
      </c>
      <c r="B52" s="663" t="s">
        <v>744</v>
      </c>
      <c r="C52" s="692"/>
      <c r="D52" s="692"/>
      <c r="E52" s="692"/>
      <c r="F52" s="692"/>
      <c r="G52" s="692"/>
      <c r="H52" s="668"/>
      <c r="I52" s="692"/>
      <c r="J52" s="668"/>
      <c r="K52" s="668"/>
      <c r="L52" s="690"/>
      <c r="M52" s="715"/>
    </row>
    <row r="53" spans="1:13" s="318" customFormat="1" ht="30" x14ac:dyDescent="0.25">
      <c r="A53" s="717"/>
      <c r="B53" s="663" t="s">
        <v>745</v>
      </c>
      <c r="C53" s="692"/>
      <c r="D53" s="692"/>
      <c r="E53" s="692"/>
      <c r="F53" s="692"/>
      <c r="G53" s="692"/>
      <c r="H53" s="668"/>
      <c r="I53" s="673" t="s">
        <v>442</v>
      </c>
      <c r="J53" s="663">
        <v>130</v>
      </c>
      <c r="K53" s="672" t="s">
        <v>733</v>
      </c>
      <c r="L53" s="690" t="s">
        <v>746</v>
      </c>
      <c r="M53" s="724" t="s">
        <v>1267</v>
      </c>
    </row>
    <row r="54" spans="1:13" s="318" customFormat="1" ht="30" x14ac:dyDescent="0.25">
      <c r="A54" s="717" t="s">
        <v>712</v>
      </c>
      <c r="B54" s="663" t="s">
        <v>747</v>
      </c>
      <c r="C54" s="663"/>
      <c r="D54" s="663"/>
      <c r="E54" s="663"/>
      <c r="F54" s="663"/>
      <c r="G54" s="663"/>
      <c r="H54" s="668"/>
      <c r="I54" s="673" t="s">
        <v>442</v>
      </c>
      <c r="J54" s="663">
        <f>F39</f>
        <v>500</v>
      </c>
      <c r="K54" s="672" t="s">
        <v>733</v>
      </c>
      <c r="L54" s="690" t="s">
        <v>742</v>
      </c>
      <c r="M54" s="724"/>
    </row>
    <row r="55" spans="1:13" s="318" customFormat="1" x14ac:dyDescent="0.25">
      <c r="A55" s="717"/>
      <c r="B55" s="663"/>
      <c r="C55" s="663"/>
      <c r="D55" s="663"/>
      <c r="E55" s="663"/>
      <c r="F55" s="663"/>
      <c r="G55" s="663"/>
      <c r="H55" s="668"/>
      <c r="I55" s="663"/>
      <c r="J55" s="663"/>
      <c r="K55" s="673"/>
      <c r="L55" s="663"/>
      <c r="M55" s="725"/>
    </row>
    <row r="56" spans="1:13" s="318" customFormat="1" x14ac:dyDescent="0.25">
      <c r="A56" s="726">
        <v>1.6</v>
      </c>
      <c r="B56" s="665" t="s">
        <v>748</v>
      </c>
      <c r="C56" s="687"/>
      <c r="D56" s="687"/>
      <c r="E56" s="687"/>
      <c r="F56" s="687"/>
      <c r="G56" s="687"/>
      <c r="H56" s="668"/>
      <c r="I56" s="687"/>
      <c r="J56" s="687"/>
      <c r="K56" s="673"/>
      <c r="L56" s="663"/>
      <c r="M56" s="725"/>
    </row>
    <row r="57" spans="1:13" s="318" customFormat="1" x14ac:dyDescent="0.25">
      <c r="A57" s="726"/>
      <c r="B57" s="663" t="s">
        <v>749</v>
      </c>
      <c r="C57" s="687"/>
      <c r="D57" s="687"/>
      <c r="E57" s="687"/>
      <c r="F57" s="687"/>
      <c r="G57" s="687"/>
      <c r="H57" s="668"/>
      <c r="I57" s="687"/>
      <c r="J57" s="687"/>
      <c r="K57" s="673"/>
      <c r="L57" s="663"/>
      <c r="M57" s="725"/>
    </row>
    <row r="58" spans="1:13" s="318" customFormat="1" ht="15.75" thickBot="1" x14ac:dyDescent="0.3">
      <c r="A58" s="738"/>
      <c r="B58" s="732" t="s">
        <v>750</v>
      </c>
      <c r="C58" s="739"/>
      <c r="D58" s="739"/>
      <c r="E58" s="739"/>
      <c r="F58" s="739"/>
      <c r="G58" s="739"/>
      <c r="H58" s="740"/>
      <c r="I58" s="739"/>
      <c r="J58" s="739"/>
      <c r="K58" s="741"/>
      <c r="L58" s="732"/>
      <c r="M58" s="742"/>
    </row>
    <row r="59" spans="1:13" s="473" customFormat="1" x14ac:dyDescent="0.25">
      <c r="A59" s="734">
        <v>3.1</v>
      </c>
      <c r="B59" s="735" t="s">
        <v>1088</v>
      </c>
      <c r="C59" s="735"/>
      <c r="D59" s="735"/>
      <c r="E59" s="735"/>
      <c r="F59" s="735"/>
      <c r="G59" s="735"/>
      <c r="H59" s="736"/>
      <c r="I59" s="735"/>
      <c r="J59" s="736"/>
      <c r="K59" s="736"/>
      <c r="L59" s="736"/>
      <c r="M59" s="737"/>
    </row>
    <row r="60" spans="1:13" s="473" customFormat="1" x14ac:dyDescent="0.25">
      <c r="A60" s="727" t="s">
        <v>1089</v>
      </c>
      <c r="B60" s="694" t="s">
        <v>1090</v>
      </c>
      <c r="C60" s="482"/>
      <c r="D60" s="482"/>
      <c r="E60" s="482"/>
      <c r="F60" s="482"/>
      <c r="G60" s="482"/>
      <c r="H60" s="496"/>
      <c r="I60" s="482"/>
      <c r="J60" s="496"/>
      <c r="K60" s="496"/>
      <c r="L60" s="496"/>
      <c r="M60" s="728"/>
    </row>
    <row r="61" spans="1:13" s="473" customFormat="1" x14ac:dyDescent="0.25">
      <c r="A61" s="729"/>
      <c r="B61" s="488" t="s">
        <v>1091</v>
      </c>
      <c r="C61" s="482"/>
      <c r="D61" s="493"/>
      <c r="E61" s="695">
        <v>30</v>
      </c>
      <c r="F61" s="482"/>
      <c r="G61" s="482"/>
      <c r="H61" s="496"/>
      <c r="I61" s="482"/>
      <c r="J61" s="496"/>
      <c r="K61" s="496"/>
      <c r="L61" s="496"/>
      <c r="M61" s="728"/>
    </row>
    <row r="62" spans="1:13" s="473" customFormat="1" x14ac:dyDescent="0.25">
      <c r="A62" s="727"/>
      <c r="B62" s="694"/>
      <c r="C62" s="482"/>
      <c r="D62" s="509"/>
      <c r="E62" s="482"/>
      <c r="F62" s="482"/>
      <c r="G62" s="482"/>
      <c r="H62" s="496"/>
      <c r="I62" s="482"/>
      <c r="J62" s="496"/>
      <c r="K62" s="496"/>
      <c r="L62" s="496"/>
      <c r="M62" s="728"/>
    </row>
    <row r="63" spans="1:13" s="473" customFormat="1" x14ac:dyDescent="0.25">
      <c r="A63" s="730"/>
      <c r="B63" s="488" t="s">
        <v>1092</v>
      </c>
      <c r="C63" s="488"/>
      <c r="D63" s="496"/>
      <c r="E63" s="496"/>
      <c r="F63" s="496"/>
      <c r="G63" s="482"/>
      <c r="H63" s="496"/>
      <c r="I63" s="493" t="s">
        <v>442</v>
      </c>
      <c r="J63" s="493" t="str">
        <f>IF(E61=20,"1.2",IF(E61=25,"1.3",IF(E61=30,"1.5")))</f>
        <v>1.5</v>
      </c>
      <c r="K63" s="488" t="s">
        <v>1093</v>
      </c>
      <c r="L63" s="496"/>
      <c r="M63" s="728"/>
    </row>
    <row r="64" spans="1:13" s="473" customFormat="1" ht="18" x14ac:dyDescent="0.25">
      <c r="A64" s="730"/>
      <c r="B64" s="488" t="s">
        <v>1094</v>
      </c>
      <c r="C64" s="488"/>
      <c r="D64" s="496"/>
      <c r="E64" s="496"/>
      <c r="F64" s="496"/>
      <c r="G64" s="482"/>
      <c r="H64" s="496"/>
      <c r="I64" s="493" t="s">
        <v>442</v>
      </c>
      <c r="J64" s="493" t="str">
        <f>IF(E61=20,"5.0",IF($E$61=25,"6.0",IF($E$61=30,"8.0")))</f>
        <v>8.0</v>
      </c>
      <c r="K64" s="488" t="s">
        <v>1093</v>
      </c>
      <c r="L64" s="496"/>
      <c r="M64" s="728"/>
    </row>
    <row r="65" spans="1:13" s="473" customFormat="1" ht="18" x14ac:dyDescent="0.25">
      <c r="A65" s="730"/>
      <c r="B65" s="488" t="s">
        <v>1095</v>
      </c>
      <c r="C65" s="488"/>
      <c r="D65" s="496"/>
      <c r="E65" s="496"/>
      <c r="F65" s="496"/>
      <c r="G65" s="482"/>
      <c r="H65" s="496"/>
      <c r="I65" s="493" t="s">
        <v>442</v>
      </c>
      <c r="J65" s="493" t="str">
        <f>IF(E$61=20,"1.7",IF($E$61=25,"1.8",IF($E$61=30,"2.0")))</f>
        <v>2.0</v>
      </c>
      <c r="K65" s="488" t="s">
        <v>1093</v>
      </c>
      <c r="L65" s="496"/>
      <c r="M65" s="728"/>
    </row>
    <row r="66" spans="1:13" s="473" customFormat="1" x14ac:dyDescent="0.25">
      <c r="A66" s="730"/>
      <c r="B66" s="488" t="s">
        <v>1096</v>
      </c>
      <c r="C66" s="488"/>
      <c r="D66" s="496"/>
      <c r="E66" s="496"/>
      <c r="F66" s="496"/>
      <c r="G66" s="482"/>
      <c r="H66" s="496"/>
      <c r="I66" s="493" t="s">
        <v>442</v>
      </c>
      <c r="J66" s="493" t="str">
        <f>IF(E$61=20,"7",IF($E$61=25,"8.5",IF($E$61=30,"10")))</f>
        <v>10</v>
      </c>
      <c r="K66" s="488" t="s">
        <v>1093</v>
      </c>
      <c r="L66" s="496"/>
      <c r="M66" s="728"/>
    </row>
    <row r="67" spans="1:13" s="473" customFormat="1" ht="18" x14ac:dyDescent="0.25">
      <c r="A67" s="730"/>
      <c r="B67" s="488" t="s">
        <v>1097</v>
      </c>
      <c r="C67" s="488"/>
      <c r="D67" s="496"/>
      <c r="E67" s="496"/>
      <c r="F67" s="496"/>
      <c r="G67" s="482"/>
      <c r="H67" s="496"/>
      <c r="I67" s="493" t="s">
        <v>442</v>
      </c>
      <c r="J67" s="493">
        <f>E61</f>
        <v>30</v>
      </c>
      <c r="K67" s="488" t="s">
        <v>1093</v>
      </c>
      <c r="L67" s="496"/>
      <c r="M67" s="728"/>
    </row>
    <row r="68" spans="1:13" s="473" customFormat="1" x14ac:dyDescent="0.25">
      <c r="A68" s="730"/>
      <c r="B68" s="488" t="s">
        <v>431</v>
      </c>
      <c r="C68" s="488"/>
      <c r="D68" s="496"/>
      <c r="E68" s="496"/>
      <c r="F68" s="496"/>
      <c r="G68" s="482"/>
      <c r="H68" s="496"/>
      <c r="I68" s="493" t="s">
        <v>442</v>
      </c>
      <c r="J68" s="493" t="str">
        <f>IF(E$61=20,"1.7",IF($E$61=25,"1.9",IF($E$61=30,"2.2")))</f>
        <v>2.2</v>
      </c>
      <c r="K68" s="488" t="s">
        <v>1093</v>
      </c>
      <c r="L68" s="496"/>
      <c r="M68" s="728"/>
    </row>
    <row r="69" spans="1:13" s="473" customFormat="1" ht="15" hidden="1" customHeight="1" x14ac:dyDescent="0.25">
      <c r="A69" s="730"/>
      <c r="B69" s="488" t="s">
        <v>1098</v>
      </c>
      <c r="C69" s="488"/>
      <c r="D69" s="496"/>
      <c r="E69" s="496"/>
      <c r="F69" s="496"/>
      <c r="G69" s="482"/>
      <c r="H69" s="496"/>
      <c r="I69" s="493" t="s">
        <v>442</v>
      </c>
      <c r="J69" s="493" t="b">
        <f>IF(E$12=20,"8*1.4",IF($E$12=25,"9*1.4",IF($E$12=30,"10*1.4")))</f>
        <v>0</v>
      </c>
      <c r="K69" s="488"/>
      <c r="L69" s="496"/>
      <c r="M69" s="728"/>
    </row>
    <row r="70" spans="1:13" s="473" customFormat="1" ht="15" hidden="1" customHeight="1" x14ac:dyDescent="0.25">
      <c r="A70" s="730"/>
      <c r="B70" s="488" t="s">
        <v>1099</v>
      </c>
      <c r="C70" s="488"/>
      <c r="D70" s="496"/>
      <c r="E70" s="496"/>
      <c r="F70" s="496"/>
      <c r="G70" s="482"/>
      <c r="H70" s="496"/>
      <c r="I70" s="493" t="s">
        <v>442</v>
      </c>
      <c r="J70" s="493" t="b">
        <f>IF(E$12=20,"13*1.4",IF($E$12=25,"15*1.4",IF($E$12=30,"17*1.4")))</f>
        <v>0</v>
      </c>
      <c r="K70" s="488"/>
      <c r="L70" s="496"/>
      <c r="M70" s="728"/>
    </row>
    <row r="71" spans="1:13" s="473" customFormat="1" x14ac:dyDescent="0.25">
      <c r="A71" s="729"/>
      <c r="B71" s="482"/>
      <c r="C71" s="482"/>
      <c r="D71" s="496"/>
      <c r="E71" s="496"/>
      <c r="F71" s="496"/>
      <c r="G71" s="482"/>
      <c r="H71" s="496"/>
      <c r="I71" s="482"/>
      <c r="J71" s="482"/>
      <c r="K71" s="482"/>
      <c r="L71" s="496"/>
      <c r="M71" s="728"/>
    </row>
    <row r="72" spans="1:13" s="473" customFormat="1" x14ac:dyDescent="0.25">
      <c r="A72" s="729"/>
      <c r="B72" s="488" t="s">
        <v>1100</v>
      </c>
      <c r="C72" s="488"/>
      <c r="D72" s="496"/>
      <c r="E72" s="496"/>
      <c r="F72" s="496"/>
      <c r="G72" s="482"/>
      <c r="H72" s="496"/>
      <c r="I72" s="493"/>
      <c r="J72" s="696">
        <v>500</v>
      </c>
      <c r="K72" s="488"/>
      <c r="L72" s="496"/>
      <c r="M72" s="728"/>
    </row>
    <row r="73" spans="1:13" s="473" customFormat="1" x14ac:dyDescent="0.25">
      <c r="A73" s="727"/>
      <c r="B73" s="694"/>
      <c r="C73" s="482"/>
      <c r="D73" s="496"/>
      <c r="E73" s="496"/>
      <c r="F73" s="496"/>
      <c r="G73" s="482"/>
      <c r="H73" s="697"/>
      <c r="I73" s="482"/>
      <c r="J73" s="482"/>
      <c r="K73" s="496"/>
      <c r="L73" s="496"/>
      <c r="M73" s="728"/>
    </row>
    <row r="74" spans="1:13" s="473" customFormat="1" x14ac:dyDescent="0.25">
      <c r="A74" s="729"/>
      <c r="B74" s="488" t="s">
        <v>1101</v>
      </c>
      <c r="C74" s="488"/>
      <c r="D74" s="496"/>
      <c r="E74" s="496"/>
      <c r="F74" s="496"/>
      <c r="G74" s="482"/>
      <c r="H74" s="482"/>
      <c r="I74" s="493" t="s">
        <v>442</v>
      </c>
      <c r="J74" s="493">
        <v>130</v>
      </c>
      <c r="K74" s="488" t="s">
        <v>1093</v>
      </c>
      <c r="L74" s="496"/>
      <c r="M74" s="728"/>
    </row>
    <row r="75" spans="1:13" s="473" customFormat="1" x14ac:dyDescent="0.25">
      <c r="A75" s="729"/>
      <c r="B75" s="488" t="s">
        <v>1102</v>
      </c>
      <c r="C75" s="488"/>
      <c r="D75" s="496"/>
      <c r="E75" s="496"/>
      <c r="F75" s="496"/>
      <c r="G75" s="482"/>
      <c r="H75" s="482"/>
      <c r="I75" s="493" t="s">
        <v>442</v>
      </c>
      <c r="J75" s="493">
        <v>130</v>
      </c>
      <c r="K75" s="488" t="s">
        <v>1093</v>
      </c>
      <c r="L75" s="496"/>
      <c r="M75" s="728"/>
    </row>
    <row r="76" spans="1:13" s="473" customFormat="1" x14ac:dyDescent="0.25">
      <c r="A76" s="729"/>
      <c r="B76" s="488" t="s">
        <v>1103</v>
      </c>
      <c r="C76" s="488"/>
      <c r="D76" s="496"/>
      <c r="E76" s="496"/>
      <c r="F76" s="496"/>
      <c r="G76" s="482"/>
      <c r="H76" s="482"/>
      <c r="I76" s="493" t="s">
        <v>442</v>
      </c>
      <c r="J76" s="493">
        <v>130</v>
      </c>
      <c r="K76" s="488" t="s">
        <v>1093</v>
      </c>
      <c r="L76" s="496"/>
      <c r="M76" s="728"/>
    </row>
    <row r="77" spans="1:13" s="473" customFormat="1" x14ac:dyDescent="0.25">
      <c r="A77" s="729"/>
      <c r="B77" s="488" t="s">
        <v>1104</v>
      </c>
      <c r="C77" s="488"/>
      <c r="D77" s="496"/>
      <c r="E77" s="496"/>
      <c r="F77" s="496"/>
      <c r="G77" s="482"/>
      <c r="H77" s="482"/>
      <c r="I77" s="493" t="s">
        <v>442</v>
      </c>
      <c r="J77" s="493">
        <v>140</v>
      </c>
      <c r="K77" s="488" t="s">
        <v>1093</v>
      </c>
      <c r="L77" s="496"/>
      <c r="M77" s="728"/>
    </row>
    <row r="78" spans="1:13" s="473" customFormat="1" x14ac:dyDescent="0.25">
      <c r="A78" s="729"/>
      <c r="B78" s="482"/>
      <c r="C78" s="482"/>
      <c r="D78" s="493"/>
      <c r="E78" s="482"/>
      <c r="F78" s="482"/>
      <c r="G78" s="482"/>
      <c r="H78" s="482"/>
      <c r="I78" s="496"/>
      <c r="J78" s="496"/>
      <c r="K78" s="496"/>
      <c r="L78" s="496"/>
      <c r="M78" s="728"/>
    </row>
    <row r="79" spans="1:13" s="473" customFormat="1" x14ac:dyDescent="0.25">
      <c r="A79" s="727"/>
      <c r="B79" s="694" t="s">
        <v>1105</v>
      </c>
      <c r="C79" s="482"/>
      <c r="D79" s="493"/>
      <c r="E79" s="482"/>
      <c r="F79" s="482"/>
      <c r="G79" s="482"/>
      <c r="H79" s="482"/>
      <c r="I79" s="496"/>
      <c r="J79" s="496"/>
      <c r="K79" s="496"/>
      <c r="L79" s="496"/>
      <c r="M79" s="728"/>
    </row>
    <row r="80" spans="1:13" s="473" customFormat="1" x14ac:dyDescent="0.25">
      <c r="A80" s="729"/>
      <c r="B80" s="488" t="s">
        <v>1106</v>
      </c>
      <c r="C80" s="488"/>
      <c r="D80" s="496"/>
      <c r="E80" s="496"/>
      <c r="F80" s="496"/>
      <c r="G80" s="482"/>
      <c r="H80" s="482"/>
      <c r="I80" s="493" t="s">
        <v>442</v>
      </c>
      <c r="J80" s="698">
        <v>0.28000000000000003</v>
      </c>
      <c r="K80" s="699" t="s">
        <v>462</v>
      </c>
      <c r="L80" s="1086" t="s">
        <v>1957</v>
      </c>
      <c r="M80" s="1087"/>
    </row>
    <row r="81" spans="1:13" s="473" customFormat="1" x14ac:dyDescent="0.25">
      <c r="A81" s="729"/>
      <c r="B81" s="482"/>
      <c r="C81" s="482"/>
      <c r="D81" s="496"/>
      <c r="E81" s="496"/>
      <c r="F81" s="496"/>
      <c r="G81" s="493"/>
      <c r="H81" s="493"/>
      <c r="I81" s="482"/>
      <c r="J81" s="482"/>
      <c r="K81" s="476"/>
      <c r="L81" s="1088"/>
      <c r="M81" s="1087"/>
    </row>
    <row r="82" spans="1:13" s="473" customFormat="1" ht="33.75" customHeight="1" x14ac:dyDescent="0.25">
      <c r="A82" s="727"/>
      <c r="B82" s="694" t="str">
        <f>"For M"&amp;E61&amp;" Concrete ;  Design Constants :"</f>
        <v>For M30 Concrete ;  Design Constants :</v>
      </c>
      <c r="C82" s="482"/>
      <c r="D82" s="496"/>
      <c r="E82" s="496"/>
      <c r="F82" s="496"/>
      <c r="G82" s="493"/>
      <c r="H82" s="493"/>
      <c r="I82" s="482"/>
      <c r="J82" s="482"/>
      <c r="K82" s="482"/>
      <c r="L82" s="1088"/>
      <c r="M82" s="1087"/>
    </row>
    <row r="83" spans="1:13" s="473" customFormat="1" ht="18" x14ac:dyDescent="0.25">
      <c r="A83" s="729"/>
      <c r="B83" s="488" t="s">
        <v>1107</v>
      </c>
      <c r="C83" s="488"/>
      <c r="D83" s="496"/>
      <c r="E83" s="496"/>
      <c r="F83" s="496"/>
      <c r="G83" s="482"/>
      <c r="H83" s="493"/>
      <c r="I83" s="493" t="s">
        <v>442</v>
      </c>
      <c r="J83" s="500">
        <v>130</v>
      </c>
      <c r="K83" s="488" t="s">
        <v>1093</v>
      </c>
      <c r="L83" s="496"/>
      <c r="M83" s="728"/>
    </row>
    <row r="84" spans="1:13" s="473" customFormat="1" ht="18" x14ac:dyDescent="0.25">
      <c r="A84" s="729"/>
      <c r="B84" s="488" t="s">
        <v>1108</v>
      </c>
      <c r="C84" s="488"/>
      <c r="D84" s="496"/>
      <c r="E84" s="496"/>
      <c r="F84" s="496"/>
      <c r="G84" s="482"/>
      <c r="H84" s="493"/>
      <c r="I84" s="493" t="s">
        <v>442</v>
      </c>
      <c r="J84" s="493" t="str">
        <f>J66</f>
        <v>10</v>
      </c>
      <c r="K84" s="488" t="s">
        <v>1093</v>
      </c>
      <c r="L84" s="496"/>
      <c r="M84" s="728"/>
    </row>
    <row r="85" spans="1:13" s="473" customFormat="1" ht="18" x14ac:dyDescent="0.25">
      <c r="A85" s="729"/>
      <c r="B85" s="488" t="s">
        <v>1109</v>
      </c>
      <c r="C85" s="488"/>
      <c r="D85" s="496"/>
      <c r="E85" s="496"/>
      <c r="F85" s="496"/>
      <c r="G85" s="482"/>
      <c r="H85" s="493"/>
      <c r="I85" s="493" t="s">
        <v>442</v>
      </c>
      <c r="J85" s="493">
        <f>ROUND((280/(3*J84)),2)</f>
        <v>9.33</v>
      </c>
      <c r="K85" s="488"/>
      <c r="L85" s="496"/>
      <c r="M85" s="728"/>
    </row>
    <row r="86" spans="1:13" s="473" customFormat="1" x14ac:dyDescent="0.25">
      <c r="A86" s="729"/>
      <c r="B86" s="488" t="s">
        <v>1110</v>
      </c>
      <c r="C86" s="488"/>
      <c r="D86" s="496"/>
      <c r="E86" s="496"/>
      <c r="F86" s="496"/>
      <c r="G86" s="482"/>
      <c r="H86" s="493"/>
      <c r="I86" s="493" t="s">
        <v>442</v>
      </c>
      <c r="J86" s="493">
        <f>ROUND((J83/J84),2)</f>
        <v>13</v>
      </c>
      <c r="K86" s="488"/>
      <c r="L86" s="496"/>
      <c r="M86" s="728"/>
    </row>
    <row r="87" spans="1:13" s="473" customFormat="1" x14ac:dyDescent="0.25">
      <c r="A87" s="729"/>
      <c r="B87" s="488" t="s">
        <v>1111</v>
      </c>
      <c r="C87" s="488"/>
      <c r="D87" s="496"/>
      <c r="E87" s="496"/>
      <c r="F87" s="496"/>
      <c r="G87" s="482"/>
      <c r="H87" s="493"/>
      <c r="I87" s="493" t="s">
        <v>442</v>
      </c>
      <c r="J87" s="493">
        <f>ROUND((J85/(J85+J86)),2)</f>
        <v>0.42</v>
      </c>
      <c r="K87" s="488"/>
      <c r="L87" s="496"/>
      <c r="M87" s="728"/>
    </row>
    <row r="88" spans="1:13" s="473" customFormat="1" x14ac:dyDescent="0.25">
      <c r="A88" s="729"/>
      <c r="B88" s="488" t="s">
        <v>1112</v>
      </c>
      <c r="C88" s="488"/>
      <c r="D88" s="496"/>
      <c r="E88" s="496"/>
      <c r="F88" s="496"/>
      <c r="G88" s="482"/>
      <c r="H88" s="493"/>
      <c r="I88" s="493" t="s">
        <v>442</v>
      </c>
      <c r="J88" s="493">
        <f>ROUND((1-(J87/3)),2)</f>
        <v>0.86</v>
      </c>
      <c r="K88" s="488"/>
      <c r="L88" s="496"/>
      <c r="M88" s="728"/>
    </row>
    <row r="89" spans="1:13" s="473" customFormat="1" ht="18" x14ac:dyDescent="0.25">
      <c r="A89" s="729"/>
      <c r="B89" s="488" t="s">
        <v>1113</v>
      </c>
      <c r="C89" s="488"/>
      <c r="D89" s="496"/>
      <c r="E89" s="496"/>
      <c r="F89" s="496"/>
      <c r="G89" s="482"/>
      <c r="H89" s="493"/>
      <c r="I89" s="493" t="s">
        <v>442</v>
      </c>
      <c r="J89" s="493">
        <f>ROUND(0.5*J84*J88*J87,2)</f>
        <v>1.81</v>
      </c>
      <c r="K89" s="488"/>
      <c r="L89" s="496"/>
      <c r="M89" s="728"/>
    </row>
    <row r="90" spans="1:13" s="473" customFormat="1" x14ac:dyDescent="0.25">
      <c r="A90" s="729"/>
      <c r="B90" s="488"/>
      <c r="C90" s="488"/>
      <c r="D90" s="496"/>
      <c r="E90" s="496"/>
      <c r="F90" s="496"/>
      <c r="G90" s="482"/>
      <c r="H90" s="493"/>
      <c r="I90" s="493"/>
      <c r="J90" s="488"/>
      <c r="K90" s="488"/>
      <c r="L90" s="496"/>
      <c r="M90" s="728"/>
    </row>
    <row r="91" spans="1:13" s="473" customFormat="1" ht="17.25" x14ac:dyDescent="0.25">
      <c r="A91" s="729"/>
      <c r="B91" s="488" t="s">
        <v>1114</v>
      </c>
      <c r="C91" s="488"/>
      <c r="D91" s="496"/>
      <c r="E91" s="496"/>
      <c r="F91" s="496"/>
      <c r="G91" s="482"/>
      <c r="H91" s="493"/>
      <c r="I91" s="493" t="s">
        <v>442</v>
      </c>
      <c r="J91" s="493">
        <v>190</v>
      </c>
      <c r="K91" s="488" t="s">
        <v>1115</v>
      </c>
      <c r="L91" s="496"/>
      <c r="M91" s="728"/>
    </row>
    <row r="92" spans="1:13" s="473" customFormat="1" ht="17.25" x14ac:dyDescent="0.25">
      <c r="A92" s="729"/>
      <c r="B92" s="488" t="s">
        <v>380</v>
      </c>
      <c r="C92" s="488"/>
      <c r="D92" s="496"/>
      <c r="E92" s="496"/>
      <c r="F92" s="496"/>
      <c r="G92" s="482"/>
      <c r="H92" s="493"/>
      <c r="I92" s="493" t="s">
        <v>442</v>
      </c>
      <c r="J92" s="493" t="str">
        <f>J66</f>
        <v>10</v>
      </c>
      <c r="K92" s="488" t="s">
        <v>1115</v>
      </c>
      <c r="L92" s="496"/>
      <c r="M92" s="728"/>
    </row>
    <row r="93" spans="1:13" s="473" customFormat="1" x14ac:dyDescent="0.25">
      <c r="A93" s="729"/>
      <c r="B93" s="488" t="s">
        <v>1116</v>
      </c>
      <c r="C93" s="488"/>
      <c r="D93" s="496"/>
      <c r="E93" s="496"/>
      <c r="F93" s="496"/>
      <c r="G93" s="482"/>
      <c r="H93" s="493"/>
      <c r="I93" s="493" t="s">
        <v>442</v>
      </c>
      <c r="J93" s="493">
        <f>ROUND((280*10/(3*J92)),2)</f>
        <v>93.33</v>
      </c>
      <c r="K93" s="488"/>
      <c r="L93" s="496"/>
      <c r="M93" s="728"/>
    </row>
    <row r="94" spans="1:13" s="473" customFormat="1" x14ac:dyDescent="0.25">
      <c r="A94" s="729"/>
      <c r="B94" s="488" t="s">
        <v>1110</v>
      </c>
      <c r="C94" s="488"/>
      <c r="D94" s="496"/>
      <c r="E94" s="496"/>
      <c r="F94" s="496"/>
      <c r="G94" s="482"/>
      <c r="H94" s="493"/>
      <c r="I94" s="493" t="s">
        <v>442</v>
      </c>
      <c r="J94" s="493">
        <f>ROUND((J91/J92),2)</f>
        <v>19</v>
      </c>
      <c r="K94" s="488"/>
      <c r="L94" s="496"/>
      <c r="M94" s="728"/>
    </row>
    <row r="95" spans="1:13" s="473" customFormat="1" x14ac:dyDescent="0.25">
      <c r="A95" s="729"/>
      <c r="B95" s="488" t="s">
        <v>1111</v>
      </c>
      <c r="C95" s="488"/>
      <c r="D95" s="496"/>
      <c r="E95" s="496"/>
      <c r="F95" s="496"/>
      <c r="G95" s="482"/>
      <c r="H95" s="493"/>
      <c r="I95" s="493" t="s">
        <v>442</v>
      </c>
      <c r="J95" s="493">
        <f>ROUND((J93/(J93+J94)),2)</f>
        <v>0.83</v>
      </c>
      <c r="K95" s="488"/>
      <c r="L95" s="496"/>
      <c r="M95" s="728"/>
    </row>
    <row r="96" spans="1:13" s="473" customFormat="1" x14ac:dyDescent="0.25">
      <c r="A96" s="729"/>
      <c r="B96" s="488" t="s">
        <v>1112</v>
      </c>
      <c r="C96" s="488"/>
      <c r="D96" s="496"/>
      <c r="E96" s="496"/>
      <c r="F96" s="496"/>
      <c r="G96" s="482"/>
      <c r="H96" s="493"/>
      <c r="I96" s="493" t="s">
        <v>442</v>
      </c>
      <c r="J96" s="700">
        <f>(1-(J95/3))</f>
        <v>0.72333333333333338</v>
      </c>
      <c r="K96" s="488"/>
      <c r="L96" s="496"/>
      <c r="M96" s="728"/>
    </row>
    <row r="97" spans="1:13" s="473" customFormat="1" ht="18" x14ac:dyDescent="0.25">
      <c r="A97" s="729"/>
      <c r="B97" s="488" t="s">
        <v>1113</v>
      </c>
      <c r="C97" s="488"/>
      <c r="D97" s="496"/>
      <c r="E97" s="496"/>
      <c r="F97" s="496"/>
      <c r="G97" s="482"/>
      <c r="H97" s="493"/>
      <c r="I97" s="493" t="s">
        <v>442</v>
      </c>
      <c r="J97" s="493">
        <f>ROUND(0.5*J92*J96*J95,2)</f>
        <v>3</v>
      </c>
      <c r="K97" s="488"/>
      <c r="L97" s="496"/>
      <c r="M97" s="728"/>
    </row>
    <row r="98" spans="1:13" s="473" customFormat="1" x14ac:dyDescent="0.25">
      <c r="A98" s="729"/>
      <c r="B98" s="488" t="s">
        <v>1114</v>
      </c>
      <c r="C98" s="488"/>
      <c r="D98" s="496"/>
      <c r="E98" s="496"/>
      <c r="F98" s="496"/>
      <c r="G98" s="482"/>
      <c r="H98" s="493"/>
      <c r="I98" s="493" t="s">
        <v>442</v>
      </c>
      <c r="J98" s="500">
        <v>275</v>
      </c>
      <c r="K98" s="488" t="s">
        <v>1093</v>
      </c>
      <c r="L98" s="496"/>
      <c r="M98" s="728"/>
    </row>
    <row r="99" spans="1:13" s="473" customFormat="1" x14ac:dyDescent="0.25">
      <c r="A99" s="729"/>
      <c r="B99" s="488" t="s">
        <v>380</v>
      </c>
      <c r="C99" s="488"/>
      <c r="D99" s="496"/>
      <c r="E99" s="496"/>
      <c r="F99" s="496"/>
      <c r="G99" s="482"/>
      <c r="H99" s="493"/>
      <c r="I99" s="493" t="s">
        <v>442</v>
      </c>
      <c r="J99" s="493" t="str">
        <f>J66</f>
        <v>10</v>
      </c>
      <c r="K99" s="488" t="s">
        <v>1093</v>
      </c>
      <c r="L99" s="496"/>
      <c r="M99" s="728"/>
    </row>
    <row r="100" spans="1:13" s="473" customFormat="1" x14ac:dyDescent="0.25">
      <c r="A100" s="729"/>
      <c r="B100" s="488" t="s">
        <v>1116</v>
      </c>
      <c r="C100" s="488"/>
      <c r="D100" s="496"/>
      <c r="E100" s="496"/>
      <c r="F100" s="496"/>
      <c r="G100" s="482"/>
      <c r="H100" s="493"/>
      <c r="I100" s="493" t="s">
        <v>442</v>
      </c>
      <c r="J100" s="493">
        <f>ROUND((280/(3*J99)),2)</f>
        <v>9.33</v>
      </c>
      <c r="K100" s="488"/>
      <c r="L100" s="496"/>
      <c r="M100" s="728"/>
    </row>
    <row r="101" spans="1:13" s="473" customFormat="1" x14ac:dyDescent="0.25">
      <c r="A101" s="729"/>
      <c r="B101" s="488" t="s">
        <v>1110</v>
      </c>
      <c r="C101" s="488"/>
      <c r="D101" s="496"/>
      <c r="E101" s="496"/>
      <c r="F101" s="496"/>
      <c r="G101" s="482"/>
      <c r="H101" s="493"/>
      <c r="I101" s="493" t="s">
        <v>442</v>
      </c>
      <c r="J101" s="493">
        <f>ROUND((J98/J99),2)</f>
        <v>27.5</v>
      </c>
      <c r="K101" s="488"/>
      <c r="L101" s="496"/>
      <c r="M101" s="728"/>
    </row>
    <row r="102" spans="1:13" s="473" customFormat="1" x14ac:dyDescent="0.25">
      <c r="A102" s="729"/>
      <c r="B102" s="488" t="s">
        <v>1111</v>
      </c>
      <c r="C102" s="488"/>
      <c r="D102" s="496"/>
      <c r="E102" s="496"/>
      <c r="F102" s="496"/>
      <c r="G102" s="482"/>
      <c r="H102" s="493"/>
      <c r="I102" s="493" t="s">
        <v>442</v>
      </c>
      <c r="J102" s="493">
        <f>ROUND((J100/(J100+J101)),2)</f>
        <v>0.25</v>
      </c>
      <c r="K102" s="488"/>
      <c r="L102" s="496"/>
      <c r="M102" s="728"/>
    </row>
    <row r="103" spans="1:13" s="473" customFormat="1" x14ac:dyDescent="0.25">
      <c r="A103" s="729"/>
      <c r="B103" s="488" t="s">
        <v>1112</v>
      </c>
      <c r="C103" s="488"/>
      <c r="D103" s="496"/>
      <c r="E103" s="496"/>
      <c r="F103" s="496"/>
      <c r="G103" s="482"/>
      <c r="H103" s="493"/>
      <c r="I103" s="493" t="s">
        <v>442</v>
      </c>
      <c r="J103" s="493">
        <f>ROUND((1-(J102/3)),2)</f>
        <v>0.92</v>
      </c>
      <c r="K103" s="488"/>
      <c r="L103" s="496"/>
      <c r="M103" s="728"/>
    </row>
    <row r="104" spans="1:13" s="473" customFormat="1" ht="18" x14ac:dyDescent="0.25">
      <c r="A104" s="729"/>
      <c r="B104" s="488" t="s">
        <v>1113</v>
      </c>
      <c r="C104" s="488"/>
      <c r="D104" s="496"/>
      <c r="E104" s="496"/>
      <c r="F104" s="496"/>
      <c r="G104" s="482"/>
      <c r="H104" s="493"/>
      <c r="I104" s="493" t="s">
        <v>442</v>
      </c>
      <c r="J104" s="493">
        <f>ROUND(0.5*J99*J103*J102,2)</f>
        <v>1.1499999999999999</v>
      </c>
      <c r="K104" s="488"/>
      <c r="L104" s="496"/>
      <c r="M104" s="728"/>
    </row>
    <row r="105" spans="1:13" s="473" customFormat="1" x14ac:dyDescent="0.25">
      <c r="A105" s="729"/>
      <c r="B105" s="488"/>
      <c r="C105" s="488"/>
      <c r="D105" s="488"/>
      <c r="E105" s="493"/>
      <c r="F105" s="488"/>
      <c r="G105" s="482"/>
      <c r="H105" s="493"/>
      <c r="I105" s="496"/>
      <c r="J105" s="496"/>
      <c r="K105" s="496"/>
      <c r="L105" s="496"/>
      <c r="M105" s="728"/>
    </row>
    <row r="106" spans="1:13" s="473" customFormat="1" x14ac:dyDescent="0.25">
      <c r="A106" s="729"/>
      <c r="B106" s="694" t="s">
        <v>1117</v>
      </c>
      <c r="C106" s="488"/>
      <c r="D106" s="488"/>
      <c r="E106" s="493"/>
      <c r="F106" s="488"/>
      <c r="G106" s="482"/>
      <c r="H106" s="493"/>
      <c r="I106" s="496"/>
      <c r="J106" s="496"/>
      <c r="K106" s="496"/>
      <c r="L106" s="496"/>
      <c r="M106" s="728"/>
    </row>
    <row r="107" spans="1:13" s="473" customFormat="1" x14ac:dyDescent="0.25">
      <c r="A107" s="729"/>
      <c r="B107" s="488" t="s">
        <v>1118</v>
      </c>
      <c r="C107" s="488"/>
      <c r="D107" s="496"/>
      <c r="E107" s="496"/>
      <c r="F107" s="496"/>
      <c r="G107" s="482"/>
      <c r="H107" s="493"/>
      <c r="I107" s="493" t="s">
        <v>442</v>
      </c>
      <c r="J107" s="493" t="str">
        <f>J65</f>
        <v>2.0</v>
      </c>
      <c r="K107" s="488" t="s">
        <v>1093</v>
      </c>
      <c r="L107" s="496"/>
      <c r="M107" s="728"/>
    </row>
    <row r="108" spans="1:13" s="473" customFormat="1" ht="17.25" x14ac:dyDescent="0.25">
      <c r="A108" s="729"/>
      <c r="B108" s="488" t="s">
        <v>1119</v>
      </c>
      <c r="C108" s="488"/>
      <c r="D108" s="496"/>
      <c r="E108" s="496"/>
      <c r="F108" s="496"/>
      <c r="G108" s="482"/>
      <c r="H108" s="493"/>
      <c r="I108" s="493"/>
      <c r="J108" s="493"/>
      <c r="K108" s="488"/>
      <c r="L108" s="496"/>
      <c r="M108" s="728"/>
    </row>
    <row r="109" spans="1:13" s="473" customFormat="1" x14ac:dyDescent="0.25">
      <c r="A109" s="729"/>
      <c r="B109" s="488" t="s">
        <v>1120</v>
      </c>
      <c r="C109" s="488"/>
      <c r="D109" s="496"/>
      <c r="E109" s="496"/>
      <c r="F109" s="496"/>
      <c r="G109" s="482"/>
      <c r="H109" s="493"/>
      <c r="I109" s="493" t="s">
        <v>442</v>
      </c>
      <c r="J109" s="493">
        <f>ROUND(J107/6,2)</f>
        <v>0.33</v>
      </c>
      <c r="K109" s="488"/>
      <c r="L109" s="496"/>
      <c r="M109" s="728"/>
    </row>
    <row r="110" spans="1:13" s="473" customFormat="1" x14ac:dyDescent="0.25">
      <c r="A110" s="729"/>
      <c r="B110" s="488" t="s">
        <v>1121</v>
      </c>
      <c r="C110" s="488"/>
      <c r="D110" s="496"/>
      <c r="E110" s="496"/>
      <c r="F110" s="496"/>
      <c r="G110" s="482"/>
      <c r="H110" s="493"/>
      <c r="I110" s="701" t="s">
        <v>442</v>
      </c>
      <c r="J110" s="500">
        <v>0.35</v>
      </c>
      <c r="K110" s="488"/>
      <c r="L110" s="496"/>
      <c r="M110" s="728"/>
    </row>
    <row r="111" spans="1:13" ht="15.75" thickBot="1" x14ac:dyDescent="0.3">
      <c r="A111" s="731"/>
      <c r="B111" s="732"/>
      <c r="C111" s="732"/>
      <c r="D111" s="732"/>
      <c r="E111" s="732"/>
      <c r="F111" s="732"/>
      <c r="G111" s="732"/>
      <c r="H111" s="732"/>
      <c r="I111" s="732"/>
      <c r="J111" s="732"/>
      <c r="K111" s="732"/>
      <c r="L111" s="732"/>
      <c r="M111" s="733"/>
    </row>
  </sheetData>
  <mergeCells count="11">
    <mergeCell ref="A2:A3"/>
    <mergeCell ref="B2:J3"/>
    <mergeCell ref="K2:L2"/>
    <mergeCell ref="K3:L3"/>
    <mergeCell ref="A4:A5"/>
    <mergeCell ref="B4:J5"/>
    <mergeCell ref="G38:L38"/>
    <mergeCell ref="L80:M82"/>
    <mergeCell ref="E9:F9"/>
    <mergeCell ref="B16:M16"/>
    <mergeCell ref="B1:L1"/>
  </mergeCells>
  <conditionalFormatting sqref="B14:L15 B17:L21 B16">
    <cfRule type="expression" dxfId="11" priority="3" stopIfTrue="1">
      <formula>MOD(ROW()-8,28)=0</formula>
    </cfRule>
    <cfRule type="expression" dxfId="10" priority="4" stopIfTrue="1">
      <formula>MOD(ROW()-8,28)=1</formula>
    </cfRule>
  </conditionalFormatting>
  <conditionalFormatting sqref="A3:A4">
    <cfRule type="expression" dxfId="9" priority="1" stopIfTrue="1">
      <formula>MOD(ROW()-8,28)=0</formula>
    </cfRule>
    <cfRule type="expression" dxfId="8" priority="2" stopIfTrue="1">
      <formula>MOD(ROW()-8,28)=1</formula>
    </cfRule>
  </conditionalFormatting>
  <dataValidations disablePrompts="1" count="2">
    <dataValidation type="whole" operator="greaterThanOrEqual" allowBlank="1" showInputMessage="1" showErrorMessage="1" errorTitle="Error Message" error="Not a valid page number ..." sqref="O6" xr:uid="{00000000-0002-0000-0200-000000000000}">
      <formula1>1</formula1>
    </dataValidation>
    <dataValidation allowBlank="1" showInputMessage="1" sqref="E61 J72" xr:uid="{00000000-0002-0000-0200-000001000000}"/>
  </dataValidations>
  <pageMargins left="0.19685039370078741" right="0.19685039370078741" top="0.23622047244094488" bottom="0.23622047244094488" header="0.31496062992125984" footer="0.31496062992125984"/>
  <pageSetup paperSize="9" scale="90" orientation="portrait" r:id="rId1"/>
  <rowBreaks count="1" manualBreakCount="1">
    <brk id="46" max="12" man="1"/>
  </rowBreaks>
  <ignoredErrors>
    <ignoredError sqref="B2 B82 K9 E9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3073" r:id="rId4">
          <objectPr defaultSize="0" autoPict="0" r:id="rId5">
            <anchor moveWithCells="1" sizeWithCells="1">
              <from>
                <xdr:col>3</xdr:col>
                <xdr:colOff>561975</xdr:colOff>
                <xdr:row>0</xdr:row>
                <xdr:rowOff>161925</xdr:rowOff>
              </from>
              <to>
                <xdr:col>4</xdr:col>
                <xdr:colOff>466725</xdr:colOff>
                <xdr:row>0</xdr:row>
                <xdr:rowOff>523875</xdr:rowOff>
              </to>
            </anchor>
          </objectPr>
        </oleObject>
      </mc:Choice>
      <mc:Fallback>
        <oleObject progId="StaticMetafile" shapeId="307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1074"/>
  <sheetViews>
    <sheetView tabSelected="1" view="pageBreakPreview" topLeftCell="A986" zoomScale="70" zoomScaleNormal="55" zoomScaleSheetLayoutView="70" workbookViewId="0">
      <selection activeCell="B996" sqref="B996:D996"/>
    </sheetView>
  </sheetViews>
  <sheetFormatPr defaultRowHeight="15.75" x14ac:dyDescent="0.25"/>
  <cols>
    <col min="1" max="1" width="6.28515625" style="3" customWidth="1"/>
    <col min="2" max="2" width="22.28515625" style="113" customWidth="1"/>
    <col min="3" max="3" width="16.7109375" style="15" customWidth="1"/>
    <col min="4" max="4" width="17.5703125" style="15" customWidth="1"/>
    <col min="5" max="5" width="29.140625" style="15" customWidth="1"/>
    <col min="6" max="6" width="13.42578125" style="3" customWidth="1"/>
    <col min="7" max="7" width="9" style="3" customWidth="1"/>
    <col min="8" max="8" width="11.5703125" style="10" customWidth="1"/>
    <col min="9" max="9" width="9.7109375" style="10" customWidth="1"/>
    <col min="10" max="10" width="12.7109375" style="10" customWidth="1"/>
    <col min="11" max="11" width="12.140625" style="10" customWidth="1"/>
    <col min="12" max="12" width="14.42578125" style="10" customWidth="1"/>
    <col min="13" max="13" width="14.5703125" style="10" customWidth="1"/>
    <col min="14" max="14" width="5.140625" style="10" customWidth="1"/>
    <col min="15" max="15" width="9.140625" style="10"/>
    <col min="16" max="16" width="9.28515625" style="10" customWidth="1"/>
    <col min="17" max="17" width="11.5703125" style="10" customWidth="1"/>
    <col min="18" max="18" width="13.7109375" style="10" customWidth="1"/>
    <col min="19" max="19" width="7.5703125" style="10" customWidth="1"/>
    <col min="20" max="20" width="14.7109375" style="10" customWidth="1"/>
    <col min="21" max="26" width="9.140625" style="10"/>
    <col min="27" max="27" width="29" style="10" customWidth="1"/>
    <col min="28" max="16384" width="9.140625" style="10"/>
  </cols>
  <sheetData>
    <row r="1" spans="1:28" s="313" customFormat="1" ht="72" customHeight="1" x14ac:dyDescent="0.2">
      <c r="A1" s="1152"/>
      <c r="B1" s="1152"/>
      <c r="C1" s="1135" t="str">
        <f>'cover page'!B1</f>
        <v xml:space="preserve">              JMC – SPML JOINT VENTURE</v>
      </c>
      <c r="D1" s="1135"/>
      <c r="E1" s="1135"/>
      <c r="F1" s="1135"/>
      <c r="G1" s="1133"/>
      <c r="H1" s="1134"/>
      <c r="I1" s="312"/>
      <c r="J1" s="312"/>
      <c r="K1" s="312"/>
      <c r="L1" s="312"/>
      <c r="M1" s="312"/>
    </row>
    <row r="2" spans="1:28" s="313" customFormat="1" ht="19.5" customHeight="1" x14ac:dyDescent="0.25">
      <c r="A2" s="1136" t="s">
        <v>685</v>
      </c>
      <c r="B2" s="1136"/>
      <c r="C2" s="1072" t="str">
        <f>index!B2</f>
        <v>EXECUTION OF MEGA PWS TO MOHANA, DARINGABADI, GUMMA, R.UDAYGIRI AND NUAGADA BLOCK IN GAJAPATI &amp; KANDHAMAL DISTRICT INCLUDING FIVE YEARS OPERATION &amp; MAINTENANCE</v>
      </c>
      <c r="D2" s="1072"/>
      <c r="E2" s="1072"/>
      <c r="F2" s="1060" t="s">
        <v>686</v>
      </c>
      <c r="G2" s="1060"/>
      <c r="H2" s="527" t="s">
        <v>687</v>
      </c>
      <c r="I2" s="550"/>
      <c r="J2" s="551"/>
      <c r="L2" s="552"/>
      <c r="N2" s="314"/>
    </row>
    <row r="3" spans="1:28" s="313" customFormat="1" ht="71.25" customHeight="1" thickBot="1" x14ac:dyDescent="0.25">
      <c r="A3" s="1136"/>
      <c r="B3" s="1136"/>
      <c r="C3" s="1072"/>
      <c r="D3" s="1072"/>
      <c r="E3" s="1072"/>
      <c r="F3" s="1074" t="str">
        <f>'cover page'!E3</f>
        <v>32129-MB-WSE-ESR-CV-DD-</v>
      </c>
      <c r="G3" s="1074"/>
      <c r="H3" s="315" t="str">
        <f>index!G3</f>
        <v>R0</v>
      </c>
      <c r="I3" s="553"/>
      <c r="J3" s="554"/>
      <c r="L3" s="555"/>
    </row>
    <row r="4" spans="1:28" s="313" customFormat="1" ht="15" customHeight="1" thickBot="1" x14ac:dyDescent="0.25">
      <c r="A4" s="1136" t="s">
        <v>688</v>
      </c>
      <c r="B4" s="1136"/>
      <c r="C4" s="1146" t="str">
        <f>index!B4</f>
        <v xml:space="preserve">Structural Design Report of 250 KL ESR with 10 m Staging at  MOHANA A PRO ESR </v>
      </c>
      <c r="D4" s="1146"/>
      <c r="E4" s="1146"/>
      <c r="F4" s="527" t="s">
        <v>689</v>
      </c>
      <c r="G4" s="527" t="s">
        <v>690</v>
      </c>
      <c r="H4" s="527" t="s">
        <v>691</v>
      </c>
      <c r="I4" s="556"/>
      <c r="J4" s="557"/>
      <c r="Z4" s="1224" t="s">
        <v>1629</v>
      </c>
      <c r="AA4" s="1225"/>
    </row>
    <row r="5" spans="1:28" s="313" customFormat="1" thickBot="1" x14ac:dyDescent="0.3">
      <c r="A5" s="1136"/>
      <c r="B5" s="1136"/>
      <c r="C5" s="1146"/>
      <c r="D5" s="1146"/>
      <c r="E5" s="1146"/>
      <c r="F5" s="315" t="str">
        <f>index!E5</f>
        <v>SKS</v>
      </c>
      <c r="G5" s="315" t="str">
        <f>index!F5</f>
        <v>JKS</v>
      </c>
      <c r="H5" s="316">
        <f>index!G5</f>
        <v>45055</v>
      </c>
      <c r="I5" s="558"/>
      <c r="J5" s="559"/>
      <c r="N5" s="318"/>
      <c r="S5" s="1188" t="s">
        <v>1363</v>
      </c>
      <c r="T5" s="1189"/>
      <c r="U5" s="1189"/>
      <c r="V5" s="1190"/>
      <c r="W5" s="1002"/>
      <c r="X5" s="1002"/>
      <c r="Z5" s="977" t="s">
        <v>1630</v>
      </c>
      <c r="AA5" s="977" t="s">
        <v>1631</v>
      </c>
      <c r="AB5" s="313" t="s">
        <v>1632</v>
      </c>
    </row>
    <row r="6" spans="1:28" ht="16.5" thickBot="1" x14ac:dyDescent="0.3">
      <c r="A6" s="5"/>
      <c r="B6" s="87" t="s">
        <v>62</v>
      </c>
      <c r="C6" s="10"/>
      <c r="D6" s="10"/>
      <c r="E6" s="10"/>
      <c r="F6" s="10"/>
      <c r="G6" s="10"/>
      <c r="I6" s="144"/>
      <c r="J6" s="657" t="s">
        <v>248</v>
      </c>
      <c r="K6" s="648"/>
      <c r="L6" s="648"/>
      <c r="M6" s="648"/>
      <c r="N6" s="648"/>
      <c r="O6" s="648"/>
      <c r="P6" s="648"/>
      <c r="Q6" s="649"/>
      <c r="R6" s="568"/>
      <c r="S6" s="1191" t="s">
        <v>1360</v>
      </c>
      <c r="T6" s="1192"/>
      <c r="U6" s="1192"/>
      <c r="V6" s="1193"/>
      <c r="W6" s="1003"/>
      <c r="X6" s="1003"/>
      <c r="Y6" s="150"/>
      <c r="AB6" s="150"/>
    </row>
    <row r="7" spans="1:28" ht="16.5" thickBot="1" x14ac:dyDescent="0.3">
      <c r="A7" s="6"/>
      <c r="B7" s="10"/>
      <c r="C7" s="10"/>
      <c r="D7" s="10"/>
      <c r="E7" s="10"/>
      <c r="F7" s="10"/>
      <c r="G7" s="10"/>
      <c r="I7" s="144"/>
      <c r="J7" s="912" t="s">
        <v>608</v>
      </c>
      <c r="K7" s="10" t="str">
        <f>B251</f>
        <v>8 dia125 c/c</v>
      </c>
      <c r="L7" s="10" t="s">
        <v>1324</v>
      </c>
      <c r="M7" s="10" t="str">
        <f>B255</f>
        <v>0.9m</v>
      </c>
      <c r="N7" s="10" t="s">
        <v>1323</v>
      </c>
      <c r="O7" s="10">
        <f>F65/2</f>
        <v>4.55</v>
      </c>
      <c r="P7" s="10" t="s">
        <v>1327</v>
      </c>
      <c r="Q7" s="646">
        <f>ROUNDUP(3.14*2*O9/E212*1000,0)</f>
        <v>58</v>
      </c>
      <c r="R7" s="568"/>
      <c r="S7" s="918" t="str">
        <f>J7</f>
        <v>a</v>
      </c>
      <c r="T7" s="919" t="str">
        <f>K7</f>
        <v>8 dia125 c/c</v>
      </c>
      <c r="U7" s="919" t="str">
        <f>L7</f>
        <v>la1</v>
      </c>
      <c r="V7" s="920" t="str">
        <f>M7</f>
        <v>0.9m</v>
      </c>
      <c r="W7" s="1004"/>
      <c r="X7" s="1194" t="s">
        <v>1633</v>
      </c>
      <c r="Y7" s="1196"/>
      <c r="Z7" s="978" t="s">
        <v>1634</v>
      </c>
      <c r="AA7" s="979" t="str">
        <f>T23</f>
        <v>10 dia 250 mm c/c</v>
      </c>
      <c r="AB7" s="150" t="s">
        <v>1790</v>
      </c>
    </row>
    <row r="8" spans="1:28" x14ac:dyDescent="0.25">
      <c r="A8" s="5"/>
      <c r="B8" s="1138"/>
      <c r="C8" s="1138"/>
      <c r="D8" s="1139"/>
      <c r="E8" s="1139"/>
      <c r="F8" s="325"/>
      <c r="G8" s="4"/>
      <c r="H8" s="3"/>
      <c r="I8" s="651"/>
      <c r="J8" s="912" t="s">
        <v>386</v>
      </c>
      <c r="K8" s="10" t="str">
        <f>E256</f>
        <v>8 dia125 c/c</v>
      </c>
      <c r="N8" s="10" t="s">
        <v>1325</v>
      </c>
      <c r="O8" s="10">
        <f>O7/2</f>
        <v>2.2749999999999999</v>
      </c>
      <c r="P8" s="10" t="s">
        <v>1328</v>
      </c>
      <c r="Q8" s="646">
        <f>Q7*2</f>
        <v>116</v>
      </c>
      <c r="R8" s="568"/>
      <c r="S8" s="912" t="str">
        <f>J8</f>
        <v>b</v>
      </c>
      <c r="T8" s="3" t="str">
        <f>K8</f>
        <v>8 dia125 c/c</v>
      </c>
      <c r="V8" s="921"/>
      <c r="W8" s="615"/>
      <c r="X8" s="615"/>
      <c r="Y8" s="150"/>
      <c r="Z8" s="980" t="s">
        <v>1635</v>
      </c>
      <c r="AA8" s="981" t="str">
        <f>CONCATENATE("@ R = ",T26,)</f>
        <v>@ R = 3.55</v>
      </c>
      <c r="AB8" s="150" t="s">
        <v>1792</v>
      </c>
    </row>
    <row r="9" spans="1:28" ht="16.5" thickBot="1" x14ac:dyDescent="0.3">
      <c r="A9" s="6" t="s">
        <v>20</v>
      </c>
      <c r="B9" s="1139" t="s">
        <v>40</v>
      </c>
      <c r="C9" s="1139"/>
      <c r="D9" s="1139"/>
      <c r="E9" s="1139"/>
      <c r="F9" s="3" t="s">
        <v>21</v>
      </c>
      <c r="G9" s="3" t="s">
        <v>19</v>
      </c>
      <c r="H9" s="3"/>
      <c r="I9" s="651"/>
      <c r="J9" s="913" t="s">
        <v>623</v>
      </c>
      <c r="K9" s="647" t="str">
        <f>C259</f>
        <v>5 nos12 dia</v>
      </c>
      <c r="L9" s="647"/>
      <c r="M9" s="647"/>
      <c r="N9" s="647" t="s">
        <v>1326</v>
      </c>
      <c r="O9" s="647">
        <f>O8/2</f>
        <v>1.1375</v>
      </c>
      <c r="P9" s="647" t="s">
        <v>1329</v>
      </c>
      <c r="Q9" s="650">
        <f>Q8*2</f>
        <v>232</v>
      </c>
      <c r="R9" s="568"/>
      <c r="S9" s="912" t="str">
        <f>J9</f>
        <v>c</v>
      </c>
      <c r="T9" s="3" t="str">
        <f>K9</f>
        <v>5 nos12 dia</v>
      </c>
      <c r="V9" s="921"/>
      <c r="W9" s="615"/>
      <c r="X9" s="615"/>
      <c r="Y9" s="150"/>
      <c r="Z9" s="980" t="s">
        <v>1636</v>
      </c>
      <c r="AA9" s="981" t="str">
        <f>CONCATENATE("(",V27,"+",V26,"+",V26,") nos")</f>
        <v>(46+23+23) nos</v>
      </c>
      <c r="AB9" s="150" t="s">
        <v>1793</v>
      </c>
    </row>
    <row r="10" spans="1:28" ht="16.5" thickBot="1" x14ac:dyDescent="0.3">
      <c r="A10" s="6"/>
      <c r="B10" s="3"/>
      <c r="C10" s="3"/>
      <c r="D10" s="3"/>
      <c r="E10" s="3"/>
      <c r="H10" s="3"/>
      <c r="I10" s="651"/>
      <c r="J10" s="907"/>
      <c r="K10" s="908"/>
      <c r="L10" s="908"/>
      <c r="M10" s="908"/>
      <c r="N10" s="908"/>
      <c r="O10" s="908"/>
      <c r="P10" s="908"/>
      <c r="Q10" s="909"/>
      <c r="R10" s="568"/>
      <c r="S10" s="912" t="str">
        <f t="shared" ref="S10:V12" si="0">N7</f>
        <v>ra1</v>
      </c>
      <c r="T10" s="3">
        <f t="shared" si="0"/>
        <v>4.55</v>
      </c>
      <c r="U10" s="3" t="str">
        <f t="shared" si="0"/>
        <v>na1</v>
      </c>
      <c r="V10" s="921">
        <f t="shared" si="0"/>
        <v>58</v>
      </c>
      <c r="W10" s="615"/>
      <c r="X10" s="615"/>
      <c r="Y10" s="150"/>
      <c r="Z10" s="645" t="s">
        <v>1637</v>
      </c>
      <c r="AA10" s="981" t="str">
        <f>CONCATENATE(,T22," at R = ",T26,"(EXT)")</f>
        <v>12 dia 250 mm c/c at R = 3.55(EXT)</v>
      </c>
      <c r="AB10" s="150" t="s">
        <v>1794</v>
      </c>
    </row>
    <row r="11" spans="1:28" x14ac:dyDescent="0.25">
      <c r="A11" s="5" t="s">
        <v>0</v>
      </c>
      <c r="B11" s="50" t="s">
        <v>1</v>
      </c>
      <c r="C11" s="50"/>
      <c r="D11" s="50"/>
      <c r="E11" s="50"/>
      <c r="F11" s="4" t="s">
        <v>43</v>
      </c>
      <c r="G11" s="3" t="s">
        <v>2</v>
      </c>
      <c r="I11" s="144"/>
      <c r="J11" s="657" t="s">
        <v>900</v>
      </c>
      <c r="K11" s="648" t="s">
        <v>1357</v>
      </c>
      <c r="M11" s="648"/>
      <c r="N11" s="648"/>
      <c r="O11" s="648"/>
      <c r="P11" s="648"/>
      <c r="Q11" s="649"/>
      <c r="R11" s="568"/>
      <c r="S11" s="912" t="str">
        <f t="shared" si="0"/>
        <v>ra2</v>
      </c>
      <c r="T11" s="3">
        <f t="shared" si="0"/>
        <v>2.2749999999999999</v>
      </c>
      <c r="U11" s="3" t="str">
        <f t="shared" si="0"/>
        <v>na2</v>
      </c>
      <c r="V11" s="921">
        <f t="shared" si="0"/>
        <v>116</v>
      </c>
      <c r="W11" s="615"/>
      <c r="X11" s="615"/>
      <c r="Y11" s="150"/>
      <c r="Z11" s="645" t="s">
        <v>1638</v>
      </c>
      <c r="AA11" s="646" t="str">
        <f>CONCATENATE("(",V28,") nos")</f>
        <v>(90) nos</v>
      </c>
      <c r="AB11" s="150" t="s">
        <v>1795</v>
      </c>
    </row>
    <row r="12" spans="1:28" ht="16.5" thickBot="1" x14ac:dyDescent="0.3">
      <c r="A12" s="6"/>
      <c r="B12" s="50"/>
      <c r="C12" s="50"/>
      <c r="D12" s="50"/>
      <c r="E12" s="50"/>
      <c r="F12" s="4"/>
      <c r="I12" s="144"/>
      <c r="J12" s="645"/>
      <c r="Q12" s="646"/>
      <c r="R12" s="568"/>
      <c r="S12" s="913" t="str">
        <f t="shared" si="0"/>
        <v>ra3</v>
      </c>
      <c r="T12" s="922">
        <f t="shared" si="0"/>
        <v>1.1375</v>
      </c>
      <c r="U12" s="922" t="str">
        <f t="shared" si="0"/>
        <v>na3</v>
      </c>
      <c r="V12" s="923">
        <f t="shared" si="0"/>
        <v>232</v>
      </c>
      <c r="W12" s="1005"/>
      <c r="X12" s="1005"/>
      <c r="Y12" s="150"/>
      <c r="Z12" s="645" t="s">
        <v>1639</v>
      </c>
      <c r="AA12" s="981" t="str">
        <f>CONCATENATE("@ R = ",T27,)</f>
        <v>@ R = 1.775</v>
      </c>
      <c r="AB12" s="150" t="s">
        <v>1796</v>
      </c>
    </row>
    <row r="13" spans="1:28" ht="16.5" thickBot="1" x14ac:dyDescent="0.3">
      <c r="A13" s="6"/>
      <c r="B13" s="50"/>
      <c r="C13" s="50"/>
      <c r="D13" s="50"/>
      <c r="E13" s="50"/>
      <c r="F13" s="4"/>
      <c r="I13" s="144"/>
      <c r="J13" s="913" t="s">
        <v>107</v>
      </c>
      <c r="K13" s="647" t="str">
        <f>CONCATENATE(C295," dia ",D295," nos")</f>
        <v>12 dia 8 nos</v>
      </c>
      <c r="L13" s="647"/>
      <c r="M13" s="647"/>
      <c r="N13" s="647"/>
      <c r="O13" s="647"/>
      <c r="P13" s="647"/>
      <c r="Q13" s="650"/>
      <c r="R13" s="150"/>
      <c r="S13" s="1194" t="s">
        <v>1361</v>
      </c>
      <c r="T13" s="1195"/>
      <c r="U13" s="1195"/>
      <c r="V13" s="1196"/>
      <c r="W13" s="1003"/>
      <c r="X13" s="1003"/>
      <c r="Z13" s="645" t="s">
        <v>1640</v>
      </c>
      <c r="AA13" s="981" t="str">
        <f>CONCATENATE("(",V26,"+",V26,") nos")</f>
        <v>(23+23) nos</v>
      </c>
      <c r="AB13" s="150" t="s">
        <v>1797</v>
      </c>
    </row>
    <row r="14" spans="1:28" ht="18" thickBot="1" x14ac:dyDescent="0.35">
      <c r="A14" s="5" t="s">
        <v>4</v>
      </c>
      <c r="B14" s="10" t="s">
        <v>8</v>
      </c>
      <c r="C14" s="50"/>
      <c r="D14" s="50"/>
      <c r="E14" s="3"/>
      <c r="F14" s="4" t="s">
        <v>44</v>
      </c>
      <c r="G14" s="3" t="s">
        <v>2</v>
      </c>
      <c r="I14" s="144"/>
      <c r="J14" s="907"/>
      <c r="K14" s="908"/>
      <c r="L14" s="908"/>
      <c r="M14" s="908"/>
      <c r="N14" s="908"/>
      <c r="O14" s="908"/>
      <c r="P14" s="908"/>
      <c r="Q14" s="909"/>
      <c r="R14" s="568"/>
      <c r="S14" s="918" t="str">
        <f t="shared" ref="S14:T16" si="1">J17</f>
        <v>e</v>
      </c>
      <c r="T14" s="1197" t="str">
        <f t="shared" si="1"/>
        <v>12 dia200 mm c/c</v>
      </c>
      <c r="U14" s="1198"/>
      <c r="V14" s="1199"/>
      <c r="W14" s="1004"/>
      <c r="X14" s="1004"/>
      <c r="Y14" s="150"/>
      <c r="Z14" s="645" t="s">
        <v>1641</v>
      </c>
      <c r="AA14" s="981" t="str">
        <f>CONCATENATE("@ R = ",T28,)</f>
        <v>@ R = 0.8875</v>
      </c>
      <c r="AB14" s="150" t="s">
        <v>1798</v>
      </c>
    </row>
    <row r="15" spans="1:28" ht="31.5" customHeight="1" x14ac:dyDescent="0.25">
      <c r="A15" s="6"/>
      <c r="B15" s="50"/>
      <c r="C15" s="50"/>
      <c r="D15" s="50"/>
      <c r="E15" s="3"/>
      <c r="F15" s="4"/>
      <c r="G15" s="10"/>
      <c r="I15" s="144"/>
      <c r="J15" s="657" t="s">
        <v>882</v>
      </c>
      <c r="K15" s="648"/>
      <c r="L15" s="648"/>
      <c r="M15" s="648"/>
      <c r="N15" s="648"/>
      <c r="O15" s="648"/>
      <c r="P15" s="648"/>
      <c r="Q15" s="649"/>
      <c r="R15" s="568"/>
      <c r="S15" s="916" t="str">
        <f t="shared" si="1"/>
        <v>f</v>
      </c>
      <c r="T15" s="1144" t="str">
        <f t="shared" si="1"/>
        <v xml:space="preserve">12 dia 200 mm c/c </v>
      </c>
      <c r="U15" s="1200"/>
      <c r="V15" s="1201"/>
      <c r="W15" s="976"/>
      <c r="X15" s="976"/>
      <c r="Y15" s="150"/>
      <c r="Z15" s="982" t="s">
        <v>1642</v>
      </c>
      <c r="AA15" s="983" t="str">
        <f>CONCATENATE("(",V26,") nos")</f>
        <v>(23) nos</v>
      </c>
      <c r="AB15" s="150" t="s">
        <v>1799</v>
      </c>
    </row>
    <row r="16" spans="1:28" ht="16.5" thickBot="1" x14ac:dyDescent="0.3">
      <c r="A16" s="5" t="s">
        <v>6</v>
      </c>
      <c r="B16" s="50" t="s">
        <v>45</v>
      </c>
      <c r="C16" s="50"/>
      <c r="D16" s="50"/>
      <c r="E16" s="3"/>
      <c r="F16" s="4" t="s">
        <v>32</v>
      </c>
      <c r="G16" s="3" t="s">
        <v>2</v>
      </c>
      <c r="I16" s="144"/>
      <c r="J16" s="645"/>
      <c r="Q16" s="646"/>
      <c r="R16" s="568"/>
      <c r="S16" s="924" t="str">
        <f t="shared" si="1"/>
        <v>g</v>
      </c>
      <c r="T16" s="1215" t="str">
        <f t="shared" si="1"/>
        <v>10 dia 250 mm c/c</v>
      </c>
      <c r="U16" s="1216"/>
      <c r="V16" s="1217"/>
      <c r="W16" s="1005"/>
      <c r="X16" s="1005"/>
      <c r="Y16" s="150"/>
      <c r="Z16" s="645" t="s">
        <v>1643</v>
      </c>
      <c r="AA16" s="981" t="str">
        <f>CONCATENATE(" R = ",T27,)</f>
        <v xml:space="preserve"> R = 1.775</v>
      </c>
      <c r="AB16" s="150" t="s">
        <v>1800</v>
      </c>
    </row>
    <row r="17" spans="1:28" ht="16.5" thickBot="1" x14ac:dyDescent="0.3">
      <c r="A17" s="6"/>
      <c r="B17" s="50"/>
      <c r="C17" s="50"/>
      <c r="D17" s="50"/>
      <c r="E17" s="3"/>
      <c r="F17" s="4"/>
      <c r="G17" s="10"/>
      <c r="I17" s="144"/>
      <c r="J17" s="912" t="s">
        <v>1330</v>
      </c>
      <c r="K17" s="10" t="str">
        <f>CONCATENATE(C362," dia",D362," mm c/c")</f>
        <v>12 dia200 mm c/c</v>
      </c>
      <c r="Q17" s="646"/>
      <c r="R17" s="150"/>
      <c r="S17" s="1194" t="s">
        <v>1362</v>
      </c>
      <c r="T17" s="1195"/>
      <c r="U17" s="1195"/>
      <c r="V17" s="1196"/>
      <c r="W17" s="1003"/>
      <c r="X17" s="1003"/>
      <c r="Z17" s="645" t="s">
        <v>1644</v>
      </c>
      <c r="AA17" s="981" t="str">
        <f>CONCATENATE(" R = ",T28,)</f>
        <v xml:space="preserve"> R = 0.8875</v>
      </c>
      <c r="AB17" s="150" t="s">
        <v>1801</v>
      </c>
    </row>
    <row r="18" spans="1:28" x14ac:dyDescent="0.25">
      <c r="A18" s="6"/>
      <c r="B18" s="50"/>
      <c r="C18" s="50"/>
      <c r="D18" s="50"/>
      <c r="E18" s="3"/>
      <c r="F18" s="4"/>
      <c r="G18" s="10"/>
      <c r="I18" s="144"/>
      <c r="J18" s="912" t="s">
        <v>619</v>
      </c>
      <c r="K18" s="10" t="str">
        <f>M42</f>
        <v xml:space="preserve">12 dia 200 mm c/c </v>
      </c>
      <c r="Q18" s="646"/>
      <c r="R18" s="568"/>
      <c r="S18" s="918" t="str">
        <f t="shared" ref="S18:T20" si="2">J27</f>
        <v>i</v>
      </c>
      <c r="T18" s="1218" t="str">
        <f t="shared" si="2"/>
        <v>16 dia 150 mm c/c</v>
      </c>
      <c r="U18" s="1219"/>
      <c r="V18" s="1220"/>
      <c r="W18" s="656"/>
      <c r="X18" s="656"/>
      <c r="Y18" s="150"/>
      <c r="Z18" s="645" t="s">
        <v>1335</v>
      </c>
      <c r="AA18" s="984">
        <f>T25</f>
        <v>1</v>
      </c>
      <c r="AB18" s="150" t="s">
        <v>1802</v>
      </c>
    </row>
    <row r="19" spans="1:28" ht="18" thickBot="1" x14ac:dyDescent="0.35">
      <c r="A19" s="5" t="s">
        <v>9</v>
      </c>
      <c r="B19" s="10" t="s">
        <v>46</v>
      </c>
      <c r="C19" s="50"/>
      <c r="D19" s="50"/>
      <c r="E19" s="3"/>
      <c r="F19" s="4" t="s">
        <v>47</v>
      </c>
      <c r="G19" s="3" t="s">
        <v>2</v>
      </c>
      <c r="I19" s="144"/>
      <c r="J19" s="913" t="s">
        <v>1331</v>
      </c>
      <c r="K19" s="647" t="str">
        <f>CONCATENATE(C509," dia ",D509," mm c/c")</f>
        <v>10 dia 250 mm c/c</v>
      </c>
      <c r="L19" s="647"/>
      <c r="M19" s="647"/>
      <c r="N19" s="647"/>
      <c r="O19" s="647"/>
      <c r="P19" s="647"/>
      <c r="Q19" s="650"/>
      <c r="R19" s="568"/>
      <c r="S19" s="912" t="str">
        <f t="shared" si="2"/>
        <v>j</v>
      </c>
      <c r="T19" s="1139" t="str">
        <f t="shared" si="2"/>
        <v>12 dia 200 mm c/c</v>
      </c>
      <c r="U19" s="1139"/>
      <c r="V19" s="1221"/>
      <c r="W19" s="615"/>
      <c r="X19" s="615"/>
      <c r="Y19" s="150"/>
      <c r="Z19" s="645" t="s">
        <v>1645</v>
      </c>
      <c r="AA19" s="646" t="str">
        <f>CONCATENATE(,T24, " (EXT.)")</f>
        <v>16 dia 5 nos (EXT.)</v>
      </c>
      <c r="AB19" s="150" t="s">
        <v>1803</v>
      </c>
    </row>
    <row r="20" spans="1:28" ht="16.5" thickBot="1" x14ac:dyDescent="0.3">
      <c r="A20" s="6"/>
      <c r="B20" s="50"/>
      <c r="C20" s="50"/>
      <c r="D20" s="50"/>
      <c r="E20" s="3"/>
      <c r="F20" s="4"/>
      <c r="G20" s="10"/>
      <c r="I20" s="144"/>
      <c r="J20" s="907"/>
      <c r="K20" s="908"/>
      <c r="L20" s="908"/>
      <c r="M20" s="908"/>
      <c r="N20" s="908"/>
      <c r="O20" s="908"/>
      <c r="P20" s="908"/>
      <c r="Q20" s="909"/>
      <c r="R20" s="568"/>
      <c r="S20" s="913" t="str">
        <f t="shared" si="2"/>
        <v>q</v>
      </c>
      <c r="T20" s="1222" t="str">
        <f t="shared" si="2"/>
        <v>12 dia 200 mm c/c</v>
      </c>
      <c r="U20" s="1222"/>
      <c r="V20" s="1223"/>
      <c r="W20" s="1005"/>
      <c r="X20" s="1005"/>
      <c r="Y20" s="150"/>
      <c r="Z20" s="658" t="s">
        <v>561</v>
      </c>
      <c r="AA20" s="650" t="str">
        <f>T22</f>
        <v>12 dia 250 mm c/c</v>
      </c>
      <c r="AB20" s="150" t="s">
        <v>1804</v>
      </c>
    </row>
    <row r="21" spans="1:28" ht="18" thickBot="1" x14ac:dyDescent="0.35">
      <c r="A21" s="5" t="s">
        <v>10</v>
      </c>
      <c r="B21" s="10" t="s">
        <v>50</v>
      </c>
      <c r="C21" s="50"/>
      <c r="D21" s="50"/>
      <c r="E21" s="3"/>
      <c r="F21" s="4" t="s">
        <v>49</v>
      </c>
      <c r="G21" s="3" t="s">
        <v>2</v>
      </c>
      <c r="I21" s="144"/>
      <c r="J21" s="657" t="s">
        <v>1332</v>
      </c>
      <c r="K21" s="648" t="s">
        <v>1359</v>
      </c>
      <c r="L21" s="648"/>
      <c r="M21" s="648"/>
      <c r="N21" s="648"/>
      <c r="O21" s="648"/>
      <c r="P21" s="648"/>
      <c r="Q21" s="649"/>
      <c r="R21" s="150"/>
      <c r="S21" s="1191" t="s">
        <v>1364</v>
      </c>
      <c r="T21" s="1192"/>
      <c r="U21" s="1192"/>
      <c r="V21" s="1193"/>
      <c r="W21" s="1003"/>
      <c r="X21" s="1194" t="s">
        <v>1646</v>
      </c>
      <c r="Y21" s="1196"/>
      <c r="Z21" s="985" t="s">
        <v>1333</v>
      </c>
      <c r="AA21" s="979" t="str">
        <f>T18</f>
        <v>16 dia 150 mm c/c</v>
      </c>
      <c r="AB21" s="150" t="s">
        <v>1805</v>
      </c>
    </row>
    <row r="22" spans="1:28" x14ac:dyDescent="0.25">
      <c r="A22" s="6"/>
      <c r="B22" s="50"/>
      <c r="C22" s="50"/>
      <c r="D22" s="50"/>
      <c r="E22" s="3"/>
      <c r="F22" s="4"/>
      <c r="G22" s="10"/>
      <c r="I22" s="144"/>
      <c r="J22" s="645"/>
      <c r="Q22" s="646"/>
      <c r="R22" s="568"/>
      <c r="S22" s="918" t="str">
        <f t="shared" ref="S22:T24" si="3">J31</f>
        <v>k</v>
      </c>
      <c r="T22" s="1197" t="str">
        <f t="shared" si="3"/>
        <v>12 dia 250 mm c/c</v>
      </c>
      <c r="U22" s="1198"/>
      <c r="V22" s="1199"/>
      <c r="W22" s="1004"/>
      <c r="X22" s="615"/>
      <c r="Y22" s="150"/>
      <c r="Z22" s="645" t="s">
        <v>1334</v>
      </c>
      <c r="AA22" s="981" t="str">
        <f>T19</f>
        <v>12 dia 200 mm c/c</v>
      </c>
      <c r="AB22" s="150" t="s">
        <v>1806</v>
      </c>
    </row>
    <row r="23" spans="1:28" ht="18" thickBot="1" x14ac:dyDescent="0.35">
      <c r="A23" s="5" t="s">
        <v>23</v>
      </c>
      <c r="B23" s="10" t="s">
        <v>51</v>
      </c>
      <c r="C23" s="50"/>
      <c r="D23" s="50"/>
      <c r="E23" s="3"/>
      <c r="F23" s="4" t="s">
        <v>48</v>
      </c>
      <c r="G23" s="3" t="s">
        <v>2</v>
      </c>
      <c r="I23" s="144"/>
      <c r="J23" s="912" t="s">
        <v>33</v>
      </c>
      <c r="K23" s="10" t="str">
        <f>CONCATENATE(C598," nos ",D598," dia ")</f>
        <v xml:space="preserve">8 nos 20 dia </v>
      </c>
      <c r="Q23" s="646"/>
      <c r="R23" s="568"/>
      <c r="S23" s="912" t="str">
        <f t="shared" si="3"/>
        <v>l</v>
      </c>
      <c r="T23" s="1212" t="str">
        <f t="shared" si="3"/>
        <v>10 dia 250 mm c/c</v>
      </c>
      <c r="U23" s="1213"/>
      <c r="V23" s="1214"/>
      <c r="W23" s="615"/>
      <c r="X23" s="615"/>
      <c r="Y23" s="150"/>
      <c r="Z23" s="658" t="s">
        <v>641</v>
      </c>
      <c r="AA23" s="986" t="str">
        <f>T20</f>
        <v>12 dia 200 mm c/c</v>
      </c>
      <c r="AB23" s="150" t="s">
        <v>1807</v>
      </c>
    </row>
    <row r="24" spans="1:28" ht="16.5" thickBot="1" x14ac:dyDescent="0.3">
      <c r="A24" s="6"/>
      <c r="B24" s="50"/>
      <c r="C24" s="50"/>
      <c r="D24" s="50"/>
      <c r="E24" s="3"/>
      <c r="F24" s="4"/>
      <c r="G24" s="10"/>
      <c r="I24" s="144"/>
      <c r="J24" s="658"/>
      <c r="K24" s="647"/>
      <c r="L24" s="647"/>
      <c r="M24" s="647"/>
      <c r="N24" s="647"/>
      <c r="O24" s="647"/>
      <c r="P24" s="647"/>
      <c r="Q24" s="650"/>
      <c r="R24" s="568"/>
      <c r="S24" s="912" t="str">
        <f t="shared" si="3"/>
        <v>m</v>
      </c>
      <c r="T24" s="1212" t="str">
        <f t="shared" si="3"/>
        <v>16 dia 5 nos</v>
      </c>
      <c r="U24" s="1213"/>
      <c r="V24" s="1214"/>
      <c r="W24" s="615"/>
      <c r="X24" s="1194" t="s">
        <v>1647</v>
      </c>
      <c r="Y24" s="1196"/>
      <c r="Z24" s="978" t="s">
        <v>1330</v>
      </c>
      <c r="AA24" s="979" t="str">
        <f>T14</f>
        <v>12 dia200 mm c/c</v>
      </c>
      <c r="AB24" s="150" t="s">
        <v>1808</v>
      </c>
    </row>
    <row r="25" spans="1:28" x14ac:dyDescent="0.25">
      <c r="A25" s="5" t="s">
        <v>24</v>
      </c>
      <c r="B25" s="50" t="s">
        <v>1317</v>
      </c>
      <c r="C25" s="50"/>
      <c r="D25" s="50"/>
      <c r="E25" s="3"/>
      <c r="F25" s="4" t="s">
        <v>34</v>
      </c>
      <c r="G25" s="3" t="s">
        <v>2</v>
      </c>
      <c r="I25" s="144"/>
      <c r="J25" s="657" t="s">
        <v>970</v>
      </c>
      <c r="K25" s="648"/>
      <c r="L25" s="648"/>
      <c r="M25" s="648"/>
      <c r="N25" s="648"/>
      <c r="O25" s="648"/>
      <c r="P25" s="648"/>
      <c r="Q25" s="649"/>
      <c r="R25" s="568"/>
      <c r="S25" s="926" t="str">
        <f>L31</f>
        <v>lb1</v>
      </c>
      <c r="T25" s="925">
        <f>M31</f>
        <v>1</v>
      </c>
      <c r="U25" s="152"/>
      <c r="V25" s="906"/>
      <c r="W25" s="1006"/>
      <c r="X25" s="615"/>
      <c r="Y25" s="150"/>
      <c r="Z25" s="982" t="s">
        <v>619</v>
      </c>
      <c r="AA25" s="981" t="str">
        <f>T15</f>
        <v xml:space="preserve">12 dia 200 mm c/c </v>
      </c>
      <c r="AB25" s="150" t="s">
        <v>1809</v>
      </c>
    </row>
    <row r="26" spans="1:28" ht="16.5" thickBot="1" x14ac:dyDescent="0.3">
      <c r="A26" s="6"/>
      <c r="B26" s="50"/>
      <c r="C26" s="50"/>
      <c r="D26" s="50"/>
      <c r="E26" s="3"/>
      <c r="F26" s="4"/>
      <c r="G26" s="10"/>
      <c r="I26" s="144"/>
      <c r="J26" s="645"/>
      <c r="Q26" s="646"/>
      <c r="R26" s="568"/>
      <c r="S26" s="912" t="str">
        <f t="shared" ref="S26:V28" si="4">N31</f>
        <v>rb1</v>
      </c>
      <c r="T26" s="3">
        <f t="shared" si="4"/>
        <v>3.55</v>
      </c>
      <c r="U26" s="3" t="str">
        <f t="shared" si="4"/>
        <v>nb1</v>
      </c>
      <c r="V26" s="921">
        <f t="shared" si="4"/>
        <v>23</v>
      </c>
      <c r="W26" s="615"/>
      <c r="X26" s="1005"/>
      <c r="Y26" s="150"/>
      <c r="Z26" s="987" t="s">
        <v>1331</v>
      </c>
      <c r="AA26" s="986" t="str">
        <f>T16</f>
        <v>10 dia 250 mm c/c</v>
      </c>
      <c r="AB26" s="150" t="s">
        <v>1810</v>
      </c>
    </row>
    <row r="27" spans="1:28" ht="16.5" thickBot="1" x14ac:dyDescent="0.3">
      <c r="A27" s="5" t="s">
        <v>25</v>
      </c>
      <c r="B27" s="50" t="s">
        <v>64</v>
      </c>
      <c r="C27" s="50"/>
      <c r="D27" s="50"/>
      <c r="E27" s="3"/>
      <c r="F27" s="4" t="s">
        <v>65</v>
      </c>
      <c r="G27" s="3" t="s">
        <v>68</v>
      </c>
      <c r="I27" s="144"/>
      <c r="J27" s="916" t="s">
        <v>1333</v>
      </c>
      <c r="K27" s="10" t="str">
        <f>CONCATENATE(D661," dia ",E661," mm c/c")</f>
        <v>16 dia 150 mm c/c</v>
      </c>
      <c r="Q27" s="646"/>
      <c r="R27" s="568"/>
      <c r="S27" s="912" t="str">
        <f t="shared" si="4"/>
        <v>rb2</v>
      </c>
      <c r="T27" s="3">
        <f t="shared" si="4"/>
        <v>1.7749999999999999</v>
      </c>
      <c r="U27" s="3" t="str">
        <f t="shared" si="4"/>
        <v>nb2</v>
      </c>
      <c r="V27" s="921">
        <f t="shared" si="4"/>
        <v>46</v>
      </c>
      <c r="W27" s="615"/>
      <c r="X27" s="1194" t="s">
        <v>1648</v>
      </c>
      <c r="Y27" s="1196"/>
      <c r="Z27" s="985" t="s">
        <v>1649</v>
      </c>
      <c r="AA27" s="979" t="str">
        <f>T7</f>
        <v>8 dia125 c/c</v>
      </c>
      <c r="AB27" s="150" t="s">
        <v>1811</v>
      </c>
    </row>
    <row r="28" spans="1:28" ht="16.5" thickBot="1" x14ac:dyDescent="0.3">
      <c r="A28" s="6"/>
      <c r="B28" s="50"/>
      <c r="C28" s="50"/>
      <c r="D28" s="50"/>
      <c r="E28" s="3"/>
      <c r="F28" s="4"/>
      <c r="G28" s="10"/>
      <c r="I28" s="144"/>
      <c r="J28" s="916" t="s">
        <v>1334</v>
      </c>
      <c r="K28" s="10" t="str">
        <f>CONCATENATE(C707," dia ",D707," mm c/c")</f>
        <v>12 dia 200 mm c/c</v>
      </c>
      <c r="Q28" s="646"/>
      <c r="R28" s="568"/>
      <c r="S28" s="913" t="str">
        <f t="shared" si="4"/>
        <v>rb3</v>
      </c>
      <c r="T28" s="922">
        <f t="shared" si="4"/>
        <v>0.88749999999999996</v>
      </c>
      <c r="U28" s="922" t="str">
        <f t="shared" si="4"/>
        <v>nb3</v>
      </c>
      <c r="V28" s="923">
        <f t="shared" si="4"/>
        <v>90</v>
      </c>
      <c r="W28" s="1005"/>
      <c r="X28" s="1007"/>
      <c r="Y28" s="150"/>
      <c r="Z28" s="645" t="s">
        <v>1650</v>
      </c>
      <c r="AA28" s="981" t="str">
        <f>CONCATENATE("@ R = ",T10,)</f>
        <v>@ R = 4.55</v>
      </c>
      <c r="AB28" s="150" t="s">
        <v>1812</v>
      </c>
    </row>
    <row r="29" spans="1:28" ht="16.5" thickBot="1" x14ac:dyDescent="0.3">
      <c r="A29" s="5" t="s">
        <v>26</v>
      </c>
      <c r="B29" s="50" t="s">
        <v>66</v>
      </c>
      <c r="C29" s="50"/>
      <c r="D29" s="50"/>
      <c r="E29" s="3"/>
      <c r="F29" s="4" t="s">
        <v>67</v>
      </c>
      <c r="G29" s="3" t="s">
        <v>68</v>
      </c>
      <c r="I29" s="144"/>
      <c r="J29" s="917" t="s">
        <v>641</v>
      </c>
      <c r="K29" s="647" t="str">
        <f xml:space="preserve"> CONCATENATE(D709," dia ",E709," mm c/c")</f>
        <v>12 dia 200 mm c/c</v>
      </c>
      <c r="L29" s="647"/>
      <c r="M29" s="647"/>
      <c r="N29" s="647"/>
      <c r="O29" s="647"/>
      <c r="P29" s="647"/>
      <c r="Q29" s="650"/>
      <c r="R29" s="150"/>
      <c r="S29" s="1191" t="s">
        <v>1365</v>
      </c>
      <c r="T29" s="1192"/>
      <c r="U29" s="1192"/>
      <c r="V29" s="1193"/>
      <c r="W29" s="1003"/>
      <c r="X29" s="1003"/>
      <c r="Z29" s="645" t="s">
        <v>1651</v>
      </c>
      <c r="AA29" s="981" t="str">
        <f>CONCATENATE("(",V12,") nos")</f>
        <v>(232) nos</v>
      </c>
      <c r="AB29" s="150" t="s">
        <v>1813</v>
      </c>
    </row>
    <row r="30" spans="1:28" x14ac:dyDescent="0.25">
      <c r="A30" s="6"/>
      <c r="B30" s="50"/>
      <c r="C30" s="50"/>
      <c r="D30" s="50"/>
      <c r="E30" s="3"/>
      <c r="F30" s="4"/>
      <c r="G30" s="10"/>
      <c r="I30" s="144"/>
      <c r="J30" s="910" t="s">
        <v>246</v>
      </c>
      <c r="K30" s="152"/>
      <c r="L30" s="152"/>
      <c r="M30" s="152"/>
      <c r="N30" s="152"/>
      <c r="O30" s="152"/>
      <c r="P30" s="152"/>
      <c r="Q30" s="906"/>
      <c r="R30" s="568"/>
      <c r="S30" s="1202" t="str">
        <f>J13</f>
        <v>d</v>
      </c>
      <c r="T30" s="1204" t="str">
        <f>K13</f>
        <v>12 dia 8 nos</v>
      </c>
      <c r="U30" s="1205"/>
      <c r="V30" s="1206"/>
      <c r="W30" s="1007"/>
      <c r="X30" s="1007"/>
      <c r="Z30" s="645" t="s">
        <v>1652</v>
      </c>
      <c r="AA30" s="981" t="str">
        <f>T8</f>
        <v>8 dia125 c/c</v>
      </c>
      <c r="AB30" s="150" t="s">
        <v>1814</v>
      </c>
    </row>
    <row r="31" spans="1:28" ht="16.5" thickBot="1" x14ac:dyDescent="0.3">
      <c r="A31" s="5" t="s">
        <v>30</v>
      </c>
      <c r="B31" s="50" t="s">
        <v>52</v>
      </c>
      <c r="C31" s="50"/>
      <c r="D31" s="50"/>
      <c r="E31" s="3"/>
      <c r="F31" s="4" t="s">
        <v>33</v>
      </c>
      <c r="G31" s="3" t="s">
        <v>2</v>
      </c>
      <c r="I31" s="144"/>
      <c r="J31" s="912" t="s">
        <v>561</v>
      </c>
      <c r="K31" s="10" t="str">
        <f>CONCATENATE(F816," dia ",F819," mm c/c")</f>
        <v>12 dia 250 mm c/c</v>
      </c>
      <c r="L31" s="10" t="s">
        <v>1335</v>
      </c>
      <c r="M31" s="655">
        <f>F802</f>
        <v>1</v>
      </c>
      <c r="N31" s="10" t="s">
        <v>1320</v>
      </c>
      <c r="O31" s="10">
        <f>F61/2</f>
        <v>3.55</v>
      </c>
      <c r="P31" s="10" t="s">
        <v>1336</v>
      </c>
      <c r="Q31" s="646">
        <f>ROUNDUP(3.14*O33*2/D785*1000,0)</f>
        <v>23</v>
      </c>
      <c r="R31" s="568"/>
      <c r="S31" s="1203"/>
      <c r="T31" s="1207"/>
      <c r="U31" s="1208"/>
      <c r="V31" s="1209"/>
      <c r="W31" s="1007"/>
      <c r="X31" s="1007"/>
      <c r="Z31" s="645" t="s">
        <v>1653</v>
      </c>
      <c r="AA31" s="981" t="str">
        <f>CONCATENATE("(",V11,"+",V10,"+",V10,") nos")</f>
        <v>(116+58+58) nos</v>
      </c>
      <c r="AB31" s="150" t="s">
        <v>1815</v>
      </c>
    </row>
    <row r="32" spans="1:28" ht="16.5" thickBot="1" x14ac:dyDescent="0.3">
      <c r="A32" s="6"/>
      <c r="B32" s="50"/>
      <c r="C32" s="50"/>
      <c r="D32" s="50"/>
      <c r="E32" s="3"/>
      <c r="F32" s="4"/>
      <c r="G32" s="10"/>
      <c r="I32" s="144"/>
      <c r="J32" s="912" t="s">
        <v>922</v>
      </c>
      <c r="K32" s="10" t="str">
        <f>CONCATENATE(B785," dia ",D785," mm c/c")</f>
        <v>10 dia 250 mm c/c</v>
      </c>
      <c r="N32" s="10" t="s">
        <v>1321</v>
      </c>
      <c r="O32" s="10">
        <f>O31/2</f>
        <v>1.7749999999999999</v>
      </c>
      <c r="P32" s="10" t="s">
        <v>1338</v>
      </c>
      <c r="Q32" s="646">
        <f>Q31*2</f>
        <v>46</v>
      </c>
      <c r="R32" s="150"/>
      <c r="S32" s="1191" t="s">
        <v>1366</v>
      </c>
      <c r="T32" s="1192"/>
      <c r="U32" s="1192"/>
      <c r="V32" s="1193"/>
      <c r="W32" s="1003"/>
      <c r="Z32" s="645" t="s">
        <v>1654</v>
      </c>
      <c r="AA32" s="981" t="str">
        <f>CONCATENATE("@ R = ",T11,)</f>
        <v>@ R = 2.275</v>
      </c>
      <c r="AB32" s="150" t="s">
        <v>1816</v>
      </c>
    </row>
    <row r="33" spans="1:28" x14ac:dyDescent="0.25">
      <c r="A33" s="5" t="s">
        <v>27</v>
      </c>
      <c r="B33" s="50" t="s">
        <v>1316</v>
      </c>
      <c r="C33" s="50"/>
      <c r="D33" s="50"/>
      <c r="E33" s="3"/>
      <c r="F33" s="4" t="s">
        <v>22</v>
      </c>
      <c r="G33" s="3" t="s">
        <v>2</v>
      </c>
      <c r="I33" s="144"/>
      <c r="J33" s="912" t="s">
        <v>74</v>
      </c>
      <c r="K33" s="10" t="str">
        <f>CONCATENATE(F810," dia ",F813," nos")</f>
        <v>16 dia 5 nos</v>
      </c>
      <c r="N33" s="10" t="s">
        <v>1322</v>
      </c>
      <c r="O33" s="10">
        <f>O32/2</f>
        <v>0.88749999999999996</v>
      </c>
      <c r="P33" s="10" t="s">
        <v>1337</v>
      </c>
      <c r="Q33" s="646">
        <f>ROUNDUP(3.14*O31*2/F819*1000,0)</f>
        <v>90</v>
      </c>
      <c r="R33" s="150"/>
      <c r="S33" s="1202" t="str">
        <f>J23</f>
        <v>h</v>
      </c>
      <c r="T33" s="1204" t="str">
        <f>K23</f>
        <v xml:space="preserve">8 nos 20 dia </v>
      </c>
      <c r="U33" s="1205"/>
      <c r="V33" s="1206"/>
      <c r="W33" s="1007"/>
      <c r="Z33" s="645" t="s">
        <v>1655</v>
      </c>
      <c r="AA33" s="981" t="str">
        <f>CONCATENATE("(",V10,"+",V10,") nos")</f>
        <v>(58+58) nos</v>
      </c>
      <c r="AB33" s="150" t="s">
        <v>1817</v>
      </c>
    </row>
    <row r="34" spans="1:28" ht="16.5" thickBot="1" x14ac:dyDescent="0.3">
      <c r="A34" s="6"/>
      <c r="B34" s="50"/>
      <c r="C34" s="50"/>
      <c r="D34" s="50"/>
      <c r="E34" s="3"/>
      <c r="F34" s="4"/>
      <c r="G34" s="10"/>
      <c r="I34" s="144"/>
      <c r="J34" s="658"/>
      <c r="K34" s="647"/>
      <c r="L34" s="647"/>
      <c r="M34" s="647"/>
      <c r="N34" s="647"/>
      <c r="O34" s="647"/>
      <c r="P34" s="647"/>
      <c r="Q34" s="650"/>
      <c r="R34" s="150"/>
      <c r="S34" s="1203"/>
      <c r="T34" s="1207"/>
      <c r="U34" s="1208"/>
      <c r="V34" s="1209"/>
      <c r="W34" s="1007"/>
      <c r="Z34" s="645" t="s">
        <v>1656</v>
      </c>
      <c r="AA34" s="981" t="str">
        <f>CONCATENATE("@ R = ",T12,)</f>
        <v>@ R = 1.1375</v>
      </c>
      <c r="AB34" s="150" t="s">
        <v>1818</v>
      </c>
    </row>
    <row r="35" spans="1:28" ht="16.5" thickBot="1" x14ac:dyDescent="0.3">
      <c r="A35" s="5" t="s">
        <v>28</v>
      </c>
      <c r="B35" s="50" t="s">
        <v>1315</v>
      </c>
      <c r="C35" s="50"/>
      <c r="D35" s="50"/>
      <c r="E35" s="3"/>
      <c r="F35" s="4" t="s">
        <v>53</v>
      </c>
      <c r="G35" s="3" t="s">
        <v>2</v>
      </c>
      <c r="I35" s="144"/>
      <c r="J35" s="656"/>
      <c r="K35" s="656"/>
      <c r="L35" s="656"/>
      <c r="M35" s="656"/>
      <c r="N35" s="523"/>
      <c r="O35" s="523"/>
      <c r="P35" s="523"/>
      <c r="Q35" s="523"/>
      <c r="R35" s="150"/>
      <c r="Z35" s="645" t="s">
        <v>1657</v>
      </c>
      <c r="AA35" s="983" t="str">
        <f>CONCATENATE("(",V10,") nos")</f>
        <v>(58) nos</v>
      </c>
      <c r="AB35" s="150" t="s">
        <v>1819</v>
      </c>
    </row>
    <row r="36" spans="1:28" x14ac:dyDescent="0.25">
      <c r="A36" s="6"/>
      <c r="B36" s="50"/>
      <c r="C36" s="50"/>
      <c r="D36" s="50"/>
      <c r="E36" s="3"/>
      <c r="F36" s="4"/>
      <c r="G36" s="10"/>
      <c r="I36" s="144"/>
      <c r="J36" s="657" t="s">
        <v>1339</v>
      </c>
      <c r="K36" s="648"/>
      <c r="L36" s="648"/>
      <c r="M36" s="648"/>
      <c r="N36" s="648"/>
      <c r="O36" s="648"/>
      <c r="P36" s="648"/>
      <c r="Q36" s="649"/>
      <c r="R36" s="150"/>
      <c r="Z36" s="645" t="s">
        <v>1658</v>
      </c>
      <c r="AA36" s="981" t="str">
        <f>CONCATENATE(" R = ",T11,)</f>
        <v xml:space="preserve"> R = 2.275</v>
      </c>
      <c r="AB36" s="150" t="s">
        <v>1820</v>
      </c>
    </row>
    <row r="37" spans="1:28" ht="17.25" x14ac:dyDescent="0.3">
      <c r="A37" s="5" t="s">
        <v>29</v>
      </c>
      <c r="B37" s="50" t="s">
        <v>55</v>
      </c>
      <c r="C37" s="50"/>
      <c r="D37" s="50"/>
      <c r="E37" s="3"/>
      <c r="F37" s="4" t="s">
        <v>54</v>
      </c>
      <c r="G37" s="3" t="s">
        <v>2</v>
      </c>
      <c r="I37" s="144"/>
      <c r="J37" s="645"/>
      <c r="Q37" s="646"/>
      <c r="R37" s="150"/>
      <c r="Z37" s="645" t="s">
        <v>1659</v>
      </c>
      <c r="AA37" s="981" t="str">
        <f>CONCATENATE(" R = ",T12,)</f>
        <v xml:space="preserve"> R = 1.1375</v>
      </c>
      <c r="AB37" s="150" t="s">
        <v>1821</v>
      </c>
    </row>
    <row r="38" spans="1:28" x14ac:dyDescent="0.25">
      <c r="A38" s="6"/>
      <c r="B38" s="50"/>
      <c r="C38" s="50"/>
      <c r="D38" s="50"/>
      <c r="E38" s="3"/>
      <c r="F38" s="4"/>
      <c r="G38" s="10"/>
      <c r="I38" s="144"/>
      <c r="J38" s="912" t="s">
        <v>1340</v>
      </c>
      <c r="K38" s="10" t="str">
        <f>CONCATENATE(D919," nos ",E919," dia ")</f>
        <v xml:space="preserve">3 nos 16 dia </v>
      </c>
      <c r="M38" s="4"/>
      <c r="Q38" s="646"/>
      <c r="R38" s="150"/>
      <c r="Z38" s="645" t="s">
        <v>107</v>
      </c>
      <c r="AA38" s="981" t="str">
        <f>T30</f>
        <v>12 dia 8 nos</v>
      </c>
      <c r="AB38" s="150" t="s">
        <v>1822</v>
      </c>
    </row>
    <row r="39" spans="1:28" x14ac:dyDescent="0.25">
      <c r="A39" s="5" t="s">
        <v>69</v>
      </c>
      <c r="B39" s="50" t="s">
        <v>56</v>
      </c>
      <c r="C39" s="50"/>
      <c r="D39" s="50"/>
      <c r="E39" s="3"/>
      <c r="F39" s="4" t="s">
        <v>57</v>
      </c>
      <c r="G39" s="3" t="s">
        <v>59</v>
      </c>
      <c r="I39" s="144"/>
      <c r="J39" s="912" t="s">
        <v>1341</v>
      </c>
      <c r="K39" s="10" t="str">
        <f>CONCATENATE(D947," nos ",E947," dia ")</f>
        <v xml:space="preserve">3 nos 20 dia </v>
      </c>
      <c r="Q39" s="646"/>
      <c r="R39" s="150"/>
      <c r="Z39" s="645" t="s">
        <v>623</v>
      </c>
      <c r="AA39" s="981" t="str">
        <f>T9</f>
        <v>5 nos12 dia</v>
      </c>
      <c r="AB39" s="150" t="s">
        <v>1823</v>
      </c>
    </row>
    <row r="40" spans="1:28" ht="16.5" thickBot="1" x14ac:dyDescent="0.3">
      <c r="A40" s="6"/>
      <c r="B40" s="50"/>
      <c r="C40" s="50"/>
      <c r="D40" s="50"/>
      <c r="E40" s="3"/>
      <c r="F40" s="4"/>
      <c r="I40" s="144"/>
      <c r="J40" s="913" t="s">
        <v>129</v>
      </c>
      <c r="K40" s="647" t="str">
        <f>CONCATENATE(E975," legged ",C975," dia ")</f>
        <v xml:space="preserve">4 legged 10 dia </v>
      </c>
      <c r="L40" s="647"/>
      <c r="M40" s="647"/>
      <c r="N40" s="647"/>
      <c r="O40" s="647"/>
      <c r="P40" s="647"/>
      <c r="Q40" s="650"/>
      <c r="R40" s="150"/>
      <c r="Z40" s="645" t="s">
        <v>1660</v>
      </c>
      <c r="AA40" s="981" t="str">
        <f>V7</f>
        <v>0.9m</v>
      </c>
      <c r="AB40" s="150" t="s">
        <v>1824</v>
      </c>
    </row>
    <row r="41" spans="1:28" ht="16.5" thickBot="1" x14ac:dyDescent="0.3">
      <c r="A41" s="5" t="s">
        <v>70</v>
      </c>
      <c r="B41" s="50" t="s">
        <v>60</v>
      </c>
      <c r="C41" s="50"/>
      <c r="D41" s="50"/>
      <c r="E41" s="3"/>
      <c r="F41" s="4" t="s">
        <v>58</v>
      </c>
      <c r="G41" s="3" t="s">
        <v>59</v>
      </c>
      <c r="I41" s="144"/>
      <c r="J41" s="152"/>
      <c r="K41" s="152"/>
      <c r="L41" s="152"/>
      <c r="M41" s="152"/>
      <c r="N41" s="152"/>
      <c r="O41" s="152"/>
      <c r="P41" s="152"/>
      <c r="Q41" s="152"/>
      <c r="R41" s="150"/>
      <c r="Z41" s="658" t="s">
        <v>1661</v>
      </c>
      <c r="AA41" s="650" t="str">
        <f>CONCATENATE(,V8,"   @",V9," c/c")</f>
        <v xml:space="preserve">   @ c/c</v>
      </c>
      <c r="AB41" s="150" t="s">
        <v>1825</v>
      </c>
    </row>
    <row r="42" spans="1:28" ht="16.5" thickBot="1" x14ac:dyDescent="0.3">
      <c r="A42" s="6"/>
      <c r="B42" s="50"/>
      <c r="C42" s="50"/>
      <c r="D42" s="50"/>
      <c r="E42" s="3"/>
      <c r="F42" s="4"/>
      <c r="G42" s="10"/>
      <c r="I42" s="144"/>
      <c r="J42" s="152" t="str">
        <f>IF(C437=0,"",CONCATENATE(C437," dia ",D437," mm c/c"))</f>
        <v>12 dia 200 mm c/c</v>
      </c>
      <c r="K42" s="152">
        <f>IF(J42="",0,1)</f>
        <v>1</v>
      </c>
      <c r="L42" s="152" t="str">
        <f>CONCATENATE(J42," ",J43)</f>
        <v xml:space="preserve">12 dia 200 mm c/c </v>
      </c>
      <c r="M42" s="152" t="str">
        <f>IF(K42+K43&gt;1,CONCATENATE(J42," + ",J43),L42)</f>
        <v xml:space="preserve">12 dia 200 mm c/c </v>
      </c>
      <c r="N42" s="523"/>
      <c r="O42" s="523"/>
      <c r="P42" s="523"/>
      <c r="Q42" s="523"/>
      <c r="R42" s="150"/>
      <c r="X42" s="1194" t="s">
        <v>1662</v>
      </c>
      <c r="Y42" s="1196"/>
      <c r="Z42" s="145" t="s">
        <v>1663</v>
      </c>
      <c r="AA42" s="149" t="str">
        <f>CONCATENATE(,G1013,"-",F1013,"   (ALT.)")</f>
        <v>3-20   (ALT.)</v>
      </c>
      <c r="AB42" s="150" t="s">
        <v>1826</v>
      </c>
    </row>
    <row r="43" spans="1:28" ht="18" thickBot="1" x14ac:dyDescent="0.35">
      <c r="A43" s="5" t="s">
        <v>82</v>
      </c>
      <c r="B43" s="50" t="s">
        <v>83</v>
      </c>
      <c r="C43" s="50"/>
      <c r="D43" s="50"/>
      <c r="E43" s="3"/>
      <c r="F43" s="4" t="s">
        <v>85</v>
      </c>
      <c r="G43" s="10"/>
      <c r="I43" s="144"/>
      <c r="J43" s="10" t="str">
        <f>IF(C438=0,"",CONCATENATE(C438," dia ",D438," mm c/c"))</f>
        <v/>
      </c>
      <c r="K43" s="10">
        <f>IF(J43="",0,1)</f>
        <v>0</v>
      </c>
      <c r="X43" s="1194" t="s">
        <v>1664</v>
      </c>
      <c r="Y43" s="1196"/>
      <c r="Z43" s="985" t="s">
        <v>1665</v>
      </c>
      <c r="AA43" s="649" t="str">
        <f>CONCATENATE(,D919,"-",E919,)</f>
        <v>3-16</v>
      </c>
      <c r="AB43" s="150" t="s">
        <v>1827</v>
      </c>
    </row>
    <row r="44" spans="1:28" ht="16.5" thickBot="1" x14ac:dyDescent="0.3">
      <c r="A44" s="6"/>
      <c r="B44" s="50"/>
      <c r="C44" s="50"/>
      <c r="D44" s="50"/>
      <c r="E44" s="3"/>
      <c r="F44" s="97">
        <v>2.4</v>
      </c>
      <c r="G44" s="3" t="s">
        <v>84</v>
      </c>
      <c r="I44" s="144"/>
      <c r="J44" s="152"/>
      <c r="K44" s="152"/>
      <c r="L44" s="152"/>
      <c r="M44" s="152"/>
      <c r="Z44" s="658" t="s">
        <v>1666</v>
      </c>
      <c r="AA44" s="650" t="str">
        <f>CONCATENATE(,D947,"-",E947,)</f>
        <v>3-20</v>
      </c>
      <c r="AB44" s="150" t="s">
        <v>1828</v>
      </c>
    </row>
    <row r="45" spans="1:28" ht="16.5" thickBot="1" x14ac:dyDescent="0.3">
      <c r="A45" s="5" t="s">
        <v>109</v>
      </c>
      <c r="B45" s="50" t="s">
        <v>1314</v>
      </c>
      <c r="C45" s="50"/>
      <c r="D45" s="50"/>
      <c r="E45" s="3"/>
      <c r="F45" s="4" t="s">
        <v>1268</v>
      </c>
      <c r="G45" s="10"/>
      <c r="I45" s="144"/>
      <c r="J45" s="141"/>
      <c r="K45" s="141"/>
      <c r="L45" s="141"/>
      <c r="M45" s="141"/>
      <c r="N45" s="141"/>
      <c r="O45" s="141"/>
      <c r="P45" s="141"/>
      <c r="Q45" s="141"/>
      <c r="R45" s="150"/>
      <c r="X45" s="1194" t="s">
        <v>1667</v>
      </c>
      <c r="Y45" s="1196"/>
      <c r="Z45" s="985" t="s">
        <v>1668</v>
      </c>
      <c r="AA45" s="649" t="str">
        <f>CONCATENATE(,O14,"-",O11,)</f>
        <v>-</v>
      </c>
      <c r="AB45" s="150" t="s">
        <v>1829</v>
      </c>
    </row>
    <row r="46" spans="1:28" x14ac:dyDescent="0.25">
      <c r="A46" s="6"/>
      <c r="B46" s="50"/>
      <c r="C46" s="50"/>
      <c r="D46" s="50"/>
      <c r="E46" s="3"/>
      <c r="F46" s="97">
        <f>intro!$J$85-1</f>
        <v>8.33</v>
      </c>
      <c r="G46" s="287"/>
      <c r="H46" s="287"/>
      <c r="Z46" s="645" t="s">
        <v>1669</v>
      </c>
      <c r="AA46" s="646" t="str">
        <f>CONCATENATE(,O7,"   @",Q7," c/c")</f>
        <v>4.55   @58 c/c</v>
      </c>
      <c r="AB46" s="150" t="s">
        <v>1830</v>
      </c>
    </row>
    <row r="47" spans="1:28" ht="18.75" x14ac:dyDescent="0.25">
      <c r="A47" s="5" t="s">
        <v>109</v>
      </c>
      <c r="B47" s="50" t="s">
        <v>115</v>
      </c>
      <c r="C47" s="50"/>
      <c r="D47" s="50"/>
      <c r="E47" s="3"/>
      <c r="F47" s="97">
        <v>500</v>
      </c>
      <c r="G47" s="10" t="s">
        <v>116</v>
      </c>
      <c r="Z47" s="645" t="s">
        <v>1670</v>
      </c>
      <c r="AA47" s="646" t="str">
        <f>CONCATENATE("@ R = ",O12," (",O13," nos)")</f>
        <v>@ R =  ( nos)</v>
      </c>
      <c r="AB47" s="150" t="s">
        <v>1831</v>
      </c>
    </row>
    <row r="48" spans="1:28" x14ac:dyDescent="0.25">
      <c r="A48" s="6"/>
      <c r="B48" s="50"/>
      <c r="C48" s="50"/>
      <c r="D48" s="50"/>
      <c r="E48" s="3"/>
      <c r="F48" s="4"/>
      <c r="G48" s="10"/>
      <c r="I48" s="144"/>
      <c r="R48" s="150"/>
      <c r="Z48" s="645" t="s">
        <v>1671</v>
      </c>
      <c r="AA48" s="646" t="str">
        <f>CONCATENATE(,O8,"   @",Q8," c/c (EXT.)")</f>
        <v>2.275   @116 c/c (EXT.)</v>
      </c>
      <c r="AB48" s="150" t="s">
        <v>1832</v>
      </c>
    </row>
    <row r="49" spans="1:28" x14ac:dyDescent="0.25">
      <c r="A49" s="5" t="s">
        <v>204</v>
      </c>
      <c r="B49" s="50" t="s">
        <v>494</v>
      </c>
      <c r="C49" s="50"/>
      <c r="D49" s="50"/>
      <c r="E49" s="3"/>
      <c r="F49" s="619">
        <v>45</v>
      </c>
      <c r="G49" s="287" t="s">
        <v>202</v>
      </c>
      <c r="H49" s="287"/>
      <c r="I49" s="144"/>
      <c r="R49" s="150"/>
      <c r="Z49" s="645" t="s">
        <v>1672</v>
      </c>
      <c r="AA49" s="906" t="str">
        <f>CONCATENATE("@ R = ",O12,)</f>
        <v xml:space="preserve">@ R = </v>
      </c>
      <c r="AB49" s="150" t="s">
        <v>1833</v>
      </c>
    </row>
    <row r="50" spans="1:28" x14ac:dyDescent="0.25">
      <c r="A50" s="6"/>
      <c r="B50" s="10"/>
      <c r="C50" s="10"/>
      <c r="D50" s="10"/>
      <c r="E50" s="10"/>
      <c r="F50" s="10"/>
      <c r="G50" s="10"/>
      <c r="I50" s="144"/>
      <c r="R50" s="150"/>
      <c r="Z50" s="988" t="s">
        <v>1673</v>
      </c>
      <c r="AA50" s="646" t="str">
        <f>CONCATENATE(,O9,"   @",Q9," c/c")</f>
        <v>1.1375   @232 c/c</v>
      </c>
      <c r="AB50" s="150" t="s">
        <v>1834</v>
      </c>
    </row>
    <row r="51" spans="1:28" x14ac:dyDescent="0.25">
      <c r="A51" s="111"/>
      <c r="B51" s="10"/>
      <c r="C51" s="10"/>
      <c r="D51" s="10"/>
      <c r="E51" s="10"/>
      <c r="F51" s="10"/>
      <c r="G51" s="10"/>
      <c r="I51" s="144"/>
      <c r="R51" s="150"/>
      <c r="Z51" s="645" t="s">
        <v>1674</v>
      </c>
      <c r="AA51" s="646" t="str">
        <f>CONCATENATE(,O10,"   @",Q10," c/c")</f>
        <v xml:space="preserve">   @ c/c</v>
      </c>
      <c r="AB51" s="150" t="s">
        <v>1835</v>
      </c>
    </row>
    <row r="52" spans="1:28" ht="16.5" thickBot="1" x14ac:dyDescent="0.3">
      <c r="A52" s="6"/>
      <c r="B52" s="10"/>
      <c r="C52" s="10"/>
      <c r="D52" s="10"/>
      <c r="E52" s="10"/>
      <c r="F52" s="10"/>
      <c r="G52" s="10"/>
      <c r="I52" s="144"/>
      <c r="R52" s="150"/>
      <c r="Z52" s="658" t="s">
        <v>1675</v>
      </c>
      <c r="AA52" s="650" t="str">
        <f>CONCATENATE("+",O8,"   @",Q8," c/c ")</f>
        <v xml:space="preserve">+2.275   @116 c/c </v>
      </c>
      <c r="AB52" s="150" t="s">
        <v>1836</v>
      </c>
    </row>
    <row r="53" spans="1:28" ht="16.5" thickBot="1" x14ac:dyDescent="0.3">
      <c r="A53" s="5"/>
      <c r="B53" s="87" t="s">
        <v>39</v>
      </c>
      <c r="C53" s="10"/>
      <c r="D53" s="10"/>
      <c r="E53" s="10"/>
      <c r="F53" s="10"/>
      <c r="G53" s="10"/>
      <c r="I53" s="144"/>
      <c r="R53" s="150"/>
      <c r="X53" s="1194" t="s">
        <v>1676</v>
      </c>
      <c r="Y53" s="1196"/>
      <c r="Z53" s="999" t="s">
        <v>1677</v>
      </c>
      <c r="AA53" s="649" t="str">
        <f>CONCATENATE(,S55," Nos. ",U55,)</f>
        <v xml:space="preserve"> Nos. </v>
      </c>
      <c r="AB53" s="150" t="s">
        <v>1837</v>
      </c>
    </row>
    <row r="54" spans="1:28" x14ac:dyDescent="0.25">
      <c r="A54" s="6"/>
      <c r="B54" s="10"/>
      <c r="C54" s="10"/>
      <c r="D54" s="10"/>
      <c r="E54" s="10"/>
      <c r="F54" s="182"/>
      <c r="G54" s="10"/>
      <c r="I54" s="144"/>
      <c r="R54" s="150"/>
      <c r="X54" s="523"/>
      <c r="Y54" s="1001"/>
      <c r="Z54" s="150" t="s">
        <v>1678</v>
      </c>
      <c r="AA54" s="646" t="str">
        <f>CONCATENATE(,D98*1000,"Ø")</f>
        <v>500Ø</v>
      </c>
      <c r="AB54" s="150" t="s">
        <v>1838</v>
      </c>
    </row>
    <row r="55" spans="1:28" x14ac:dyDescent="0.25">
      <c r="A55" s="5" t="s">
        <v>0</v>
      </c>
      <c r="B55" s="10" t="s">
        <v>1936</v>
      </c>
      <c r="C55" s="10"/>
      <c r="D55" s="10"/>
      <c r="E55" s="10"/>
      <c r="F55" s="640">
        <v>110</v>
      </c>
      <c r="G55" s="10" t="s">
        <v>589</v>
      </c>
      <c r="I55" s="144"/>
      <c r="R55" s="150"/>
      <c r="X55" s="523"/>
      <c r="Y55" s="1001"/>
      <c r="Z55" s="150" t="s">
        <v>1679</v>
      </c>
      <c r="AA55" s="646" t="str">
        <f>CONCATENATE(,S56," NOS. ",U56,)</f>
        <v xml:space="preserve"> NOS. </v>
      </c>
      <c r="AB55" s="150" t="s">
        <v>1839</v>
      </c>
    </row>
    <row r="56" spans="1:28" x14ac:dyDescent="0.25">
      <c r="A56" s="5"/>
      <c r="B56" s="10"/>
      <c r="C56" s="10"/>
      <c r="D56" s="10"/>
      <c r="E56" s="10"/>
      <c r="F56" s="10"/>
      <c r="G56" s="10"/>
      <c r="I56" s="144"/>
      <c r="R56" s="150"/>
      <c r="X56" s="523"/>
      <c r="Y56" s="1001"/>
      <c r="Z56" s="150" t="s">
        <v>1680</v>
      </c>
      <c r="AA56" s="646" t="str">
        <f>CONCATENATE(,S57," NOS. ",U57,)</f>
        <v xml:space="preserve"> NOS. </v>
      </c>
      <c r="AB56" s="150" t="s">
        <v>1840</v>
      </c>
    </row>
    <row r="57" spans="1:28" x14ac:dyDescent="0.25">
      <c r="A57" s="5" t="s">
        <v>3</v>
      </c>
      <c r="B57" s="10" t="s">
        <v>1735</v>
      </c>
      <c r="C57" s="10"/>
      <c r="D57" s="10"/>
      <c r="E57" s="10"/>
      <c r="F57" s="640">
        <v>10</v>
      </c>
      <c r="G57" s="10" t="s">
        <v>110</v>
      </c>
      <c r="I57" s="144"/>
      <c r="R57" s="150"/>
      <c r="X57" s="523"/>
      <c r="Y57" s="1001"/>
      <c r="Z57" s="150" t="s">
        <v>1681</v>
      </c>
      <c r="AA57" s="989" t="str">
        <f>CONCATENATE(,S51,"-",U51,"  (ALT.)")</f>
        <v>-  (ALT.)</v>
      </c>
      <c r="AB57" s="150" t="s">
        <v>1841</v>
      </c>
    </row>
    <row r="58" spans="1:28" x14ac:dyDescent="0.25">
      <c r="A58" s="5"/>
      <c r="B58" s="10"/>
      <c r="C58" s="10"/>
      <c r="D58" s="10"/>
      <c r="E58" s="10"/>
      <c r="F58" s="88"/>
      <c r="G58" s="10"/>
      <c r="I58" s="144"/>
      <c r="R58" s="150"/>
      <c r="X58" s="523"/>
      <c r="Y58" s="1001"/>
      <c r="Z58" s="150" t="s">
        <v>1682</v>
      </c>
      <c r="AA58" s="989" t="str">
        <f>CONCATENATE(,S51,"-",U51,"")</f>
        <v>-</v>
      </c>
      <c r="AB58" s="150" t="s">
        <v>1842</v>
      </c>
    </row>
    <row r="59" spans="1:28" x14ac:dyDescent="0.25">
      <c r="A59" s="5" t="s">
        <v>4</v>
      </c>
      <c r="B59" s="50" t="s">
        <v>183</v>
      </c>
      <c r="C59" s="10"/>
      <c r="D59" s="10"/>
      <c r="E59" s="10"/>
      <c r="F59" s="641">
        <v>250</v>
      </c>
      <c r="G59" s="10" t="s">
        <v>5</v>
      </c>
      <c r="I59" s="144"/>
      <c r="R59" s="150"/>
      <c r="Y59" s="1001"/>
      <c r="Z59" s="150" t="s">
        <v>1683</v>
      </c>
      <c r="AA59" s="646" t="str">
        <f>CONCATENATE(,S53,"-",U53,"  (EXT.)")</f>
        <v>-  (EXT.)</v>
      </c>
      <c r="AB59" s="150" t="s">
        <v>1843</v>
      </c>
    </row>
    <row r="60" spans="1:28" x14ac:dyDescent="0.25">
      <c r="A60" s="5"/>
      <c r="B60" s="10"/>
      <c r="C60" s="10"/>
      <c r="D60" s="10"/>
      <c r="E60" s="10"/>
      <c r="F60" s="88"/>
      <c r="G60" s="10"/>
      <c r="I60" s="144"/>
      <c r="R60" s="150"/>
      <c r="Y60" s="1001"/>
      <c r="Z60" s="150" t="s">
        <v>1684</v>
      </c>
      <c r="AA60" s="989" t="str">
        <f>CONCATENATE(,U67,"-",V67,"")</f>
        <v>-</v>
      </c>
      <c r="AB60" s="150" t="s">
        <v>1844</v>
      </c>
    </row>
    <row r="61" spans="1:28" x14ac:dyDescent="0.25">
      <c r="A61" s="5" t="s">
        <v>6</v>
      </c>
      <c r="B61" s="10" t="s">
        <v>184</v>
      </c>
      <c r="C61" s="10"/>
      <c r="D61" s="10"/>
      <c r="E61" s="10"/>
      <c r="F61" s="642">
        <v>7.1</v>
      </c>
      <c r="G61" s="10" t="s">
        <v>110</v>
      </c>
      <c r="I61" s="144"/>
      <c r="R61" s="150"/>
      <c r="Y61" s="1001"/>
      <c r="Z61" s="150" t="s">
        <v>1685</v>
      </c>
      <c r="AA61" s="989" t="str">
        <f>CONCATENATE(,U67,"-",V67,"  (ALT.)")</f>
        <v>-  (ALT.)</v>
      </c>
      <c r="AB61" s="150" t="s">
        <v>1845</v>
      </c>
    </row>
    <row r="62" spans="1:28" ht="16.5" thickBot="1" x14ac:dyDescent="0.3">
      <c r="A62" s="5"/>
      <c r="B62" s="10"/>
      <c r="C62" s="10"/>
      <c r="D62" s="10"/>
      <c r="E62" s="10"/>
      <c r="F62" s="10"/>
      <c r="G62" s="10"/>
      <c r="I62" s="144"/>
      <c r="R62" s="150"/>
      <c r="V62" s="144"/>
      <c r="W62" s="523"/>
      <c r="X62" s="523"/>
      <c r="Y62" s="1001"/>
      <c r="Z62" s="1000" t="s">
        <v>1686</v>
      </c>
      <c r="AA62" s="650" t="str">
        <f>CONCATENATE(,S54,"-",U54,"  (EXT.)")</f>
        <v>-  (EXT.)</v>
      </c>
      <c r="AB62" s="150" t="s">
        <v>1846</v>
      </c>
    </row>
    <row r="63" spans="1:28" ht="16.5" thickBot="1" x14ac:dyDescent="0.3">
      <c r="A63" s="5" t="s">
        <v>7</v>
      </c>
      <c r="B63" s="10" t="s">
        <v>582</v>
      </c>
      <c r="C63" s="10"/>
      <c r="D63" s="10"/>
      <c r="E63" s="10"/>
      <c r="F63" s="642">
        <v>8</v>
      </c>
      <c r="G63" s="10" t="s">
        <v>332</v>
      </c>
      <c r="I63" s="144"/>
      <c r="R63" s="150"/>
      <c r="V63" s="144"/>
      <c r="W63" s="523"/>
      <c r="X63" s="1194" t="s">
        <v>1687</v>
      </c>
      <c r="Y63" s="1196"/>
      <c r="Z63" s="145" t="s">
        <v>33</v>
      </c>
      <c r="AA63" s="149" t="str">
        <f>CONCATENATE(C598," nos ",D598," dia ")</f>
        <v xml:space="preserve">8 nos 20 dia </v>
      </c>
      <c r="AB63" s="150" t="s">
        <v>1847</v>
      </c>
    </row>
    <row r="64" spans="1:28" ht="16.5" thickBot="1" x14ac:dyDescent="0.3">
      <c r="A64" s="5"/>
      <c r="B64" s="10"/>
      <c r="C64" s="10"/>
      <c r="D64" s="10"/>
      <c r="E64" s="10"/>
      <c r="F64" s="10"/>
      <c r="G64" s="10"/>
      <c r="I64" s="144"/>
      <c r="R64" s="150"/>
      <c r="V64" s="144"/>
      <c r="W64" s="523"/>
      <c r="X64" s="1194" t="s">
        <v>1688</v>
      </c>
      <c r="Y64" s="1196"/>
      <c r="Z64" s="985" t="s">
        <v>1689</v>
      </c>
      <c r="AA64" s="649" t="str">
        <f>CONCATENATE(,'fdn annular '!E277, "  (4L) @ ",'fdn annular '!F277, " c/c")</f>
        <v>10  (4L) @ 250 c/c</v>
      </c>
      <c r="AB64" s="150" t="s">
        <v>1848</v>
      </c>
    </row>
    <row r="65" spans="1:28" ht="16.5" thickBot="1" x14ac:dyDescent="0.3">
      <c r="A65" s="5" t="s">
        <v>9</v>
      </c>
      <c r="B65" s="10" t="s">
        <v>674</v>
      </c>
      <c r="C65" s="10"/>
      <c r="D65" s="10"/>
      <c r="E65" s="10"/>
      <c r="F65" s="642">
        <v>9.1</v>
      </c>
      <c r="G65" s="10" t="s">
        <v>110</v>
      </c>
      <c r="I65" s="144"/>
      <c r="R65" s="150"/>
      <c r="V65" s="144"/>
      <c r="W65" s="523"/>
      <c r="Z65" s="985" t="str">
        <f t="shared" ref="Z65:Z73" si="5">AB65</f>
        <v>"temp59"</v>
      </c>
      <c r="AA65" s="649" t="str">
        <f>CONCATENATE("BB1(",D98*1000,"X",D97,")")</f>
        <v>BB1(500X900)</v>
      </c>
      <c r="AB65" s="150" t="s">
        <v>1849</v>
      </c>
    </row>
    <row r="66" spans="1:28" ht="16.5" thickBot="1" x14ac:dyDescent="0.3">
      <c r="A66" s="5"/>
      <c r="B66" s="10" t="s">
        <v>675</v>
      </c>
      <c r="C66" s="10"/>
      <c r="D66" s="10"/>
      <c r="E66" s="10"/>
      <c r="F66" s="640">
        <v>20</v>
      </c>
      <c r="G66" s="10" t="s">
        <v>202</v>
      </c>
      <c r="I66" s="144"/>
      <c r="R66" s="150"/>
      <c r="V66" s="144"/>
      <c r="W66" s="523"/>
      <c r="X66" s="1008" t="s">
        <v>1723</v>
      </c>
      <c r="Y66" s="1009"/>
      <c r="Z66" s="645" t="str">
        <f t="shared" si="5"/>
        <v>"temp60"</v>
      </c>
      <c r="AA66" s="646" t="str">
        <f>CONCATENATE("PB1(",F165,"X",F166,")")</f>
        <v>PB1(300X450)</v>
      </c>
      <c r="AB66" s="150" t="s">
        <v>1850</v>
      </c>
    </row>
    <row r="67" spans="1:28" x14ac:dyDescent="0.25">
      <c r="A67" s="5"/>
      <c r="B67" s="10" t="s">
        <v>676</v>
      </c>
      <c r="C67" s="10"/>
      <c r="D67" s="10"/>
      <c r="E67" s="10"/>
      <c r="F67" s="94">
        <f>F65-F66/1000*2</f>
        <v>9.06</v>
      </c>
      <c r="G67" s="10"/>
      <c r="I67" s="144"/>
      <c r="R67" s="150"/>
      <c r="V67" s="144"/>
      <c r="W67" s="523"/>
      <c r="Z67" s="645" t="str">
        <f t="shared" si="5"/>
        <v>"temp61"</v>
      </c>
      <c r="AA67" s="646" t="str">
        <f>CONCATENATE("TB1(",F165,"X",F166,")")</f>
        <v>TB1(300X450)</v>
      </c>
      <c r="AB67" s="150" t="s">
        <v>1851</v>
      </c>
    </row>
    <row r="68" spans="1:28" x14ac:dyDescent="0.25">
      <c r="A68" s="5"/>
      <c r="B68" s="10"/>
      <c r="C68" s="10"/>
      <c r="D68" s="10"/>
      <c r="E68" s="10"/>
      <c r="F68" s="88"/>
      <c r="G68" s="10"/>
      <c r="I68" s="144"/>
      <c r="R68" s="150"/>
      <c r="V68" s="144" t="s">
        <v>236</v>
      </c>
      <c r="W68" s="523"/>
      <c r="Z68" s="645" t="str">
        <f t="shared" si="5"/>
        <v>"temp62"</v>
      </c>
      <c r="AA68" s="646" t="str">
        <f>CONCATENATE("FB1(",F998*1000,"X",G998*1000,")")</f>
        <v>FB1(400X600)</v>
      </c>
      <c r="AB68" s="150" t="s">
        <v>1852</v>
      </c>
    </row>
    <row r="69" spans="1:28" x14ac:dyDescent="0.25">
      <c r="A69" s="5" t="s">
        <v>10</v>
      </c>
      <c r="B69" s="10" t="s">
        <v>583</v>
      </c>
      <c r="C69" s="10"/>
      <c r="D69" s="10"/>
      <c r="E69" s="10"/>
      <c r="F69" s="10">
        <v>3</v>
      </c>
      <c r="G69" s="10" t="s">
        <v>584</v>
      </c>
      <c r="I69" s="144"/>
      <c r="R69" s="150"/>
      <c r="V69" s="144"/>
      <c r="W69" s="523"/>
      <c r="Z69" s="980" t="str">
        <f t="shared" si="5"/>
        <v>"temp63"</v>
      </c>
      <c r="AA69" s="981">
        <f>D97</f>
        <v>900</v>
      </c>
      <c r="AB69" s="150" t="s">
        <v>1853</v>
      </c>
    </row>
    <row r="70" spans="1:28" x14ac:dyDescent="0.25">
      <c r="A70" s="5"/>
      <c r="B70" s="10"/>
      <c r="C70" s="10"/>
      <c r="D70" s="10"/>
      <c r="E70" s="10"/>
      <c r="F70" s="10"/>
      <c r="G70" s="10"/>
      <c r="I70" s="144"/>
      <c r="R70" s="150"/>
      <c r="W70" s="152"/>
      <c r="Z70" s="645" t="str">
        <f t="shared" si="5"/>
        <v>"temp64"</v>
      </c>
      <c r="AA70" s="981">
        <f>F165</f>
        <v>300</v>
      </c>
      <c r="AB70" s="150" t="s">
        <v>1854</v>
      </c>
    </row>
    <row r="71" spans="1:28" x14ac:dyDescent="0.25">
      <c r="A71" s="5" t="s">
        <v>10</v>
      </c>
      <c r="B71" s="10" t="s">
        <v>11</v>
      </c>
      <c r="C71" s="10"/>
      <c r="D71" s="10"/>
      <c r="E71" s="10"/>
      <c r="F71" s="10"/>
      <c r="G71" s="10"/>
      <c r="I71" s="144"/>
      <c r="R71" s="150"/>
      <c r="Z71" s="645" t="str">
        <f t="shared" si="5"/>
        <v>"temp65"</v>
      </c>
      <c r="AA71" s="981">
        <f>F166</f>
        <v>450</v>
      </c>
      <c r="AB71" s="150" t="s">
        <v>1855</v>
      </c>
    </row>
    <row r="72" spans="1:28" x14ac:dyDescent="0.25">
      <c r="A72" s="6"/>
      <c r="B72" s="10" t="s">
        <v>12</v>
      </c>
      <c r="C72" s="10"/>
      <c r="D72" s="10"/>
      <c r="E72" s="10"/>
      <c r="F72" s="10"/>
      <c r="G72" s="10"/>
      <c r="I72" s="144"/>
      <c r="R72" s="150"/>
      <c r="Z72" s="645" t="str">
        <f t="shared" si="5"/>
        <v>"temp66"</v>
      </c>
      <c r="AA72" s="981">
        <f>F998*1000</f>
        <v>400</v>
      </c>
      <c r="AB72" s="150" t="s">
        <v>1856</v>
      </c>
    </row>
    <row r="73" spans="1:28" x14ac:dyDescent="0.25">
      <c r="A73" s="6"/>
      <c r="B73" s="47" t="s">
        <v>13</v>
      </c>
      <c r="C73" s="10" t="s">
        <v>14</v>
      </c>
      <c r="D73" s="10"/>
      <c r="E73" s="10"/>
      <c r="F73" s="10"/>
      <c r="G73" s="10"/>
      <c r="I73" s="144"/>
      <c r="R73" s="150"/>
      <c r="Z73" s="645" t="str">
        <f t="shared" si="5"/>
        <v>"temp67"</v>
      </c>
      <c r="AA73" s="981">
        <f>G998*1000</f>
        <v>600</v>
      </c>
      <c r="AB73" s="150" t="s">
        <v>1857</v>
      </c>
    </row>
    <row r="74" spans="1:28" ht="16.5" thickBot="1" x14ac:dyDescent="0.3">
      <c r="A74" s="6"/>
      <c r="B74" s="47" t="s">
        <v>13</v>
      </c>
      <c r="C74" s="10" t="s">
        <v>15</v>
      </c>
      <c r="D74" s="10"/>
      <c r="E74" s="10"/>
      <c r="F74" s="10"/>
      <c r="G74" s="10"/>
      <c r="I74" s="144"/>
      <c r="R74" s="150"/>
      <c r="Z74" s="658" t="s">
        <v>1724</v>
      </c>
      <c r="AA74" s="986" t="str">
        <f>CONCATENATE("EL + ", H94,)</f>
        <v>EL + 110</v>
      </c>
      <c r="AB74" s="150" t="s">
        <v>1858</v>
      </c>
    </row>
    <row r="75" spans="1:28" ht="16.5" thickBot="1" x14ac:dyDescent="0.3">
      <c r="A75" s="6"/>
      <c r="B75" s="47" t="s">
        <v>13</v>
      </c>
      <c r="C75" s="10" t="s">
        <v>16</v>
      </c>
      <c r="D75" s="10"/>
      <c r="E75" s="10"/>
      <c r="F75" s="10"/>
      <c r="G75" s="10"/>
      <c r="I75" s="144"/>
      <c r="R75" s="150"/>
      <c r="Z75" s="1194" t="s">
        <v>1725</v>
      </c>
      <c r="AA75" s="1196"/>
      <c r="AB75" s="150"/>
    </row>
    <row r="76" spans="1:28" x14ac:dyDescent="0.25">
      <c r="A76" s="6"/>
      <c r="B76" s="47" t="s">
        <v>13</v>
      </c>
      <c r="C76" s="10" t="s">
        <v>17</v>
      </c>
      <c r="D76" s="10"/>
      <c r="E76" s="10"/>
      <c r="F76" s="10"/>
      <c r="G76" s="10"/>
      <c r="I76" s="144"/>
      <c r="R76" s="150"/>
      <c r="Z76" s="985">
        <f>F1036</f>
        <v>0</v>
      </c>
      <c r="AA76" s="649">
        <f>E1036</f>
        <v>0</v>
      </c>
      <c r="AB76" s="150"/>
    </row>
    <row r="77" spans="1:28" x14ac:dyDescent="0.25">
      <c r="A77" s="6"/>
      <c r="B77" s="47" t="s">
        <v>13</v>
      </c>
      <c r="C77" s="10" t="s">
        <v>18</v>
      </c>
      <c r="D77" s="10"/>
      <c r="E77" s="10"/>
      <c r="F77" s="10" t="s">
        <v>237</v>
      </c>
      <c r="G77" s="287">
        <v>0.35</v>
      </c>
      <c r="H77" s="10" t="s">
        <v>74</v>
      </c>
      <c r="I77" s="144"/>
      <c r="J77" s="57"/>
      <c r="K77" s="934" t="s">
        <v>1377</v>
      </c>
      <c r="L77" s="57"/>
      <c r="M77" s="57"/>
      <c r="N77" s="57"/>
      <c r="O77" s="57"/>
      <c r="P77" s="57" t="s">
        <v>1378</v>
      </c>
      <c r="Q77" s="57"/>
      <c r="R77" s="57"/>
      <c r="S77" s="57"/>
      <c r="T77" s="57"/>
      <c r="Z77" s="1010">
        <f>F1037</f>
        <v>0</v>
      </c>
      <c r="AA77" s="906">
        <f>E1037</f>
        <v>0</v>
      </c>
      <c r="AB77" s="150"/>
    </row>
    <row r="78" spans="1:28" x14ac:dyDescent="0.25">
      <c r="A78" s="6"/>
      <c r="B78" s="10"/>
      <c r="C78" s="10"/>
      <c r="D78" s="10">
        <f>$G$82</f>
        <v>116.517</v>
      </c>
      <c r="E78" s="47" t="s">
        <v>236</v>
      </c>
      <c r="F78" s="89" t="s">
        <v>236</v>
      </c>
      <c r="G78" s="10"/>
      <c r="I78" s="144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Z78" s="1010">
        <f>F1038</f>
        <v>0</v>
      </c>
      <c r="AA78" s="906">
        <f>E1038</f>
        <v>0</v>
      </c>
      <c r="AB78" s="150"/>
    </row>
    <row r="79" spans="1:28" x14ac:dyDescent="0.25">
      <c r="A79" s="6"/>
      <c r="B79" s="10"/>
      <c r="C79" s="41">
        <v>0.15</v>
      </c>
      <c r="D79" s="41">
        <v>0.125</v>
      </c>
      <c r="E79" s="10"/>
      <c r="F79" s="10">
        <f>$G$83</f>
        <v>115</v>
      </c>
      <c r="G79" s="10"/>
      <c r="J79" s="57"/>
      <c r="K79" s="57" t="s">
        <v>1379</v>
      </c>
      <c r="L79" s="57"/>
      <c r="M79" s="57"/>
      <c r="N79" s="935"/>
      <c r="O79" s="936"/>
      <c r="P79" s="57" t="s">
        <v>1380</v>
      </c>
      <c r="Q79" s="57"/>
      <c r="R79" s="57"/>
      <c r="S79" s="57"/>
      <c r="T79" s="57"/>
      <c r="Z79" s="1010">
        <f>F1039</f>
        <v>0</v>
      </c>
      <c r="AA79" s="906">
        <f>E1039</f>
        <v>0</v>
      </c>
      <c r="AB79" s="150"/>
    </row>
    <row r="80" spans="1:28" ht="16.5" thickBot="1" x14ac:dyDescent="0.3">
      <c r="A80" s="6"/>
      <c r="B80" s="47" t="s">
        <v>58</v>
      </c>
      <c r="C80" s="89">
        <f>$F$119</f>
        <v>0.61563436480757505</v>
      </c>
      <c r="D80" s="10"/>
      <c r="E80" s="41">
        <f>G77</f>
        <v>0.35</v>
      </c>
      <c r="F80" s="3">
        <f>ROUND((F86/6),3)</f>
        <v>1.5169999999999999</v>
      </c>
      <c r="G80" s="10" t="s">
        <v>53</v>
      </c>
      <c r="J80" s="57"/>
      <c r="K80" s="57" t="s">
        <v>74</v>
      </c>
      <c r="L80" s="937" t="s">
        <v>442</v>
      </c>
      <c r="M80" s="937">
        <f>-(F86/2)^2/M81</f>
        <v>13.647000659195781</v>
      </c>
      <c r="N80" s="57"/>
      <c r="O80" s="57"/>
      <c r="P80" s="937" t="s">
        <v>74</v>
      </c>
      <c r="Q80" s="937" t="s">
        <v>442</v>
      </c>
      <c r="R80" s="938">
        <f>-((E96*2/2)^2)/R81</f>
        <v>-9.9467245461720601</v>
      </c>
      <c r="S80" s="937"/>
      <c r="T80" s="57"/>
      <c r="Z80" s="1011">
        <f>F1040</f>
        <v>0</v>
      </c>
      <c r="AA80" s="1012">
        <f>E1040</f>
        <v>0</v>
      </c>
      <c r="AB80" s="150"/>
    </row>
    <row r="81" spans="1:29" ht="21.75" thickBot="1" x14ac:dyDescent="0.4">
      <c r="A81" s="6"/>
      <c r="B81" s="47" t="s">
        <v>107</v>
      </c>
      <c r="C81" s="90">
        <v>300</v>
      </c>
      <c r="D81" s="10"/>
      <c r="E81" s="3" t="s">
        <v>80</v>
      </c>
      <c r="F81" s="10"/>
      <c r="G81" s="10"/>
      <c r="J81" s="57"/>
      <c r="K81" s="57" t="s">
        <v>1381</v>
      </c>
      <c r="L81" s="937" t="s">
        <v>442</v>
      </c>
      <c r="M81" s="937">
        <f>F80</f>
        <v>1.5169999999999999</v>
      </c>
      <c r="N81" s="936"/>
      <c r="O81" s="57"/>
      <c r="P81" s="937" t="s">
        <v>1381</v>
      </c>
      <c r="Q81" s="937" t="s">
        <v>442</v>
      </c>
      <c r="R81" s="938">
        <f>E94</f>
        <v>1.2669999999999999</v>
      </c>
      <c r="S81" s="937"/>
      <c r="T81" s="57"/>
      <c r="Z81" s="990" t="s">
        <v>1690</v>
      </c>
      <c r="AA81" s="991"/>
    </row>
    <row r="82" spans="1:29" x14ac:dyDescent="0.25">
      <c r="A82" s="6"/>
      <c r="B82" s="47" t="s">
        <v>108</v>
      </c>
      <c r="C82" s="90">
        <v>300</v>
      </c>
      <c r="D82" s="10"/>
      <c r="E82" s="10"/>
      <c r="F82" s="10"/>
      <c r="G82" s="3">
        <f>G83+F80</f>
        <v>116.517</v>
      </c>
      <c r="H82" s="10" t="s">
        <v>233</v>
      </c>
      <c r="J82" s="57"/>
      <c r="K82" s="937"/>
      <c r="L82" s="937"/>
      <c r="M82" s="937"/>
      <c r="N82" s="937"/>
      <c r="O82" s="57"/>
      <c r="P82" s="937"/>
      <c r="Q82" s="937"/>
      <c r="R82" s="937"/>
      <c r="S82" s="937"/>
      <c r="T82" s="57"/>
      <c r="W82" s="141"/>
      <c r="Z82" s="985"/>
      <c r="AA82" s="649"/>
    </row>
    <row r="83" spans="1:29" x14ac:dyDescent="0.25">
      <c r="A83" s="6"/>
      <c r="B83" s="10"/>
      <c r="C83" s="10"/>
      <c r="D83" s="10"/>
      <c r="E83" s="10"/>
      <c r="F83" s="10"/>
      <c r="G83" s="3">
        <f>G84+E80</f>
        <v>115</v>
      </c>
      <c r="J83" s="57"/>
      <c r="K83" s="937"/>
      <c r="L83" s="937"/>
      <c r="M83" s="937"/>
      <c r="N83" s="937"/>
      <c r="O83" s="937"/>
      <c r="P83" s="937" t="s">
        <v>1382</v>
      </c>
      <c r="Q83" s="937"/>
      <c r="R83" s="937" t="s">
        <v>1383</v>
      </c>
      <c r="S83" s="937"/>
      <c r="T83" s="57"/>
      <c r="V83" s="144"/>
      <c r="W83" s="523"/>
      <c r="Z83" s="992" t="s">
        <v>1691</v>
      </c>
      <c r="AA83" s="646" t="str">
        <f>VLOOKUP(D295,K284:L293,2)</f>
        <v>"trbpa8"</v>
      </c>
      <c r="AB83" s="150" t="s">
        <v>1904</v>
      </c>
      <c r="AC83" s="150" t="s">
        <v>1692</v>
      </c>
    </row>
    <row r="84" spans="1:29" x14ac:dyDescent="0.25">
      <c r="A84" s="6"/>
      <c r="B84" s="3"/>
      <c r="C84" s="10"/>
      <c r="D84" s="10"/>
      <c r="E84" s="10"/>
      <c r="F84" s="10"/>
      <c r="G84" s="3">
        <f>H94+F88</f>
        <v>114.65</v>
      </c>
      <c r="H84" s="10" t="s">
        <v>232</v>
      </c>
      <c r="J84" s="57"/>
      <c r="K84" s="937" t="s">
        <v>1382</v>
      </c>
      <c r="L84" s="937"/>
      <c r="M84" s="937" t="s">
        <v>1383</v>
      </c>
      <c r="N84" s="937"/>
      <c r="O84" s="937"/>
      <c r="P84" s="937"/>
      <c r="Q84" s="937"/>
      <c r="R84" s="937"/>
      <c r="S84" s="937"/>
      <c r="T84" s="57"/>
      <c r="V84" s="144"/>
      <c r="W84" s="523"/>
      <c r="Z84" s="993"/>
      <c r="AA84" s="646" t="str">
        <f>VLOOKUP(D295,K284:M293,3)</f>
        <v>"trbpb8"</v>
      </c>
      <c r="AB84" s="10" t="s">
        <v>1905</v>
      </c>
      <c r="AC84" s="150" t="s">
        <v>1693</v>
      </c>
    </row>
    <row r="85" spans="1:29" x14ac:dyDescent="0.25">
      <c r="A85" s="6"/>
      <c r="B85" s="47" t="s">
        <v>603</v>
      </c>
      <c r="C85" s="10"/>
      <c r="D85" s="1137">
        <f>F88-B93+E80</f>
        <v>4</v>
      </c>
      <c r="E85" s="1084"/>
      <c r="F85" s="1085"/>
      <c r="G85" s="10"/>
      <c r="H85" s="3"/>
      <c r="J85" s="57"/>
      <c r="K85" s="937">
        <v>0</v>
      </c>
      <c r="L85" s="937">
        <f t="shared" ref="L85:L98" si="6">K85^2/$M$80</f>
        <v>0</v>
      </c>
      <c r="M85" s="938">
        <f>$M$81-L85</f>
        <v>1.5169999999999999</v>
      </c>
      <c r="N85" s="937"/>
      <c r="O85" s="937"/>
      <c r="P85" s="937">
        <v>0</v>
      </c>
      <c r="Q85" s="937">
        <f>P85^2/$R$80</f>
        <v>0</v>
      </c>
      <c r="R85" s="938">
        <f t="shared" ref="R85:R94" si="7">Q85+$R$81</f>
        <v>1.2669999999999999</v>
      </c>
      <c r="S85" s="937"/>
      <c r="T85" s="57"/>
      <c r="V85" s="144"/>
      <c r="W85" s="523"/>
      <c r="Z85" s="992" t="s">
        <v>1694</v>
      </c>
      <c r="AA85" s="646" t="str">
        <f>VLOOKUP(C598,K586:M594,2)</f>
        <v>"brbpa12"</v>
      </c>
      <c r="AB85" s="10" t="s">
        <v>1906</v>
      </c>
      <c r="AC85" s="150" t="s">
        <v>1695</v>
      </c>
    </row>
    <row r="86" spans="1:29" ht="17.25" x14ac:dyDescent="0.3">
      <c r="A86" s="6"/>
      <c r="B86" s="92">
        <v>0.2</v>
      </c>
      <c r="C86" s="10"/>
      <c r="D86" s="10"/>
      <c r="E86" s="4" t="s">
        <v>44</v>
      </c>
      <c r="F86" s="93">
        <f>F65</f>
        <v>9.1</v>
      </c>
      <c r="G86" s="10" t="s">
        <v>74</v>
      </c>
      <c r="H86" s="3"/>
      <c r="J86" s="57"/>
      <c r="K86" s="937">
        <v>0.5</v>
      </c>
      <c r="L86" s="937">
        <f t="shared" si="6"/>
        <v>1.8319043593768868E-2</v>
      </c>
      <c r="M86" s="938">
        <f>$M$81-L86</f>
        <v>1.4986809564062311</v>
      </c>
      <c r="N86" s="937"/>
      <c r="O86" s="937"/>
      <c r="P86" s="937">
        <v>0.5</v>
      </c>
      <c r="Q86" s="937">
        <f t="shared" ref="Q86:Q94" si="8">P86^2/$R$80</f>
        <v>-2.513390200357072E-2</v>
      </c>
      <c r="R86" s="938">
        <f t="shared" si="7"/>
        <v>1.2418660979964291</v>
      </c>
      <c r="S86" s="937"/>
      <c r="T86" s="57"/>
      <c r="V86" s="144"/>
      <c r="W86" s="523"/>
      <c r="Z86" s="993"/>
      <c r="AA86" s="646" t="str">
        <f>VLOOKUP(C598,K586:M594,3)</f>
        <v>"brbpb12"</v>
      </c>
      <c r="AB86" s="10" t="s">
        <v>1907</v>
      </c>
      <c r="AC86" s="150" t="s">
        <v>1696</v>
      </c>
    </row>
    <row r="87" spans="1:29" x14ac:dyDescent="0.25">
      <c r="A87" s="6"/>
      <c r="B87" s="10"/>
      <c r="C87" s="10"/>
      <c r="D87" s="10"/>
      <c r="E87" s="10"/>
      <c r="F87" s="10"/>
      <c r="G87" s="10"/>
      <c r="H87" s="3"/>
      <c r="J87" s="57"/>
      <c r="K87" s="937">
        <v>1</v>
      </c>
      <c r="L87" s="937">
        <f t="shared" si="6"/>
        <v>7.327617437507547E-2</v>
      </c>
      <c r="M87" s="938">
        <f>$M$81-L87</f>
        <v>1.4437238256249245</v>
      </c>
      <c r="N87" s="937"/>
      <c r="O87" s="937"/>
      <c r="P87" s="937">
        <v>1</v>
      </c>
      <c r="Q87" s="937">
        <f t="shared" si="8"/>
        <v>-0.10053560801428288</v>
      </c>
      <c r="R87" s="938">
        <f t="shared" si="7"/>
        <v>1.1664643919857169</v>
      </c>
      <c r="S87" s="937"/>
      <c r="T87" s="57"/>
      <c r="V87" s="144"/>
      <c r="W87" s="523"/>
      <c r="Z87" s="992" t="s">
        <v>1697</v>
      </c>
      <c r="AA87" s="646" t="str">
        <f>VLOOKUP(D919,$K$945:$M$952,2)</f>
        <v>"bgbpa3"</v>
      </c>
      <c r="AB87" s="10" t="s">
        <v>1908</v>
      </c>
      <c r="AC87" s="150" t="s">
        <v>1698</v>
      </c>
    </row>
    <row r="88" spans="1:29" x14ac:dyDescent="0.25">
      <c r="A88" s="6"/>
      <c r="B88" s="10"/>
      <c r="C88" s="10"/>
      <c r="D88" s="10"/>
      <c r="E88" s="10"/>
      <c r="F88" s="621">
        <v>4.6500000000000004</v>
      </c>
      <c r="G88" s="50" t="s">
        <v>22</v>
      </c>
      <c r="H88" s="3"/>
      <c r="J88" s="57"/>
      <c r="K88" s="937">
        <v>1.5</v>
      </c>
      <c r="L88" s="937">
        <f t="shared" si="6"/>
        <v>0.16487139234391981</v>
      </c>
      <c r="M88" s="938">
        <f>$M$81-L88</f>
        <v>1.3521286076560801</v>
      </c>
      <c r="N88" s="937"/>
      <c r="O88" s="937"/>
      <c r="P88" s="937">
        <v>1.5</v>
      </c>
      <c r="Q88" s="937">
        <f t="shared" si="8"/>
        <v>-0.22620511803213647</v>
      </c>
      <c r="R88" s="938">
        <f t="shared" si="7"/>
        <v>1.0407948819678634</v>
      </c>
      <c r="S88" s="937"/>
      <c r="T88" s="57"/>
      <c r="V88" s="144"/>
      <c r="W88" s="523"/>
      <c r="Z88" s="993"/>
      <c r="AA88" s="646" t="str">
        <f>VLOOKUP(D919,$K$945:$M$952,3)</f>
        <v>"bgbpb3"</v>
      </c>
      <c r="AB88" s="10" t="s">
        <v>1909</v>
      </c>
      <c r="AC88" s="150" t="s">
        <v>1699</v>
      </c>
    </row>
    <row r="89" spans="1:29" x14ac:dyDescent="0.25">
      <c r="A89" s="6"/>
      <c r="B89" s="3"/>
      <c r="C89" s="10"/>
      <c r="D89" s="10"/>
      <c r="E89" s="182"/>
      <c r="F89" s="10"/>
      <c r="G89" s="10"/>
      <c r="H89" s="3"/>
      <c r="J89" s="57"/>
      <c r="K89" s="937">
        <v>2</v>
      </c>
      <c r="L89" s="937">
        <f t="shared" si="6"/>
        <v>0.29310469750030188</v>
      </c>
      <c r="M89" s="938">
        <f>$M$81-L89</f>
        <v>1.2238953024996979</v>
      </c>
      <c r="N89" s="937"/>
      <c r="O89" s="937"/>
      <c r="P89" s="937">
        <v>2</v>
      </c>
      <c r="Q89" s="937">
        <f t="shared" si="8"/>
        <v>-0.40214243205713152</v>
      </c>
      <c r="R89" s="938">
        <f t="shared" si="7"/>
        <v>0.86485756794286839</v>
      </c>
      <c r="S89" s="937"/>
      <c r="T89" s="57"/>
      <c r="V89" s="144"/>
      <c r="W89" s="523"/>
      <c r="Z89" s="992" t="s">
        <v>1700</v>
      </c>
      <c r="AA89" s="646" t="e">
        <f>VLOOKUP(C1045,$K$1039:$M$1045,2)</f>
        <v>#N/A</v>
      </c>
      <c r="AC89" s="150" t="s">
        <v>1701</v>
      </c>
    </row>
    <row r="90" spans="1:29" x14ac:dyDescent="0.25">
      <c r="A90" s="6"/>
      <c r="B90" s="13">
        <f>H94+B93</f>
        <v>111</v>
      </c>
      <c r="C90" s="47" t="s">
        <v>107</v>
      </c>
      <c r="D90" s="90">
        <v>400</v>
      </c>
      <c r="E90" s="10"/>
      <c r="F90" s="10"/>
      <c r="G90" s="10"/>
      <c r="H90" s="3"/>
      <c r="J90" s="57"/>
      <c r="K90" s="937">
        <v>2.5</v>
      </c>
      <c r="L90" s="937">
        <f t="shared" si="6"/>
        <v>0.45797608984422172</v>
      </c>
      <c r="M90" s="938">
        <f t="shared" ref="M90:M95" si="9">$M$81-L90</f>
        <v>1.0590239101557781</v>
      </c>
      <c r="N90" s="937"/>
      <c r="O90" s="937"/>
      <c r="P90" s="937">
        <v>2.5</v>
      </c>
      <c r="Q90" s="937">
        <f t="shared" si="8"/>
        <v>-0.62834755008926801</v>
      </c>
      <c r="R90" s="938">
        <f t="shared" si="7"/>
        <v>0.63865244991073189</v>
      </c>
      <c r="S90" s="937"/>
      <c r="T90" s="57"/>
      <c r="V90" s="144"/>
      <c r="W90" s="523"/>
      <c r="Z90" s="993"/>
      <c r="AA90" s="646" t="e">
        <f>VLOOKUP(C1045,$K$1039:$M$1045,3)</f>
        <v>#N/A</v>
      </c>
      <c r="AC90" s="150" t="s">
        <v>1702</v>
      </c>
    </row>
    <row r="91" spans="1:29" x14ac:dyDescent="0.25">
      <c r="A91" s="6"/>
      <c r="B91" s="6"/>
      <c r="C91" s="47" t="s">
        <v>108</v>
      </c>
      <c r="D91" s="90">
        <v>500</v>
      </c>
      <c r="E91" s="10"/>
      <c r="F91" s="10"/>
      <c r="G91" s="10"/>
      <c r="H91" s="3"/>
      <c r="J91" s="57"/>
      <c r="K91" s="937">
        <v>3</v>
      </c>
      <c r="L91" s="937">
        <f t="shared" si="6"/>
        <v>0.65948556937567926</v>
      </c>
      <c r="M91" s="938">
        <f t="shared" si="9"/>
        <v>0.85751443062432064</v>
      </c>
      <c r="N91" s="937"/>
      <c r="O91" s="937"/>
      <c r="P91" s="937">
        <v>3</v>
      </c>
      <c r="Q91" s="937">
        <f t="shared" si="8"/>
        <v>-0.90482047212854588</v>
      </c>
      <c r="R91" s="938">
        <f t="shared" si="7"/>
        <v>0.36217952787145402</v>
      </c>
      <c r="S91" s="937"/>
      <c r="T91" s="57"/>
      <c r="W91" s="152"/>
      <c r="Z91" s="992" t="s">
        <v>1703</v>
      </c>
      <c r="AA91" s="994" t="e">
        <f>VLOOKUP(C1056,K1049:L1055,2)</f>
        <v>#N/A</v>
      </c>
      <c r="AC91" s="995" t="s">
        <v>1704</v>
      </c>
    </row>
    <row r="92" spans="1:29" x14ac:dyDescent="0.25">
      <c r="A92" s="6"/>
      <c r="B92" s="3"/>
      <c r="C92" s="10"/>
      <c r="D92" s="92">
        <v>0.2</v>
      </c>
      <c r="E92" s="620">
        <f>H94+E94</f>
        <v>111.267</v>
      </c>
      <c r="G92" s="10"/>
      <c r="H92" s="3"/>
      <c r="J92" s="57"/>
      <c r="K92" s="937">
        <v>3.5</v>
      </c>
      <c r="L92" s="937">
        <f t="shared" si="6"/>
        <v>0.89763313609467454</v>
      </c>
      <c r="M92" s="938">
        <f t="shared" si="9"/>
        <v>0.61936686390532536</v>
      </c>
      <c r="N92" s="937"/>
      <c r="O92" s="937"/>
      <c r="P92" s="937">
        <v>3.5</v>
      </c>
      <c r="Q92" s="937">
        <f t="shared" si="8"/>
        <v>-1.2315611981749652</v>
      </c>
      <c r="R92" s="938">
        <f t="shared" si="7"/>
        <v>3.5438801825034671E-2</v>
      </c>
      <c r="S92" s="937"/>
      <c r="T92" s="57"/>
      <c r="Z92" s="993"/>
      <c r="AA92" s="996"/>
      <c r="AC92" s="997"/>
    </row>
    <row r="93" spans="1:29" x14ac:dyDescent="0.25">
      <c r="A93" s="6"/>
      <c r="B93" s="41">
        <v>1</v>
      </c>
      <c r="C93" s="50" t="s">
        <v>34</v>
      </c>
      <c r="D93" s="41">
        <v>0.3</v>
      </c>
      <c r="E93" s="10"/>
      <c r="F93" s="10"/>
      <c r="G93" s="10"/>
      <c r="H93" s="3"/>
      <c r="J93" s="57"/>
      <c r="K93" s="937">
        <v>4</v>
      </c>
      <c r="L93" s="937">
        <f t="shared" si="6"/>
        <v>1.1724187900012075</v>
      </c>
      <c r="M93" s="938">
        <f t="shared" si="9"/>
        <v>0.34458120999879238</v>
      </c>
      <c r="N93" s="937"/>
      <c r="O93" s="937"/>
      <c r="P93" s="937">
        <v>4</v>
      </c>
      <c r="Q93" s="937">
        <f t="shared" si="8"/>
        <v>-1.6085697282285261</v>
      </c>
      <c r="R93" s="938">
        <f t="shared" si="7"/>
        <v>-0.34156972822852616</v>
      </c>
      <c r="S93" s="937"/>
      <c r="T93" s="57"/>
      <c r="Z93" s="992" t="s">
        <v>1705</v>
      </c>
      <c r="AA93" s="646" t="s">
        <v>1706</v>
      </c>
      <c r="AC93" s="150" t="s">
        <v>1707</v>
      </c>
    </row>
    <row r="94" spans="1:29" x14ac:dyDescent="0.25">
      <c r="A94" s="6"/>
      <c r="B94" s="10"/>
      <c r="C94" s="41">
        <v>0.35</v>
      </c>
      <c r="D94" s="10"/>
      <c r="E94" s="93">
        <f>ROUND(((H95)/6),3)</f>
        <v>1.2669999999999999</v>
      </c>
      <c r="F94" s="50" t="s">
        <v>33</v>
      </c>
      <c r="G94" s="10"/>
      <c r="H94" s="124">
        <f>F55</f>
        <v>110</v>
      </c>
      <c r="J94" s="57"/>
      <c r="K94" s="937">
        <v>4.5</v>
      </c>
      <c r="L94" s="937">
        <f t="shared" si="6"/>
        <v>1.4838425310952783</v>
      </c>
      <c r="M94" s="938">
        <f t="shared" si="9"/>
        <v>3.3157468904721599E-2</v>
      </c>
      <c r="N94" s="937"/>
      <c r="O94" s="937"/>
      <c r="P94" s="937">
        <v>4.5</v>
      </c>
      <c r="Q94" s="937">
        <f t="shared" si="8"/>
        <v>-2.0358460622892283</v>
      </c>
      <c r="R94" s="938">
        <f t="shared" si="7"/>
        <v>-0.76884606228922836</v>
      </c>
      <c r="S94" s="57"/>
      <c r="T94" s="57"/>
      <c r="Z94" s="998" t="s">
        <v>1709</v>
      </c>
      <c r="AA94" s="646" t="s">
        <v>1710</v>
      </c>
      <c r="AC94" s="150" t="s">
        <v>1708</v>
      </c>
    </row>
    <row r="95" spans="1:29" ht="18.75" x14ac:dyDescent="0.35">
      <c r="A95" s="6"/>
      <c r="B95" s="93">
        <f>(B93^2+C137^2)^0.5</f>
        <v>1.4142135623730951</v>
      </c>
      <c r="C95" s="10"/>
      <c r="D95" s="10"/>
      <c r="E95" s="3">
        <f>E96+D98</f>
        <v>4.05</v>
      </c>
      <c r="F95" s="50" t="s">
        <v>79</v>
      </c>
      <c r="G95" s="47" t="s">
        <v>175</v>
      </c>
      <c r="H95" s="94">
        <f>F61+D98</f>
        <v>7.6</v>
      </c>
      <c r="J95" s="57"/>
      <c r="K95" s="937">
        <v>5</v>
      </c>
      <c r="L95" s="937">
        <f t="shared" si="6"/>
        <v>1.8319043593768869</v>
      </c>
      <c r="M95" s="938">
        <f t="shared" si="9"/>
        <v>-0.31490435937688699</v>
      </c>
      <c r="N95" s="937"/>
      <c r="O95" s="937"/>
      <c r="P95" s="937"/>
      <c r="Q95" s="937"/>
      <c r="R95" s="938"/>
      <c r="S95" s="57"/>
      <c r="T95" s="57"/>
      <c r="Z95" s="645" t="s">
        <v>1726</v>
      </c>
      <c r="AA95" s="646" t="e">
        <f>VLOOKUP(G1013,K1012:L1014,2)</f>
        <v>#N/A</v>
      </c>
      <c r="AC95" s="150" t="s">
        <v>1711</v>
      </c>
    </row>
    <row r="96" spans="1:29" ht="19.5" thickBot="1" x14ac:dyDescent="0.4">
      <c r="A96" s="6"/>
      <c r="B96" s="10"/>
      <c r="C96" s="47" t="s">
        <v>108</v>
      </c>
      <c r="D96" s="39">
        <f>D98*1000</f>
        <v>500</v>
      </c>
      <c r="E96" s="3">
        <f>F61/2</f>
        <v>3.55</v>
      </c>
      <c r="F96" s="50" t="s">
        <v>240</v>
      </c>
      <c r="G96" s="47" t="s">
        <v>176</v>
      </c>
      <c r="H96" s="94">
        <f>F65+B86</f>
        <v>9.2999999999999989</v>
      </c>
      <c r="J96" s="57"/>
      <c r="K96" s="937">
        <v>5.5</v>
      </c>
      <c r="L96" s="937">
        <f t="shared" si="6"/>
        <v>2.2166042748460333</v>
      </c>
      <c r="M96" s="938">
        <f>$M$81-L96</f>
        <v>-0.69960427484603338</v>
      </c>
      <c r="N96" s="937"/>
      <c r="O96" s="937"/>
      <c r="P96" s="937"/>
      <c r="Q96" s="937"/>
      <c r="R96" s="937"/>
      <c r="S96" s="57"/>
      <c r="T96" s="57"/>
      <c r="Z96" s="658" t="s">
        <v>1727</v>
      </c>
      <c r="AA96" s="650" t="str">
        <f>VLOOKUP('fdn annular '!I259,'fdn annular '!M259:N262,2)</f>
        <v>"fbbfa4"</v>
      </c>
      <c r="AC96" s="150" t="s">
        <v>1712</v>
      </c>
    </row>
    <row r="97" spans="1:27" x14ac:dyDescent="0.25">
      <c r="A97" s="6"/>
      <c r="B97" s="10"/>
      <c r="C97" s="47" t="s">
        <v>107</v>
      </c>
      <c r="D97" s="1030">
        <v>900</v>
      </c>
      <c r="E97" s="10"/>
      <c r="F97" s="10"/>
      <c r="G97" s="10"/>
      <c r="J97" s="57"/>
      <c r="K97" s="937">
        <v>6</v>
      </c>
      <c r="L97" s="937">
        <f t="shared" si="6"/>
        <v>2.637942277502717</v>
      </c>
      <c r="M97" s="938">
        <f>$M$81-L97</f>
        <v>-1.1209422775027171</v>
      </c>
      <c r="N97" s="937"/>
      <c r="O97" s="937"/>
      <c r="P97" s="937"/>
      <c r="Q97" s="937"/>
      <c r="R97" s="937"/>
      <c r="S97" s="57"/>
      <c r="T97" s="57"/>
      <c r="Z97" s="152"/>
      <c r="AA97" s="152"/>
    </row>
    <row r="98" spans="1:27" x14ac:dyDescent="0.25">
      <c r="A98" s="6"/>
      <c r="B98" s="10"/>
      <c r="C98" s="47" t="s">
        <v>1168</v>
      </c>
      <c r="D98" s="1030">
        <v>0.5</v>
      </c>
      <c r="E98" s="3" t="s">
        <v>81</v>
      </c>
      <c r="F98" s="10"/>
      <c r="G98" s="10"/>
      <c r="J98" s="57"/>
      <c r="K98" s="937">
        <v>6.5</v>
      </c>
      <c r="L98" s="937">
        <f t="shared" si="6"/>
        <v>3.0959183673469388</v>
      </c>
      <c r="M98" s="938">
        <f>$M$81-L98</f>
        <v>-1.5789183673469389</v>
      </c>
      <c r="N98" s="57"/>
      <c r="O98" s="57"/>
      <c r="P98" s="57"/>
      <c r="Q98" s="57"/>
      <c r="R98" s="57"/>
      <c r="S98" s="57"/>
      <c r="T98" s="57"/>
    </row>
    <row r="99" spans="1:27" x14ac:dyDescent="0.25">
      <c r="A99" s="6"/>
      <c r="B99" s="10"/>
      <c r="C99" s="10"/>
      <c r="D99" s="10"/>
      <c r="E99" s="3"/>
      <c r="F99" s="10"/>
      <c r="G99" s="10"/>
      <c r="J99" s="57"/>
      <c r="K99" s="937"/>
      <c r="L99" s="937"/>
      <c r="M99" s="937"/>
      <c r="N99" s="57"/>
      <c r="O99" s="57"/>
      <c r="P99" s="57"/>
      <c r="Q99" s="57"/>
      <c r="R99" s="57"/>
      <c r="S99" s="57"/>
      <c r="T99" s="57"/>
    </row>
    <row r="100" spans="1:27" ht="18.75" x14ac:dyDescent="0.3">
      <c r="A100" s="6"/>
      <c r="B100" s="95" t="s">
        <v>246</v>
      </c>
      <c r="C100" s="95"/>
      <c r="D100" s="10"/>
      <c r="E100" s="3"/>
      <c r="F100" s="10"/>
      <c r="G100" s="10"/>
      <c r="J100" s="57"/>
      <c r="K100" s="937"/>
      <c r="L100" s="937"/>
      <c r="M100" s="937"/>
      <c r="N100" s="57"/>
      <c r="O100" s="57"/>
      <c r="P100" s="57"/>
      <c r="Q100" s="57"/>
      <c r="R100" s="57"/>
      <c r="S100" s="57"/>
      <c r="T100" s="57"/>
    </row>
    <row r="101" spans="1:27" ht="33" customHeight="1" x14ac:dyDescent="0.25">
      <c r="A101" s="6"/>
      <c r="B101" s="10" t="s">
        <v>239</v>
      </c>
      <c r="C101" s="1144" t="s">
        <v>250</v>
      </c>
      <c r="D101" s="1145"/>
      <c r="E101" s="46" t="str">
        <f>"(("&amp;F107&amp;"/2)^2+("&amp;E94&amp;")^2)/(2*("&amp;E94&amp;")))"</f>
        <v>((6.6/2)^2+(1.267)^2)/(2*(1.267)))</v>
      </c>
      <c r="F101" s="46"/>
      <c r="G101" s="10">
        <f>ROUND(E94/2+F61^2/8/E94,4)</f>
        <v>5.6069000000000004</v>
      </c>
      <c r="H101" s="10" t="s">
        <v>74</v>
      </c>
      <c r="K101" s="182"/>
    </row>
    <row r="102" spans="1:27" x14ac:dyDescent="0.25">
      <c r="A102" s="6"/>
      <c r="B102" s="10"/>
      <c r="C102" s="10"/>
      <c r="D102" s="10"/>
      <c r="E102" s="3"/>
      <c r="F102" s="10"/>
      <c r="G102" s="10"/>
    </row>
    <row r="103" spans="1:27" x14ac:dyDescent="0.25">
      <c r="A103" s="6"/>
      <c r="B103" s="48" t="s">
        <v>247</v>
      </c>
      <c r="C103" s="10" t="s">
        <v>251</v>
      </c>
      <c r="D103" s="10"/>
      <c r="E103" s="10"/>
      <c r="F103" s="10">
        <f>ACOS((G101-(E94-D92))/(G101))</f>
        <v>0.62715770730819587</v>
      </c>
      <c r="G103" s="10" t="s">
        <v>241</v>
      </c>
    </row>
    <row r="104" spans="1:27" x14ac:dyDescent="0.25">
      <c r="A104" s="6"/>
      <c r="B104" s="10"/>
      <c r="C104" s="10"/>
      <c r="D104" s="10"/>
      <c r="E104" s="10"/>
      <c r="F104" s="49">
        <f>F103*180/(22/7)</f>
        <v>35.919032327651216</v>
      </c>
      <c r="G104" s="10"/>
    </row>
    <row r="105" spans="1:27" x14ac:dyDescent="0.25">
      <c r="A105" s="6"/>
      <c r="B105" s="10"/>
      <c r="C105" s="10"/>
      <c r="D105" s="10"/>
      <c r="E105" s="10" t="s">
        <v>238</v>
      </c>
      <c r="F105" s="10"/>
      <c r="G105" s="10"/>
    </row>
    <row r="106" spans="1:27" x14ac:dyDescent="0.25">
      <c r="A106" s="6"/>
      <c r="B106" s="10"/>
      <c r="C106" s="10"/>
      <c r="D106" s="10"/>
      <c r="E106" s="10"/>
      <c r="F106" s="10"/>
      <c r="G106" s="10"/>
    </row>
    <row r="107" spans="1:27" x14ac:dyDescent="0.25">
      <c r="A107" s="6"/>
      <c r="B107" s="10"/>
      <c r="C107" s="10"/>
      <c r="D107" s="10"/>
      <c r="E107" s="3" t="s">
        <v>243</v>
      </c>
      <c r="F107" s="51">
        <f>F61-D98</f>
        <v>6.6</v>
      </c>
      <c r="G107" s="10"/>
    </row>
    <row r="108" spans="1:27" x14ac:dyDescent="0.25">
      <c r="A108" s="6"/>
      <c r="B108" s="10"/>
      <c r="C108" s="10"/>
      <c r="D108" s="10"/>
      <c r="E108" s="10"/>
      <c r="F108" s="10"/>
      <c r="G108" s="10"/>
    </row>
    <row r="109" spans="1:27" x14ac:dyDescent="0.25">
      <c r="A109" s="6"/>
      <c r="B109" s="10"/>
      <c r="C109" s="10"/>
      <c r="D109" s="10"/>
      <c r="E109" s="10"/>
      <c r="F109" s="10" t="s">
        <v>120</v>
      </c>
      <c r="G109" s="10"/>
    </row>
    <row r="110" spans="1:27" x14ac:dyDescent="0.25">
      <c r="A110" s="6"/>
      <c r="B110" s="10"/>
      <c r="C110" s="10"/>
      <c r="D110" s="10"/>
      <c r="E110" s="10"/>
      <c r="F110" s="10"/>
      <c r="G110" s="10"/>
    </row>
    <row r="111" spans="1:27" x14ac:dyDescent="0.25">
      <c r="A111" s="6"/>
      <c r="B111" s="10"/>
      <c r="C111" s="10"/>
      <c r="D111" s="10"/>
      <c r="E111" s="10"/>
      <c r="F111" s="10"/>
      <c r="G111" s="10"/>
    </row>
    <row r="112" spans="1:27" x14ac:dyDescent="0.25">
      <c r="A112" s="6"/>
      <c r="B112" s="10"/>
      <c r="C112" s="10"/>
      <c r="D112" s="10"/>
      <c r="E112" s="3" t="s">
        <v>121</v>
      </c>
      <c r="F112" s="10"/>
      <c r="G112" s="10"/>
    </row>
    <row r="113" spans="1:8" x14ac:dyDescent="0.25">
      <c r="A113" s="6"/>
      <c r="B113" s="10"/>
      <c r="C113" s="10"/>
      <c r="D113" s="10"/>
      <c r="E113" s="3"/>
      <c r="F113" s="10"/>
      <c r="G113" s="10"/>
    </row>
    <row r="114" spans="1:8" x14ac:dyDescent="0.25">
      <c r="A114" s="6"/>
      <c r="B114" s="10" t="s">
        <v>482</v>
      </c>
      <c r="C114" s="10"/>
      <c r="D114" s="10"/>
      <c r="E114" s="3"/>
      <c r="F114" s="10">
        <f>1/3*22/7*E94^2*(3*F107-E94)</f>
        <v>31.167526800666661</v>
      </c>
      <c r="G114" s="10" t="s">
        <v>337</v>
      </c>
    </row>
    <row r="115" spans="1:8" x14ac:dyDescent="0.25">
      <c r="A115" s="6"/>
      <c r="B115" s="10"/>
      <c r="C115" s="10"/>
      <c r="D115" s="10"/>
      <c r="E115" s="3"/>
      <c r="F115" s="10"/>
      <c r="G115" s="10"/>
    </row>
    <row r="116" spans="1:8" ht="18.75" x14ac:dyDescent="0.3">
      <c r="A116" s="6"/>
      <c r="B116" s="1143" t="s">
        <v>248</v>
      </c>
      <c r="C116" s="1143"/>
      <c r="D116" s="10"/>
      <c r="E116" s="3"/>
      <c r="F116" s="10"/>
      <c r="G116" s="10"/>
    </row>
    <row r="117" spans="1:8" ht="30.75" customHeight="1" x14ac:dyDescent="0.25">
      <c r="A117" s="6"/>
      <c r="B117" s="1140" t="s">
        <v>364</v>
      </c>
      <c r="C117" s="1140"/>
      <c r="D117" s="171" t="s">
        <v>365</v>
      </c>
      <c r="E117" s="171" t="str">
        <f>"(("&amp;F86&amp;"/2)^2+("&amp;F80&amp;")^2)/(2*("&amp;F80&amp;")))"</f>
        <v>((9.1/2)^2+(1.517)^2)/(2*(1.517)))</v>
      </c>
      <c r="F117" s="171"/>
      <c r="G117" s="10">
        <f>ROUND(((F86/2)^2+(F80)^2)/(2*(F80)),3)</f>
        <v>7.5819999999999999</v>
      </c>
      <c r="H117" s="10" t="s">
        <v>74</v>
      </c>
    </row>
    <row r="118" spans="1:8" x14ac:dyDescent="0.25">
      <c r="A118" s="6"/>
      <c r="B118" s="10"/>
      <c r="C118" s="10"/>
      <c r="D118" s="10"/>
      <c r="E118" s="3"/>
      <c r="F118" s="10"/>
      <c r="G118" s="10"/>
    </row>
    <row r="119" spans="1:8" x14ac:dyDescent="0.25">
      <c r="A119" s="6"/>
      <c r="B119" s="10" t="s">
        <v>576</v>
      </c>
      <c r="C119" s="10" t="s">
        <v>366</v>
      </c>
      <c r="D119" s="10"/>
      <c r="E119" s="3"/>
      <c r="F119" s="10">
        <f>ACOS((G117-(F80-D79))/(G117))</f>
        <v>0.61563436480757505</v>
      </c>
      <c r="G119" s="10" t="s">
        <v>241</v>
      </c>
      <c r="H119" s="49">
        <f>F119*180/(22/7)</f>
        <v>35.259059075342932</v>
      </c>
    </row>
    <row r="120" spans="1:8" x14ac:dyDescent="0.25">
      <c r="A120" s="6"/>
      <c r="B120" s="10"/>
      <c r="C120" s="10"/>
      <c r="D120" s="10"/>
      <c r="E120" s="10"/>
      <c r="F120" s="10"/>
      <c r="G120" s="10"/>
    </row>
    <row r="121" spans="1:8" x14ac:dyDescent="0.25">
      <c r="A121" s="6"/>
      <c r="B121" s="48"/>
      <c r="C121" s="10"/>
      <c r="D121" s="10"/>
      <c r="E121" s="10"/>
      <c r="F121" s="10"/>
      <c r="G121" s="10"/>
    </row>
    <row r="122" spans="1:8" x14ac:dyDescent="0.25">
      <c r="A122" s="6"/>
      <c r="B122" s="10"/>
      <c r="C122" s="10"/>
      <c r="D122" s="10"/>
      <c r="E122" s="10" t="s">
        <v>249</v>
      </c>
      <c r="F122" s="50" t="str">
        <f>F78</f>
        <v xml:space="preserve"> </v>
      </c>
      <c r="G122" s="10"/>
    </row>
    <row r="123" spans="1:8" x14ac:dyDescent="0.25">
      <c r="A123" s="6"/>
      <c r="B123" s="10"/>
      <c r="C123" s="10"/>
      <c r="D123" s="3" t="s">
        <v>576</v>
      </c>
      <c r="E123" s="10"/>
      <c r="F123" s="10"/>
      <c r="G123" s="10"/>
    </row>
    <row r="124" spans="1:8" ht="17.25" x14ac:dyDescent="0.3">
      <c r="A124" s="6"/>
      <c r="B124" s="10"/>
      <c r="C124" s="10"/>
      <c r="D124" s="10"/>
      <c r="E124" s="4" t="s">
        <v>44</v>
      </c>
      <c r="F124" s="564">
        <f>F65</f>
        <v>9.1</v>
      </c>
      <c r="G124" s="10"/>
    </row>
    <row r="125" spans="1:8" x14ac:dyDescent="0.25">
      <c r="A125" s="6"/>
      <c r="B125" s="10"/>
      <c r="C125" s="10"/>
      <c r="D125" s="10"/>
      <c r="E125" s="10"/>
      <c r="F125" s="10"/>
      <c r="G125" s="10"/>
    </row>
    <row r="126" spans="1:8" x14ac:dyDescent="0.25">
      <c r="A126" s="6"/>
      <c r="B126" s="10"/>
      <c r="C126" s="10"/>
      <c r="D126" s="10"/>
      <c r="E126" s="10"/>
      <c r="F126" s="10" t="s">
        <v>253</v>
      </c>
      <c r="G126" s="10"/>
    </row>
    <row r="127" spans="1:8" x14ac:dyDescent="0.25">
      <c r="A127" s="6"/>
      <c r="B127" s="10"/>
      <c r="C127" s="10"/>
      <c r="D127" s="10"/>
      <c r="E127" s="3" t="s">
        <v>236</v>
      </c>
      <c r="F127" s="10"/>
      <c r="G127" s="10"/>
    </row>
    <row r="128" spans="1:8" x14ac:dyDescent="0.25">
      <c r="A128" s="6"/>
      <c r="B128" s="10"/>
      <c r="C128" s="10"/>
      <c r="D128" s="10"/>
      <c r="E128" s="3" t="s">
        <v>127</v>
      </c>
      <c r="F128" s="10"/>
      <c r="G128" s="10"/>
    </row>
    <row r="129" spans="1:8" x14ac:dyDescent="0.25">
      <c r="A129" s="6"/>
      <c r="B129" s="10"/>
      <c r="C129" s="10"/>
      <c r="D129" s="10"/>
      <c r="E129" s="3"/>
      <c r="F129" s="10"/>
      <c r="G129" s="10"/>
    </row>
    <row r="130" spans="1:8" x14ac:dyDescent="0.25">
      <c r="A130" s="6"/>
      <c r="B130" s="10"/>
      <c r="C130" s="10"/>
      <c r="D130" s="10"/>
      <c r="E130" s="10"/>
      <c r="F130" s="10"/>
      <c r="G130" s="10"/>
    </row>
    <row r="131" spans="1:8" ht="18.75" x14ac:dyDescent="0.35">
      <c r="A131" s="6"/>
      <c r="B131" s="10"/>
      <c r="C131" s="3" t="s">
        <v>122</v>
      </c>
      <c r="D131" s="10"/>
      <c r="E131" s="47" t="s">
        <v>123</v>
      </c>
      <c r="F131" s="50" t="s">
        <v>122</v>
      </c>
      <c r="G131" s="10"/>
    </row>
    <row r="132" spans="1:8" x14ac:dyDescent="0.25">
      <c r="A132" s="6"/>
      <c r="B132" s="10"/>
      <c r="C132" s="10"/>
      <c r="D132" s="10"/>
      <c r="E132" s="47" t="s">
        <v>124</v>
      </c>
      <c r="F132" s="50" t="s">
        <v>22</v>
      </c>
      <c r="G132" s="10"/>
    </row>
    <row r="133" spans="1:8" x14ac:dyDescent="0.25">
      <c r="A133" s="6"/>
      <c r="B133" s="10"/>
      <c r="C133" s="10"/>
      <c r="D133" s="3" t="s">
        <v>58</v>
      </c>
      <c r="E133" s="10"/>
      <c r="F133" s="10"/>
      <c r="G133" s="10"/>
    </row>
    <row r="134" spans="1:8" ht="18.75" x14ac:dyDescent="0.35">
      <c r="A134" s="6"/>
      <c r="B134" s="47" t="s">
        <v>22</v>
      </c>
      <c r="C134" s="10"/>
      <c r="D134" s="10"/>
      <c r="E134" s="47" t="s">
        <v>125</v>
      </c>
      <c r="F134" s="173" t="s">
        <v>126</v>
      </c>
      <c r="G134" s="96">
        <f>(COS(RADIANS(F135))/SIN(RADIANS(F135)))*Calculation!F564</f>
        <v>4.6085673370451525</v>
      </c>
      <c r="H134" s="10" t="s">
        <v>117</v>
      </c>
    </row>
    <row r="135" spans="1:8" x14ac:dyDescent="0.25">
      <c r="A135" s="6"/>
      <c r="B135" s="10"/>
      <c r="C135" s="10"/>
      <c r="D135" s="3" t="s">
        <v>164</v>
      </c>
      <c r="E135" s="47" t="s">
        <v>58</v>
      </c>
      <c r="F135" s="13">
        <f>ATAN(B93/C137)*180/3.14</f>
        <v>45.022824653356906</v>
      </c>
      <c r="G135" s="10"/>
    </row>
    <row r="136" spans="1:8" x14ac:dyDescent="0.25">
      <c r="A136" s="6"/>
      <c r="B136" s="10"/>
      <c r="C136" s="10"/>
      <c r="D136" s="10"/>
      <c r="E136" s="10"/>
      <c r="F136" s="10" t="s">
        <v>257</v>
      </c>
      <c r="G136" s="10"/>
    </row>
    <row r="137" spans="1:8" x14ac:dyDescent="0.25">
      <c r="A137" s="6"/>
      <c r="B137" s="10"/>
      <c r="C137" s="13">
        <f>(F86/2)-E96</f>
        <v>1</v>
      </c>
      <c r="D137" s="10"/>
      <c r="E137" s="10"/>
      <c r="F137" s="10"/>
      <c r="G137" s="10"/>
    </row>
    <row r="138" spans="1:8" x14ac:dyDescent="0.25">
      <c r="A138" s="6"/>
      <c r="B138" s="10"/>
      <c r="C138" s="10"/>
      <c r="D138" s="10"/>
      <c r="E138" s="3" t="s">
        <v>1232</v>
      </c>
      <c r="F138" s="10"/>
      <c r="G138" s="10"/>
    </row>
    <row r="139" spans="1:8" x14ac:dyDescent="0.25">
      <c r="A139" s="6"/>
      <c r="B139" s="10"/>
      <c r="C139" s="10"/>
      <c r="D139" s="10"/>
      <c r="E139" s="10"/>
      <c r="F139" s="10"/>
      <c r="G139" s="10"/>
    </row>
    <row r="140" spans="1:8" x14ac:dyDescent="0.25">
      <c r="A140" s="6"/>
      <c r="B140" s="10"/>
      <c r="C140" s="10"/>
      <c r="D140" s="10"/>
      <c r="E140" s="10"/>
      <c r="F140" s="10"/>
      <c r="G140" s="10"/>
    </row>
    <row r="141" spans="1:8" x14ac:dyDescent="0.25">
      <c r="A141" s="6"/>
      <c r="B141" s="10"/>
      <c r="C141" s="10"/>
      <c r="D141" s="10"/>
      <c r="E141" s="10"/>
      <c r="F141" s="10"/>
      <c r="G141" s="10"/>
    </row>
    <row r="142" spans="1:8" x14ac:dyDescent="0.25">
      <c r="A142" s="6"/>
      <c r="B142" s="10"/>
      <c r="C142" s="10"/>
      <c r="D142" s="10"/>
      <c r="E142" s="10"/>
      <c r="F142" s="10"/>
      <c r="G142" s="10"/>
    </row>
    <row r="143" spans="1:8" x14ac:dyDescent="0.25">
      <c r="A143" s="6"/>
      <c r="B143" s="10"/>
      <c r="C143" s="10"/>
      <c r="D143" s="47" t="s">
        <v>22</v>
      </c>
      <c r="E143" s="10"/>
      <c r="F143" s="10"/>
      <c r="G143" s="10"/>
    </row>
    <row r="144" spans="1:8" x14ac:dyDescent="0.25">
      <c r="A144" s="6"/>
      <c r="B144" s="10"/>
      <c r="C144" s="10"/>
      <c r="D144" s="10"/>
      <c r="E144" s="10"/>
      <c r="F144" s="10"/>
      <c r="G144" s="10"/>
    </row>
    <row r="145" spans="1:7" x14ac:dyDescent="0.25">
      <c r="A145" s="6"/>
      <c r="B145" s="10"/>
      <c r="C145" s="10"/>
      <c r="D145" s="10"/>
      <c r="E145" s="10"/>
      <c r="F145" s="10"/>
      <c r="G145" s="10"/>
    </row>
    <row r="146" spans="1:7" x14ac:dyDescent="0.25">
      <c r="A146" s="6"/>
      <c r="B146" s="10"/>
      <c r="C146" s="10"/>
      <c r="D146" s="10"/>
      <c r="E146" s="3" t="s">
        <v>19</v>
      </c>
      <c r="F146" s="10"/>
      <c r="G146" s="10"/>
    </row>
    <row r="147" spans="1:7" ht="18.75" x14ac:dyDescent="0.25">
      <c r="A147" s="6"/>
      <c r="B147" s="10"/>
      <c r="C147" s="10"/>
      <c r="D147" s="10"/>
      <c r="E147" s="3" t="s">
        <v>129</v>
      </c>
      <c r="F147" s="3">
        <f>1*(F88-B93)</f>
        <v>3.6500000000000004</v>
      </c>
      <c r="G147" s="10" t="s">
        <v>177</v>
      </c>
    </row>
    <row r="148" spans="1:7" ht="18.75" x14ac:dyDescent="0.35">
      <c r="A148" s="6"/>
      <c r="B148" s="10"/>
      <c r="C148" s="10"/>
      <c r="D148" s="10"/>
      <c r="E148" s="3" t="s">
        <v>130</v>
      </c>
      <c r="F148" s="10"/>
      <c r="G148" s="10"/>
    </row>
    <row r="149" spans="1:7" x14ac:dyDescent="0.25">
      <c r="A149" s="6"/>
      <c r="B149" s="10"/>
      <c r="C149" s="10"/>
      <c r="D149" s="10"/>
      <c r="E149" s="10"/>
      <c r="F149" s="10"/>
      <c r="G149" s="10"/>
    </row>
    <row r="150" spans="1:7" x14ac:dyDescent="0.25">
      <c r="A150" s="6"/>
      <c r="B150" s="10"/>
      <c r="C150" s="10"/>
      <c r="D150" s="10" t="s">
        <v>164</v>
      </c>
      <c r="E150" s="10"/>
      <c r="F150" s="10"/>
      <c r="G150" s="10"/>
    </row>
    <row r="151" spans="1:7" x14ac:dyDescent="0.25">
      <c r="A151" s="6"/>
      <c r="B151" s="10"/>
      <c r="C151" s="10"/>
      <c r="D151" s="3"/>
      <c r="E151" s="10"/>
      <c r="F151" s="10"/>
      <c r="G151" s="10"/>
    </row>
    <row r="152" spans="1:7" x14ac:dyDescent="0.25">
      <c r="A152" s="6"/>
      <c r="B152" s="10"/>
      <c r="C152" s="10">
        <f>C94*F44</f>
        <v>0.84</v>
      </c>
      <c r="D152" s="50" t="s">
        <v>154</v>
      </c>
      <c r="E152" s="47"/>
      <c r="F152" s="10"/>
      <c r="G152" s="10"/>
    </row>
    <row r="153" spans="1:7" x14ac:dyDescent="0.25">
      <c r="A153" s="6"/>
      <c r="B153" s="10"/>
      <c r="C153" s="10"/>
      <c r="D153" s="3" t="s">
        <v>155</v>
      </c>
      <c r="E153" s="10"/>
      <c r="F153" s="10"/>
      <c r="G153" s="10"/>
    </row>
    <row r="154" spans="1:7" x14ac:dyDescent="0.25">
      <c r="A154" s="6"/>
      <c r="B154" s="10"/>
      <c r="C154" s="10"/>
      <c r="D154" s="10"/>
      <c r="E154" s="10"/>
      <c r="F154" s="10"/>
      <c r="G154" s="10"/>
    </row>
    <row r="155" spans="1:7" x14ac:dyDescent="0.25">
      <c r="A155" s="6"/>
      <c r="B155" s="10"/>
      <c r="C155" s="10"/>
      <c r="D155" s="10"/>
      <c r="E155" s="3" t="s">
        <v>128</v>
      </c>
      <c r="F155" s="10"/>
      <c r="G155" s="10"/>
    </row>
    <row r="156" spans="1:7" x14ac:dyDescent="0.25">
      <c r="A156" s="6"/>
      <c r="B156" s="10"/>
      <c r="C156" s="10"/>
      <c r="D156" s="10"/>
      <c r="E156" s="10"/>
      <c r="F156" s="10"/>
      <c r="G156" s="10"/>
    </row>
    <row r="157" spans="1:7" x14ac:dyDescent="0.25">
      <c r="A157" s="6"/>
      <c r="B157" s="10"/>
      <c r="C157" s="10"/>
      <c r="D157" s="3" t="s">
        <v>164</v>
      </c>
      <c r="E157" s="10"/>
      <c r="F157" s="47" t="s">
        <v>165</v>
      </c>
      <c r="G157" s="94">
        <f>Calculation!F776</f>
        <v>14.036555077289744</v>
      </c>
    </row>
    <row r="158" spans="1:7" x14ac:dyDescent="0.25">
      <c r="A158" s="6"/>
      <c r="B158" s="10"/>
      <c r="C158" s="10"/>
      <c r="D158" s="13">
        <f>Calculation!F630</f>
        <v>16.965538208259108</v>
      </c>
      <c r="E158" s="10"/>
      <c r="F158" s="10"/>
      <c r="G158" s="10"/>
    </row>
    <row r="159" spans="1:7" x14ac:dyDescent="0.25">
      <c r="A159" s="6"/>
      <c r="B159" s="10"/>
      <c r="C159" s="10"/>
      <c r="D159" s="10"/>
      <c r="E159" s="10"/>
      <c r="F159" s="10"/>
      <c r="G159" s="10"/>
    </row>
    <row r="160" spans="1:7" x14ac:dyDescent="0.25">
      <c r="A160" s="6"/>
      <c r="B160" s="10"/>
      <c r="C160" s="10"/>
      <c r="D160" s="3" t="s">
        <v>57</v>
      </c>
      <c r="E160" s="10"/>
      <c r="F160" s="10" t="s">
        <v>167</v>
      </c>
      <c r="G160" s="49">
        <f>$F$104</f>
        <v>35.919032327651216</v>
      </c>
    </row>
    <row r="161" spans="1:8" x14ac:dyDescent="0.25">
      <c r="A161" s="6"/>
      <c r="B161" s="10"/>
      <c r="C161" s="10"/>
      <c r="D161" s="13">
        <f>F135</f>
        <v>45.022824653356906</v>
      </c>
      <c r="E161" s="10"/>
      <c r="F161" s="47" t="s">
        <v>108</v>
      </c>
      <c r="G161" s="50">
        <f>D96</f>
        <v>500</v>
      </c>
    </row>
    <row r="162" spans="1:8" x14ac:dyDescent="0.25">
      <c r="A162" s="6"/>
      <c r="B162" s="10"/>
      <c r="C162" s="10"/>
      <c r="D162" s="10"/>
      <c r="E162" s="10"/>
      <c r="F162" s="47" t="s">
        <v>107</v>
      </c>
      <c r="G162" s="50">
        <f>D97</f>
        <v>900</v>
      </c>
    </row>
    <row r="163" spans="1:8" x14ac:dyDescent="0.25">
      <c r="A163" s="6"/>
      <c r="B163" s="10"/>
      <c r="C163" s="10"/>
      <c r="D163" s="10"/>
      <c r="E163" s="3" t="s">
        <v>166</v>
      </c>
      <c r="F163" s="10"/>
      <c r="G163" s="10"/>
    </row>
    <row r="164" spans="1:8" x14ac:dyDescent="0.25">
      <c r="B164" s="12"/>
      <c r="F164" s="6"/>
      <c r="G164" s="6"/>
    </row>
    <row r="165" spans="1:8" x14ac:dyDescent="0.25">
      <c r="B165" s="12" t="s">
        <v>1233</v>
      </c>
      <c r="D165" s="15" t="s">
        <v>1235</v>
      </c>
      <c r="F165" s="567">
        <v>300</v>
      </c>
      <c r="G165" s="6"/>
    </row>
    <row r="166" spans="1:8" x14ac:dyDescent="0.25">
      <c r="B166" s="12"/>
      <c r="D166" s="15" t="s">
        <v>1234</v>
      </c>
      <c r="F166" s="567">
        <v>450</v>
      </c>
      <c r="G166" s="566" t="str">
        <f>IF(F166&lt;F168*1000/25,"not ok","ok")</f>
        <v>ok</v>
      </c>
      <c r="H166" s="566" t="str">
        <f>IF(F166/F165&lt;0.3,"not ok","ok")</f>
        <v>ok</v>
      </c>
    </row>
    <row r="167" spans="1:8" x14ac:dyDescent="0.25">
      <c r="B167" s="12"/>
      <c r="F167" s="6"/>
      <c r="G167" s="6"/>
    </row>
    <row r="168" spans="1:8" x14ac:dyDescent="0.25">
      <c r="B168" s="12" t="s">
        <v>1236</v>
      </c>
      <c r="F168" s="6">
        <f>F61*COS(PI()/180*(180-360/F63)/2)</f>
        <v>2.7170523697921376</v>
      </c>
      <c r="G168" s="6" t="s">
        <v>74</v>
      </c>
    </row>
    <row r="169" spans="1:8" x14ac:dyDescent="0.25">
      <c r="B169" s="12" t="s">
        <v>1237</v>
      </c>
      <c r="F169" s="6">
        <f>(180-360/F63)</f>
        <v>135</v>
      </c>
      <c r="G169" s="6" t="s">
        <v>1238</v>
      </c>
    </row>
    <row r="170" spans="1:8" x14ac:dyDescent="0.25">
      <c r="B170" s="12"/>
      <c r="F170" s="566" t="str">
        <f>IF(F169&lt;135,"ok","need to reduce R factor")</f>
        <v>need to reduce R factor</v>
      </c>
      <c r="G170" s="6"/>
    </row>
    <row r="171" spans="1:8" x14ac:dyDescent="0.25">
      <c r="B171" s="12"/>
      <c r="F171" s="6"/>
      <c r="G171" s="6"/>
    </row>
    <row r="172" spans="1:8" x14ac:dyDescent="0.25">
      <c r="A172" s="5" t="s">
        <v>41</v>
      </c>
      <c r="B172" s="87" t="s">
        <v>35</v>
      </c>
    </row>
    <row r="173" spans="1:8" ht="12.75" customHeight="1" x14ac:dyDescent="0.25">
      <c r="A173" s="1"/>
      <c r="B173" s="1"/>
      <c r="C173" s="1"/>
      <c r="D173" s="1"/>
      <c r="E173" s="1"/>
      <c r="F173" s="2"/>
      <c r="G173" s="1"/>
    </row>
    <row r="174" spans="1:8" ht="12.75" customHeight="1" x14ac:dyDescent="0.25">
      <c r="A174" s="1"/>
      <c r="B174" s="1"/>
      <c r="C174" s="1"/>
      <c r="D174" s="1"/>
      <c r="E174" s="1"/>
      <c r="F174" s="2"/>
      <c r="G174" s="1"/>
    </row>
    <row r="175" spans="1:8" x14ac:dyDescent="0.25">
      <c r="A175" s="36" t="s">
        <v>36</v>
      </c>
      <c r="B175" s="37" t="s">
        <v>37</v>
      </c>
      <c r="C175" s="114"/>
      <c r="E175" s="15">
        <f>Calculation!$F$107</f>
        <v>6.6</v>
      </c>
    </row>
    <row r="176" spans="1:8" x14ac:dyDescent="0.25">
      <c r="A176" s="5"/>
      <c r="B176" s="11"/>
    </row>
    <row r="177" spans="1:12" ht="26.25" x14ac:dyDescent="0.25">
      <c r="A177" s="9" t="s">
        <v>13</v>
      </c>
      <c r="B177" s="20" t="s">
        <v>31</v>
      </c>
      <c r="C177" s="5" t="s">
        <v>38</v>
      </c>
      <c r="D177" s="6"/>
      <c r="E177" s="6" t="s">
        <v>236</v>
      </c>
      <c r="F177" s="13">
        <f>Calculation!$G$101</f>
        <v>5.6069000000000004</v>
      </c>
      <c r="G177" s="3" t="s">
        <v>74</v>
      </c>
    </row>
    <row r="178" spans="1:12" x14ac:dyDescent="0.25">
      <c r="A178" s="38"/>
      <c r="C178" s="5"/>
      <c r="D178" s="6"/>
      <c r="E178" s="6"/>
    </row>
    <row r="179" spans="1:12" ht="27" customHeight="1" x14ac:dyDescent="0.25">
      <c r="A179" s="9" t="s">
        <v>13</v>
      </c>
      <c r="B179" s="20" t="s">
        <v>61</v>
      </c>
      <c r="C179" s="5" t="s">
        <v>72</v>
      </c>
      <c r="D179" s="6" t="s">
        <v>242</v>
      </c>
      <c r="E179" s="19" t="str">
        <f>"((22/7)*(3*("&amp;Calculation!$F$107&amp;"/2)^2+"&amp;Calculation!E94&amp;"^2)*"&amp;Calculation!E94&amp;"/6)"</f>
        <v>((22/7)*(3*(6.6/2)^2+1.267^2)*1.267/6)</v>
      </c>
      <c r="F179" s="13">
        <f>ROUND(((22/7)*(3*(Calculation!$F$107/2)^2+Calculation!E94^2)*Calculation!E94/6),3)</f>
        <v>22.747</v>
      </c>
      <c r="G179" s="3" t="s">
        <v>73</v>
      </c>
      <c r="L179" s="10">
        <f>Calculation!$E$80</f>
        <v>0.35</v>
      </c>
    </row>
    <row r="180" spans="1:12" ht="27" customHeight="1" x14ac:dyDescent="0.25">
      <c r="A180" s="9"/>
      <c r="B180" s="20"/>
      <c r="C180" s="5"/>
      <c r="D180" s="115">
        <f>Calculation!$F$86</f>
        <v>9.1</v>
      </c>
      <c r="E180" s="19"/>
      <c r="F180" s="13"/>
    </row>
    <row r="181" spans="1:12" ht="27" customHeight="1" x14ac:dyDescent="0.25">
      <c r="A181" s="9"/>
      <c r="B181" s="20"/>
      <c r="C181" s="5"/>
      <c r="D181" s="6"/>
      <c r="E181" s="169" t="s">
        <v>561</v>
      </c>
      <c r="F181" s="13">
        <f>Calculation!$B$93</f>
        <v>1</v>
      </c>
      <c r="G181" s="3" t="s">
        <v>74</v>
      </c>
    </row>
    <row r="182" spans="1:12" ht="27" customHeight="1" x14ac:dyDescent="0.25">
      <c r="A182" s="9"/>
      <c r="B182" s="20"/>
      <c r="C182" s="5"/>
      <c r="D182" s="6"/>
      <c r="E182" s="116">
        <f>Calculation!$F$107</f>
        <v>6.6</v>
      </c>
      <c r="F182" s="13"/>
      <c r="K182" s="10">
        <f>$F$49</f>
        <v>45</v>
      </c>
    </row>
    <row r="183" spans="1:12" ht="27" customHeight="1" x14ac:dyDescent="0.25">
      <c r="A183" s="9"/>
      <c r="B183" s="20"/>
      <c r="C183" s="5"/>
      <c r="D183" s="6"/>
      <c r="E183" s="19"/>
      <c r="F183" s="13"/>
    </row>
    <row r="184" spans="1:12" ht="56.25" customHeight="1" x14ac:dyDescent="0.25">
      <c r="A184" s="9" t="s">
        <v>13</v>
      </c>
      <c r="B184" s="117" t="s">
        <v>76</v>
      </c>
      <c r="C184" s="5" t="s">
        <v>75</v>
      </c>
      <c r="D184" s="19" t="s">
        <v>562</v>
      </c>
      <c r="E184" s="19" t="str">
        <f>"((1/3*22/7*"&amp;F181&amp;"*((("&amp;D180&amp;"/2)^2)+(("&amp;E182&amp;"/2)^2)+(("&amp;D180&amp;"/2)*("&amp;E182&amp;"/2)))),3))"</f>
        <v>((1/3*22/7*1*(((9.1/2)^2)+((6.6/2)^2)+((9.1/2)*(6.6/2)))),3))</v>
      </c>
      <c r="F184" s="13">
        <f>ROUND((1/3*22/7*F181*(((D180/2)^2)+((E182/2)^2)+((D180/2)*(E182/2)))),3)</f>
        <v>48.826999999999998</v>
      </c>
      <c r="G184" s="3" t="s">
        <v>73</v>
      </c>
    </row>
    <row r="185" spans="1:12" x14ac:dyDescent="0.25">
      <c r="A185" s="38"/>
      <c r="C185" s="5"/>
      <c r="D185" s="6"/>
      <c r="E185" s="6"/>
      <c r="F185" s="13"/>
    </row>
    <row r="186" spans="1:12" ht="26.25" x14ac:dyDescent="0.25">
      <c r="A186" s="9" t="s">
        <v>13</v>
      </c>
      <c r="B186" s="20" t="s">
        <v>244</v>
      </c>
      <c r="C186" s="5" t="s">
        <v>71</v>
      </c>
      <c r="D186" s="19" t="s">
        <v>563</v>
      </c>
      <c r="E186" s="19" t="str">
        <f>"(((22/7)*"&amp;Calculation!F67&amp;"^2*0.25*("&amp;Calculation!$D$85&amp;"-"&amp;Calculation!$E$80&amp;")),3))"</f>
        <v>(((22/7)*9.06^2*0.25*(4-0.35)),3))</v>
      </c>
      <c r="F186" s="13">
        <f>ROUND(((22/7)*Calculation!F67^2*0.25*(Calculation!$D$85-Calculation!$E$80)),3)</f>
        <v>235.404</v>
      </c>
      <c r="G186" s="3" t="s">
        <v>73</v>
      </c>
      <c r="L186" s="182"/>
    </row>
    <row r="187" spans="1:12" x14ac:dyDescent="0.25">
      <c r="A187" s="9"/>
      <c r="B187" s="20"/>
      <c r="C187" s="5"/>
      <c r="D187" s="19"/>
      <c r="E187" s="19"/>
      <c r="F187" s="13"/>
    </row>
    <row r="188" spans="1:12" ht="40.5" customHeight="1" x14ac:dyDescent="0.25">
      <c r="A188" s="9" t="s">
        <v>13</v>
      </c>
      <c r="B188" s="20" t="s">
        <v>245</v>
      </c>
      <c r="C188" s="5" t="s">
        <v>71</v>
      </c>
      <c r="D188" s="19"/>
      <c r="E188" s="19" t="str">
        <f>"("&amp;F186&amp;"+"&amp;F184&amp;"-"&amp;F179&amp;")"</f>
        <v>(235.404+48.827-22.747)</v>
      </c>
      <c r="F188" s="13">
        <f>F186+F184-F179</f>
        <v>261.48399999999998</v>
      </c>
      <c r="G188" s="3" t="s">
        <v>73</v>
      </c>
    </row>
    <row r="189" spans="1:12" ht="40.5" customHeight="1" x14ac:dyDescent="0.25">
      <c r="A189" s="9"/>
      <c r="B189" s="20" t="s">
        <v>677</v>
      </c>
      <c r="C189" s="5">
        <v>150</v>
      </c>
      <c r="D189" s="19" t="s">
        <v>202</v>
      </c>
      <c r="E189" s="19"/>
      <c r="F189" s="13">
        <f>ROUND(((22/7)*Calculation!F86^2*0.25*(C189/1000)),3)</f>
        <v>9.76</v>
      </c>
      <c r="G189" s="3" t="s">
        <v>73</v>
      </c>
    </row>
    <row r="190" spans="1:12" ht="40.5" customHeight="1" x14ac:dyDescent="0.25">
      <c r="A190" s="9"/>
      <c r="B190" s="20" t="s">
        <v>556</v>
      </c>
      <c r="C190" s="5"/>
      <c r="D190" s="19"/>
      <c r="E190" s="19"/>
      <c r="F190" s="13">
        <f>F188-F189</f>
        <v>251.72399999999999</v>
      </c>
      <c r="G190" s="3" t="s">
        <v>73</v>
      </c>
    </row>
    <row r="191" spans="1:12" x14ac:dyDescent="0.25">
      <c r="A191" s="38"/>
      <c r="C191" s="5"/>
      <c r="D191" s="6"/>
      <c r="E191" s="6"/>
      <c r="F191" s="23" t="str">
        <f>IF(F190&lt;Calculation!F59,"Revise dimension","OK")</f>
        <v>OK</v>
      </c>
    </row>
    <row r="192" spans="1:12" x14ac:dyDescent="0.25">
      <c r="A192" s="10"/>
      <c r="B192" s="10"/>
      <c r="C192" s="10"/>
      <c r="D192" s="10"/>
      <c r="E192" s="10"/>
      <c r="F192" s="10"/>
      <c r="G192" s="10"/>
    </row>
    <row r="193" spans="1:12" x14ac:dyDescent="0.25">
      <c r="A193" s="6"/>
      <c r="C193" s="5"/>
      <c r="D193" s="6"/>
      <c r="E193" s="6"/>
    </row>
    <row r="194" spans="1:12" x14ac:dyDescent="0.25">
      <c r="A194" s="36" t="s">
        <v>77</v>
      </c>
      <c r="B194" s="37" t="s">
        <v>78</v>
      </c>
      <c r="C194" s="36"/>
      <c r="D194" s="45">
        <f>SQRT(E196^2+E195^2)</f>
        <v>7.7322708824768931</v>
      </c>
      <c r="E194" s="6"/>
      <c r="K194" s="47"/>
    </row>
    <row r="195" spans="1:12" x14ac:dyDescent="0.25">
      <c r="A195" s="6"/>
      <c r="B195" s="12"/>
      <c r="C195" s="48" t="s">
        <v>252</v>
      </c>
      <c r="D195" s="118">
        <f>ROUND((Calculation!$F$119),2)</f>
        <v>0.62</v>
      </c>
      <c r="E195" s="3">
        <f>Calculation!$F$80</f>
        <v>1.5169999999999999</v>
      </c>
    </row>
    <row r="196" spans="1:12" ht="18.75" x14ac:dyDescent="0.25">
      <c r="A196" s="38" t="s">
        <v>13</v>
      </c>
      <c r="B196" s="12" t="s">
        <v>86</v>
      </c>
      <c r="C196" s="5"/>
      <c r="E196" s="119">
        <f>ROUND((Calculation!$G$117),3)</f>
        <v>7.5819999999999999</v>
      </c>
      <c r="F196" s="13">
        <f>Calculation!D79*Calculation!F44</f>
        <v>0.3</v>
      </c>
      <c r="G196" s="3" t="s">
        <v>87</v>
      </c>
    </row>
    <row r="197" spans="1:12" x14ac:dyDescent="0.25">
      <c r="A197" s="38" t="s">
        <v>13</v>
      </c>
      <c r="B197" s="12" t="s">
        <v>296</v>
      </c>
      <c r="C197" s="5"/>
      <c r="D197" s="47" t="s">
        <v>253</v>
      </c>
      <c r="E197" s="120">
        <v>50</v>
      </c>
      <c r="F197" s="3">
        <f>E197/1000*2.4</f>
        <v>0.12</v>
      </c>
      <c r="G197" s="3" t="s">
        <v>254</v>
      </c>
    </row>
    <row r="198" spans="1:12" hidden="1" x14ac:dyDescent="0.25">
      <c r="A198" s="38" t="s">
        <v>13</v>
      </c>
      <c r="B198" s="12" t="s">
        <v>304</v>
      </c>
      <c r="C198" s="5"/>
      <c r="D198" s="6"/>
      <c r="E198" s="6" t="s">
        <v>305</v>
      </c>
      <c r="F198" s="3">
        <v>0</v>
      </c>
      <c r="G198" s="3" t="s">
        <v>254</v>
      </c>
    </row>
    <row r="199" spans="1:12" x14ac:dyDescent="0.25">
      <c r="A199" s="38" t="s">
        <v>13</v>
      </c>
      <c r="B199" s="12" t="s">
        <v>362</v>
      </c>
      <c r="C199" s="5"/>
      <c r="D199" s="6"/>
      <c r="E199" s="6"/>
      <c r="F199" s="3">
        <v>7.4999999999999997E-2</v>
      </c>
      <c r="G199" s="3" t="s">
        <v>254</v>
      </c>
    </row>
    <row r="200" spans="1:12" x14ac:dyDescent="0.25">
      <c r="A200" s="38"/>
      <c r="B200" s="12"/>
      <c r="C200" s="5"/>
      <c r="D200" s="6"/>
      <c r="E200" s="6" t="s">
        <v>235</v>
      </c>
      <c r="F200" s="4">
        <f>(F196+F197+F198+F199)</f>
        <v>0.495</v>
      </c>
      <c r="G200" s="3" t="s">
        <v>254</v>
      </c>
    </row>
    <row r="201" spans="1:12" x14ac:dyDescent="0.25">
      <c r="A201" s="6"/>
      <c r="B201" s="50"/>
      <c r="C201" s="50"/>
      <c r="D201" s="10"/>
      <c r="E201" s="4"/>
      <c r="F201" s="10"/>
      <c r="G201" s="10"/>
    </row>
    <row r="202" spans="1:12" ht="27" x14ac:dyDescent="0.3">
      <c r="A202" s="6"/>
      <c r="B202" s="20" t="s">
        <v>309</v>
      </c>
      <c r="C202" s="5" t="s">
        <v>164</v>
      </c>
      <c r="D202" s="6" t="s">
        <v>363</v>
      </c>
      <c r="E202" s="19" t="str">
        <f>"(("&amp;F200&amp;"*"&amp;E196&amp;")/(1+COS("&amp;D195&amp;")))"</f>
        <v>((0.495*7.582)/(1+COS(0.62)))</v>
      </c>
      <c r="F202" s="13">
        <f>(F200*E196)/(1+COS(D195))</f>
        <v>2.0690967392079513</v>
      </c>
      <c r="G202" s="3" t="s">
        <v>91</v>
      </c>
      <c r="H202" s="10" t="str">
        <f>Calculation!$F$122</f>
        <v xml:space="preserve"> </v>
      </c>
    </row>
    <row r="203" spans="1:12" ht="26.25" x14ac:dyDescent="0.25">
      <c r="A203" s="9" t="s">
        <v>13</v>
      </c>
      <c r="B203" s="20" t="s">
        <v>92</v>
      </c>
      <c r="C203" s="5" t="s">
        <v>93</v>
      </c>
      <c r="D203" s="19" t="s">
        <v>367</v>
      </c>
      <c r="E203" s="19" t="str">
        <f>"(("&amp;F200&amp;"*"&amp;E196&amp;")*(COS("&amp;D195&amp;")-((1)/(1+COS("&amp;D195&amp;")))))"</f>
        <v>((0.495*7.582)*(COS(0.62)-((1)/(1+COS(0.62)))))</v>
      </c>
      <c r="F203" s="13">
        <f>(F200*E196)*(COS(D195)-((1)/(1+COS(D195))))</f>
        <v>0.98546235770763824</v>
      </c>
      <c r="G203" s="3" t="s">
        <v>91</v>
      </c>
      <c r="J203" s="1183">
        <f>intro!$J$80</f>
        <v>0.28000000000000003</v>
      </c>
      <c r="K203" s="1084"/>
      <c r="L203" s="1085"/>
    </row>
    <row r="204" spans="1:12" x14ac:dyDescent="0.25">
      <c r="A204" s="38"/>
      <c r="B204" s="12"/>
      <c r="C204" s="5"/>
      <c r="D204" s="6"/>
      <c r="E204" s="6"/>
    </row>
    <row r="205" spans="1:12" ht="28.5" customHeight="1" x14ac:dyDescent="0.25">
      <c r="A205" s="9" t="s">
        <v>13</v>
      </c>
      <c r="B205" s="20" t="s">
        <v>94</v>
      </c>
      <c r="C205" s="5" t="s">
        <v>95</v>
      </c>
      <c r="D205" s="6"/>
      <c r="E205" s="19" t="str">
        <f>"("&amp;ROUND(F202,3)&amp;"*10^4/1000/"&amp;Calculation!D79&amp;"/1000)"</f>
        <v>(2.069*10^4/1000/0.125/1000)</v>
      </c>
      <c r="F205" s="13">
        <f>F202*10^4/1000/Calculation!D79/1000</f>
        <v>0.16552773913663613</v>
      </c>
      <c r="G205" s="3" t="s">
        <v>578</v>
      </c>
    </row>
    <row r="206" spans="1:12" x14ac:dyDescent="0.25">
      <c r="A206" s="38"/>
      <c r="B206" s="12"/>
      <c r="C206" s="5"/>
      <c r="D206" s="6"/>
      <c r="E206" s="6"/>
      <c r="F206" s="23" t="str">
        <f>IF(F205&gt;5,"REVISES THKNESS","OK")</f>
        <v>OK</v>
      </c>
    </row>
    <row r="207" spans="1:12" ht="30.75" customHeight="1" x14ac:dyDescent="0.25">
      <c r="A207" s="9" t="s">
        <v>13</v>
      </c>
      <c r="B207" s="20" t="s">
        <v>96</v>
      </c>
      <c r="C207" s="5" t="s">
        <v>97</v>
      </c>
      <c r="D207" s="6"/>
      <c r="E207" s="19" t="str">
        <f>"("&amp;ROUND(F203,3)&amp;"*10^4/1000/"&amp;Calculation!D79&amp;"/1000)"</f>
        <v>(0.985*10^4/1000/0.125/1000)</v>
      </c>
      <c r="F207" s="13">
        <f>F203*10^4/1000/Calculation!D79/1000</f>
        <v>7.8836988616611051E-2</v>
      </c>
      <c r="G207" s="3" t="s">
        <v>578</v>
      </c>
    </row>
    <row r="208" spans="1:12" x14ac:dyDescent="0.25">
      <c r="A208" s="6"/>
      <c r="B208" s="12"/>
      <c r="C208" s="5"/>
      <c r="D208" s="6"/>
      <c r="E208" s="6"/>
      <c r="F208" s="23" t="str">
        <f>IF(F207&gt;5,"REVISES THKNESS","OK")</f>
        <v>OK</v>
      </c>
      <c r="J208" s="622"/>
      <c r="K208" s="622"/>
    </row>
    <row r="209" spans="1:9" x14ac:dyDescent="0.25">
      <c r="A209" s="6"/>
      <c r="B209" s="12"/>
      <c r="C209" s="5"/>
      <c r="D209" s="6"/>
      <c r="E209" s="6"/>
    </row>
    <row r="210" spans="1:9" ht="18.75" x14ac:dyDescent="0.25">
      <c r="A210" s="6"/>
      <c r="B210" s="626" t="s">
        <v>1270</v>
      </c>
      <c r="C210" s="627"/>
      <c r="D210" s="628"/>
      <c r="E210" s="629">
        <f>intro!$J$80</f>
        <v>0.28000000000000003</v>
      </c>
      <c r="F210" s="41">
        <f>E210*Calculation!D79*1000*1000/100</f>
        <v>350</v>
      </c>
      <c r="G210" s="3" t="s">
        <v>98</v>
      </c>
      <c r="I210" s="622" t="s">
        <v>1269</v>
      </c>
    </row>
    <row r="211" spans="1:9" x14ac:dyDescent="0.25">
      <c r="A211" s="6"/>
      <c r="B211" s="12" t="s">
        <v>574</v>
      </c>
      <c r="C211" s="5"/>
      <c r="D211" s="6"/>
      <c r="E211" s="19" t="s">
        <v>575</v>
      </c>
    </row>
    <row r="212" spans="1:9" x14ac:dyDescent="0.25">
      <c r="A212" s="6"/>
      <c r="B212" s="12"/>
      <c r="C212" s="4" t="s">
        <v>255</v>
      </c>
      <c r="D212" s="6">
        <v>8</v>
      </c>
      <c r="E212" s="6">
        <v>125</v>
      </c>
      <c r="F212" s="3">
        <f>22/7*(D212)^2*0.25/(E212/1000)</f>
        <v>402.28571428571428</v>
      </c>
      <c r="G212" s="1184" t="str">
        <f>IF(F210&gt;F212,"REV","OK")</f>
        <v>OK</v>
      </c>
      <c r="H212" s="1085"/>
    </row>
    <row r="213" spans="1:9" x14ac:dyDescent="0.25">
      <c r="A213" s="6"/>
      <c r="B213" s="12"/>
      <c r="C213" s="5"/>
      <c r="D213" s="6"/>
      <c r="E213" s="6" t="s">
        <v>575</v>
      </c>
    </row>
    <row r="214" spans="1:9" ht="18.75" customHeight="1" x14ac:dyDescent="0.3">
      <c r="A214" s="6"/>
      <c r="B214" s="24" t="s">
        <v>302</v>
      </c>
      <c r="C214" s="6" t="s">
        <v>303</v>
      </c>
      <c r="D214" s="1147" t="str">
        <f>"(ROUND(2*22/7*("&amp;E196&amp;"+"&amp;Calculation!D79&amp;"/2)*"&amp;E195&amp;"*"&amp;F200&amp;",2))"</f>
        <v>(ROUND(2*22/7*(7.582+0.125/2)*1.517*0.495,2))</v>
      </c>
      <c r="E214" s="1148"/>
      <c r="F214" s="25">
        <f>ROUND(2*22/7*(E196+Calculation!D79/2)*E195*F200,2)</f>
        <v>36.08</v>
      </c>
      <c r="G214" s="3" t="s">
        <v>229</v>
      </c>
    </row>
    <row r="215" spans="1:9" ht="18.75" customHeight="1" x14ac:dyDescent="0.3">
      <c r="A215" s="6"/>
      <c r="B215" s="24"/>
      <c r="C215" s="6"/>
      <c r="D215" s="19"/>
      <c r="E215" s="175"/>
      <c r="F215" s="25"/>
    </row>
    <row r="216" spans="1:9" ht="18.75" customHeight="1" x14ac:dyDescent="0.25">
      <c r="A216" s="6"/>
      <c r="B216" s="623" t="s">
        <v>1066</v>
      </c>
      <c r="C216" s="624"/>
      <c r="D216" s="475"/>
      <c r="E216" s="475"/>
      <c r="F216" s="475"/>
      <c r="G216" s="475"/>
      <c r="H216" s="475"/>
    </row>
    <row r="217" spans="1:9" ht="18.75" customHeight="1" x14ac:dyDescent="0.25">
      <c r="A217" s="6"/>
      <c r="B217" s="476" t="s">
        <v>1067</v>
      </c>
      <c r="C217" s="475"/>
      <c r="D217" s="477" t="s">
        <v>442</v>
      </c>
      <c r="E217" s="478">
        <f>'cont ana'!F180</f>
        <v>73025.518599999996</v>
      </c>
      <c r="F217" s="479" t="s">
        <v>832</v>
      </c>
      <c r="G217" s="475"/>
      <c r="H217" s="475"/>
    </row>
    <row r="218" spans="1:9" ht="18.75" customHeight="1" x14ac:dyDescent="0.25">
      <c r="A218" s="6"/>
      <c r="B218" s="475"/>
      <c r="C218" s="479" t="str">
        <f>CONCATENATE(E217,"∕","(",E174,"x",1000,")")</f>
        <v>73025.5186∕(x1000)</v>
      </c>
      <c r="D218" s="477" t="s">
        <v>442</v>
      </c>
      <c r="E218" s="480">
        <f>E217/(C79*1000000)</f>
        <v>0.48683679066666663</v>
      </c>
      <c r="F218" s="479" t="s">
        <v>772</v>
      </c>
      <c r="G218" s="475"/>
      <c r="H218" s="475"/>
    </row>
    <row r="219" spans="1:9" ht="18.75" customHeight="1" x14ac:dyDescent="0.25">
      <c r="A219" s="6"/>
      <c r="B219" s="475"/>
      <c r="C219" s="475"/>
      <c r="D219" s="477" t="s">
        <v>1068</v>
      </c>
      <c r="E219" s="479">
        <f>intro!J44</f>
        <v>1.5</v>
      </c>
      <c r="F219" s="479" t="s">
        <v>772</v>
      </c>
      <c r="G219" s="23" t="str">
        <f>IF(E218&gt;E219,"REVISES THKNESS","OK")</f>
        <v>OK</v>
      </c>
      <c r="H219" s="475"/>
    </row>
    <row r="220" spans="1:9" ht="36" customHeight="1" x14ac:dyDescent="0.25">
      <c r="A220" s="6"/>
      <c r="B220" s="1151" t="str">
        <f>"Stiffen the dome over a length of 0.76√ Rt=0.76*√"&amp;G117&amp;"*"&amp;(C79)</f>
        <v>Stiffen the dome over a length of 0.76√ Rt=0.76*√7.582*0.15</v>
      </c>
      <c r="C220" s="1151"/>
      <c r="D220" s="477" t="s">
        <v>442</v>
      </c>
      <c r="E220" s="481">
        <f>0.76*SQRT(G117*(C79))</f>
        <v>0.81049644046102998</v>
      </c>
      <c r="F220" s="482" t="s">
        <v>1069</v>
      </c>
      <c r="G220" s="475"/>
      <c r="H220" s="475"/>
    </row>
    <row r="221" spans="1:9" ht="18.75" customHeight="1" x14ac:dyDescent="0.25">
      <c r="A221" s="6"/>
      <c r="B221" s="475"/>
      <c r="C221" s="483" t="s">
        <v>1070</v>
      </c>
      <c r="D221" s="484" t="s">
        <v>442</v>
      </c>
      <c r="E221" s="485">
        <f>ROUNDUP(E220,1)</f>
        <v>0.9</v>
      </c>
      <c r="F221" s="482" t="s">
        <v>1069</v>
      </c>
      <c r="G221" s="486"/>
      <c r="H221" s="475"/>
    </row>
    <row r="222" spans="1:9" ht="31.5" customHeight="1" x14ac:dyDescent="0.25">
      <c r="A222" s="6"/>
      <c r="B222" s="1151" t="str">
        <f>CONCATENATE("Area of hoop steel required = ",E217,"*",E221*1000,"/1000/",intro!J53,)</f>
        <v>Area of hoop steel required = 73025.5186*900/1000/130</v>
      </c>
      <c r="C222" s="1151"/>
      <c r="D222" s="477" t="s">
        <v>442</v>
      </c>
      <c r="E222" s="487">
        <f>E217*(E221*1000)/1000/intro!J53</f>
        <v>505.56128261538453</v>
      </c>
      <c r="F222" s="488" t="s">
        <v>1071</v>
      </c>
      <c r="G222" s="475"/>
      <c r="H222" s="475"/>
    </row>
    <row r="223" spans="1:9" ht="33" customHeight="1" x14ac:dyDescent="0.25">
      <c r="A223" s="6"/>
      <c r="B223" s="1151" t="str">
        <f>CONCATENATE("Min steel required = (",E210,"/100) *",E221*1000,"*",C79*1000,)</f>
        <v>Min steel required = (0.28/100) *900*150</v>
      </c>
      <c r="C223" s="1151"/>
      <c r="D223" s="477" t="s">
        <v>442</v>
      </c>
      <c r="E223" s="487">
        <f>(E210/100)*E221*1000*C79*1000</f>
        <v>378.00000000000006</v>
      </c>
      <c r="F223" s="488" t="s">
        <v>1071</v>
      </c>
      <c r="G223" s="475"/>
      <c r="H223" s="475"/>
    </row>
    <row r="224" spans="1:9" ht="18.75" customHeight="1" x14ac:dyDescent="0.25">
      <c r="A224" s="6"/>
      <c r="B224" s="476" t="s">
        <v>1072</v>
      </c>
      <c r="C224" s="475"/>
      <c r="D224" s="477" t="s">
        <v>442</v>
      </c>
      <c r="E224" s="489">
        <v>12</v>
      </c>
      <c r="F224" s="488" t="s">
        <v>202</v>
      </c>
      <c r="G224" s="475"/>
      <c r="H224" s="475"/>
    </row>
    <row r="225" spans="1:12" ht="18.75" customHeight="1" x14ac:dyDescent="0.25">
      <c r="A225" s="6"/>
      <c r="B225" s="476" t="s">
        <v>1073</v>
      </c>
      <c r="C225" s="475"/>
      <c r="D225" s="477" t="s">
        <v>442</v>
      </c>
      <c r="E225" s="490">
        <f>(3.14/4)*E224*E224</f>
        <v>113.03999999999999</v>
      </c>
      <c r="F225" s="488" t="s">
        <v>1071</v>
      </c>
      <c r="G225" s="475"/>
      <c r="H225" s="475"/>
    </row>
    <row r="226" spans="1:12" ht="18.75" customHeight="1" x14ac:dyDescent="0.25">
      <c r="A226" s="6"/>
      <c r="B226" s="476" t="s">
        <v>1074</v>
      </c>
      <c r="C226" s="475"/>
      <c r="D226" s="477" t="s">
        <v>442</v>
      </c>
      <c r="E226" s="487">
        <f>MAX(E222:E223)/E225</f>
        <v>4.4724104973052423</v>
      </c>
      <c r="F226" s="488" t="s">
        <v>1075</v>
      </c>
      <c r="G226" s="475"/>
      <c r="H226" s="475"/>
    </row>
    <row r="227" spans="1:12" ht="18.75" customHeight="1" x14ac:dyDescent="0.25">
      <c r="A227" s="6"/>
      <c r="B227" s="476" t="s">
        <v>1076</v>
      </c>
      <c r="C227" s="475"/>
      <c r="D227" s="477" t="s">
        <v>442</v>
      </c>
      <c r="E227" s="489">
        <f>ROUNDUP(E226,0)</f>
        <v>5</v>
      </c>
      <c r="F227" s="488" t="s">
        <v>1075</v>
      </c>
      <c r="G227" s="475"/>
      <c r="H227" s="475"/>
    </row>
    <row r="228" spans="1:12" ht="18.75" customHeight="1" x14ac:dyDescent="0.25">
      <c r="A228" s="6"/>
      <c r="B228" s="491" t="s">
        <v>1077</v>
      </c>
      <c r="C228" s="488"/>
      <c r="D228" s="488"/>
      <c r="E228" s="488"/>
      <c r="F228" s="488"/>
      <c r="G228" s="492"/>
      <c r="H228" s="482"/>
    </row>
    <row r="229" spans="1:12" ht="18.75" customHeight="1" x14ac:dyDescent="0.25">
      <c r="A229" s="6"/>
      <c r="B229" s="1149" t="s">
        <v>1078</v>
      </c>
      <c r="C229" s="1149"/>
      <c r="D229" s="1149"/>
      <c r="E229" s="1149"/>
      <c r="F229" s="1149"/>
      <c r="G229" s="1149"/>
      <c r="H229" s="1149"/>
    </row>
    <row r="230" spans="1:12" ht="18.75" customHeight="1" x14ac:dyDescent="0.25">
      <c r="A230" s="6"/>
      <c r="B230" s="488" t="str">
        <f>F200*10&amp;"*"&amp;ROUND(G117,2)&amp;"*"&amp;(C79)&amp;"/(4*sqrt(3))"</f>
        <v>4.95*7.58*0.15/(4*sqrt(3))</v>
      </c>
      <c r="C230" s="488"/>
      <c r="D230" s="493" t="s">
        <v>442</v>
      </c>
      <c r="E230" s="493">
        <f>ROUND(F200*10*G117*(C79*1000/1000)/(4*SQRT(3)),2)</f>
        <v>0.81</v>
      </c>
      <c r="F230" s="488" t="s">
        <v>1079</v>
      </c>
      <c r="G230" s="482"/>
      <c r="H230" s="482"/>
    </row>
    <row r="231" spans="1:12" ht="18.75" customHeight="1" x14ac:dyDescent="0.25">
      <c r="A231" s="6"/>
      <c r="B231" s="488" t="s">
        <v>1080</v>
      </c>
      <c r="C231" s="488"/>
      <c r="D231" s="493" t="s">
        <v>442</v>
      </c>
      <c r="E231" s="494">
        <f>'cont ana'!D180/1000</f>
        <v>-4.1249273000000004</v>
      </c>
      <c r="F231" s="488" t="s">
        <v>1079</v>
      </c>
      <c r="G231" s="482"/>
      <c r="H231" s="482"/>
    </row>
    <row r="232" spans="1:12" ht="18.75" customHeight="1" x14ac:dyDescent="0.25">
      <c r="A232" s="6"/>
      <c r="B232" s="488" t="s">
        <v>1081</v>
      </c>
      <c r="C232" s="488"/>
      <c r="D232" s="493" t="s">
        <v>442</v>
      </c>
      <c r="E232" s="494">
        <f>MAX(ABS(E231),E230)</f>
        <v>4.1249273000000004</v>
      </c>
      <c r="F232" s="488" t="s">
        <v>1079</v>
      </c>
      <c r="G232" s="482"/>
      <c r="H232" s="482"/>
    </row>
    <row r="233" spans="1:12" ht="18.75" customHeight="1" x14ac:dyDescent="0.25">
      <c r="A233" s="6"/>
      <c r="B233" s="488" t="s">
        <v>1082</v>
      </c>
      <c r="C233" s="488"/>
      <c r="D233" s="493"/>
      <c r="E233" s="493"/>
      <c r="F233" s="488"/>
      <c r="G233" s="482"/>
      <c r="H233" s="482"/>
    </row>
    <row r="234" spans="1:12" ht="18.75" customHeight="1" x14ac:dyDescent="0.25">
      <c r="A234" s="6"/>
      <c r="B234" s="482"/>
      <c r="C234" s="495" t="str">
        <f>"sqrt("&amp;E230*1000&amp;"/"&amp;intro!J109&amp;")"</f>
        <v>sqrt(810/0.33)</v>
      </c>
      <c r="D234" s="493" t="s">
        <v>442</v>
      </c>
      <c r="E234" s="493">
        <f>ROUND(SQRT(E232*1000/intro!J109),2)</f>
        <v>111.8</v>
      </c>
      <c r="F234" s="488" t="s">
        <v>202</v>
      </c>
      <c r="G234" s="482"/>
      <c r="H234" s="482"/>
    </row>
    <row r="235" spans="1:12" ht="18.75" customHeight="1" x14ac:dyDescent="0.25">
      <c r="A235" s="6"/>
      <c r="B235" s="496"/>
      <c r="C235" s="488"/>
      <c r="D235" s="493" t="s">
        <v>1068</v>
      </c>
      <c r="E235" s="497">
        <f>D79*1000</f>
        <v>125</v>
      </c>
      <c r="F235" s="488" t="s">
        <v>202</v>
      </c>
      <c r="G235" s="561" t="str">
        <f>IF(E235&gt;E234,"Hence OK","Change the thickness")</f>
        <v>Hence OK</v>
      </c>
      <c r="H235" s="562"/>
      <c r="J235" s="622"/>
    </row>
    <row r="236" spans="1:12" ht="18.75" customHeight="1" x14ac:dyDescent="0.25">
      <c r="A236" s="6"/>
      <c r="B236" s="499" t="str">
        <f>"Provided thickness at Springings is " &amp;C79*1000&amp; " mm."</f>
        <v>Provided thickness at Springings is 150 mm.</v>
      </c>
      <c r="C236" s="488"/>
      <c r="D236" s="493"/>
      <c r="E236" s="497"/>
      <c r="F236" s="488"/>
      <c r="G236" s="498"/>
      <c r="H236" s="482"/>
    </row>
    <row r="237" spans="1:12" ht="18.75" customHeight="1" x14ac:dyDescent="0.25">
      <c r="A237" s="6"/>
      <c r="B237" s="488" t="s">
        <v>494</v>
      </c>
      <c r="C237" s="488"/>
      <c r="D237" s="493" t="s">
        <v>442</v>
      </c>
      <c r="E237" s="500">
        <f>$F$49</f>
        <v>45</v>
      </c>
      <c r="F237" s="488" t="s">
        <v>202</v>
      </c>
      <c r="G237" s="482"/>
      <c r="H237" s="482"/>
      <c r="I237" s="622"/>
      <c r="L237" s="182"/>
    </row>
    <row r="238" spans="1:12" ht="18.75" customHeight="1" x14ac:dyDescent="0.25">
      <c r="A238" s="6"/>
      <c r="B238" s="488" t="s">
        <v>1083</v>
      </c>
      <c r="C238" s="488"/>
      <c r="D238" s="493" t="s">
        <v>442</v>
      </c>
      <c r="E238" s="493">
        <f>(C79*1000)-E237</f>
        <v>105</v>
      </c>
      <c r="F238" s="488" t="s">
        <v>202</v>
      </c>
      <c r="G238" s="482"/>
      <c r="H238" s="482"/>
    </row>
    <row r="239" spans="1:12" ht="18.75" customHeight="1" x14ac:dyDescent="0.25">
      <c r="A239" s="6"/>
      <c r="B239" s="496" t="s">
        <v>1084</v>
      </c>
      <c r="C239" s="496"/>
      <c r="D239" s="493"/>
      <c r="E239" s="496"/>
      <c r="F239" s="496"/>
      <c r="G239" s="496"/>
      <c r="H239" s="496"/>
    </row>
    <row r="240" spans="1:12" ht="18" customHeight="1" x14ac:dyDescent="0.25">
      <c r="A240" s="6"/>
      <c r="B240" s="1160" t="str">
        <f>CONCATENATE(E232*1000,"*1000 /",intro!J83,"*",intro!J88,"*",E238)</f>
        <v>4124.9273*1000 /130*0.86*105</v>
      </c>
      <c r="C240" s="1160"/>
      <c r="D240" s="493" t="s">
        <v>442</v>
      </c>
      <c r="E240" s="501">
        <f>((E232*1000)*1000)/(intro!J83*intro!J88*E238)</f>
        <v>351.38660022148395</v>
      </c>
      <c r="F240" s="488" t="s">
        <v>1071</v>
      </c>
      <c r="G240" s="496"/>
      <c r="H240" s="496"/>
    </row>
    <row r="241" spans="1:10" ht="18.75" customHeight="1" x14ac:dyDescent="0.25">
      <c r="A241" s="6"/>
      <c r="B241" s="496" t="s">
        <v>1085</v>
      </c>
      <c r="C241" s="496"/>
      <c r="D241" s="493" t="s">
        <v>442</v>
      </c>
      <c r="E241" s="501">
        <f>E223</f>
        <v>378.00000000000006</v>
      </c>
      <c r="F241" s="488" t="s">
        <v>1071</v>
      </c>
      <c r="G241" s="496"/>
      <c r="H241" s="496"/>
    </row>
    <row r="242" spans="1:10" ht="18.75" customHeight="1" x14ac:dyDescent="0.25">
      <c r="A242" s="6"/>
      <c r="B242" s="476" t="s">
        <v>1072</v>
      </c>
      <c r="C242" s="496"/>
      <c r="D242" s="493" t="s">
        <v>442</v>
      </c>
      <c r="E242" s="638">
        <v>8</v>
      </c>
      <c r="F242" s="488" t="s">
        <v>202</v>
      </c>
      <c r="G242" s="496"/>
      <c r="H242" s="496"/>
    </row>
    <row r="243" spans="1:10" ht="18.75" customHeight="1" x14ac:dyDescent="0.25">
      <c r="A243" s="6"/>
      <c r="B243" s="496" t="s">
        <v>1073</v>
      </c>
      <c r="C243" s="496"/>
      <c r="D243" s="493" t="s">
        <v>442</v>
      </c>
      <c r="E243" s="501">
        <f>(3.14/4)*E242*E242</f>
        <v>50.24</v>
      </c>
      <c r="F243" s="488" t="s">
        <v>1071</v>
      </c>
      <c r="G243" s="496"/>
      <c r="H243" s="496"/>
    </row>
    <row r="244" spans="1:10" ht="18.75" customHeight="1" x14ac:dyDescent="0.25">
      <c r="A244" s="6"/>
      <c r="B244" s="496" t="s">
        <v>1086</v>
      </c>
      <c r="C244" s="496"/>
      <c r="D244" s="493" t="s">
        <v>442</v>
      </c>
      <c r="E244" s="501">
        <f>(1000*E243)/MAX(E240:E241)</f>
        <v>132.91005291005288</v>
      </c>
      <c r="F244" s="488" t="s">
        <v>202</v>
      </c>
      <c r="G244" s="496"/>
      <c r="H244" s="496"/>
    </row>
    <row r="245" spans="1:10" ht="18.75" customHeight="1" x14ac:dyDescent="0.25">
      <c r="A245" s="6"/>
      <c r="B245" s="496" t="s">
        <v>1087</v>
      </c>
      <c r="C245" s="496"/>
      <c r="D245" s="493" t="s">
        <v>442</v>
      </c>
      <c r="E245" s="638">
        <v>125</v>
      </c>
      <c r="F245" s="488" t="s">
        <v>202</v>
      </c>
      <c r="G245" s="1153" t="str">
        <f>IF(E244&lt;E245,"REVISES THKNESS","OK")</f>
        <v>OK</v>
      </c>
      <c r="H245" s="1154"/>
      <c r="J245" s="10" t="s">
        <v>1306</v>
      </c>
    </row>
    <row r="246" spans="1:10" ht="18.75" customHeight="1" x14ac:dyDescent="0.25">
      <c r="A246" s="6"/>
      <c r="B246" s="496"/>
      <c r="C246" s="496"/>
      <c r="D246" s="493"/>
      <c r="E246" s="502"/>
      <c r="F246" s="488"/>
      <c r="G246" s="496"/>
      <c r="H246" s="496"/>
    </row>
    <row r="247" spans="1:10" ht="48.75" customHeight="1" x14ac:dyDescent="0.25">
      <c r="A247" s="6"/>
      <c r="B247" s="1150" t="str">
        <f>CONCATENATE("Increase the edge of the dome slab to ",C79*1000,"mm and reduce to",D79*1000,"mm  at ",E221,"m from edge and provide extra rod ",E224,"mm ",E227," Nos  in Radially &amp; ",E242,"mm @",E245," mm c/c on top face Circumferentially in ",E221," mtr length to take care of edge moments. ")</f>
        <v xml:space="preserve">Increase the edge of the dome slab to 150mm and reduce to125mm  at 0.9m from edge and provide extra rod 12mm 5 Nos  in Radially &amp; 8mm @125 mm c/c on top face Circumferentially in 0.9 mtr length to take care of edge moments. </v>
      </c>
      <c r="C247" s="1150"/>
      <c r="D247" s="1150"/>
      <c r="E247" s="1150"/>
      <c r="F247" s="1150"/>
      <c r="G247" s="1150"/>
      <c r="H247" s="1150"/>
      <c r="I247" s="622" t="s">
        <v>1306</v>
      </c>
    </row>
    <row r="248" spans="1:10" ht="18.75" customHeight="1" x14ac:dyDescent="0.3">
      <c r="A248" s="6"/>
      <c r="B248" s="24"/>
      <c r="C248" s="6"/>
      <c r="D248" s="5"/>
      <c r="E248" s="175"/>
      <c r="F248" s="25"/>
    </row>
    <row r="249" spans="1:10" x14ac:dyDescent="0.25">
      <c r="A249" s="6"/>
      <c r="B249" s="12"/>
      <c r="C249" s="5"/>
      <c r="D249" s="6"/>
      <c r="E249" s="6"/>
    </row>
    <row r="250" spans="1:10" x14ac:dyDescent="0.25">
      <c r="A250" s="6"/>
      <c r="B250" s="12"/>
      <c r="C250" s="5"/>
      <c r="D250" s="6"/>
      <c r="E250" s="6"/>
    </row>
    <row r="251" spans="1:10" x14ac:dyDescent="0.25">
      <c r="A251" s="6"/>
      <c r="B251" s="6" t="str">
        <f>CONCATENATE(E242," dia",E245," c/c")</f>
        <v>8 dia125 c/c</v>
      </c>
      <c r="C251" s="5"/>
      <c r="D251" s="6"/>
      <c r="E251" s="6"/>
    </row>
    <row r="252" spans="1:10" x14ac:dyDescent="0.25">
      <c r="A252" s="6"/>
      <c r="B252" s="12"/>
      <c r="C252" s="5"/>
      <c r="D252" s="6"/>
      <c r="E252" s="6"/>
    </row>
    <row r="253" spans="1:10" x14ac:dyDescent="0.25">
      <c r="A253" s="6"/>
      <c r="B253" s="12"/>
      <c r="C253" s="5"/>
      <c r="D253" s="6"/>
      <c r="E253" s="6"/>
    </row>
    <row r="254" spans="1:10" x14ac:dyDescent="0.25">
      <c r="A254" s="6"/>
      <c r="B254" s="12"/>
      <c r="C254" s="5"/>
      <c r="D254" s="6"/>
      <c r="E254" s="6"/>
    </row>
    <row r="255" spans="1:10" x14ac:dyDescent="0.25">
      <c r="A255" s="6"/>
      <c r="B255" s="5" t="str">
        <f>CONCATENATE(E221,"m")</f>
        <v>0.9m</v>
      </c>
      <c r="C255" s="5"/>
      <c r="D255" s="6"/>
      <c r="E255" s="6"/>
    </row>
    <row r="256" spans="1:10" x14ac:dyDescent="0.25">
      <c r="A256" s="6"/>
      <c r="B256" s="12"/>
      <c r="C256" s="5"/>
      <c r="D256" s="6"/>
      <c r="E256" s="39" t="str">
        <f>CONCATENATE(D212," dia",E212," c/c")</f>
        <v>8 dia125 c/c</v>
      </c>
    </row>
    <row r="257" spans="1:17" x14ac:dyDescent="0.25">
      <c r="A257" s="6"/>
      <c r="B257" s="12"/>
      <c r="C257" s="5"/>
      <c r="D257" s="6"/>
      <c r="E257" s="6"/>
    </row>
    <row r="258" spans="1:17" x14ac:dyDescent="0.25">
      <c r="A258" s="6"/>
      <c r="B258" s="12"/>
      <c r="C258" s="5"/>
      <c r="D258" s="6"/>
      <c r="E258" s="39" t="str">
        <f>CONCATENATE(D79*1000," mm thk")</f>
        <v>125 mm thk</v>
      </c>
    </row>
    <row r="259" spans="1:17" x14ac:dyDescent="0.25">
      <c r="A259" s="6"/>
      <c r="B259" s="12"/>
      <c r="C259" s="1141" t="str">
        <f>CONCATENATE(E227," nos",E224," dia")</f>
        <v>5 nos12 dia</v>
      </c>
      <c r="D259" s="1142"/>
      <c r="E259" s="6"/>
    </row>
    <row r="260" spans="1:17" x14ac:dyDescent="0.25">
      <c r="A260" s="6"/>
      <c r="B260" s="12"/>
      <c r="C260" s="5"/>
      <c r="D260" s="6"/>
      <c r="E260" s="6"/>
    </row>
    <row r="261" spans="1:17" x14ac:dyDescent="0.25">
      <c r="A261" s="6"/>
      <c r="B261" s="12"/>
      <c r="C261" s="5"/>
      <c r="D261" s="6" t="str">
        <f>CONCATENATE(C79*1000," mm thk")</f>
        <v>150 mm thk</v>
      </c>
      <c r="E261" s="6"/>
    </row>
    <row r="262" spans="1:17" x14ac:dyDescent="0.25">
      <c r="A262" s="6"/>
      <c r="B262" s="12"/>
      <c r="C262" s="5"/>
      <c r="D262" s="6"/>
      <c r="E262" s="6"/>
    </row>
    <row r="263" spans="1:17" x14ac:dyDescent="0.25">
      <c r="A263" s="6"/>
      <c r="B263" s="12"/>
      <c r="C263" s="5"/>
      <c r="D263" s="6"/>
      <c r="E263" s="6"/>
    </row>
    <row r="264" spans="1:17" x14ac:dyDescent="0.25">
      <c r="A264" s="6"/>
      <c r="B264" s="12"/>
      <c r="C264" s="5"/>
      <c r="D264" s="6"/>
      <c r="E264" s="6"/>
    </row>
    <row r="265" spans="1:17" x14ac:dyDescent="0.25">
      <c r="A265" s="6"/>
      <c r="B265" s="12"/>
      <c r="C265" s="5"/>
      <c r="D265" s="6"/>
      <c r="E265" s="6"/>
    </row>
    <row r="266" spans="1:17" x14ac:dyDescent="0.25">
      <c r="A266" s="6"/>
      <c r="B266" s="12"/>
      <c r="C266" s="5"/>
      <c r="D266" s="6"/>
      <c r="E266" s="6"/>
    </row>
    <row r="267" spans="1:17" x14ac:dyDescent="0.25">
      <c r="A267" s="36" t="s">
        <v>99</v>
      </c>
      <c r="B267" s="37" t="s">
        <v>100</v>
      </c>
      <c r="C267" s="36"/>
      <c r="D267" s="6"/>
      <c r="E267" s="6"/>
    </row>
    <row r="268" spans="1:17" x14ac:dyDescent="0.25">
      <c r="A268" s="6"/>
      <c r="B268" s="5"/>
      <c r="C268" s="5">
        <f>Calculation!$C$81</f>
        <v>300</v>
      </c>
      <c r="D268" s="504">
        <f>Calculation!$C$82</f>
        <v>300</v>
      </c>
      <c r="E268" s="6"/>
    </row>
    <row r="269" spans="1:17" x14ac:dyDescent="0.25">
      <c r="J269" s="144"/>
      <c r="K269" s="144"/>
      <c r="L269" s="568"/>
      <c r="M269" s="568"/>
      <c r="N269" s="150"/>
      <c r="O269" s="144"/>
      <c r="P269" s="568"/>
      <c r="Q269" s="150"/>
    </row>
    <row r="270" spans="1:17" ht="27" customHeight="1" x14ac:dyDescent="0.25">
      <c r="A270" s="9" t="s">
        <v>13</v>
      </c>
      <c r="B270" s="20" t="s">
        <v>101</v>
      </c>
      <c r="C270" s="5" t="s">
        <v>102</v>
      </c>
      <c r="D270" s="6" t="s">
        <v>104</v>
      </c>
      <c r="E270" s="19" t="str">
        <f>"("&amp;ROUND(F202,3)&amp;"*COS(RADIANS("&amp;ROUND(Calculation!C80,3)&amp;"))*"&amp;Calculation!F65&amp;"/2)"</f>
        <v>(2.069*COS(RADIANS(0.616))*9.1/2)</v>
      </c>
      <c r="F270" s="13">
        <f>ROUND((F202*COS(RADIANS(Calculation!C80))*Calculation!F65/2),3)</f>
        <v>9.4139999999999997</v>
      </c>
      <c r="G270" s="3" t="s">
        <v>103</v>
      </c>
      <c r="J270" s="144"/>
      <c r="K270" s="144"/>
      <c r="L270" s="568"/>
      <c r="M270" s="568"/>
      <c r="N270" s="150"/>
      <c r="O270" s="144"/>
      <c r="P270" s="568"/>
      <c r="Q270" s="150"/>
    </row>
    <row r="271" spans="1:17" ht="27" customHeight="1" x14ac:dyDescent="0.25">
      <c r="A271" s="9"/>
      <c r="B271" s="20" t="s">
        <v>310</v>
      </c>
      <c r="C271" s="5"/>
      <c r="D271" s="6"/>
      <c r="E271" s="19"/>
      <c r="F271" s="13">
        <v>0</v>
      </c>
      <c r="G271" s="3" t="s">
        <v>210</v>
      </c>
      <c r="J271" s="625"/>
      <c r="K271" s="625"/>
      <c r="L271" s="568"/>
      <c r="M271" s="568"/>
      <c r="N271" s="150"/>
      <c r="O271" s="144"/>
      <c r="P271" s="568"/>
      <c r="Q271" s="150"/>
    </row>
    <row r="272" spans="1:17" ht="27" customHeight="1" x14ac:dyDescent="0.25">
      <c r="A272" s="9"/>
      <c r="B272" s="20" t="s">
        <v>1234</v>
      </c>
      <c r="C272" s="5"/>
      <c r="D272" s="6"/>
      <c r="E272" s="19"/>
      <c r="F272" s="13">
        <f>C81</f>
        <v>300</v>
      </c>
      <c r="G272" s="3" t="s">
        <v>202</v>
      </c>
      <c r="J272" s="144"/>
      <c r="K272" s="144"/>
      <c r="L272" s="568"/>
      <c r="M272" s="568"/>
      <c r="N272" s="150"/>
      <c r="O272" s="144"/>
      <c r="P272" s="568"/>
      <c r="Q272" s="150"/>
    </row>
    <row r="273" spans="1:29" ht="27" customHeight="1" x14ac:dyDescent="0.25">
      <c r="A273" s="9"/>
      <c r="B273" s="10" t="s">
        <v>1239</v>
      </c>
      <c r="C273" s="10"/>
      <c r="D273" s="10"/>
      <c r="E273" s="10"/>
      <c r="F273" s="571">
        <f>$F$49</f>
        <v>45</v>
      </c>
      <c r="G273" s="10" t="s">
        <v>202</v>
      </c>
      <c r="I273" s="622"/>
      <c r="J273" s="144"/>
      <c r="K273" s="144"/>
      <c r="L273" s="568"/>
      <c r="M273" s="568"/>
      <c r="N273" s="150"/>
      <c r="O273" s="144"/>
      <c r="P273" s="568"/>
      <c r="Q273" s="150"/>
    </row>
    <row r="274" spans="1:29" ht="27" customHeight="1" x14ac:dyDescent="0.25">
      <c r="A274" s="9"/>
      <c r="B274" s="20" t="s">
        <v>1235</v>
      </c>
      <c r="C274" s="5"/>
      <c r="D274" s="6"/>
      <c r="E274" s="19"/>
      <c r="F274" s="13">
        <f>C82</f>
        <v>300</v>
      </c>
      <c r="G274" s="3" t="s">
        <v>202</v>
      </c>
      <c r="J274" s="144"/>
      <c r="K274" s="144"/>
      <c r="L274" s="568"/>
      <c r="M274" s="568"/>
      <c r="N274" s="150"/>
      <c r="O274" s="144"/>
      <c r="P274" s="568"/>
      <c r="Q274" s="150"/>
    </row>
    <row r="275" spans="1:29" ht="27" customHeight="1" x14ac:dyDescent="0.25">
      <c r="A275" s="9"/>
      <c r="B275" s="569" t="s">
        <v>1271</v>
      </c>
      <c r="C275" s="5"/>
      <c r="D275" s="6"/>
      <c r="E275" s="19" t="str">
        <f>CONCATENATE(F272,"-",F273,"-10")</f>
        <v>300-45-10</v>
      </c>
      <c r="F275" s="13">
        <f>F272-F273-10</f>
        <v>245</v>
      </c>
      <c r="G275" s="3" t="s">
        <v>202</v>
      </c>
      <c r="J275" s="144"/>
      <c r="K275" s="144"/>
      <c r="L275" s="568"/>
      <c r="M275" s="568"/>
      <c r="N275" s="150"/>
      <c r="O275" s="144"/>
      <c r="P275" s="568"/>
      <c r="Q275" s="150"/>
    </row>
    <row r="276" spans="1:29" ht="27" customHeight="1" x14ac:dyDescent="0.25">
      <c r="A276" s="9"/>
      <c r="B276" s="569" t="s">
        <v>1277</v>
      </c>
      <c r="C276" s="5"/>
      <c r="D276" s="6"/>
      <c r="E276" s="19"/>
      <c r="F276" s="13">
        <f>intro!$J$74</f>
        <v>130</v>
      </c>
      <c r="G276" s="216" t="s">
        <v>260</v>
      </c>
      <c r="J276" s="144"/>
      <c r="K276" s="144"/>
      <c r="L276" s="568"/>
      <c r="M276" s="568"/>
      <c r="N276" s="150"/>
      <c r="O276" s="144"/>
      <c r="P276" s="568"/>
      <c r="Q276" s="150"/>
    </row>
    <row r="277" spans="1:29" ht="27" customHeight="1" x14ac:dyDescent="0.25">
      <c r="A277" s="9"/>
      <c r="B277" s="569" t="s">
        <v>1272</v>
      </c>
      <c r="C277" s="5"/>
      <c r="D277" s="6"/>
      <c r="E277" s="19" t="str">
        <f>CONCATENATE("(",F271,"*10^7)/(",F276,"*(",F275,"-",F273,"/10))+((",F270,"*10000)/(",F276,"*2))")</f>
        <v>(0*10^7)/(130*(245-45/10))+((9.414*10000)/(130*2))</v>
      </c>
      <c r="F277" s="13">
        <f>(F271*10^7)/(F276*(F275-F272/10))+((F270*10000)/(F276*2))</f>
        <v>362.07692307692309</v>
      </c>
      <c r="G277" s="216" t="s">
        <v>679</v>
      </c>
      <c r="J277" s="144"/>
      <c r="K277" s="144"/>
      <c r="L277" s="568"/>
      <c r="M277" s="568"/>
      <c r="N277" s="150"/>
      <c r="O277" s="144"/>
      <c r="P277" s="568"/>
      <c r="Q277" s="150"/>
    </row>
    <row r="278" spans="1:29" ht="27" customHeight="1" x14ac:dyDescent="0.25">
      <c r="A278" s="9"/>
      <c r="B278" s="569" t="s">
        <v>1273</v>
      </c>
      <c r="C278" s="5"/>
      <c r="D278" s="6"/>
      <c r="E278" s="19"/>
      <c r="F278" s="572">
        <f>F277*2</f>
        <v>724.15384615384619</v>
      </c>
      <c r="G278" s="216" t="s">
        <v>679</v>
      </c>
      <c r="J278" s="144"/>
      <c r="K278" s="144"/>
      <c r="L278" s="568"/>
      <c r="M278" s="568"/>
      <c r="N278" s="150"/>
      <c r="O278" s="144"/>
      <c r="P278" s="568"/>
      <c r="Q278" s="150"/>
    </row>
    <row r="279" spans="1:29" ht="27" customHeight="1" x14ac:dyDescent="0.25">
      <c r="A279" s="9"/>
      <c r="B279" s="569" t="s">
        <v>1241</v>
      </c>
      <c r="C279" s="5"/>
      <c r="D279" s="6"/>
      <c r="E279" s="19" t="str">
        <f>CONCATENATE(F274,"*(",F272,"-",F273,")*(",F272,"-",F273,")/2")</f>
        <v>300*(300-45)*(300-45)/2</v>
      </c>
      <c r="F279" s="573">
        <f>ROUND(F274*(F272-F273)*(F272-F273)/2,2)</f>
        <v>9753750</v>
      </c>
      <c r="G279" s="216" t="s">
        <v>1242</v>
      </c>
      <c r="J279" s="144"/>
      <c r="K279" s="144"/>
      <c r="L279" s="568"/>
      <c r="M279" s="568"/>
      <c r="N279" s="150"/>
      <c r="O279" s="144"/>
      <c r="P279" s="568"/>
      <c r="Q279" s="150"/>
    </row>
    <row r="280" spans="1:29" ht="27" customHeight="1" x14ac:dyDescent="0.25">
      <c r="A280" s="9"/>
      <c r="B280" s="569" t="s">
        <v>1243</v>
      </c>
      <c r="C280" s="5"/>
      <c r="D280" s="6"/>
      <c r="E280" s="19" t="str">
        <f>CONCATENATE($F$46,"*",F277,"*(",F272,"-",F273,")")</f>
        <v>8.33*362.076923076923*(300-45)</v>
      </c>
      <c r="F280" s="573">
        <f>ROUND(ABS($F$46*F277*(F272-F273)),3)</f>
        <v>769105.696</v>
      </c>
      <c r="G280" s="216" t="s">
        <v>1242</v>
      </c>
      <c r="I280" s="10">
        <f>$F$46</f>
        <v>8.33</v>
      </c>
      <c r="J280" s="144"/>
      <c r="K280" s="144"/>
      <c r="L280" s="568"/>
      <c r="M280" s="568"/>
      <c r="N280" s="150"/>
      <c r="O280" s="144"/>
      <c r="P280" s="568"/>
      <c r="Q280" s="150"/>
    </row>
    <row r="281" spans="1:29" ht="27" customHeight="1" x14ac:dyDescent="0.25">
      <c r="A281" s="9"/>
      <c r="B281" s="569" t="s">
        <v>1274</v>
      </c>
      <c r="C281" s="5"/>
      <c r="D281" s="6"/>
      <c r="E281" s="19" t="str">
        <f>CONCATENATE(F274,"*",F272,"")</f>
        <v>300*300</v>
      </c>
      <c r="F281" s="573">
        <f>F274*F272</f>
        <v>90000</v>
      </c>
      <c r="G281" s="216" t="s">
        <v>679</v>
      </c>
      <c r="J281" s="144"/>
      <c r="K281" s="144"/>
      <c r="L281" s="568"/>
      <c r="M281" s="568"/>
      <c r="N281" s="150"/>
      <c r="O281" s="144"/>
      <c r="P281" s="568"/>
      <c r="Q281" s="150"/>
    </row>
    <row r="282" spans="1:29" ht="27" customHeight="1" x14ac:dyDescent="0.25">
      <c r="A282" s="9"/>
      <c r="B282" s="569" t="s">
        <v>1275</v>
      </c>
      <c r="C282" s="5"/>
      <c r="D282" s="6"/>
      <c r="E282" s="19" t="str">
        <f>CONCATENATE($F$46,"*",F277)</f>
        <v>8.33*362.076923076923</v>
      </c>
      <c r="F282" s="570">
        <f>$F$46*F277</f>
        <v>3016.1007692307694</v>
      </c>
      <c r="G282" s="216" t="s">
        <v>679</v>
      </c>
      <c r="J282" s="144"/>
      <c r="K282" s="144"/>
      <c r="L282" s="568"/>
      <c r="M282" s="568"/>
      <c r="N282" s="150"/>
      <c r="O282" s="144"/>
      <c r="P282" s="568"/>
      <c r="Q282" s="150"/>
    </row>
    <row r="283" spans="1:29" ht="30" customHeight="1" x14ac:dyDescent="0.25">
      <c r="A283" s="9"/>
      <c r="B283" s="569" t="s">
        <v>1246</v>
      </c>
      <c r="C283" s="5"/>
      <c r="D283" s="6"/>
      <c r="E283" s="19" t="str">
        <f>CONCATENATE("(",F279,"+",F280,")/(",F281,"+",F282,")")</f>
        <v>(9753750+769105.696)/(90000+3016.10076923077)</v>
      </c>
      <c r="F283" s="574">
        <f>ROUND(((F279+F280)/(F281+F282)),3)</f>
        <v>113.129</v>
      </c>
      <c r="G283" s="216" t="s">
        <v>202</v>
      </c>
      <c r="J283" s="144"/>
      <c r="K283" s="10" t="s">
        <v>1713</v>
      </c>
      <c r="N283" s="10" t="s">
        <v>1714</v>
      </c>
      <c r="O283" s="144"/>
      <c r="P283" s="568"/>
      <c r="Q283" s="150"/>
    </row>
    <row r="284" spans="1:29" ht="27" customHeight="1" x14ac:dyDescent="0.25">
      <c r="A284" s="9"/>
      <c r="B284" s="20"/>
      <c r="C284" s="5"/>
      <c r="D284" s="6"/>
      <c r="E284" s="19"/>
      <c r="F284" s="13"/>
      <c r="J284" s="144"/>
      <c r="K284" s="10">
        <v>6</v>
      </c>
      <c r="L284" s="10" t="s">
        <v>1859</v>
      </c>
      <c r="M284" s="10" t="s">
        <v>1869</v>
      </c>
      <c r="N284" s="10">
        <v>10</v>
      </c>
      <c r="O284" s="144"/>
      <c r="P284" s="568"/>
      <c r="Q284" s="150"/>
    </row>
    <row r="285" spans="1:29" ht="27" customHeight="1" x14ac:dyDescent="0.3">
      <c r="A285" s="9"/>
      <c r="B285" s="569" t="s">
        <v>1247</v>
      </c>
      <c r="C285" s="5"/>
      <c r="D285" s="630" t="s">
        <v>1276</v>
      </c>
      <c r="E285" s="19" t="str">
        <f>CONCATENATE(F274,"*POWER((",F272,"),3)/12")</f>
        <v>300*POWER((300),3)/12</v>
      </c>
      <c r="F285" s="573">
        <f>ROUND(F274*POWER((F272),3)/12,3)</f>
        <v>675000000</v>
      </c>
      <c r="G285" s="216" t="s">
        <v>1242</v>
      </c>
      <c r="J285" s="144"/>
      <c r="K285" s="10">
        <v>8</v>
      </c>
      <c r="L285" s="10" t="s">
        <v>1860</v>
      </c>
      <c r="M285" s="10" t="s">
        <v>1870</v>
      </c>
      <c r="N285" s="10">
        <v>12</v>
      </c>
      <c r="O285" s="144"/>
      <c r="P285" s="568"/>
      <c r="Q285" s="150"/>
    </row>
    <row r="286" spans="1:29" ht="37.5" customHeight="1" x14ac:dyDescent="0.25">
      <c r="A286" s="9"/>
      <c r="B286" s="569" t="s">
        <v>1250</v>
      </c>
      <c r="C286" s="5"/>
      <c r="D286" s="6"/>
      <c r="E286" s="19" t="str">
        <f>CONCATENATE(F274,"*(",F272,")*POWER((",F283,"-(",F272,")/2),2)")</f>
        <v>300*(300)*POWER((113.129-(300)/2),2)</v>
      </c>
      <c r="F286" s="573">
        <f>ROUND(F274*(F272)*POWER((F283-(F272)/2),2),2)</f>
        <v>122352357.69</v>
      </c>
      <c r="G286" s="216" t="s">
        <v>1242</v>
      </c>
      <c r="J286" s="144"/>
      <c r="K286" s="10">
        <v>10</v>
      </c>
      <c r="L286" s="10" t="s">
        <v>1861</v>
      </c>
      <c r="M286" s="10" t="s">
        <v>1871</v>
      </c>
      <c r="N286" s="10">
        <v>16</v>
      </c>
      <c r="O286" s="144"/>
      <c r="P286" s="568"/>
      <c r="Q286" s="150"/>
    </row>
    <row r="287" spans="1:29" ht="27" customHeight="1" x14ac:dyDescent="0.25">
      <c r="A287" s="9"/>
      <c r="B287" s="569" t="s">
        <v>1248</v>
      </c>
      <c r="C287" s="5"/>
      <c r="D287" s="6"/>
      <c r="E287" s="19" t="str">
        <f>CONCATENATE($F$46,"*",F277,"*POWER((",F272,"-60-",F283,"),2)")</f>
        <v>8.33*362.076923076923*POWER((300-60-113.129),2)</v>
      </c>
      <c r="F287" s="573">
        <f>ROUND($F$46*F277*POWER((F272-60-F283),2),2)</f>
        <v>48547913.939999998</v>
      </c>
      <c r="G287" s="216" t="s">
        <v>1242</v>
      </c>
      <c r="J287" s="144"/>
      <c r="K287" s="10">
        <v>12</v>
      </c>
      <c r="L287" s="10" t="s">
        <v>1862</v>
      </c>
      <c r="M287" s="10" t="s">
        <v>1872</v>
      </c>
      <c r="N287" s="10">
        <v>20</v>
      </c>
      <c r="O287" s="144"/>
      <c r="P287" s="568"/>
      <c r="Q287" s="150"/>
    </row>
    <row r="288" spans="1:29" ht="27" customHeight="1" x14ac:dyDescent="0.25">
      <c r="A288" s="9"/>
      <c r="B288" s="569" t="s">
        <v>1249</v>
      </c>
      <c r="C288" s="5"/>
      <c r="D288" s="6"/>
      <c r="E288" s="19" t="str">
        <f>CONCATENATE(F285,"+",F286,"+",F287)</f>
        <v>675000000+122352357.69+48547913.94</v>
      </c>
      <c r="F288" s="573">
        <f>F285+F286+F287</f>
        <v>845900271.63000011</v>
      </c>
      <c r="G288" s="216" t="s">
        <v>1242</v>
      </c>
      <c r="J288" s="144"/>
      <c r="K288" s="10">
        <v>14</v>
      </c>
      <c r="L288" s="10" t="s">
        <v>1863</v>
      </c>
      <c r="M288" s="10" t="s">
        <v>1871</v>
      </c>
      <c r="N288" s="10">
        <v>25</v>
      </c>
      <c r="O288" s="144"/>
      <c r="P288" s="568"/>
      <c r="Q288" s="150"/>
      <c r="X288" s="577"/>
      <c r="Y288" s="577"/>
      <c r="AC288" s="577"/>
    </row>
    <row r="289" spans="1:29" ht="27" customHeight="1" x14ac:dyDescent="0.25">
      <c r="A289" s="9"/>
      <c r="B289" s="569" t="s">
        <v>1251</v>
      </c>
      <c r="C289" s="5"/>
      <c r="D289" s="6"/>
      <c r="E289" s="19" t="str">
        <f>CONCATENATE(F272,"*",F274,"+",intro!$J$85,"*",F277)</f>
        <v>300*300+9.33*362.076923076923</v>
      </c>
      <c r="F289" s="573">
        <f>F272*F274+intro!$J$85*F277</f>
        <v>93378.177692307698</v>
      </c>
      <c r="G289" s="216" t="s">
        <v>679</v>
      </c>
      <c r="J289" s="144"/>
      <c r="K289" s="10">
        <v>16</v>
      </c>
      <c r="L289" s="10" t="s">
        <v>1864</v>
      </c>
      <c r="M289" s="10" t="s">
        <v>1873</v>
      </c>
      <c r="N289" s="10">
        <v>32</v>
      </c>
      <c r="O289" s="144"/>
      <c r="P289" s="568"/>
      <c r="Q289" s="150"/>
    </row>
    <row r="290" spans="1:29" ht="27" customHeight="1" x14ac:dyDescent="0.3">
      <c r="A290" s="9"/>
      <c r="B290" s="569" t="s">
        <v>1279</v>
      </c>
      <c r="C290" s="5" t="s">
        <v>1278</v>
      </c>
      <c r="D290" s="6"/>
      <c r="E290" s="19" t="str">
        <f>CONCATENATE("(",F270,"*10000)/(",F289,"*",intro!$J$63,")")</f>
        <v>(9.414*10000)/(93378.1776923077*1.5)</v>
      </c>
      <c r="F290" s="575">
        <f>ROUND((F270*10000)/(F289*intro!$J$63),3)</f>
        <v>0.67200000000000004</v>
      </c>
      <c r="G290" s="216"/>
      <c r="J290" s="144"/>
      <c r="K290" s="10">
        <v>18</v>
      </c>
      <c r="L290" s="10" t="s">
        <v>1865</v>
      </c>
      <c r="M290" s="10" t="s">
        <v>1874</v>
      </c>
      <c r="O290" s="144"/>
      <c r="P290" s="568"/>
      <c r="Q290" s="150"/>
      <c r="Z290" s="577"/>
      <c r="AA290" s="577"/>
      <c r="AB290" s="577"/>
    </row>
    <row r="291" spans="1:29" ht="27" customHeight="1" x14ac:dyDescent="0.3">
      <c r="A291" s="9"/>
      <c r="B291" s="569" t="s">
        <v>1280</v>
      </c>
      <c r="C291" s="5" t="s">
        <v>1281</v>
      </c>
      <c r="D291" s="6"/>
      <c r="E291" s="19" t="str">
        <f>CONCATENATE("(",F271,"*10000000)*(",F272,"-",F283,")/(",F288,"*2)")</f>
        <v>(0*10000000)*(300-113.129)/(845900271.63*2)</v>
      </c>
      <c r="F291" s="575">
        <f>(F271*10000000)*(F272-F283)/(F288*2)</f>
        <v>0</v>
      </c>
      <c r="G291" s="216"/>
      <c r="J291" s="144"/>
      <c r="K291" s="10">
        <v>20</v>
      </c>
      <c r="L291" s="10" t="s">
        <v>1866</v>
      </c>
      <c r="M291" s="10" t="s">
        <v>1875</v>
      </c>
      <c r="O291" s="144"/>
      <c r="P291" s="568"/>
      <c r="Q291" s="150"/>
    </row>
    <row r="292" spans="1:29" ht="27" customHeight="1" x14ac:dyDescent="0.3">
      <c r="A292" s="9"/>
      <c r="B292" s="569" t="s">
        <v>1282</v>
      </c>
      <c r="C292" s="5"/>
      <c r="D292" s="6"/>
      <c r="E292" s="19" t="str">
        <f>CONCATENATE(F290,"+",F291)</f>
        <v>0.672+0</v>
      </c>
      <c r="F292" s="575">
        <f>ROUND(F290+F291,3)</f>
        <v>0.67200000000000004</v>
      </c>
      <c r="G292" s="576" t="str">
        <f>IF(F292&lt;1,"ok","revise")</f>
        <v>ok</v>
      </c>
      <c r="J292" s="144"/>
      <c r="K292" s="10">
        <v>22</v>
      </c>
      <c r="L292" s="10" t="s">
        <v>1867</v>
      </c>
      <c r="M292" s="10" t="s">
        <v>1876</v>
      </c>
      <c r="O292" s="144"/>
      <c r="P292" s="568"/>
      <c r="Q292" s="150"/>
    </row>
    <row r="293" spans="1:29" ht="27" customHeight="1" x14ac:dyDescent="0.25">
      <c r="A293" s="9"/>
      <c r="B293" s="569" t="s">
        <v>1252</v>
      </c>
      <c r="C293" s="5"/>
      <c r="D293" s="6"/>
      <c r="E293" s="19"/>
      <c r="F293" s="569"/>
      <c r="G293" s="216"/>
      <c r="J293" s="144"/>
      <c r="K293" s="10">
        <v>24</v>
      </c>
      <c r="L293" s="10" t="s">
        <v>1868</v>
      </c>
      <c r="M293" s="10" t="s">
        <v>1877</v>
      </c>
      <c r="O293" s="144"/>
      <c r="P293" s="568"/>
      <c r="Q293" s="150"/>
    </row>
    <row r="294" spans="1:29" ht="27" customHeight="1" x14ac:dyDescent="0.25">
      <c r="A294" s="9"/>
      <c r="B294" s="20"/>
      <c r="C294" s="569" t="s">
        <v>1253</v>
      </c>
      <c r="D294" s="569" t="s">
        <v>332</v>
      </c>
      <c r="E294" s="19"/>
      <c r="J294" s="144"/>
      <c r="K294" s="144"/>
      <c r="L294" s="568"/>
      <c r="M294" s="568"/>
      <c r="N294" s="150"/>
      <c r="O294" s="144"/>
      <c r="P294" s="568"/>
      <c r="Q294" s="150"/>
    </row>
    <row r="295" spans="1:29" ht="27" customHeight="1" x14ac:dyDescent="0.25">
      <c r="A295" s="9"/>
      <c r="B295" s="20"/>
      <c r="C295" s="581">
        <v>12</v>
      </c>
      <c r="D295" s="581">
        <v>8</v>
      </c>
      <c r="E295" s="19"/>
      <c r="F295" s="569">
        <f>(3.14*C295*C295*0.25)*D295</f>
        <v>904.31999999999994</v>
      </c>
      <c r="G295" s="569"/>
      <c r="J295" s="578"/>
      <c r="K295" s="578"/>
      <c r="L295" s="579"/>
      <c r="M295" s="579"/>
      <c r="N295" s="580"/>
      <c r="O295" s="578"/>
      <c r="P295" s="579"/>
      <c r="Q295" s="580"/>
    </row>
    <row r="296" spans="1:29" ht="27" customHeight="1" x14ac:dyDescent="0.25">
      <c r="A296" s="9"/>
      <c r="B296" s="20"/>
      <c r="C296" s="569"/>
      <c r="D296" s="569"/>
      <c r="E296" s="19"/>
      <c r="G296" s="576" t="str">
        <f>IF(F295&gt;F278,"ok","revise")</f>
        <v>ok</v>
      </c>
      <c r="H296" s="216"/>
    </row>
    <row r="297" spans="1:29" s="577" customFormat="1" ht="27" customHeight="1" x14ac:dyDescent="0.25">
      <c r="A297" s="9"/>
      <c r="B297" s="165" t="s">
        <v>1254</v>
      </c>
      <c r="C297" s="5"/>
      <c r="D297" s="6"/>
      <c r="E297" s="19"/>
      <c r="F297" s="13"/>
      <c r="G297" s="3"/>
      <c r="H297" s="10"/>
      <c r="J297" s="53"/>
      <c r="K297" s="182">
        <v>0.8</v>
      </c>
      <c r="L297" s="182">
        <v>0.26300000000000001</v>
      </c>
      <c r="M297" s="182">
        <v>8.0000000000000002E-3</v>
      </c>
      <c r="N297" s="182">
        <v>-7.9500000000000001E-2</v>
      </c>
      <c r="O297" s="182">
        <v>0.8</v>
      </c>
      <c r="P297" s="182">
        <v>0.42299999999999999</v>
      </c>
      <c r="Q297" s="183">
        <v>3.2899999999999999E-2</v>
      </c>
      <c r="X297" s="10"/>
      <c r="Y297" s="10"/>
      <c r="Z297" s="10"/>
      <c r="AA297" s="10"/>
      <c r="AB297" s="10"/>
      <c r="AC297" s="10"/>
    </row>
    <row r="298" spans="1:29" ht="15.75" customHeight="1" x14ac:dyDescent="0.25">
      <c r="A298" s="6"/>
      <c r="B298" s="125" t="s">
        <v>493</v>
      </c>
      <c r="C298" s="5"/>
      <c r="D298" s="121"/>
      <c r="E298" s="6" t="s">
        <v>495</v>
      </c>
      <c r="F298" s="3">
        <f>0.8*500</f>
        <v>400</v>
      </c>
      <c r="G298" s="3" t="s">
        <v>578</v>
      </c>
      <c r="K298" s="182">
        <v>1.2</v>
      </c>
      <c r="L298" s="182">
        <v>0.28299999999999997</v>
      </c>
      <c r="M298" s="182">
        <v>1.12E-2</v>
      </c>
      <c r="N298" s="182">
        <v>-6.0199999999999997E-2</v>
      </c>
      <c r="O298" s="182">
        <v>1.2</v>
      </c>
      <c r="P298" s="182">
        <v>0.36199999999999999</v>
      </c>
      <c r="Q298" s="183">
        <v>2.9600000000000001E-2</v>
      </c>
    </row>
    <row r="299" spans="1:29" x14ac:dyDescent="0.25">
      <c r="A299" s="6"/>
      <c r="B299" s="53" t="s">
        <v>383</v>
      </c>
      <c r="C299" s="53"/>
      <c r="D299" s="53"/>
      <c r="E299" s="53"/>
      <c r="F299" s="53">
        <f>2*10^5</f>
        <v>200000</v>
      </c>
      <c r="G299" s="53"/>
      <c r="H299" s="53"/>
      <c r="I299" s="53"/>
      <c r="K299" s="182">
        <v>1.6</v>
      </c>
      <c r="L299" s="182">
        <v>0.26800000000000002</v>
      </c>
      <c r="M299" s="182">
        <v>1.21E-2</v>
      </c>
      <c r="N299" s="182">
        <v>-5.0500000000000003E-2</v>
      </c>
      <c r="O299" s="182">
        <v>1.6</v>
      </c>
      <c r="P299" s="182">
        <v>0.38500000000000001</v>
      </c>
      <c r="Q299" s="183">
        <v>2.5499999999999998E-2</v>
      </c>
      <c r="R299" s="182">
        <v>0.374</v>
      </c>
    </row>
    <row r="300" spans="1:29" x14ac:dyDescent="0.25">
      <c r="A300" s="6"/>
      <c r="B300" s="5" t="s">
        <v>486</v>
      </c>
      <c r="C300" s="5" t="s">
        <v>487</v>
      </c>
      <c r="D300" s="122"/>
      <c r="E300" s="123" t="str">
        <f>"(("&amp;F270&amp;"*10^4)/("&amp;2*F295&amp;"*"&amp;F299&amp;"))"</f>
        <v>((9.414*10^4)/(1808.64*200000))</v>
      </c>
      <c r="F300" s="130">
        <f>ROUND(((F270*10^4)/(F295*2*F299)),6)</f>
        <v>2.5999999999999998E-4</v>
      </c>
      <c r="K300" s="182">
        <v>2</v>
      </c>
      <c r="L300" s="182">
        <v>0.28499999999999998</v>
      </c>
      <c r="M300" s="182">
        <v>1.2E-2</v>
      </c>
      <c r="N300" s="182">
        <v>-4.36E-2</v>
      </c>
      <c r="O300" s="182">
        <v>2</v>
      </c>
      <c r="P300" s="182">
        <v>0.434</v>
      </c>
      <c r="Q300" s="183">
        <v>2.1899999999999999E-2</v>
      </c>
      <c r="R300" s="182">
        <v>0.33900000000000002</v>
      </c>
    </row>
    <row r="301" spans="1:29" x14ac:dyDescent="0.25">
      <c r="A301" s="6"/>
      <c r="B301" s="5" t="s">
        <v>488</v>
      </c>
      <c r="C301" s="5" t="s">
        <v>489</v>
      </c>
      <c r="D301" s="122"/>
      <c r="E301" s="123" t="str">
        <f>"((2*"&amp;C268&amp;"*"&amp;D268&amp;")/(3*"&amp;F299&amp;"*"&amp;2*F295&amp;"))"</f>
        <v>((2*300*300)/(3*200000*1808.64))</v>
      </c>
      <c r="F301" s="129">
        <f>ROUND(((2*C268*D268)/(3*F299*F295*2)),6)</f>
        <v>1.66E-4</v>
      </c>
      <c r="J301" s="53"/>
      <c r="K301" s="182">
        <v>3</v>
      </c>
      <c r="L301" s="182">
        <v>0.36199999999999999</v>
      </c>
      <c r="M301" s="182">
        <v>9.7000000000000003E-3</v>
      </c>
      <c r="N301" s="182">
        <v>-3.3300000000000003E-2</v>
      </c>
      <c r="O301" s="182">
        <v>3</v>
      </c>
      <c r="P301" s="182">
        <v>0.51900000000000002</v>
      </c>
      <c r="Q301" s="183">
        <v>1.5299999999999999E-2</v>
      </c>
      <c r="R301" s="182">
        <v>0.317</v>
      </c>
    </row>
    <row r="302" spans="1:29" x14ac:dyDescent="0.25">
      <c r="A302" s="6"/>
      <c r="B302" s="9" t="s">
        <v>491</v>
      </c>
      <c r="C302" s="5" t="s">
        <v>490</v>
      </c>
      <c r="D302" s="123"/>
      <c r="E302" s="123" t="str">
        <f>"("&amp;F300&amp;"-"&amp;F301&amp;")"</f>
        <v>(0.00026-0.000166)</v>
      </c>
      <c r="F302" s="130">
        <f>F300-F301</f>
        <v>9.3999999999999981E-5</v>
      </c>
      <c r="K302" s="182">
        <v>4</v>
      </c>
      <c r="L302" s="182">
        <v>0.42899999999999999</v>
      </c>
      <c r="M302" s="182">
        <v>7.7000000000000002E-3</v>
      </c>
      <c r="N302" s="182">
        <v>-2.6800000000000001E-2</v>
      </c>
      <c r="O302" s="182">
        <v>4</v>
      </c>
      <c r="P302" s="182">
        <v>0.57899999999999996</v>
      </c>
      <c r="Q302" s="183">
        <v>1.18E-2</v>
      </c>
      <c r="R302" s="182">
        <v>0.29899999999999999</v>
      </c>
    </row>
    <row r="303" spans="1:29" ht="18.75" x14ac:dyDescent="0.35">
      <c r="A303" s="6"/>
      <c r="B303" s="55" t="s">
        <v>402</v>
      </c>
      <c r="C303" s="53" t="s">
        <v>236</v>
      </c>
      <c r="D303" s="123"/>
      <c r="E303" s="123" t="str">
        <f>"(((SQRT((120)^2+50^2)),2))"</f>
        <v>(((SQRT((120)^2+50^2)),2))</v>
      </c>
      <c r="F303" s="131">
        <f>((SQRT((E212)^2+50^2)))</f>
        <v>134.6291201783626</v>
      </c>
      <c r="G303" s="53"/>
      <c r="H303" s="53"/>
      <c r="I303" s="53"/>
      <c r="K303" s="182">
        <v>5</v>
      </c>
      <c r="L303" s="182">
        <v>0.47699999999999998</v>
      </c>
      <c r="M303" s="182">
        <v>5.8999999999999999E-3</v>
      </c>
      <c r="N303" s="182">
        <v>-2.2200000000000001E-2</v>
      </c>
      <c r="O303" s="182">
        <v>5</v>
      </c>
      <c r="P303" s="182">
        <v>0.61699999999999999</v>
      </c>
      <c r="Q303" s="183">
        <v>9.4000000000000004E-3</v>
      </c>
      <c r="R303" s="182">
        <v>0.26200000000000001</v>
      </c>
    </row>
    <row r="304" spans="1:29" ht="21" customHeight="1" x14ac:dyDescent="0.25">
      <c r="A304" s="6"/>
      <c r="B304" s="1161" t="s">
        <v>492</v>
      </c>
      <c r="C304" s="1162"/>
      <c r="D304" s="1163"/>
      <c r="E304" s="123"/>
      <c r="F304" s="130">
        <f>3*F303*F302</f>
        <v>3.7965411890298242E-2</v>
      </c>
      <c r="G304" s="3" t="s">
        <v>202</v>
      </c>
      <c r="K304" s="182">
        <v>6</v>
      </c>
      <c r="L304" s="182">
        <v>0.51400000000000001</v>
      </c>
      <c r="M304" s="182">
        <v>5.1000000000000004E-3</v>
      </c>
      <c r="N304" s="182">
        <v>-1.8700000000000001E-2</v>
      </c>
      <c r="O304" s="182">
        <v>6</v>
      </c>
      <c r="P304" s="182">
        <v>0.64300000000000002</v>
      </c>
      <c r="Q304" s="183">
        <v>7.7999999999999996E-3</v>
      </c>
      <c r="R304" s="182">
        <v>0.23599999999999999</v>
      </c>
    </row>
    <row r="305" spans="1:18" x14ac:dyDescent="0.25">
      <c r="A305" s="6"/>
      <c r="B305" s="12"/>
      <c r="C305" s="5"/>
      <c r="D305" s="6"/>
      <c r="E305" s="6"/>
      <c r="F305" s="297" t="str">
        <f>IF(F304&lt;0.2,"ok","rev")</f>
        <v>ok</v>
      </c>
      <c r="K305" s="182">
        <v>8</v>
      </c>
      <c r="L305" s="182">
        <v>0.57499999999999996</v>
      </c>
      <c r="M305" s="182">
        <v>3.8E-3</v>
      </c>
      <c r="N305" s="182">
        <v>-1.46E-2</v>
      </c>
      <c r="O305" s="182">
        <v>8</v>
      </c>
      <c r="P305" s="182">
        <v>0.69699999999999995</v>
      </c>
      <c r="Q305" s="183">
        <v>5.7000000000000002E-3</v>
      </c>
      <c r="R305" s="182">
        <v>0.21299999999999999</v>
      </c>
    </row>
    <row r="306" spans="1:18" ht="51.6" customHeight="1" x14ac:dyDescent="0.25">
      <c r="A306" s="38" t="s">
        <v>13</v>
      </c>
      <c r="B306" s="20" t="s">
        <v>577</v>
      </c>
      <c r="C306" s="5" t="s">
        <v>106</v>
      </c>
      <c r="D306" s="1147" t="str">
        <f>"("&amp;F270&amp;"*10^4/(("&amp;Calculation!C81&amp;"*"&amp;Calculation!C82&amp;")+"&amp;Calculation!F46&amp;"*"&amp;2*F295&amp;")"</f>
        <v>(9.414*10^4/((300*300)+8.33*1808.64)</v>
      </c>
      <c r="E306" s="1147"/>
      <c r="F306" s="93">
        <f>F270*10^4/((Calculation!C81*Calculation!C82)+Calculation!F46*F295*2)</f>
        <v>0.89600846901037356</v>
      </c>
      <c r="G306" s="3" t="s">
        <v>501</v>
      </c>
      <c r="K306" s="182">
        <v>10</v>
      </c>
      <c r="L306" s="182">
        <v>0.60799999999999998</v>
      </c>
      <c r="M306" s="182">
        <v>2.8999999999999998E-3</v>
      </c>
      <c r="N306" s="182">
        <v>-1.2200000000000001E-2</v>
      </c>
      <c r="O306" s="182">
        <v>10</v>
      </c>
      <c r="P306" s="182">
        <v>0.73</v>
      </c>
      <c r="Q306" s="183">
        <v>4.3E-3</v>
      </c>
      <c r="R306" s="182">
        <v>0.19700000000000001</v>
      </c>
    </row>
    <row r="307" spans="1:18" ht="19.5" customHeight="1" x14ac:dyDescent="0.25">
      <c r="A307" s="38"/>
      <c r="B307" s="12"/>
      <c r="C307" s="5"/>
      <c r="D307" s="19"/>
      <c r="E307" s="19"/>
      <c r="F307" s="297" t="str">
        <f>IF(F306&gt;intro!J63,"revise thk","OK")</f>
        <v>OK</v>
      </c>
      <c r="K307" s="182">
        <v>12</v>
      </c>
      <c r="L307" s="182">
        <v>0.63300000000000001</v>
      </c>
      <c r="M307" s="182">
        <v>2.5999999999999999E-3</v>
      </c>
      <c r="N307" s="182">
        <v>-1.04E-2</v>
      </c>
      <c r="O307" s="182">
        <v>12</v>
      </c>
      <c r="P307" s="182">
        <v>0.75</v>
      </c>
      <c r="Q307" s="183">
        <v>3.8999999999999998E-3</v>
      </c>
      <c r="R307" s="182">
        <v>0.17399999999999999</v>
      </c>
    </row>
    <row r="308" spans="1:18" ht="19.5" customHeight="1" x14ac:dyDescent="0.25">
      <c r="A308" s="38" t="s">
        <v>13</v>
      </c>
      <c r="B308" s="12" t="s">
        <v>369</v>
      </c>
      <c r="C308" s="5"/>
      <c r="D308" s="1147" t="str">
        <f>"(22/7*"&amp;Calculation!$F$86&amp;"*"&amp;F310&amp;" *"&amp;F309&amp;")"</f>
        <v>(22/7*9.1*1 *0.95)</v>
      </c>
      <c r="E308" s="1148"/>
      <c r="F308" s="93">
        <f>22/7*Calculation!$F$86*F310 *F309</f>
        <v>27.169999999999998</v>
      </c>
      <c r="G308" s="3" t="s">
        <v>229</v>
      </c>
      <c r="K308" s="182">
        <v>14</v>
      </c>
      <c r="L308" s="182">
        <v>0.66600000000000004</v>
      </c>
      <c r="M308" s="182">
        <v>2.3E-3</v>
      </c>
      <c r="N308" s="182">
        <v>-8.9999999999999993E-3</v>
      </c>
      <c r="O308" s="182">
        <v>14</v>
      </c>
      <c r="P308" s="182">
        <v>0.76100000000000001</v>
      </c>
      <c r="Q308" s="183">
        <v>3.3E-3</v>
      </c>
      <c r="R308" s="182">
        <v>0.158</v>
      </c>
    </row>
    <row r="309" spans="1:18" ht="19.5" customHeight="1" x14ac:dyDescent="0.25">
      <c r="A309" s="38"/>
      <c r="B309" s="12" t="s">
        <v>370</v>
      </c>
      <c r="C309" s="5"/>
      <c r="D309" s="19"/>
      <c r="E309" s="19"/>
      <c r="F309" s="469">
        <v>0.95</v>
      </c>
      <c r="G309" s="3" t="s">
        <v>234</v>
      </c>
      <c r="K309" s="182">
        <v>16</v>
      </c>
      <c r="L309" s="182">
        <v>0.68700000000000006</v>
      </c>
      <c r="M309" s="182">
        <v>1.9E-3</v>
      </c>
      <c r="N309" s="182">
        <v>-7.9000000000000008E-3</v>
      </c>
      <c r="O309" s="182">
        <v>16</v>
      </c>
      <c r="P309" s="182">
        <v>0.77600000000000002</v>
      </c>
      <c r="Q309" s="183">
        <v>2.8999999999999998E-3</v>
      </c>
      <c r="R309" s="182">
        <v>0.14499999999999999</v>
      </c>
    </row>
    <row r="310" spans="1:18" ht="19.5" customHeight="1" x14ac:dyDescent="0.25">
      <c r="A310" s="38"/>
      <c r="B310" s="12" t="s">
        <v>371</v>
      </c>
      <c r="C310" s="5"/>
      <c r="D310" s="19"/>
      <c r="E310" s="19"/>
      <c r="F310" s="469">
        <v>1</v>
      </c>
      <c r="G310" s="3" t="s">
        <v>74</v>
      </c>
      <c r="K310" s="182">
        <v>20</v>
      </c>
      <c r="L310" s="182">
        <v>0.71599999999999997</v>
      </c>
      <c r="M310" s="182">
        <v>1.5E-3</v>
      </c>
      <c r="N310" s="182">
        <v>-6.3E-3</v>
      </c>
      <c r="O310" s="182">
        <v>20</v>
      </c>
      <c r="P310" s="182">
        <v>0.81699999999999995</v>
      </c>
      <c r="Q310" s="183"/>
      <c r="R310" s="182">
        <v>0.13500000000000001</v>
      </c>
    </row>
    <row r="311" spans="1:18" ht="19.5" customHeight="1" x14ac:dyDescent="0.25">
      <c r="A311" s="38"/>
      <c r="B311" s="12" t="s">
        <v>1122</v>
      </c>
      <c r="C311" s="5"/>
      <c r="D311" s="19"/>
      <c r="E311" s="19"/>
      <c r="F311" s="93">
        <f>ROUND('cont ana'!D181,2)</f>
        <v>8.52</v>
      </c>
      <c r="G311" s="3" t="s">
        <v>1123</v>
      </c>
      <c r="K311" s="182">
        <v>24</v>
      </c>
      <c r="L311" s="182">
        <v>0.746</v>
      </c>
      <c r="M311" s="182">
        <v>1.1999999999999999E-3</v>
      </c>
      <c r="N311" s="182">
        <v>-5.3E-3</v>
      </c>
      <c r="O311" s="182">
        <v>24</v>
      </c>
      <c r="P311" s="182">
        <v>0.83899999999999997</v>
      </c>
      <c r="Q311" s="183"/>
      <c r="R311" s="182">
        <v>0.127</v>
      </c>
    </row>
    <row r="312" spans="1:18" x14ac:dyDescent="0.25">
      <c r="A312" s="6"/>
      <c r="B312" s="12" t="s">
        <v>2100</v>
      </c>
      <c r="C312" s="5"/>
      <c r="D312" s="1041">
        <f>ROUND(SQRT(F311/1000*1000/intro!J109),2)</f>
        <v>5.08</v>
      </c>
      <c r="E312" s="6" t="str">
        <f>CONCATENATE("SQRT(",F311,"/1000*1000/",intro!J109,")")</f>
        <v>SQRT(8.52/1000*1000/0.33)</v>
      </c>
      <c r="F312" s="1042" t="str">
        <f>IF(F272&gt;D312,"Hence OK","Change the thickness")</f>
        <v>Hence OK</v>
      </c>
      <c r="K312" s="182"/>
      <c r="L312" s="182"/>
      <c r="M312" s="182"/>
      <c r="N312" s="182"/>
      <c r="O312" s="182"/>
      <c r="P312" s="182"/>
      <c r="Q312" s="183"/>
      <c r="R312" s="182">
        <v>0.114</v>
      </c>
    </row>
    <row r="313" spans="1:18" ht="27" x14ac:dyDescent="0.3">
      <c r="A313" s="6"/>
      <c r="B313" s="170" t="s">
        <v>372</v>
      </c>
      <c r="C313" s="19" t="s">
        <v>368</v>
      </c>
      <c r="D313" s="1147" t="str">
        <f>"(22/7*"&amp;E196&amp;"*2*"&amp;Calculation!C81&amp;"/1000*"&amp;Calculation!C82&amp;"/1000*2.5)"</f>
        <v>(22/7*7.582*2*300/1000*300/1000*2.5)</v>
      </c>
      <c r="E313" s="1148"/>
      <c r="F313" s="25">
        <f>22/7*E196*2*Calculation!C81/1000*Calculation!C82/1000*2.5+F308</f>
        <v>37.893114285714283</v>
      </c>
      <c r="G313" s="3" t="s">
        <v>229</v>
      </c>
      <c r="K313" s="182">
        <v>32</v>
      </c>
      <c r="L313" s="182">
        <v>0.78200000000000003</v>
      </c>
      <c r="M313" s="182">
        <v>8.9999999999999998E-4</v>
      </c>
      <c r="N313" s="182">
        <v>-4.0000000000000001E-3</v>
      </c>
      <c r="O313" s="182">
        <v>32</v>
      </c>
      <c r="P313" s="182">
        <v>0.86099999999999999</v>
      </c>
      <c r="Q313" s="182"/>
      <c r="R313" s="182">
        <v>0.10199999999999999</v>
      </c>
    </row>
    <row r="314" spans="1:18" ht="18.75" x14ac:dyDescent="0.3">
      <c r="A314" s="6"/>
      <c r="B314" s="170"/>
      <c r="C314" s="19"/>
      <c r="D314" s="19"/>
      <c r="E314" s="175"/>
      <c r="F314" s="25"/>
      <c r="K314" s="182">
        <v>40</v>
      </c>
      <c r="L314" s="182">
        <v>0.80500000000000005</v>
      </c>
      <c r="M314" s="182">
        <v>5.9999999999999995E-4</v>
      </c>
      <c r="N314" s="182">
        <v>-3.2000000000000002E-3</v>
      </c>
      <c r="O314" s="182">
        <v>40</v>
      </c>
      <c r="P314" s="182">
        <v>0.88</v>
      </c>
      <c r="Q314" s="182"/>
      <c r="R314" s="182"/>
    </row>
    <row r="315" spans="1:18" x14ac:dyDescent="0.25">
      <c r="A315" s="36" t="s">
        <v>111</v>
      </c>
      <c r="B315" s="37" t="s">
        <v>112</v>
      </c>
      <c r="C315" s="36"/>
      <c r="D315" s="6"/>
      <c r="E315" s="6"/>
      <c r="K315" s="182">
        <v>48</v>
      </c>
      <c r="L315" s="182">
        <v>0.82799999999999996</v>
      </c>
      <c r="M315" s="182">
        <v>5.9999999999999995E-4</v>
      </c>
      <c r="N315" s="182">
        <v>-2.5999999999999999E-3</v>
      </c>
      <c r="O315" s="182">
        <v>48</v>
      </c>
      <c r="P315" s="182">
        <v>0.9</v>
      </c>
      <c r="Q315" s="182"/>
      <c r="R315" s="182">
        <v>8.8999999999999996E-2</v>
      </c>
    </row>
    <row r="316" spans="1:18" x14ac:dyDescent="0.25">
      <c r="A316" s="6"/>
      <c r="B316" s="11" t="s">
        <v>275</v>
      </c>
      <c r="C316" s="5"/>
      <c r="D316" s="6"/>
      <c r="E316" s="6"/>
      <c r="K316" s="182">
        <v>56</v>
      </c>
      <c r="L316" s="182">
        <v>0.83799999999999997</v>
      </c>
      <c r="M316" s="182">
        <v>4.0000000000000002E-4</v>
      </c>
      <c r="N316" s="182">
        <v>-2.3E-3</v>
      </c>
      <c r="O316" s="182">
        <v>56</v>
      </c>
      <c r="P316" s="182">
        <v>0.91100000000000003</v>
      </c>
      <c r="Q316" s="182"/>
      <c r="R316" s="182">
        <v>0.08</v>
      </c>
    </row>
    <row r="317" spans="1:18" ht="16.5" x14ac:dyDescent="0.25">
      <c r="A317" s="6"/>
      <c r="B317" s="12"/>
      <c r="C317" s="5"/>
      <c r="D317" s="6" t="s">
        <v>276</v>
      </c>
      <c r="E317" s="6" t="str">
        <f>"(("&amp;B322&amp;")^2/"&amp;B323&amp;"/"&amp;B325&amp;")"</f>
        <v>((4)^2/9.1/0.2)</v>
      </c>
      <c r="F317" s="13">
        <f>(B322)^2/B323/B325</f>
        <v>8.7912087912087902</v>
      </c>
      <c r="M317" s="182"/>
      <c r="N317" s="182"/>
      <c r="O317" s="182"/>
      <c r="P317" s="182"/>
      <c r="Q317" s="182"/>
      <c r="R317" s="182">
        <v>7.1999999999999995E-2</v>
      </c>
    </row>
    <row r="318" spans="1:18" x14ac:dyDescent="0.25">
      <c r="A318" s="6"/>
      <c r="B318" s="14" t="s">
        <v>277</v>
      </c>
      <c r="C318" s="125" t="s">
        <v>278</v>
      </c>
      <c r="D318" s="6"/>
      <c r="E318" s="6"/>
      <c r="F318" s="13"/>
      <c r="R318" s="182">
        <v>6.7000000000000004E-2</v>
      </c>
    </row>
    <row r="319" spans="1:18" ht="31.5" x14ac:dyDescent="0.25">
      <c r="A319" s="6"/>
      <c r="B319" s="12" t="s">
        <v>279</v>
      </c>
      <c r="D319" s="16" t="s">
        <v>280</v>
      </c>
      <c r="E319" s="16" t="s">
        <v>281</v>
      </c>
      <c r="F319" s="16" t="s">
        <v>282</v>
      </c>
      <c r="G319" s="17" t="s">
        <v>283</v>
      </c>
      <c r="R319" s="182"/>
    </row>
    <row r="320" spans="1:18" x14ac:dyDescent="0.25">
      <c r="A320" s="6"/>
      <c r="B320" s="18"/>
      <c r="C320" s="5"/>
      <c r="D320" s="6">
        <v>0</v>
      </c>
      <c r="E320" s="6">
        <f ca="1">IFERROR(VLOOKUP(F317,$K$299:$R$318,7,FALSE),AVERAGE(OFFSET(INDEX($Q$297:$Q$316,MATCH(F317,$K$297:$K$316,1)),0,0,2,1)))</f>
        <v>5.0000000000000001E-3</v>
      </c>
      <c r="F320" s="6">
        <f ca="1">IFERROR(VLOOKUP(F317,$K$299:$R$318,6,FALSE),AVERAGE(OFFSET(INDEX($P$297:$P$316,MATCH(F317,$K$297:$K$316,1)),0,0,2,1)))</f>
        <v>0.71350000000000002</v>
      </c>
      <c r="G320" s="6">
        <f ca="1">IFERROR(VLOOKUP(F317,$K$299:$R$318,8,FALSE),AVERAGE(OFFSET(INDEX($R$299:$R$318,MATCH(F317,$K$297:$K$316,1)),0,0,2,1)))</f>
        <v>0.16599999999999998</v>
      </c>
    </row>
    <row r="321" spans="1:18" x14ac:dyDescent="0.25">
      <c r="A321" s="6"/>
      <c r="B321" s="20"/>
      <c r="C321" s="5"/>
      <c r="D321" s="21">
        <f>1*B322^3*D320</f>
        <v>0</v>
      </c>
      <c r="E321" s="21">
        <f ca="1">ROUND((1*B322^3*E320),3)</f>
        <v>0.32</v>
      </c>
      <c r="F321" s="8">
        <f ca="1">ROUND((1*B322*B323/2)*F320,3)</f>
        <v>12.986000000000001</v>
      </c>
      <c r="G321" s="8">
        <f ca="1">ROUND((1*B322^2*G320),3)</f>
        <v>2.6560000000000001</v>
      </c>
    </row>
    <row r="322" spans="1:18" x14ac:dyDescent="0.25">
      <c r="A322" s="6"/>
      <c r="B322" s="9">
        <f>Calculation!$D$85</f>
        <v>4</v>
      </c>
      <c r="C322" s="5"/>
      <c r="D322" s="6"/>
      <c r="E322" s="19"/>
      <c r="F322" s="19"/>
      <c r="G322" s="19"/>
      <c r="L322" s="10">
        <f ca="1">IFERROR(VLOOKUP(F317,$K$297:$L$316,2,FALSE),AVERAGE(OFFSET(INDEX($L$297:$L$316,MATCH(F317,$K$297:$K$316,1)),0,0,2,1)))</f>
        <v>0.59149999999999991</v>
      </c>
      <c r="M322" s="91">
        <f ca="1">IFERROR(VLOOKUP(F317,$K$299:$R$318,3,FALSE),AVERAGE(OFFSET(INDEX($M$297:$M$316,MATCH(F317,$K$297:$K$316,1)),0,0,2,1)))</f>
        <v>3.3499999999999997E-3</v>
      </c>
      <c r="N322" s="91">
        <f ca="1">IFERROR(VLOOKUP(F317,$K$299:$R$318,4,FALSE),AVERAGE(OFFSET(INDEX($N$297:$N$316,MATCH(F317,$K$297:$K$316,1)),0,0,2,1)))</f>
        <v>-1.34E-2</v>
      </c>
      <c r="O322" s="91"/>
      <c r="P322" s="91">
        <f ca="1">IFERROR(VLOOKUP(F317,$K$299:$R$318,6,FALSE),AVERAGE(OFFSET(INDEX($P$297:$P$316,MATCH(F317,$K$297:$K$316,1)),0,0,2,1)))</f>
        <v>0.71350000000000002</v>
      </c>
      <c r="Q322" s="91">
        <f ca="1">IFERROR(VLOOKUP(F317,$K$299:$R$318,7,FALSE),AVERAGE(OFFSET(INDEX($Q$297:$Q$316,MATCH(F317,$K$297:$K$316,1)),0,0,2,1)))</f>
        <v>5.0000000000000001E-3</v>
      </c>
    </row>
    <row r="323" spans="1:18" x14ac:dyDescent="0.25">
      <c r="A323" s="6"/>
      <c r="B323" s="5">
        <f>Calculation!$F$86</f>
        <v>9.1</v>
      </c>
      <c r="C323" s="5"/>
      <c r="D323" s="6" t="s">
        <v>236</v>
      </c>
      <c r="E323" s="6"/>
      <c r="F323" s="19"/>
      <c r="G323" s="19"/>
    </row>
    <row r="324" spans="1:18" x14ac:dyDescent="0.25">
      <c r="A324" s="6"/>
      <c r="B324" s="18"/>
      <c r="C324" s="5"/>
      <c r="D324" s="6" t="s">
        <v>284</v>
      </c>
      <c r="E324" s="6" t="str">
        <f>"("&amp;B322&amp;"*"&amp;B325&amp;"*2.5)"</f>
        <v>(4*0.2*2.5)</v>
      </c>
      <c r="F324" s="22">
        <f>B322*B325*2.5</f>
        <v>2</v>
      </c>
      <c r="G324" s="3" t="s">
        <v>285</v>
      </c>
      <c r="R324" s="91">
        <f ca="1">IFERROR(VLOOKUP(F317,$K$299:$R$318,8,FALSE),AVERAGE(OFFSET(INDEX($R$299:$R$318,MATCH(F317,$K$297:$K$316,1)),0,0,2,1)))</f>
        <v>0.16599999999999998</v>
      </c>
    </row>
    <row r="325" spans="1:18" x14ac:dyDescent="0.25">
      <c r="A325" s="6"/>
      <c r="B325" s="5">
        <f>Calculation!$B$86</f>
        <v>0.2</v>
      </c>
      <c r="C325" s="5"/>
      <c r="D325" s="6"/>
      <c r="E325" s="6"/>
      <c r="F325" s="13"/>
    </row>
    <row r="326" spans="1:18" x14ac:dyDescent="0.25">
      <c r="A326" s="6"/>
      <c r="B326" s="14" t="s">
        <v>286</v>
      </c>
      <c r="C326" s="125" t="s">
        <v>278</v>
      </c>
      <c r="D326" s="6"/>
      <c r="E326" s="6"/>
      <c r="F326" s="13"/>
    </row>
    <row r="327" spans="1:18" ht="26.25" x14ac:dyDescent="0.25">
      <c r="A327" s="6"/>
      <c r="B327" s="12" t="s">
        <v>287</v>
      </c>
      <c r="D327" s="16" t="s">
        <v>280</v>
      </c>
      <c r="E327" s="16" t="s">
        <v>281</v>
      </c>
      <c r="F327" s="8" t="s">
        <v>282</v>
      </c>
      <c r="G327" s="8" t="s">
        <v>283</v>
      </c>
    </row>
    <row r="328" spans="1:18" x14ac:dyDescent="0.25">
      <c r="A328" s="6"/>
      <c r="B328" s="18"/>
      <c r="C328" s="5"/>
      <c r="D328" s="6">
        <f ca="1">-IFERROR(VLOOKUP(F317,$K$299:$R$318,4,FALSE),AVERAGE(OFFSET(INDEX($N$297:$N$316,MATCH(F317,$K$297:$K$316,1)),0,0,2,1)))</f>
        <v>1.34E-2</v>
      </c>
      <c r="E328" s="19">
        <f ca="1">IFERROR(VLOOKUP(F317,$K$299:$R$318,3,FALSE),AVERAGE(OFFSET(INDEX($M$297:$M$316,MATCH(F317,$K$297:$K$316,1)),0,0,2,1)))</f>
        <v>3.3499999999999997E-3</v>
      </c>
      <c r="F328" s="8">
        <f ca="1">IFERROR(VLOOKUP(F317,$K$297:$L$316,2,FALSE),AVERAGE(OFFSET(INDEX($L$297:$L$316,MATCH(F317,$K$297:$K$316,1)),0,0,2,1)))</f>
        <v>0.59149999999999991</v>
      </c>
      <c r="G328" s="8">
        <f ca="1">IFERROR(VLOOKUP(F317,$K$299:$R$318,8,FALSE),AVERAGE(OFFSET(INDEX($R$299:$R$318,MATCH(F317,$K$297:$K$316,1)),0,0,2,1)))</f>
        <v>0.16599999999999998</v>
      </c>
    </row>
    <row r="329" spans="1:18" x14ac:dyDescent="0.25">
      <c r="A329" s="6"/>
      <c r="B329" s="20"/>
      <c r="C329" s="5"/>
      <c r="D329" s="21">
        <f ca="1">ROUND((1*B322^3*D328),2)</f>
        <v>0.86</v>
      </c>
      <c r="E329" s="21">
        <f ca="1">ROUND((1*B322^3*E328),3)</f>
        <v>0.214</v>
      </c>
      <c r="F329" s="8">
        <f ca="1">ROUND((1*B322*B323/2)*F328,3)</f>
        <v>10.765000000000001</v>
      </c>
      <c r="G329" s="8">
        <f ca="1">ROUND((1*B322^2*G328),3)</f>
        <v>2.6560000000000001</v>
      </c>
    </row>
    <row r="330" spans="1:18" x14ac:dyDescent="0.25">
      <c r="A330" s="6"/>
      <c r="B330" s="12"/>
      <c r="C330" s="5"/>
      <c r="D330" s="6"/>
      <c r="E330" s="6"/>
      <c r="F330" s="23"/>
    </row>
    <row r="331" spans="1:18" ht="28.5" customHeight="1" x14ac:dyDescent="0.3">
      <c r="A331" s="6"/>
      <c r="B331" s="170" t="s">
        <v>288</v>
      </c>
      <c r="C331" s="1164" t="s">
        <v>289</v>
      </c>
      <c r="D331" s="1145"/>
      <c r="E331" s="6"/>
      <c r="F331" s="25">
        <f>22/7*B323*B322*B325*2.4</f>
        <v>54.911999999999999</v>
      </c>
      <c r="G331" s="3" t="s">
        <v>229</v>
      </c>
    </row>
    <row r="332" spans="1:18" ht="18.75" x14ac:dyDescent="0.3">
      <c r="A332" s="6"/>
      <c r="B332" s="12" t="s">
        <v>1124</v>
      </c>
      <c r="C332" s="176"/>
      <c r="D332" s="177">
        <f>ROUND('cont ana'!D182/10000,2)</f>
        <v>0.41</v>
      </c>
      <c r="E332" s="39" t="s">
        <v>1125</v>
      </c>
      <c r="F332" s="25"/>
    </row>
    <row r="333" spans="1:18" ht="18.75" x14ac:dyDescent="0.3">
      <c r="A333" s="6"/>
      <c r="B333" s="12" t="s">
        <v>2101</v>
      </c>
      <c r="C333" s="176"/>
      <c r="D333" s="1043">
        <f ca="1">ROUND(SQRT(D329*10*1000/intro!J109),2)</f>
        <v>161.43</v>
      </c>
      <c r="E333" s="6" t="str">
        <f ca="1">CONCATENATE("SQRT(",D329,"*10*1000/",intro!J109,")")</f>
        <v>SQRT(0.86*10*1000/0.33)</v>
      </c>
      <c r="F333" s="1044" t="str">
        <f ca="1">IF(B325*1000&gt;D333,"Hence OK","Change the thickness")</f>
        <v>Hence OK</v>
      </c>
    </row>
    <row r="334" spans="1:18" x14ac:dyDescent="0.25">
      <c r="A334" s="211"/>
      <c r="B334" s="211"/>
      <c r="C334" s="211"/>
      <c r="D334" s="211"/>
      <c r="E334" s="211"/>
      <c r="F334" s="211"/>
      <c r="G334" s="211"/>
      <c r="H334" s="211"/>
    </row>
    <row r="335" spans="1:18" x14ac:dyDescent="0.25">
      <c r="A335" s="211"/>
      <c r="B335" s="1165" t="s">
        <v>1256</v>
      </c>
      <c r="C335" s="1166"/>
      <c r="D335" s="1166"/>
      <c r="E335" s="1166"/>
      <c r="F335" s="1166"/>
      <c r="G335" s="1167"/>
      <c r="H335" s="211"/>
    </row>
    <row r="336" spans="1:18" x14ac:dyDescent="0.25">
      <c r="A336" s="211"/>
      <c r="B336" s="10"/>
      <c r="C336" s="10"/>
      <c r="D336" s="10"/>
      <c r="E336" s="10"/>
      <c r="F336" s="10"/>
      <c r="G336" s="10"/>
      <c r="H336" s="211"/>
    </row>
    <row r="337" spans="1:16" x14ac:dyDescent="0.25">
      <c r="A337" s="211"/>
      <c r="B337" s="20" t="s">
        <v>1257</v>
      </c>
      <c r="C337" s="5"/>
      <c r="D337" s="6"/>
      <c r="E337" s="19"/>
      <c r="F337" s="13">
        <f ca="1">MAX(Calculation!$F$321,Calculation!$F$329)</f>
        <v>12.986000000000001</v>
      </c>
      <c r="G337" s="3" t="s">
        <v>103</v>
      </c>
      <c r="H337" s="211"/>
    </row>
    <row r="338" spans="1:16" x14ac:dyDescent="0.25">
      <c r="A338" s="211"/>
      <c r="B338" s="20" t="s">
        <v>310</v>
      </c>
      <c r="C338" s="5"/>
      <c r="D338" s="6"/>
      <c r="E338" s="19"/>
      <c r="F338" s="13">
        <v>0</v>
      </c>
      <c r="G338" s="3" t="s">
        <v>210</v>
      </c>
      <c r="H338" s="211"/>
    </row>
    <row r="339" spans="1:16" x14ac:dyDescent="0.25">
      <c r="A339" s="211"/>
      <c r="B339" s="20" t="s">
        <v>1234</v>
      </c>
      <c r="C339" s="5"/>
      <c r="D339" s="6"/>
      <c r="E339" s="19"/>
      <c r="F339" s="13">
        <f>B325*1000</f>
        <v>200</v>
      </c>
      <c r="G339" s="3" t="s">
        <v>202</v>
      </c>
      <c r="H339" s="211"/>
    </row>
    <row r="340" spans="1:16" x14ac:dyDescent="0.25">
      <c r="A340" s="211"/>
      <c r="B340" s="10" t="s">
        <v>1239</v>
      </c>
      <c r="C340" s="10"/>
      <c r="D340" s="10"/>
      <c r="E340" s="10"/>
      <c r="F340" s="571">
        <f>$F$49</f>
        <v>45</v>
      </c>
      <c r="G340" s="10" t="s">
        <v>202</v>
      </c>
      <c r="H340" s="211"/>
    </row>
    <row r="341" spans="1:16" x14ac:dyDescent="0.25">
      <c r="A341" s="211"/>
      <c r="B341" s="20" t="s">
        <v>1235</v>
      </c>
      <c r="C341" s="5"/>
      <c r="D341" s="6"/>
      <c r="E341" s="19"/>
      <c r="F341" s="13">
        <v>1000</v>
      </c>
      <c r="G341" s="3" t="s">
        <v>202</v>
      </c>
      <c r="H341" s="211"/>
    </row>
    <row r="342" spans="1:16" x14ac:dyDescent="0.25">
      <c r="A342" s="211"/>
      <c r="B342" s="569" t="s">
        <v>1283</v>
      </c>
      <c r="C342" s="5"/>
      <c r="D342" s="6"/>
      <c r="E342" s="19" t="str">
        <f>CONCATENATE(F339,"-",F340,"-10")</f>
        <v>200-45-10</v>
      </c>
      <c r="F342" s="13">
        <f>F339-F340-10</f>
        <v>145</v>
      </c>
      <c r="G342" s="3" t="s">
        <v>202</v>
      </c>
      <c r="H342" s="211"/>
    </row>
    <row r="343" spans="1:16" x14ac:dyDescent="0.25">
      <c r="A343" s="211"/>
      <c r="B343" s="569" t="s">
        <v>1277</v>
      </c>
      <c r="C343" s="5"/>
      <c r="D343" s="6"/>
      <c r="E343" s="19"/>
      <c r="F343" s="13">
        <f>intro!$J$74</f>
        <v>130</v>
      </c>
      <c r="G343" s="216" t="s">
        <v>260</v>
      </c>
      <c r="H343" s="211"/>
    </row>
    <row r="344" spans="1:16" ht="33" customHeight="1" x14ac:dyDescent="0.25">
      <c r="A344" s="211"/>
      <c r="B344" s="569" t="s">
        <v>1284</v>
      </c>
      <c r="C344" s="5"/>
      <c r="D344" s="6"/>
      <c r="E344" s="19" t="str">
        <f ca="1">CONCATENATE("(",F338,"*10^7)/(",F343,"*(",F342,"-",F340,"/10))+((",F337,"*10000)/(",F343,"*2))")</f>
        <v>(0*10^7)/(130*(145-45/10))+((12.986*10000)/(130*2))</v>
      </c>
      <c r="F344" s="13">
        <f ca="1">(F338*10^7)/(F343*(F342-F339/10))+((F337*10000)/(F343*2))</f>
        <v>499.46153846153845</v>
      </c>
      <c r="G344" s="216" t="s">
        <v>425</v>
      </c>
      <c r="H344" s="211"/>
    </row>
    <row r="345" spans="1:16" x14ac:dyDescent="0.25">
      <c r="A345" s="211"/>
      <c r="B345" s="569" t="s">
        <v>1240</v>
      </c>
      <c r="C345" s="5"/>
      <c r="D345" s="6"/>
      <c r="E345" s="19"/>
      <c r="F345" s="572">
        <f ca="1">F344*2</f>
        <v>998.92307692307691</v>
      </c>
      <c r="G345" s="216" t="s">
        <v>679</v>
      </c>
      <c r="H345" s="211"/>
      <c r="I345" s="10">
        <f>$F$46</f>
        <v>8.33</v>
      </c>
    </row>
    <row r="346" spans="1:16" ht="18" x14ac:dyDescent="0.25">
      <c r="A346" s="211"/>
      <c r="B346" s="569" t="s">
        <v>1241</v>
      </c>
      <c r="C346" s="5"/>
      <c r="D346" s="6"/>
      <c r="E346" s="19" t="str">
        <f>CONCATENATE(F341,"*(",F339,"-",F340,")*(",F339,"-",F340,")/2")</f>
        <v>1000*(200-45)*(200-45)/2</v>
      </c>
      <c r="F346" s="573">
        <f>ROUND(F341*(F339-F340)*(F339-F340)/2,2)</f>
        <v>12012500</v>
      </c>
      <c r="G346" s="216" t="s">
        <v>1242</v>
      </c>
      <c r="H346" s="211"/>
    </row>
    <row r="347" spans="1:16" ht="18" x14ac:dyDescent="0.25">
      <c r="A347" s="211"/>
      <c r="B347" s="569" t="s">
        <v>1243</v>
      </c>
      <c r="C347" s="5"/>
      <c r="D347" s="6"/>
      <c r="E347" s="19" t="str">
        <f ca="1">CONCATENATE($F$46,"*",F344,"*(",F339,"-",F340,")")</f>
        <v>8.33*499.461538461538*(200-45)</v>
      </c>
      <c r="F347" s="573">
        <f ca="1">ROUND(ABS($F$46*F344*(F339-F340)),3)</f>
        <v>644879.76500000001</v>
      </c>
      <c r="G347" s="216" t="s">
        <v>1242</v>
      </c>
      <c r="H347" s="211"/>
    </row>
    <row r="348" spans="1:16" x14ac:dyDescent="0.25">
      <c r="A348" s="211"/>
      <c r="B348" s="569" t="s">
        <v>1244</v>
      </c>
      <c r="C348" s="5"/>
      <c r="D348" s="6"/>
      <c r="E348" s="19" t="str">
        <f>CONCATENATE(F341,"*(",F339,")")</f>
        <v>1000*(200)</v>
      </c>
      <c r="F348" s="573">
        <f>F341*(F339 )</f>
        <v>200000</v>
      </c>
      <c r="G348" s="216" t="s">
        <v>679</v>
      </c>
      <c r="H348" s="211"/>
    </row>
    <row r="349" spans="1:16" x14ac:dyDescent="0.25">
      <c r="A349" s="211"/>
      <c r="B349" s="569" t="s">
        <v>1245</v>
      </c>
      <c r="C349" s="5"/>
      <c r="D349" s="6"/>
      <c r="E349" s="19" t="str">
        <f ca="1">CONCATENATE($F$46,"*",F344)</f>
        <v>8.33*499.461538461538</v>
      </c>
      <c r="F349" s="570">
        <f ca="1">$F$46*F344</f>
        <v>4160.5146153846154</v>
      </c>
      <c r="G349" s="216" t="s">
        <v>679</v>
      </c>
      <c r="H349" s="211"/>
    </row>
    <row r="350" spans="1:16" ht="26.25" x14ac:dyDescent="0.25">
      <c r="A350" s="211"/>
      <c r="B350" s="569" t="s">
        <v>1246</v>
      </c>
      <c r="C350" s="5"/>
      <c r="D350" s="6"/>
      <c r="E350" s="19" t="str">
        <f ca="1">CONCATENATE("(",F346,"+",F347,")/(",F348,"+",F349,")")</f>
        <v>(12012500+644879.765)/(200000+4160.51461538462)</v>
      </c>
      <c r="F350" s="574">
        <f ca="1">(F346+F347)/(F348+F349)</f>
        <v>61.997197591537599</v>
      </c>
      <c r="G350" s="216" t="s">
        <v>202</v>
      </c>
      <c r="H350" s="211"/>
    </row>
    <row r="351" spans="1:16" x14ac:dyDescent="0.25">
      <c r="A351" s="211"/>
      <c r="B351" s="20"/>
      <c r="C351" s="5"/>
      <c r="D351" s="6"/>
      <c r="E351" s="19"/>
      <c r="F351" s="13"/>
      <c r="H351" s="211"/>
      <c r="O351" s="10">
        <v>14</v>
      </c>
      <c r="P351" s="10">
        <v>0.28000000000000003</v>
      </c>
    </row>
    <row r="352" spans="1:16" ht="18" x14ac:dyDescent="0.25">
      <c r="A352" s="211"/>
      <c r="B352" s="569" t="s">
        <v>1247</v>
      </c>
      <c r="C352" s="5"/>
      <c r="D352" s="6"/>
      <c r="E352" s="19" t="str">
        <f>CONCATENATE(F341,"*POWER((",F339,"),3)/12")</f>
        <v>1000*POWER((200),3)/12</v>
      </c>
      <c r="F352" s="573">
        <f>ROUND(F341*POWER((F339),3)/12,3)</f>
        <v>666666666.66700006</v>
      </c>
      <c r="G352" s="216" t="s">
        <v>1242</v>
      </c>
      <c r="H352" s="211"/>
      <c r="O352" s="10">
        <v>15</v>
      </c>
      <c r="P352" s="10">
        <f>($P$365-$P$351)/($O$365-$O$351)*(O352-$O$351)+$P$351</f>
        <v>0.29000000000000004</v>
      </c>
    </row>
    <row r="353" spans="1:16" ht="26.25" x14ac:dyDescent="0.25">
      <c r="A353" s="211"/>
      <c r="B353" s="569" t="s">
        <v>1250</v>
      </c>
      <c r="C353" s="5"/>
      <c r="D353" s="6"/>
      <c r="E353" s="19" t="str">
        <f ca="1">CONCATENATE(F341,"*(",F339,")*POWER((",F350,"-(",F339,")/2),2)")</f>
        <v>1000*(200)*POWER((61.9971975915376-(200)/2),2)</v>
      </c>
      <c r="F353" s="573">
        <f ca="1">ROUND(F341*(F339)*POWER((F350-(F339)/2),2),2)</f>
        <v>288842598.18000001</v>
      </c>
      <c r="G353" s="216" t="s">
        <v>1242</v>
      </c>
      <c r="H353" s="211"/>
      <c r="O353" s="10">
        <v>16</v>
      </c>
      <c r="P353" s="10">
        <f t="shared" ref="P353:P364" si="10">($P$365-$P$351)/($O$365-$O$351)*(O353-$O$351)+$P$351</f>
        <v>0.30000000000000004</v>
      </c>
    </row>
    <row r="354" spans="1:16" ht="26.25" x14ac:dyDescent="0.25">
      <c r="A354" s="211"/>
      <c r="B354" s="569" t="s">
        <v>1248</v>
      </c>
      <c r="C354" s="5"/>
      <c r="D354" s="6"/>
      <c r="E354" s="19" t="str">
        <f ca="1">CONCATENATE($F$46,"*",F344,"*POWER((",F339,"-60-",F350,"),2)")</f>
        <v>8.33*499.461538461538*POWER((200-60-61.9971975915376),2)</v>
      </c>
      <c r="F354" s="573">
        <f ca="1">ROUND($F$46*F344*POWER((F339-60-F350),2),2)</f>
        <v>25314389.829999998</v>
      </c>
      <c r="G354" s="216" t="s">
        <v>1242</v>
      </c>
      <c r="H354" s="211"/>
      <c r="O354" s="10">
        <v>17</v>
      </c>
      <c r="P354" s="10">
        <f t="shared" si="10"/>
        <v>0.31</v>
      </c>
    </row>
    <row r="355" spans="1:16" ht="26.25" x14ac:dyDescent="0.25">
      <c r="A355" s="211"/>
      <c r="B355" s="569" t="s">
        <v>1249</v>
      </c>
      <c r="C355" s="5"/>
      <c r="D355" s="6"/>
      <c r="E355" s="19" t="str">
        <f ca="1">CONCATENATE(F352,"+",F353,"+",F354)</f>
        <v>666666666.667+288842598.18+25314389.83</v>
      </c>
      <c r="F355" s="573">
        <f ca="1">F352+F353+F354</f>
        <v>980823654.67700016</v>
      </c>
      <c r="G355" s="216" t="s">
        <v>1242</v>
      </c>
      <c r="H355" s="211"/>
      <c r="O355" s="10">
        <v>18</v>
      </c>
      <c r="P355" s="10">
        <f t="shared" si="10"/>
        <v>0.32</v>
      </c>
    </row>
    <row r="356" spans="1:16" x14ac:dyDescent="0.25">
      <c r="A356" s="211"/>
      <c r="B356" s="569" t="s">
        <v>1251</v>
      </c>
      <c r="C356" s="5"/>
      <c r="D356" s="6"/>
      <c r="E356" s="19" t="str">
        <f ca="1">CONCATENATE(F339,"*",F341,"+",intro!$J$85,"*",F344)</f>
        <v>200*1000+9.33*499.461538461538</v>
      </c>
      <c r="F356" s="573">
        <f ca="1">F339*F341+intro!$J$85*F344</f>
        <v>204659.97615384616</v>
      </c>
      <c r="G356" s="216" t="s">
        <v>679</v>
      </c>
      <c r="H356" s="211"/>
      <c r="O356" s="10">
        <v>19</v>
      </c>
      <c r="P356" s="10">
        <f t="shared" si="10"/>
        <v>0.33</v>
      </c>
    </row>
    <row r="357" spans="1:16" ht="27" x14ac:dyDescent="0.3">
      <c r="A357" s="211"/>
      <c r="B357" s="569" t="s">
        <v>1279</v>
      </c>
      <c r="C357" s="5" t="s">
        <v>1278</v>
      </c>
      <c r="D357" s="6"/>
      <c r="E357" s="19" t="str">
        <f ca="1">CONCATENATE("(",F337,"*10000)/(",F356,"*",intro!$J$63,")")</f>
        <v>(12.986*10000)/(204659.976153846*1.5)</v>
      </c>
      <c r="F357" s="575">
        <f ca="1">ROUND((F337*10000)/(F356*intro!$J$63),3)</f>
        <v>0.42299999999999999</v>
      </c>
      <c r="G357" s="216"/>
      <c r="H357" s="211"/>
      <c r="O357" s="10">
        <v>20</v>
      </c>
      <c r="P357" s="10">
        <f t="shared" si="10"/>
        <v>0.34</v>
      </c>
    </row>
    <row r="358" spans="1:16" ht="43.5" customHeight="1" x14ac:dyDescent="0.3">
      <c r="A358" s="211"/>
      <c r="B358" s="569" t="s">
        <v>1280</v>
      </c>
      <c r="C358" s="5" t="s">
        <v>1281</v>
      </c>
      <c r="D358" s="6"/>
      <c r="E358" s="19" t="str">
        <f ca="1">CONCATENATE("(",F338,"*10000000)*(",F339,"-",F350,")/(",F355,"*2)")</f>
        <v>(0*10000000)*(200-61.9971975915376)/(980823654.677*2)</v>
      </c>
      <c r="F358" s="575">
        <f ca="1">(F338*10000000)*(F339-F350)/(F355*2)</f>
        <v>0</v>
      </c>
      <c r="G358" s="216"/>
      <c r="H358" s="211"/>
      <c r="J358" s="10">
        <v>8</v>
      </c>
      <c r="K358" s="10">
        <v>200</v>
      </c>
      <c r="O358" s="10">
        <v>21</v>
      </c>
      <c r="P358" s="10">
        <f t="shared" si="10"/>
        <v>0.35</v>
      </c>
    </row>
    <row r="359" spans="1:16" ht="20.25" x14ac:dyDescent="0.3">
      <c r="A359" s="211"/>
      <c r="B359" s="569" t="s">
        <v>1282</v>
      </c>
      <c r="C359" s="5"/>
      <c r="D359" s="6"/>
      <c r="E359" s="19" t="str">
        <f ca="1">CONCATENATE(F357,"+",F358)</f>
        <v>0.423+0</v>
      </c>
      <c r="F359" s="575">
        <f ca="1">ROUND(F357+F358,3)</f>
        <v>0.42299999999999999</v>
      </c>
      <c r="G359" s="576" t="str">
        <f ca="1">IF(F359&lt;1,"ok","revise")</f>
        <v>ok</v>
      </c>
      <c r="H359" s="211"/>
      <c r="J359" s="10">
        <v>10</v>
      </c>
      <c r="K359" s="10">
        <v>175</v>
      </c>
      <c r="O359" s="10">
        <v>22</v>
      </c>
      <c r="P359" s="10">
        <f t="shared" si="10"/>
        <v>0.36</v>
      </c>
    </row>
    <row r="360" spans="1:16" x14ac:dyDescent="0.25">
      <c r="A360" s="211"/>
      <c r="B360" s="569" t="s">
        <v>1252</v>
      </c>
      <c r="C360" s="5"/>
      <c r="D360" s="6"/>
      <c r="E360" s="19"/>
      <c r="F360" s="570">
        <f ca="1">$F$344</f>
        <v>499.46153846153845</v>
      </c>
      <c r="G360" s="216" t="s">
        <v>425</v>
      </c>
      <c r="H360" s="211"/>
      <c r="J360" s="10">
        <v>12</v>
      </c>
      <c r="K360" s="10">
        <v>150</v>
      </c>
      <c r="O360" s="10">
        <v>23</v>
      </c>
      <c r="P360" s="10">
        <f t="shared" si="10"/>
        <v>0.37</v>
      </c>
    </row>
    <row r="361" spans="1:16" x14ac:dyDescent="0.25">
      <c r="A361" s="211"/>
      <c r="B361" s="635">
        <f ca="1">$F$344</f>
        <v>499.46153846153845</v>
      </c>
      <c r="C361" s="569" t="s">
        <v>1253</v>
      </c>
      <c r="D361" s="569" t="s">
        <v>454</v>
      </c>
      <c r="E361" s="19"/>
      <c r="H361" s="211"/>
      <c r="J361" s="10">
        <v>16</v>
      </c>
      <c r="K361" s="10">
        <v>125</v>
      </c>
      <c r="O361" s="10">
        <v>24</v>
      </c>
      <c r="P361" s="10">
        <f t="shared" si="10"/>
        <v>0.38</v>
      </c>
    </row>
    <row r="362" spans="1:16" x14ac:dyDescent="0.25">
      <c r="A362" s="211"/>
      <c r="B362" s="20"/>
      <c r="C362" s="581">
        <v>12</v>
      </c>
      <c r="D362" s="581">
        <v>200</v>
      </c>
      <c r="E362" s="19"/>
      <c r="F362" s="569">
        <f>3.14*C362*C362/4*1000/D362</f>
        <v>565.19999999999993</v>
      </c>
      <c r="G362" s="569" t="s">
        <v>256</v>
      </c>
      <c r="H362" s="211"/>
      <c r="K362" s="10">
        <v>100</v>
      </c>
      <c r="O362" s="10">
        <v>25</v>
      </c>
      <c r="P362" s="10">
        <f t="shared" si="10"/>
        <v>0.39</v>
      </c>
    </row>
    <row r="363" spans="1:16" x14ac:dyDescent="0.25">
      <c r="A363" s="211"/>
      <c r="B363" s="20"/>
      <c r="C363" s="569"/>
      <c r="D363" s="569"/>
      <c r="E363" s="19"/>
      <c r="G363" s="576" t="str">
        <f ca="1">IF(F362&gt;F344,"ok","revise")</f>
        <v>ok</v>
      </c>
      <c r="H363" s="211"/>
      <c r="O363" s="10">
        <v>26</v>
      </c>
      <c r="P363" s="10">
        <f t="shared" si="10"/>
        <v>0.4</v>
      </c>
    </row>
    <row r="364" spans="1:16" ht="30" x14ac:dyDescent="0.25">
      <c r="A364" s="211"/>
      <c r="B364" s="596" t="s">
        <v>1293</v>
      </c>
      <c r="C364" s="5"/>
      <c r="D364" s="6">
        <f>IF(F86&lt;14,P351/2,VLOOKUP(F65,O351:P365,2,FALSE))</f>
        <v>0.14000000000000001</v>
      </c>
      <c r="E364" s="19"/>
      <c r="F364" s="597">
        <f>D435*F420*F422/100</f>
        <v>280.00000000000006</v>
      </c>
      <c r="G364" s="595" t="str">
        <f>IF(F362&gt;F364,"ok","revise")</f>
        <v>ok</v>
      </c>
      <c r="H364" s="211"/>
      <c r="O364" s="10">
        <v>27</v>
      </c>
      <c r="P364" s="10">
        <f t="shared" si="10"/>
        <v>0.41</v>
      </c>
    </row>
    <row r="365" spans="1:16" x14ac:dyDescent="0.25">
      <c r="A365" s="211"/>
      <c r="B365" s="582"/>
      <c r="C365" s="583"/>
      <c r="D365" s="583"/>
      <c r="E365" s="583"/>
      <c r="F365" s="583"/>
      <c r="G365" s="584"/>
      <c r="H365" s="211"/>
      <c r="O365" s="10">
        <v>28</v>
      </c>
      <c r="P365" s="10">
        <v>0.42</v>
      </c>
    </row>
    <row r="366" spans="1:16" x14ac:dyDescent="0.25">
      <c r="A366" s="211"/>
      <c r="B366" s="582"/>
      <c r="C366" s="583"/>
      <c r="D366" s="583"/>
      <c r="E366" s="583"/>
      <c r="F366" s="583"/>
      <c r="G366" s="584"/>
      <c r="H366" s="211"/>
    </row>
    <row r="367" spans="1:16" hidden="1" x14ac:dyDescent="0.25">
      <c r="A367" s="211"/>
      <c r="B367" s="1165" t="s">
        <v>1255</v>
      </c>
      <c r="C367" s="1166"/>
      <c r="D367" s="1166"/>
      <c r="E367" s="1166"/>
      <c r="F367" s="1166"/>
      <c r="G367" s="1167"/>
      <c r="H367" s="212"/>
      <c r="K367" s="138"/>
    </row>
    <row r="368" spans="1:16" hidden="1" x14ac:dyDescent="0.25">
      <c r="A368" s="211"/>
      <c r="B368" s="214" t="s">
        <v>374</v>
      </c>
      <c r="D368" s="213"/>
      <c r="E368" s="213"/>
      <c r="F368" s="1168"/>
      <c r="G368" s="1168"/>
      <c r="H368" s="213"/>
    </row>
    <row r="369" spans="1:11" hidden="1" x14ac:dyDescent="0.25">
      <c r="A369" s="211"/>
      <c r="B369" s="215" t="s">
        <v>375</v>
      </c>
      <c r="C369" s="216"/>
      <c r="D369" s="213"/>
      <c r="E369" s="213"/>
      <c r="F369" s="217">
        <f>$F$49</f>
        <v>45</v>
      </c>
      <c r="G369" s="212" t="s">
        <v>202</v>
      </c>
      <c r="H369" s="211"/>
    </row>
    <row r="370" spans="1:11" hidden="1" x14ac:dyDescent="0.25">
      <c r="A370" s="211"/>
      <c r="B370" s="215" t="s">
        <v>436</v>
      </c>
      <c r="C370" s="216"/>
      <c r="D370" s="213" t="s">
        <v>236</v>
      </c>
      <c r="E370" s="218"/>
      <c r="F370" s="217">
        <f>F369+10</f>
        <v>55</v>
      </c>
      <c r="G370" s="212" t="s">
        <v>202</v>
      </c>
      <c r="H370" s="211"/>
      <c r="K370" s="182"/>
    </row>
    <row r="371" spans="1:11" ht="17.25" hidden="1" x14ac:dyDescent="0.25">
      <c r="A371" s="211"/>
      <c r="B371" s="215" t="s">
        <v>311</v>
      </c>
      <c r="C371" s="216"/>
      <c r="D371" s="213"/>
      <c r="E371" s="218"/>
      <c r="F371" s="217">
        <v>500</v>
      </c>
      <c r="G371" s="212" t="s">
        <v>652</v>
      </c>
      <c r="H371" s="211"/>
    </row>
    <row r="372" spans="1:11" ht="29.25" hidden="1" x14ac:dyDescent="0.25">
      <c r="A372" s="211"/>
      <c r="B372" s="215" t="s">
        <v>377</v>
      </c>
      <c r="C372" s="216"/>
      <c r="D372" s="213" t="str">
        <f>CONCATENATE("0.8*",F371)</f>
        <v>0.8*500</v>
      </c>
      <c r="E372" s="213"/>
      <c r="F372" s="217">
        <f>0.8*F371</f>
        <v>400</v>
      </c>
      <c r="G372" s="212" t="s">
        <v>652</v>
      </c>
      <c r="H372" s="211"/>
    </row>
    <row r="373" spans="1:11" ht="17.25" hidden="1" x14ac:dyDescent="0.25">
      <c r="A373" s="211"/>
      <c r="B373" s="215" t="s">
        <v>435</v>
      </c>
      <c r="C373" s="216"/>
      <c r="D373" s="213"/>
      <c r="E373" s="213"/>
      <c r="F373" s="217">
        <v>250</v>
      </c>
      <c r="G373" s="212" t="s">
        <v>653</v>
      </c>
      <c r="H373" s="211"/>
    </row>
    <row r="374" spans="1:11" ht="17.25" hidden="1" x14ac:dyDescent="0.25">
      <c r="A374" s="211"/>
      <c r="B374" s="215" t="s">
        <v>83</v>
      </c>
      <c r="C374" s="216"/>
      <c r="D374" s="219"/>
      <c r="E374" s="213"/>
      <c r="F374" s="217">
        <v>2.4</v>
      </c>
      <c r="G374" s="212" t="s">
        <v>654</v>
      </c>
      <c r="H374" s="211"/>
    </row>
    <row r="375" spans="1:11" hidden="1" x14ac:dyDescent="0.25">
      <c r="A375" s="211"/>
      <c r="B375" s="213" t="s">
        <v>379</v>
      </c>
      <c r="C375" s="216"/>
      <c r="D375" s="213" t="s">
        <v>422</v>
      </c>
      <c r="E375" s="220"/>
      <c r="F375" s="217">
        <v>30</v>
      </c>
      <c r="G375" s="213" t="s">
        <v>501</v>
      </c>
      <c r="H375" s="220"/>
    </row>
    <row r="376" spans="1:11" hidden="1" x14ac:dyDescent="0.25">
      <c r="A376" s="211"/>
      <c r="B376" s="213" t="s">
        <v>380</v>
      </c>
      <c r="C376" s="216"/>
      <c r="D376" s="213"/>
      <c r="E376" s="213"/>
      <c r="F376" s="213">
        <f>1/3*F375</f>
        <v>10</v>
      </c>
      <c r="G376" s="213" t="s">
        <v>501</v>
      </c>
      <c r="H376" s="220"/>
    </row>
    <row r="377" spans="1:11" hidden="1" x14ac:dyDescent="0.25">
      <c r="A377" s="211"/>
      <c r="B377" s="213" t="s">
        <v>381</v>
      </c>
      <c r="C377" s="216"/>
      <c r="D377" s="213" t="s">
        <v>382</v>
      </c>
      <c r="E377" s="213" t="s">
        <v>236</v>
      </c>
      <c r="F377" s="221">
        <f>ROUND((2*10^5)/((0.5*5000*((F375^0.5)))),2)</f>
        <v>14.61</v>
      </c>
      <c r="G377" s="213"/>
      <c r="H377" s="220"/>
    </row>
    <row r="378" spans="1:11" ht="17.25" hidden="1" x14ac:dyDescent="0.25">
      <c r="A378" s="211"/>
      <c r="B378" s="213" t="s">
        <v>383</v>
      </c>
      <c r="C378" s="216"/>
      <c r="D378" s="213" t="s">
        <v>426</v>
      </c>
      <c r="E378" s="1158">
        <f>2*10^5</f>
        <v>200000</v>
      </c>
      <c r="F378" s="1159"/>
      <c r="G378" s="213" t="s">
        <v>652</v>
      </c>
      <c r="H378" s="220"/>
    </row>
    <row r="379" spans="1:11" ht="18" hidden="1" customHeight="1" x14ac:dyDescent="0.25">
      <c r="A379" s="211"/>
      <c r="B379" s="1185" t="s">
        <v>434</v>
      </c>
      <c r="C379" s="1186"/>
      <c r="D379" s="1187"/>
      <c r="E379" s="213"/>
      <c r="F379" s="213"/>
      <c r="G379" s="213"/>
      <c r="H379" s="220"/>
    </row>
    <row r="380" spans="1:11" ht="29.25" hidden="1" x14ac:dyDescent="0.25">
      <c r="A380" s="211"/>
      <c r="B380" s="214" t="s">
        <v>110</v>
      </c>
      <c r="C380" s="215" t="s">
        <v>433</v>
      </c>
      <c r="D380" s="215" t="s">
        <v>236</v>
      </c>
      <c r="E380" s="222" t="s">
        <v>236</v>
      </c>
      <c r="F380" s="221">
        <v>0.1</v>
      </c>
      <c r="G380" s="213" t="s">
        <v>497</v>
      </c>
      <c r="H380" s="223"/>
    </row>
    <row r="381" spans="1:11" ht="29.25" hidden="1" x14ac:dyDescent="0.25">
      <c r="A381" s="211"/>
      <c r="B381" s="207" t="s">
        <v>384</v>
      </c>
      <c r="C381" s="215" t="s">
        <v>432</v>
      </c>
      <c r="D381" s="215" t="s">
        <v>236</v>
      </c>
      <c r="E381" s="222" t="s">
        <v>236</v>
      </c>
      <c r="F381" s="585">
        <f ca="1">MAX(Calculation!$F$321,Calculation!$F$329)</f>
        <v>12.986000000000001</v>
      </c>
      <c r="G381" s="215" t="s">
        <v>569</v>
      </c>
      <c r="H381" s="224"/>
    </row>
    <row r="382" spans="1:11" hidden="1" x14ac:dyDescent="0.25">
      <c r="A382" s="211"/>
      <c r="B382" s="207" t="s">
        <v>431</v>
      </c>
      <c r="C382" s="215"/>
      <c r="D382" s="215"/>
      <c r="E382" s="215"/>
      <c r="F382" s="215">
        <v>1</v>
      </c>
      <c r="G382" s="215" t="s">
        <v>430</v>
      </c>
      <c r="H382" s="224"/>
    </row>
    <row r="383" spans="1:11" ht="31.5" hidden="1" customHeight="1" x14ac:dyDescent="0.25">
      <c r="A383" s="211"/>
      <c r="B383" s="207" t="s">
        <v>429</v>
      </c>
      <c r="C383" s="215"/>
      <c r="D383" s="1156" t="str">
        <f ca="1">"("&amp;F380&amp;"/"&amp;F381&amp;"/"&amp;F385&amp;"/1000)"</f>
        <v>(0.1/12.986/200/1000)</v>
      </c>
      <c r="E383" s="1157"/>
      <c r="F383" s="215">
        <f ca="1">(F380)/(F381*(F385/1000))</f>
        <v>3.8503003234252271E-2</v>
      </c>
      <c r="G383" s="225" t="str">
        <f ca="1">IF(F383&lt;0.18,"valid","invalid")</f>
        <v>valid</v>
      </c>
      <c r="H383" s="225" t="str">
        <f ca="1">IF(F383&lt;0.18,"ok","iproceed to 2nd part")</f>
        <v>ok</v>
      </c>
    </row>
    <row r="384" spans="1:11" hidden="1" x14ac:dyDescent="0.25">
      <c r="A384" s="211"/>
      <c r="B384" s="207" t="s">
        <v>386</v>
      </c>
      <c r="C384" s="215" t="s">
        <v>387</v>
      </c>
      <c r="D384" s="1156">
        <f>F384</f>
        <v>1000</v>
      </c>
      <c r="E384" s="1157"/>
      <c r="F384" s="215">
        <v>1000</v>
      </c>
      <c r="G384" s="215" t="s">
        <v>202</v>
      </c>
      <c r="H384" s="226"/>
    </row>
    <row r="385" spans="1:8" hidden="1" x14ac:dyDescent="0.25">
      <c r="A385" s="211"/>
      <c r="B385" s="207" t="s">
        <v>33</v>
      </c>
      <c r="C385" s="215" t="s">
        <v>388</v>
      </c>
      <c r="D385" s="1156">
        <f>F385</f>
        <v>200</v>
      </c>
      <c r="E385" s="1157"/>
      <c r="F385" s="227">
        <f>Calculation!$B$325*1000</f>
        <v>200</v>
      </c>
      <c r="G385" s="215" t="s">
        <v>202</v>
      </c>
      <c r="H385" s="224"/>
    </row>
    <row r="386" spans="1:8" hidden="1" x14ac:dyDescent="0.25">
      <c r="A386" s="211"/>
      <c r="B386" s="207"/>
      <c r="C386" s="215" t="s">
        <v>389</v>
      </c>
      <c r="D386" s="215"/>
      <c r="E386" s="215">
        <f>F370</f>
        <v>55</v>
      </c>
      <c r="F386" s="228">
        <f>F370</f>
        <v>55</v>
      </c>
      <c r="G386" s="215" t="s">
        <v>202</v>
      </c>
      <c r="H386" s="224"/>
    </row>
    <row r="387" spans="1:8" hidden="1" x14ac:dyDescent="0.25">
      <c r="A387" s="211"/>
      <c r="B387" s="207" t="s">
        <v>107</v>
      </c>
      <c r="C387" s="215" t="s">
        <v>390</v>
      </c>
      <c r="D387" s="1156" t="str">
        <f>"("&amp;F385&amp;"-"&amp;F370&amp;")"</f>
        <v>(200-55)</v>
      </c>
      <c r="E387" s="1157"/>
      <c r="F387" s="228">
        <f>F385-F370</f>
        <v>145</v>
      </c>
      <c r="G387" s="215" t="s">
        <v>202</v>
      </c>
      <c r="H387" s="224"/>
    </row>
    <row r="388" spans="1:8" ht="17.25" hidden="1" x14ac:dyDescent="0.25">
      <c r="A388" s="211"/>
      <c r="B388" s="207" t="s">
        <v>391</v>
      </c>
      <c r="C388" s="215" t="s">
        <v>236</v>
      </c>
      <c r="D388" s="229"/>
      <c r="E388" s="215"/>
      <c r="F388" s="228">
        <f>$F$372</f>
        <v>400</v>
      </c>
      <c r="G388" s="215" t="s">
        <v>652</v>
      </c>
      <c r="H388" s="215"/>
    </row>
    <row r="389" spans="1:8" hidden="1" x14ac:dyDescent="0.25">
      <c r="A389" s="211"/>
      <c r="B389" s="207"/>
      <c r="C389" s="215"/>
      <c r="D389" s="229"/>
      <c r="E389" s="215"/>
      <c r="F389" s="228"/>
      <c r="G389" s="215"/>
      <c r="H389" s="215"/>
    </row>
    <row r="390" spans="1:8" ht="30" hidden="1" x14ac:dyDescent="0.25">
      <c r="A390" s="211"/>
      <c r="B390" s="230" t="s">
        <v>428</v>
      </c>
      <c r="C390" s="215"/>
      <c r="D390" s="229"/>
      <c r="E390" s="229"/>
      <c r="F390" s="228">
        <f ca="1">1.5*F381*10^4/F372/2</f>
        <v>243.48750000000001</v>
      </c>
      <c r="G390" s="215" t="s">
        <v>655</v>
      </c>
      <c r="H390" s="215"/>
    </row>
    <row r="391" spans="1:8" ht="45" hidden="1" x14ac:dyDescent="0.25">
      <c r="A391" s="211"/>
      <c r="B391" s="230" t="s">
        <v>392</v>
      </c>
      <c r="C391" s="215" t="s">
        <v>427</v>
      </c>
      <c r="D391" s="1156" t="str">
        <f>"((1-SQRT(1-((4.6*"&amp;F380&amp;"*1.5*10^7)/("&amp;$F$375&amp;"*"&amp;F384&amp;"*"&amp;F387&amp;"^2))))/((2/("&amp;F384&amp;"*"&amp;F387&amp;"))*("&amp;F371&amp;"/"&amp;$F$375&amp;")))"</f>
        <v>((1-SQRT(1-((4.6*0.1*1.5*10^7)/(30*1000*145^2))))/((2/(1000*145))*(500/30)))</v>
      </c>
      <c r="E391" s="1157"/>
      <c r="F391" s="231">
        <f>ROUND((1-SQRT(1-((4.6*F380*1.5*10^7)/($F$375*F384*F387^2))))/((2/(F384*F387))*(F371/$F$375)),2)</f>
        <v>23.86</v>
      </c>
      <c r="G391" s="215" t="s">
        <v>655</v>
      </c>
      <c r="H391" s="226"/>
    </row>
    <row r="392" spans="1:8" ht="17.25" hidden="1" x14ac:dyDescent="0.25">
      <c r="A392" s="211"/>
      <c r="B392" s="207" t="s">
        <v>426</v>
      </c>
      <c r="C392" s="215"/>
      <c r="D392" s="215"/>
      <c r="E392" s="226"/>
      <c r="F392" s="231">
        <f ca="1">+IF((F390+F391)&gt;F408,(F390+F391),F408)</f>
        <v>628</v>
      </c>
      <c r="G392" s="215" t="s">
        <v>655</v>
      </c>
      <c r="H392" s="226"/>
    </row>
    <row r="393" spans="1:8" hidden="1" x14ac:dyDescent="0.25">
      <c r="A393" s="211"/>
      <c r="B393" s="207" t="s">
        <v>424</v>
      </c>
      <c r="C393" s="215" t="s">
        <v>423</v>
      </c>
      <c r="D393" s="1156" t="str">
        <f ca="1">"("&amp;F392&amp;"/"&amp;F384&amp;"/"&amp;F385&amp;")"</f>
        <v>(628/1000/200)</v>
      </c>
      <c r="E393" s="1157"/>
      <c r="F393" s="232">
        <f ca="1">ROUND((((F392/F384/F385))),3)</f>
        <v>3.0000000000000001E-3</v>
      </c>
      <c r="G393" s="215"/>
      <c r="H393" s="226"/>
    </row>
    <row r="394" spans="1:8" ht="17.25" hidden="1" x14ac:dyDescent="0.25">
      <c r="A394" s="211"/>
      <c r="B394" s="207" t="s">
        <v>422</v>
      </c>
      <c r="C394" s="215"/>
      <c r="D394" s="215"/>
      <c r="E394" s="215" t="s">
        <v>236</v>
      </c>
      <c r="F394" s="233">
        <f ca="1">MAX(F390,F412)</f>
        <v>314</v>
      </c>
      <c r="G394" s="215" t="s">
        <v>655</v>
      </c>
      <c r="H394" s="226"/>
    </row>
    <row r="395" spans="1:8" hidden="1" x14ac:dyDescent="0.25">
      <c r="A395" s="211"/>
      <c r="B395" s="207" t="s">
        <v>421</v>
      </c>
      <c r="C395" s="215" t="s">
        <v>420</v>
      </c>
      <c r="D395" s="1156" t="str">
        <f ca="1">"("&amp;F394&amp;"/"&amp;F384&amp;"/"&amp;F385&amp;")"</f>
        <v>(314/1000/200)</v>
      </c>
      <c r="E395" s="1157"/>
      <c r="F395" s="234">
        <f ca="1">F394/F384/F385</f>
        <v>1.57E-3</v>
      </c>
      <c r="G395" s="215"/>
      <c r="H395" s="226"/>
    </row>
    <row r="396" spans="1:8" ht="32.25" hidden="1" x14ac:dyDescent="0.25">
      <c r="A396" s="211"/>
      <c r="B396" s="207" t="s">
        <v>656</v>
      </c>
      <c r="C396" s="215"/>
      <c r="D396" s="1156" t="str">
        <f ca="1">"(("&amp;F380&amp;"*10^7)/(2*"&amp;F384&amp;"*"&amp;F385&amp;"^2*"&amp;F393&amp;"*(0.5-"&amp;F386&amp;"/"&amp;F385&amp;"))+("&amp;F381&amp;"*10^4/(2*"&amp;F384&amp;"*"&amp;F385&amp;"*"&amp;F393&amp;")))"</f>
        <v>((0.1*10^7)/(2*1000*200^2*0.003*(0.5-55/200))+(12.986*10^4/(2*1000*200*0.003)))</v>
      </c>
      <c r="E396" s="1157"/>
      <c r="F396" s="235">
        <f ca="1">ROUND(((F380*10^7)/(2*F384*F385^2*F393*(0.5-(F386/F385)))+(F381*10^4/(2*F384*F385*F393))),2)</f>
        <v>126.74</v>
      </c>
      <c r="G396" s="215" t="s">
        <v>652</v>
      </c>
      <c r="H396" s="226"/>
    </row>
    <row r="397" spans="1:8" ht="30" hidden="1" x14ac:dyDescent="0.25">
      <c r="A397" s="211"/>
      <c r="B397" s="207" t="s">
        <v>419</v>
      </c>
      <c r="C397" s="215"/>
      <c r="D397" s="1156" t="str">
        <f ca="1">"(1/"&amp;F395&amp;"*("&amp;F381&amp;"*10^4/"&amp;F384&amp;"/"&amp;F385&amp;"-"&amp;F393&amp;"*"&amp;F396&amp;"))"</f>
        <v>(1/0.00157*(12.986*10^4/1000/200-0.003*126.74))</v>
      </c>
      <c r="E397" s="1157"/>
      <c r="F397" s="235">
        <f ca="1">1/F395*((F381*10^4/F384/F385)-(F393*F396))</f>
        <v>171.3885350318472</v>
      </c>
      <c r="G397" s="215" t="s">
        <v>652</v>
      </c>
      <c r="H397" s="226"/>
    </row>
    <row r="398" spans="1:8" ht="45" hidden="1" x14ac:dyDescent="0.25">
      <c r="A398" s="211"/>
      <c r="B398" s="207" t="s">
        <v>418</v>
      </c>
      <c r="C398" s="215"/>
      <c r="D398" s="1156" t="str">
        <f ca="1">"("&amp;F396&amp;"/"&amp;E378&amp;")"</f>
        <v>(126.74/200000)</v>
      </c>
      <c r="E398" s="1157"/>
      <c r="F398" s="236">
        <f ca="1">F396/E378</f>
        <v>6.3369999999999995E-4</v>
      </c>
      <c r="G398" s="215"/>
      <c r="H398" s="226"/>
    </row>
    <row r="399" spans="1:8" ht="60" hidden="1" x14ac:dyDescent="0.25">
      <c r="A399" s="211"/>
      <c r="B399" s="207" t="s">
        <v>417</v>
      </c>
      <c r="C399" s="215"/>
      <c r="D399" s="1156" t="str">
        <f ca="1">"(("&amp;F396&amp;"-"&amp;F397&amp;")/(("&amp;F385&amp;"-2*"&amp;F386&amp;")*+"&amp;E378&amp;"))"</f>
        <v>((126.74-171.388535031847)/((200-2*55)*+200000))</v>
      </c>
      <c r="E399" s="1157"/>
      <c r="F399" s="237">
        <f ca="1">((F396-F397)/((F385-2*F386)*E378))</f>
        <v>-2.4804741684359557E-6</v>
      </c>
      <c r="G399" s="215"/>
      <c r="H399" s="226"/>
    </row>
    <row r="400" spans="1:8" ht="30" hidden="1" x14ac:dyDescent="0.25">
      <c r="A400" s="211"/>
      <c r="B400" s="207" t="s">
        <v>416</v>
      </c>
      <c r="C400" s="215"/>
      <c r="D400" s="1156" t="str">
        <f ca="1">"("&amp;F398&amp;"+"&amp;F399&amp;"*"&amp;F386&amp;")"</f>
        <v>(0.0006337+-2.48047416843596E-06*55)</v>
      </c>
      <c r="E400" s="1157"/>
      <c r="F400" s="238">
        <f ca="1">(F398+F399*F386)</f>
        <v>4.9727392073602237E-4</v>
      </c>
      <c r="G400" s="215"/>
      <c r="H400" s="224"/>
    </row>
    <row r="401" spans="1:8" ht="60" hidden="1" x14ac:dyDescent="0.25">
      <c r="A401" s="211"/>
      <c r="B401" s="207" t="s">
        <v>415</v>
      </c>
      <c r="C401" s="215"/>
      <c r="D401" s="1156" t="str">
        <f ca="1">"((2*"&amp;F384&amp;"*"&amp;F385&amp;")/(3*"&amp;E378&amp;"*"&amp;F390&amp;"))"</f>
        <v>((2*1000*200)/(3*200000*243.4875))</v>
      </c>
      <c r="E401" s="1157"/>
      <c r="F401" s="238">
        <f ca="1">ROUND(((2*F384*F385)/(3*E378*F392)),4)</f>
        <v>1.1000000000000001E-3</v>
      </c>
      <c r="G401" s="215"/>
      <c r="H401" s="224"/>
    </row>
    <row r="402" spans="1:8" ht="30" hidden="1" x14ac:dyDescent="0.25">
      <c r="A402" s="211"/>
      <c r="B402" s="207" t="s">
        <v>414</v>
      </c>
      <c r="C402" s="215"/>
      <c r="D402" s="1156" t="str">
        <f ca="1">"("&amp;F400&amp;"-"&amp;F401&amp;")"</f>
        <v>(0.000497273920736022-0.0011)</v>
      </c>
      <c r="E402" s="1157"/>
      <c r="F402" s="239">
        <f ca="1">F400-F401</f>
        <v>-6.0272607926397769E-4</v>
      </c>
      <c r="G402" s="215"/>
      <c r="H402" s="224"/>
    </row>
    <row r="403" spans="1:8" ht="16.5" hidden="1" x14ac:dyDescent="0.3">
      <c r="A403" s="211"/>
      <c r="B403" s="207" t="s">
        <v>657</v>
      </c>
      <c r="C403" s="215" t="s">
        <v>403</v>
      </c>
      <c r="D403" s="1156">
        <f>F403</f>
        <v>83.254129026733565</v>
      </c>
      <c r="E403" s="1157"/>
      <c r="F403" s="235">
        <f>SQRT((E409/2)^2+F386^2)</f>
        <v>83.254129026733565</v>
      </c>
      <c r="G403" s="215" t="s">
        <v>236</v>
      </c>
      <c r="H403" s="224"/>
    </row>
    <row r="404" spans="1:8" ht="45" hidden="1" x14ac:dyDescent="0.25">
      <c r="A404" s="211"/>
      <c r="B404" s="207" t="s">
        <v>413</v>
      </c>
      <c r="C404" s="207" t="s">
        <v>405</v>
      </c>
      <c r="D404" s="1156">
        <f ca="1">(3*F403*F402)</f>
        <v>-0.15053830431246132</v>
      </c>
      <c r="E404" s="1157"/>
      <c r="F404" s="238">
        <f ca="1">(3*F403*F402)</f>
        <v>-0.15053830431246132</v>
      </c>
      <c r="G404" s="215" t="s">
        <v>570</v>
      </c>
      <c r="H404" s="225" t="str">
        <f ca="1">IF(F404&lt;0.2,"OK","REVISE")</f>
        <v>OK</v>
      </c>
    </row>
    <row r="405" spans="1:8" hidden="1" x14ac:dyDescent="0.25">
      <c r="A405" s="211"/>
      <c r="B405" s="213"/>
      <c r="C405" s="213" t="s">
        <v>412</v>
      </c>
      <c r="D405" s="240"/>
      <c r="E405" s="240"/>
      <c r="F405" s="240"/>
      <c r="G405" s="240"/>
      <c r="H405" s="240"/>
    </row>
    <row r="406" spans="1:8" ht="17.25" hidden="1" x14ac:dyDescent="0.25">
      <c r="A406" s="211"/>
      <c r="B406" s="213" t="s">
        <v>437</v>
      </c>
      <c r="C406" s="240">
        <v>10</v>
      </c>
      <c r="D406" s="241" t="s">
        <v>300</v>
      </c>
      <c r="E406" s="240">
        <v>125</v>
      </c>
      <c r="F406" s="242">
        <f>(3.14*0.25*(C406^2))/(E406/1000)</f>
        <v>628</v>
      </c>
      <c r="G406" s="212" t="s">
        <v>655</v>
      </c>
      <c r="H406" s="240"/>
    </row>
    <row r="407" spans="1:8" ht="17.25" hidden="1" x14ac:dyDescent="0.25">
      <c r="A407" s="211"/>
      <c r="B407" s="242">
        <f>SUM(F406:F407)</f>
        <v>628</v>
      </c>
      <c r="C407" s="240">
        <v>0</v>
      </c>
      <c r="D407" s="241" t="s">
        <v>300</v>
      </c>
      <c r="E407" s="240">
        <v>175</v>
      </c>
      <c r="F407" s="241">
        <f>(3.14*0.25*(C407^2))/(E407/1000)</f>
        <v>0</v>
      </c>
      <c r="G407" s="212" t="s">
        <v>655</v>
      </c>
      <c r="H407" s="240"/>
    </row>
    <row r="408" spans="1:8" ht="17.25" hidden="1" x14ac:dyDescent="0.25">
      <c r="A408" s="211"/>
      <c r="B408" s="213"/>
      <c r="C408" s="240"/>
      <c r="D408" s="241"/>
      <c r="E408" s="240"/>
      <c r="F408" s="241">
        <f>SUM(F406:F407)</f>
        <v>628</v>
      </c>
      <c r="G408" s="212" t="s">
        <v>655</v>
      </c>
      <c r="H408" s="240"/>
    </row>
    <row r="409" spans="1:8" ht="28.5" hidden="1" customHeight="1" x14ac:dyDescent="0.25">
      <c r="A409" s="211"/>
      <c r="B409" s="213"/>
      <c r="C409" s="240" t="s">
        <v>407</v>
      </c>
      <c r="D409" s="241"/>
      <c r="E409" s="241">
        <f>IF(C407&gt;0,E406/2,E406)</f>
        <v>125</v>
      </c>
      <c r="F409" s="225" t="str">
        <f>IF(E409&gt;3001,"revise","ok")</f>
        <v>ok</v>
      </c>
      <c r="G409" s="1176" t="str">
        <f>IF(F408&gt;F413,"MORE THAN MINIMUM","REVISE")</f>
        <v>MORE THAN MINIMUM</v>
      </c>
      <c r="H409" s="1177"/>
    </row>
    <row r="410" spans="1:8" ht="17.25" hidden="1" x14ac:dyDescent="0.25">
      <c r="A410" s="211"/>
      <c r="B410" s="213" t="s">
        <v>438</v>
      </c>
      <c r="C410" s="240">
        <v>10</v>
      </c>
      <c r="D410" s="241" t="s">
        <v>300</v>
      </c>
      <c r="E410" s="240">
        <v>250</v>
      </c>
      <c r="F410" s="242">
        <f>(3.14*0.25*(C410^2))/(E410/1000)</f>
        <v>314</v>
      </c>
      <c r="G410" s="212" t="s">
        <v>655</v>
      </c>
      <c r="H410" s="243"/>
    </row>
    <row r="411" spans="1:8" ht="17.25" hidden="1" x14ac:dyDescent="0.25">
      <c r="A411" s="211"/>
      <c r="B411" s="242">
        <f>SUM(F410:F411)</f>
        <v>314</v>
      </c>
      <c r="C411" s="240">
        <v>0</v>
      </c>
      <c r="D411" s="241" t="s">
        <v>300</v>
      </c>
      <c r="E411" s="240">
        <v>175</v>
      </c>
      <c r="F411" s="241">
        <f>(3.14*0.25*(C411^2))/(E411/1000)</f>
        <v>0</v>
      </c>
      <c r="G411" s="212" t="s">
        <v>655</v>
      </c>
      <c r="H411" s="243"/>
    </row>
    <row r="412" spans="1:8" ht="17.25" hidden="1" x14ac:dyDescent="0.25">
      <c r="A412" s="211"/>
      <c r="B412" s="213"/>
      <c r="C412" s="244"/>
      <c r="D412" s="241"/>
      <c r="E412" s="240"/>
      <c r="F412" s="241">
        <f>SUM(F410:F411)</f>
        <v>314</v>
      </c>
      <c r="G412" s="212" t="s">
        <v>655</v>
      </c>
      <c r="H412" s="243"/>
    </row>
    <row r="413" spans="1:8" ht="17.25" hidden="1" x14ac:dyDescent="0.25">
      <c r="A413" s="211"/>
      <c r="B413" s="226" t="s">
        <v>408</v>
      </c>
      <c r="C413" s="245">
        <v>0.14000000000000001</v>
      </c>
      <c r="D413" s="240"/>
      <c r="E413" s="240"/>
      <c r="F413" s="241">
        <f>C413*MIN(F385,500)*1000/100</f>
        <v>280.00000000000006</v>
      </c>
      <c r="G413" s="212" t="s">
        <v>655</v>
      </c>
      <c r="H413" s="240"/>
    </row>
    <row r="414" spans="1:8" ht="39" hidden="1" customHeight="1" x14ac:dyDescent="0.25">
      <c r="A414" s="211"/>
      <c r="B414" s="213"/>
      <c r="C414" s="244"/>
      <c r="D414" s="246"/>
      <c r="E414" s="247"/>
      <c r="F414" s="247"/>
      <c r="G414" s="1176" t="str">
        <f>IF(F412&gt;F413,"MORE THAN MINIMUM","REVISE")</f>
        <v>MORE THAN MINIMUM</v>
      </c>
      <c r="H414" s="1177"/>
    </row>
    <row r="415" spans="1:8" ht="24.75" customHeight="1" x14ac:dyDescent="0.25">
      <c r="A415" s="211"/>
      <c r="B415" s="586"/>
      <c r="C415" s="587"/>
      <c r="D415" s="247"/>
      <c r="E415" s="247"/>
      <c r="F415" s="247"/>
      <c r="G415" s="588"/>
      <c r="H415" s="588"/>
    </row>
    <row r="416" spans="1:8" ht="24.75" customHeight="1" x14ac:dyDescent="0.25">
      <c r="A416" s="211"/>
      <c r="B416" s="1165" t="s">
        <v>1292</v>
      </c>
      <c r="C416" s="1166"/>
      <c r="D416" s="1166"/>
      <c r="E416" s="1166"/>
      <c r="F416" s="1166"/>
      <c r="G416" s="1167"/>
      <c r="H416" s="211"/>
    </row>
    <row r="417" spans="1:10" ht="24.75" customHeight="1" x14ac:dyDescent="0.25">
      <c r="A417" s="211"/>
      <c r="B417" s="10"/>
      <c r="C417" s="10"/>
      <c r="D417" s="10"/>
      <c r="E417" s="10"/>
      <c r="F417" s="10"/>
      <c r="G417" s="10"/>
      <c r="H417" s="211"/>
    </row>
    <row r="418" spans="1:10" ht="24.75" customHeight="1" x14ac:dyDescent="0.25">
      <c r="A418" s="211"/>
      <c r="B418" s="20" t="s">
        <v>621</v>
      </c>
      <c r="C418" s="5"/>
      <c r="D418" s="6"/>
      <c r="E418" s="19"/>
      <c r="F418" s="13">
        <f>(Calculation!B84*Calculation!B86+(Calculation!F88-Calculation!B84-Calculation!B93)*(Calculation!B86+Calculation!B86)/2)*Calculation!F44</f>
        <v>1.7520000000000002</v>
      </c>
      <c r="G418" s="3" t="s">
        <v>91</v>
      </c>
      <c r="H418" s="211"/>
    </row>
    <row r="419" spans="1:10" ht="24.75" customHeight="1" x14ac:dyDescent="0.25">
      <c r="A419" s="211"/>
      <c r="B419" s="20" t="s">
        <v>310</v>
      </c>
      <c r="C419" s="5"/>
      <c r="D419" s="6"/>
      <c r="E419" s="19"/>
      <c r="F419" s="13">
        <f ca="1">Calculation!$D$329</f>
        <v>0.86</v>
      </c>
      <c r="G419" s="3" t="s">
        <v>1125</v>
      </c>
      <c r="H419" s="211"/>
    </row>
    <row r="420" spans="1:10" ht="24.75" customHeight="1" x14ac:dyDescent="0.25">
      <c r="A420" s="211"/>
      <c r="B420" s="20" t="s">
        <v>1234</v>
      </c>
      <c r="C420" s="5"/>
      <c r="D420" s="6"/>
      <c r="E420" s="19"/>
      <c r="F420" s="13">
        <f>B325*1000</f>
        <v>200</v>
      </c>
      <c r="G420" s="3" t="s">
        <v>202</v>
      </c>
      <c r="H420" s="211"/>
    </row>
    <row r="421" spans="1:10" ht="24.75" customHeight="1" x14ac:dyDescent="0.25">
      <c r="A421" s="211"/>
      <c r="B421" s="10" t="s">
        <v>1239</v>
      </c>
      <c r="C421" s="10"/>
      <c r="D421" s="182"/>
      <c r="E421" s="10"/>
      <c r="F421" s="571">
        <f>$F$49</f>
        <v>45</v>
      </c>
      <c r="G421" s="10" t="s">
        <v>202</v>
      </c>
      <c r="H421" s="211"/>
      <c r="J421" s="10">
        <f>$F$46</f>
        <v>8.33</v>
      </c>
    </row>
    <row r="422" spans="1:10" ht="24.75" customHeight="1" x14ac:dyDescent="0.25">
      <c r="A422" s="211"/>
      <c r="B422" s="20" t="s">
        <v>1235</v>
      </c>
      <c r="C422" s="5"/>
      <c r="D422" s="6"/>
      <c r="E422" s="19"/>
      <c r="F422" s="13">
        <v>1000</v>
      </c>
      <c r="G422" s="3" t="s">
        <v>202</v>
      </c>
      <c r="H422" s="211"/>
    </row>
    <row r="423" spans="1:10" ht="24.75" customHeight="1" x14ac:dyDescent="0.25">
      <c r="A423" s="211"/>
      <c r="B423" s="569" t="s">
        <v>1283</v>
      </c>
      <c r="C423" s="5"/>
      <c r="D423" s="6"/>
      <c r="E423" s="19" t="str">
        <f>CONCATENATE(F420,"-",F421,"-10")</f>
        <v>200-45-10</v>
      </c>
      <c r="F423" s="13">
        <f>F420-F421-10</f>
        <v>145</v>
      </c>
      <c r="G423" s="3" t="s">
        <v>202</v>
      </c>
      <c r="H423" s="211"/>
    </row>
    <row r="424" spans="1:10" ht="24.75" customHeight="1" x14ac:dyDescent="0.25">
      <c r="A424" s="211"/>
      <c r="B424" s="569" t="s">
        <v>1277</v>
      </c>
      <c r="C424" s="5"/>
      <c r="D424" s="6"/>
      <c r="E424" s="19"/>
      <c r="F424" s="13">
        <f>intro!$J$74</f>
        <v>130</v>
      </c>
      <c r="G424" s="216" t="s">
        <v>260</v>
      </c>
      <c r="H424" s="211"/>
    </row>
    <row r="425" spans="1:10" ht="30" customHeight="1" x14ac:dyDescent="0.25">
      <c r="A425" s="211"/>
      <c r="B425" s="569" t="s">
        <v>1307</v>
      </c>
      <c r="C425" s="5"/>
      <c r="D425" s="6"/>
      <c r="E425" s="19" t="str">
        <f ca="1">"("&amp;F419&amp;"*10000000/("&amp;F424&amp;"*("&amp;F423&amp;"-"&amp;F420&amp;"/10)))"</f>
        <v>(0.86*10000000/(130*(145-200/10)))</v>
      </c>
      <c r="F425" s="13">
        <f ca="1">ROUND((F419*10000000/(F424*(F423-F420/10))),3)</f>
        <v>529.23099999999999</v>
      </c>
      <c r="G425" s="216" t="s">
        <v>679</v>
      </c>
      <c r="H425" s="211"/>
    </row>
    <row r="426" spans="1:10" ht="26.25" customHeight="1" x14ac:dyDescent="0.25">
      <c r="A426" s="211"/>
      <c r="B426" s="569" t="s">
        <v>1246</v>
      </c>
      <c r="C426" s="5"/>
      <c r="D426" s="6"/>
      <c r="E426" s="19" t="str">
        <f ca="1">"(("&amp;F422&amp;"*"&amp;F420&amp;"*"&amp;F420&amp;"/2+"&amp;$F$46&amp;"*"&amp;F425&amp;"*"&amp;F423&amp;")/("&amp;F422&amp;"*"&amp;F420&amp;"+"&amp;$F$46&amp;"*"&amp;F425&amp;"))"</f>
        <v>((1000*200*200/2+8.33*529.231*145)/(1000*200+8.33*529.231))</v>
      </c>
      <c r="F426" s="589">
        <f ca="1">ROUND(((F422*F420*F420/2+$F$46*F425*F423)/(F422*F420+$F$46*F425)),3)</f>
        <v>100.971</v>
      </c>
      <c r="G426" s="216" t="s">
        <v>202</v>
      </c>
      <c r="H426" s="211"/>
    </row>
    <row r="427" spans="1:10" ht="24.75" customHeight="1" x14ac:dyDescent="0.25">
      <c r="A427" s="211"/>
      <c r="B427" s="590" t="s">
        <v>1285</v>
      </c>
      <c r="C427" s="591"/>
      <c r="D427" s="6"/>
      <c r="E427" s="19" t="str">
        <f ca="1">"(POWER("&amp;F426&amp;",3))"</f>
        <v>(POWER(100.971,3))</v>
      </c>
      <c r="F427" s="592">
        <f ca="1">POWER(F426,3)</f>
        <v>1029413.7677986111</v>
      </c>
      <c r="G427" s="216" t="s">
        <v>1295</v>
      </c>
      <c r="H427" s="211"/>
    </row>
    <row r="428" spans="1:10" ht="24.75" customHeight="1" x14ac:dyDescent="0.25">
      <c r="A428" s="211"/>
      <c r="B428" s="590" t="s">
        <v>1291</v>
      </c>
      <c r="C428" s="591"/>
      <c r="D428" s="6"/>
      <c r="E428" s="19" t="str">
        <f ca="1">"(POWER(("&amp;F420&amp;"-"&amp;F426&amp;"),3))"</f>
        <v>(POWER((200-100.971),3))</v>
      </c>
      <c r="F428" s="592">
        <f ca="1">POWER((F420-F426),3)</f>
        <v>971151.93680138886</v>
      </c>
      <c r="G428" s="216" t="s">
        <v>1295</v>
      </c>
      <c r="H428" s="211"/>
    </row>
    <row r="429" spans="1:10" ht="24.75" customHeight="1" x14ac:dyDescent="0.25">
      <c r="A429" s="211"/>
      <c r="B429" s="590" t="s">
        <v>1286</v>
      </c>
      <c r="C429" s="591"/>
      <c r="D429" s="6"/>
      <c r="E429" s="19" t="str">
        <f ca="1">"(POWER(("&amp;F420&amp;"-"&amp;F426&amp;"-("&amp;$F$49&amp;"+10),2))"</f>
        <v>(POWER((200-100.971-(45+10),2))</v>
      </c>
      <c r="F429" s="592">
        <f ca="1">POWER((F420-F426-($F$49+10)),2)</f>
        <v>1938.5528409999997</v>
      </c>
      <c r="G429" s="216" t="s">
        <v>668</v>
      </c>
      <c r="H429" s="211"/>
    </row>
    <row r="430" spans="1:10" ht="27" customHeight="1" x14ac:dyDescent="0.25">
      <c r="A430" s="211"/>
      <c r="B430" s="590" t="s">
        <v>1287</v>
      </c>
      <c r="C430" s="591"/>
      <c r="D430" s="6"/>
      <c r="E430" s="631" t="str">
        <f ca="1">"("&amp;F422&amp;"/3*("&amp;F427&amp;"+"&amp;F428&amp;")+"&amp;$F$46&amp;"*"&amp;F425&amp;"*"&amp;F429&amp;")"</f>
        <v>(1000/3*(1029413.76779861+971151.936801389)+8.33*529.231*1938.552841)</v>
      </c>
      <c r="F430" s="592">
        <f ca="1">F422/3*(F427+F428)+$F$46*F425*F429</f>
        <v>675401333.8807652</v>
      </c>
      <c r="G430" s="216" t="s">
        <v>1295</v>
      </c>
      <c r="H430" s="211"/>
    </row>
    <row r="431" spans="1:10" ht="24.75" customHeight="1" x14ac:dyDescent="0.25">
      <c r="A431" s="211"/>
      <c r="B431" s="590" t="s">
        <v>1288</v>
      </c>
      <c r="C431" s="591"/>
      <c r="D431" s="6"/>
      <c r="E431" s="19" t="str">
        <f ca="1">"("&amp;F420&amp;"*1000+"&amp;$F$46&amp;"*"&amp;F425&amp;")"</f>
        <v>(200*1000+8.33*529.231)</v>
      </c>
      <c r="F431" s="592">
        <f ca="1">F420*1000+$F$46*F425</f>
        <v>204408.49423000001</v>
      </c>
      <c r="G431" s="216" t="s">
        <v>668</v>
      </c>
      <c r="H431" s="211"/>
      <c r="J431" s="182"/>
    </row>
    <row r="432" spans="1:10" ht="24.75" customHeight="1" x14ac:dyDescent="0.25">
      <c r="A432" s="211"/>
      <c r="B432" s="590" t="s">
        <v>1289</v>
      </c>
      <c r="C432" s="591"/>
      <c r="D432" s="6"/>
      <c r="E432" s="631"/>
      <c r="F432" s="593">
        <f>-intro!J65</f>
        <v>-2</v>
      </c>
      <c r="G432" s="216"/>
      <c r="H432" s="211"/>
    </row>
    <row r="433" spans="1:10" ht="43.5" customHeight="1" x14ac:dyDescent="0.25">
      <c r="A433" s="211"/>
      <c r="B433" s="590" t="s">
        <v>1290</v>
      </c>
      <c r="C433" s="591"/>
      <c r="D433" s="6"/>
      <c r="E433" s="631" t="str">
        <f ca="1">"((("&amp;F418&amp;"*10000/"&amp;F431&amp;"))-(("&amp;F419&amp;"*10000000)*("&amp;F420&amp;"-"&amp;F426&amp;")/"&amp;F430&amp;"))"</f>
        <v>(((1.752*10000/204408.49423))-((0.86*10000000)*(200-100.971)/675401333.880765))</v>
      </c>
      <c r="F433" s="594">
        <f ca="1">((F418*10000/F431))-((F419*10000000)*(F420-F426)/F430)</f>
        <v>-1.1752423677165085</v>
      </c>
      <c r="G433" s="595" t="str">
        <f ca="1">IF(F432&lt;F433,"ok","revise")</f>
        <v>ok</v>
      </c>
      <c r="H433" s="211"/>
    </row>
    <row r="434" spans="1:10" ht="24.75" customHeight="1" x14ac:dyDescent="0.25">
      <c r="A434" s="211"/>
      <c r="B434" s="569"/>
      <c r="C434" s="5"/>
      <c r="D434" s="6"/>
      <c r="E434" s="19"/>
      <c r="F434" s="10"/>
      <c r="G434" s="216"/>
      <c r="H434" s="211"/>
    </row>
    <row r="435" spans="1:10" ht="33.75" customHeight="1" x14ac:dyDescent="0.25">
      <c r="A435" s="211"/>
      <c r="B435" s="596" t="s">
        <v>1293</v>
      </c>
      <c r="C435" s="5"/>
      <c r="D435" s="6">
        <f>IF(F86&lt;14,P351/2,VLOOKUP(F65,O351:P365,2,FALSE))</f>
        <v>0.14000000000000001</v>
      </c>
      <c r="E435" s="19"/>
      <c r="F435" s="597">
        <f>D435*F420*F422/100</f>
        <v>280.00000000000006</v>
      </c>
      <c r="G435" s="595" t="str">
        <f>IF(F437&gt;F435,"ok","revise")</f>
        <v>ok</v>
      </c>
      <c r="H435" s="211"/>
    </row>
    <row r="436" spans="1:10" ht="24.75" customHeight="1" x14ac:dyDescent="0.25">
      <c r="A436" s="211"/>
      <c r="B436" s="635">
        <f ca="1">$F$425</f>
        <v>529.23099999999999</v>
      </c>
      <c r="C436" s="569" t="s">
        <v>1253</v>
      </c>
      <c r="D436" s="569" t="s">
        <v>454</v>
      </c>
      <c r="E436" s="19"/>
      <c r="H436" s="211"/>
      <c r="J436" s="10">
        <f>$F$46</f>
        <v>8.33</v>
      </c>
    </row>
    <row r="437" spans="1:10" ht="24.75" customHeight="1" x14ac:dyDescent="0.25">
      <c r="A437" s="211"/>
      <c r="B437" s="20"/>
      <c r="C437" s="581">
        <v>12</v>
      </c>
      <c r="D437" s="581">
        <v>200</v>
      </c>
      <c r="E437" s="19"/>
      <c r="F437" s="569">
        <f>3.14*C437*C437/4*1000/D437</f>
        <v>565.19999999999993</v>
      </c>
      <c r="G437" s="595" t="str">
        <f ca="1">IF(F439&gt;F425,"ok","revise")</f>
        <v>ok</v>
      </c>
      <c r="H437" s="211"/>
    </row>
    <row r="438" spans="1:10" ht="24.75" customHeight="1" x14ac:dyDescent="0.25">
      <c r="A438" s="211"/>
      <c r="B438" s="20"/>
      <c r="C438" s="581">
        <v>0</v>
      </c>
      <c r="D438" s="581">
        <v>200</v>
      </c>
      <c r="E438" s="19"/>
      <c r="F438" s="569">
        <f>3.14*C438*C438/4*1000/D438</f>
        <v>0</v>
      </c>
      <c r="G438" s="10"/>
      <c r="H438" s="211"/>
    </row>
    <row r="439" spans="1:10" ht="24.75" customHeight="1" x14ac:dyDescent="0.25">
      <c r="A439" s="211"/>
      <c r="B439" s="586"/>
      <c r="C439" s="587"/>
      <c r="D439" s="247"/>
      <c r="E439" s="247" t="s">
        <v>235</v>
      </c>
      <c r="F439" s="247">
        <f>F437+F438</f>
        <v>565.19999999999993</v>
      </c>
      <c r="G439" s="569" t="s">
        <v>1259</v>
      </c>
      <c r="H439" s="588"/>
    </row>
    <row r="440" spans="1:10" ht="24.75" customHeight="1" x14ac:dyDescent="0.25">
      <c r="A440" s="211"/>
      <c r="B440" s="586"/>
      <c r="C440" s="587"/>
      <c r="D440" s="247"/>
      <c r="E440" s="247"/>
      <c r="F440" s="247"/>
      <c r="G440" s="588"/>
      <c r="H440" s="588"/>
    </row>
    <row r="441" spans="1:10" ht="24.75" hidden="1" customHeight="1" x14ac:dyDescent="0.25">
      <c r="A441" s="248"/>
      <c r="B441" s="1173" t="s">
        <v>1258</v>
      </c>
      <c r="C441" s="1174"/>
      <c r="D441" s="1174"/>
      <c r="E441" s="1174"/>
      <c r="F441" s="1174"/>
      <c r="G441" s="1174"/>
      <c r="H441" s="1175"/>
    </row>
    <row r="442" spans="1:10" ht="24.75" hidden="1" customHeight="1" x14ac:dyDescent="0.25">
      <c r="A442" s="248"/>
      <c r="B442" s="207"/>
      <c r="C442" s="209" t="s">
        <v>373</v>
      </c>
      <c r="D442" s="210"/>
      <c r="E442" s="208"/>
      <c r="F442" s="208"/>
      <c r="G442" s="208"/>
      <c r="H442" s="208"/>
    </row>
    <row r="443" spans="1:10" ht="24.75" hidden="1" customHeight="1" x14ac:dyDescent="0.25">
      <c r="A443" s="248"/>
      <c r="B443" s="207"/>
      <c r="C443" s="208"/>
      <c r="D443" s="208"/>
      <c r="E443" s="208"/>
      <c r="F443" s="208"/>
      <c r="G443" s="208"/>
      <c r="H443" s="208"/>
    </row>
    <row r="444" spans="1:10" ht="24.75" hidden="1" customHeight="1" x14ac:dyDescent="0.25">
      <c r="A444" s="248"/>
      <c r="B444" s="206" t="s">
        <v>567</v>
      </c>
      <c r="C444" s="248"/>
      <c r="D444" s="249"/>
      <c r="E444" s="215"/>
      <c r="F444" s="250"/>
      <c r="G444" s="250"/>
      <c r="H444" s="251"/>
    </row>
    <row r="445" spans="1:10" ht="24.75" hidden="1" customHeight="1" x14ac:dyDescent="0.25">
      <c r="A445" s="248"/>
      <c r="B445" s="215" t="s">
        <v>375</v>
      </c>
      <c r="C445" s="248"/>
      <c r="D445" s="215"/>
      <c r="F445" s="252">
        <f>$F$49</f>
        <v>45</v>
      </c>
      <c r="G445" s="215" t="s">
        <v>202</v>
      </c>
      <c r="H445" s="251"/>
    </row>
    <row r="446" spans="1:10" ht="24.75" hidden="1" customHeight="1" x14ac:dyDescent="0.25">
      <c r="A446" s="248"/>
      <c r="B446" s="215" t="s">
        <v>376</v>
      </c>
      <c r="C446" s="248"/>
      <c r="D446" s="215"/>
      <c r="F446" s="252">
        <f>F445+10</f>
        <v>55</v>
      </c>
      <c r="G446" s="215" t="s">
        <v>202</v>
      </c>
      <c r="H446" s="251"/>
    </row>
    <row r="447" spans="1:10" ht="39" hidden="1" customHeight="1" x14ac:dyDescent="0.35">
      <c r="A447" s="248"/>
      <c r="B447" s="215" t="s">
        <v>377</v>
      </c>
      <c r="C447" s="215" t="s">
        <v>658</v>
      </c>
      <c r="D447" s="215" t="str">
        <f>"(0.8*"&amp;F452&amp;")"</f>
        <v>(0.8*500)</v>
      </c>
      <c r="F447" s="252">
        <f>0.8*F452</f>
        <v>400</v>
      </c>
      <c r="G447" s="215" t="s">
        <v>652</v>
      </c>
      <c r="H447" s="253"/>
    </row>
    <row r="448" spans="1:10" ht="24.75" hidden="1" customHeight="1" x14ac:dyDescent="0.25">
      <c r="A448" s="248"/>
      <c r="B448" s="215" t="s">
        <v>378</v>
      </c>
      <c r="C448" s="286"/>
      <c r="D448" s="248"/>
      <c r="F448" s="252">
        <v>250</v>
      </c>
      <c r="G448" s="215" t="s">
        <v>653</v>
      </c>
      <c r="H448" s="251"/>
    </row>
    <row r="449" spans="1:13" ht="24.75" hidden="1" customHeight="1" x14ac:dyDescent="0.25">
      <c r="A449" s="248"/>
      <c r="B449" s="215" t="s">
        <v>83</v>
      </c>
      <c r="C449" s="254"/>
      <c r="D449" s="248"/>
      <c r="F449" s="252">
        <v>2.5</v>
      </c>
      <c r="G449" s="215" t="s">
        <v>659</v>
      </c>
      <c r="H449" s="250"/>
    </row>
    <row r="450" spans="1:13" ht="24.75" hidden="1" customHeight="1" x14ac:dyDescent="0.25">
      <c r="A450" s="248"/>
      <c r="B450" s="207" t="s">
        <v>566</v>
      </c>
      <c r="C450" s="255"/>
      <c r="D450" s="248"/>
      <c r="F450" s="215"/>
      <c r="G450" s="215"/>
      <c r="H450" s="251"/>
    </row>
    <row r="451" spans="1:13" ht="24.75" hidden="1" customHeight="1" x14ac:dyDescent="0.25">
      <c r="A451" s="248"/>
      <c r="B451" s="215" t="s">
        <v>379</v>
      </c>
      <c r="C451" s="215"/>
      <c r="D451" s="248"/>
      <c r="F451" s="252">
        <v>30</v>
      </c>
      <c r="G451" s="215" t="s">
        <v>652</v>
      </c>
      <c r="H451" s="251"/>
    </row>
    <row r="452" spans="1:13" ht="24.75" hidden="1" customHeight="1" x14ac:dyDescent="0.25">
      <c r="A452" s="248"/>
      <c r="B452" s="215" t="s">
        <v>311</v>
      </c>
      <c r="C452" s="215"/>
      <c r="D452" s="248"/>
      <c r="F452" s="252">
        <v>500</v>
      </c>
      <c r="G452" s="215" t="s">
        <v>652</v>
      </c>
      <c r="H452" s="251"/>
    </row>
    <row r="453" spans="1:13" ht="24.75" hidden="1" customHeight="1" x14ac:dyDescent="0.25">
      <c r="A453" s="248"/>
      <c r="B453" s="215" t="s">
        <v>380</v>
      </c>
      <c r="C453" s="215"/>
      <c r="D453" s="248"/>
      <c r="F453" s="215">
        <f>1/3*F451</f>
        <v>10</v>
      </c>
      <c r="G453" s="215" t="s">
        <v>652</v>
      </c>
      <c r="H453" s="251"/>
    </row>
    <row r="454" spans="1:13" ht="24.75" hidden="1" customHeight="1" x14ac:dyDescent="0.25">
      <c r="A454" s="248"/>
      <c r="B454" s="215" t="s">
        <v>381</v>
      </c>
      <c r="C454" s="215" t="s">
        <v>382</v>
      </c>
      <c r="D454" s="248"/>
      <c r="F454" s="235">
        <f>ROUND((2*10^5)/((0.5*5000*((F451^0.5)))),2)</f>
        <v>14.61</v>
      </c>
      <c r="G454" s="215"/>
      <c r="H454" s="251"/>
    </row>
    <row r="455" spans="1:13" ht="24.75" hidden="1" customHeight="1" x14ac:dyDescent="0.25">
      <c r="A455" s="248"/>
      <c r="B455" s="215" t="s">
        <v>383</v>
      </c>
      <c r="C455" s="248"/>
      <c r="D455" s="215"/>
      <c r="F455" s="235">
        <f>2*10^5</f>
        <v>200000</v>
      </c>
      <c r="G455" s="215" t="s">
        <v>652</v>
      </c>
      <c r="H455" s="251"/>
    </row>
    <row r="456" spans="1:13" ht="40.5" hidden="1" customHeight="1" x14ac:dyDescent="0.25">
      <c r="A456" s="248"/>
      <c r="B456" s="206" t="s">
        <v>565</v>
      </c>
      <c r="C456" s="248"/>
      <c r="D456" s="249"/>
      <c r="F456" s="215"/>
      <c r="G456" s="251"/>
      <c r="H456" s="251"/>
    </row>
    <row r="457" spans="1:13" ht="24.75" hidden="1" customHeight="1" x14ac:dyDescent="0.25">
      <c r="A457" s="248"/>
      <c r="B457" s="215"/>
      <c r="C457" s="215"/>
      <c r="D457" s="215"/>
      <c r="F457" s="256"/>
      <c r="G457" s="250"/>
      <c r="H457" s="250"/>
    </row>
    <row r="458" spans="1:13" ht="51" hidden="1" customHeight="1" x14ac:dyDescent="0.25">
      <c r="A458" s="248"/>
      <c r="B458" s="207" t="s">
        <v>110</v>
      </c>
      <c r="C458" s="215" t="s">
        <v>310</v>
      </c>
      <c r="D458" s="215" t="s">
        <v>236</v>
      </c>
      <c r="F458" s="235">
        <f ca="1">Calculation!$D$329</f>
        <v>0.86</v>
      </c>
      <c r="G458" s="215" t="s">
        <v>497</v>
      </c>
      <c r="H458" s="248"/>
    </row>
    <row r="459" spans="1:13" ht="49.5" hidden="1" customHeight="1" x14ac:dyDescent="0.25">
      <c r="A459" s="248"/>
      <c r="B459" s="207" t="s">
        <v>384</v>
      </c>
      <c r="C459" s="215" t="s">
        <v>385</v>
      </c>
      <c r="D459" s="215" t="s">
        <v>236</v>
      </c>
      <c r="F459" s="257">
        <f>Calculation!$F$560</f>
        <v>1.7520000000000002</v>
      </c>
      <c r="G459" s="215" t="s">
        <v>285</v>
      </c>
      <c r="H459" s="248"/>
    </row>
    <row r="460" spans="1:13" ht="24.75" hidden="1" customHeight="1" x14ac:dyDescent="0.25">
      <c r="A460" s="248"/>
      <c r="B460" s="207"/>
      <c r="C460" s="215"/>
      <c r="D460" s="215"/>
      <c r="E460" s="215"/>
      <c r="F460" s="215"/>
      <c r="G460" s="215"/>
      <c r="H460" s="215"/>
    </row>
    <row r="461" spans="1:13" ht="24.75" hidden="1" customHeight="1" x14ac:dyDescent="0.25">
      <c r="A461" s="248"/>
      <c r="B461" s="207" t="s">
        <v>386</v>
      </c>
      <c r="C461" s="215" t="s">
        <v>387</v>
      </c>
      <c r="D461" s="215">
        <f>F461</f>
        <v>1000</v>
      </c>
      <c r="F461" s="215">
        <v>1000</v>
      </c>
      <c r="G461" s="215" t="s">
        <v>202</v>
      </c>
      <c r="H461" s="215"/>
    </row>
    <row r="462" spans="1:13" ht="24.75" hidden="1" customHeight="1" x14ac:dyDescent="0.25">
      <c r="A462" s="248"/>
      <c r="B462" s="207" t="s">
        <v>33</v>
      </c>
      <c r="C462" s="215" t="s">
        <v>388</v>
      </c>
      <c r="D462" s="215">
        <f>F462</f>
        <v>200</v>
      </c>
      <c r="F462" s="227">
        <f>Calculation!$B$325*1000</f>
        <v>200</v>
      </c>
      <c r="G462" s="215" t="s">
        <v>202</v>
      </c>
      <c r="H462" s="215"/>
    </row>
    <row r="463" spans="1:13" ht="24.75" hidden="1" customHeight="1" x14ac:dyDescent="0.25">
      <c r="A463" s="248"/>
      <c r="B463" s="207"/>
      <c r="C463" s="215" t="s">
        <v>389</v>
      </c>
      <c r="D463" s="215">
        <f>F446</f>
        <v>55</v>
      </c>
      <c r="F463" s="228">
        <f>F446</f>
        <v>55</v>
      </c>
      <c r="G463" s="215" t="s">
        <v>202</v>
      </c>
      <c r="H463" s="215"/>
    </row>
    <row r="464" spans="1:13" ht="24.75" hidden="1" customHeight="1" x14ac:dyDescent="0.25">
      <c r="A464" s="248"/>
      <c r="B464" s="207" t="s">
        <v>107</v>
      </c>
      <c r="C464" s="215" t="s">
        <v>390</v>
      </c>
      <c r="D464" s="229" t="str">
        <f>"("&amp;F462&amp;"-"&amp;F446&amp;")"</f>
        <v>(200-55)</v>
      </c>
      <c r="F464" s="228">
        <f>F462-F446</f>
        <v>145</v>
      </c>
      <c r="G464" s="215" t="s">
        <v>202</v>
      </c>
      <c r="H464" s="215"/>
      <c r="L464" s="1155"/>
      <c r="M464" s="1085"/>
    </row>
    <row r="465" spans="1:8" ht="24.75" hidden="1" customHeight="1" x14ac:dyDescent="0.25">
      <c r="A465" s="248"/>
      <c r="B465" s="207" t="s">
        <v>494</v>
      </c>
      <c r="C465" s="215"/>
      <c r="D465" s="229"/>
      <c r="F465" s="228">
        <f>$F$445</f>
        <v>45</v>
      </c>
      <c r="G465" s="215" t="s">
        <v>202</v>
      </c>
      <c r="H465" s="215"/>
    </row>
    <row r="466" spans="1:8" ht="60.75" hidden="1" customHeight="1" x14ac:dyDescent="0.25">
      <c r="A466" s="248"/>
      <c r="B466" s="207" t="s">
        <v>392</v>
      </c>
      <c r="C466" s="215" t="s">
        <v>393</v>
      </c>
      <c r="D466" s="1155" t="str">
        <f ca="1">"((1-SQRT(1-((4.6*"&amp;F458&amp;"*1.5*10^7)/("&amp;$F$451&amp;"*"&amp;F461&amp;"*"&amp;F464&amp;"^2))))/((2/("&amp;F461&amp;"*"&amp;F464&amp;"))*("&amp;$F$452&amp;"/"&amp;$F$451&amp;")))"</f>
        <v>((1-SQRT(1-((4.6*0.86*1.5*10^7)/(30*1000*145^2))))/((2/(1000*145))*(500/30)))</v>
      </c>
      <c r="E466" s="1085"/>
      <c r="F466" s="231">
        <f ca="1">ROUND((1-SQRT(1-((4.6*F458*1.5*10^7)/($F$451*F461*F464^2))))/((2/(F461*F464))*($F$452/$F$451)),2)</f>
        <v>209.67</v>
      </c>
      <c r="G466" s="215" t="s">
        <v>564</v>
      </c>
      <c r="H466" s="248"/>
    </row>
    <row r="467" spans="1:8" ht="51.75" hidden="1" customHeight="1" x14ac:dyDescent="0.25">
      <c r="A467" s="248"/>
      <c r="B467" s="207" t="s">
        <v>394</v>
      </c>
      <c r="C467" s="215" t="s">
        <v>395</v>
      </c>
      <c r="D467" s="1155" t="str">
        <f ca="1">"("&amp;F464&amp;"*(("&amp;F454&amp;"*("&amp;F466&amp;"/"&amp;F461&amp;"/"&amp;F464&amp;"))*((1+2/("&amp;F466&amp;"/"&amp;F461&amp;"/"&amp;F464&amp;")^0.5)-1)))"</f>
        <v>(145*((14.61*(209.67/1000/145))*((1+2/(209.67/1000/145)^0.5)-1)))</v>
      </c>
      <c r="E467" s="1085"/>
      <c r="F467" s="239">
        <f>ROUND(((F464*F454*(G479/F461/F464))*((((1+2/(G479/F461/F464*F454)))^0.5)-1)),3)</f>
        <v>41.37</v>
      </c>
      <c r="G467" s="239" t="s">
        <v>202</v>
      </c>
      <c r="H467" s="248"/>
    </row>
    <row r="468" spans="1:8" ht="24.75" hidden="1" customHeight="1" x14ac:dyDescent="0.25">
      <c r="A468" s="248"/>
      <c r="B468" s="207" t="s">
        <v>396</v>
      </c>
      <c r="C468" s="215"/>
      <c r="D468" s="1155" t="str">
        <f>"("&amp;F464&amp;"-"&amp;F467&amp;"/3)"</f>
        <v>(145-41.37/3)</v>
      </c>
      <c r="E468" s="1085"/>
      <c r="F468" s="257">
        <f>ROUND((F464-F467/3),2)</f>
        <v>131.21</v>
      </c>
      <c r="G468" s="215" t="s">
        <v>202</v>
      </c>
      <c r="H468" s="248"/>
    </row>
    <row r="469" spans="1:8" ht="55.5" hidden="1" customHeight="1" x14ac:dyDescent="0.25">
      <c r="A469" s="248"/>
      <c r="B469" s="207" t="s">
        <v>397</v>
      </c>
      <c r="C469" s="215" t="s">
        <v>236</v>
      </c>
      <c r="D469" s="1155" t="str">
        <f ca="1">"("&amp;F458&amp;"*10^7/"&amp;F468&amp;"/"&amp;F466&amp;")"</f>
        <v>(0.86*10^7/131.21/209.67)</v>
      </c>
      <c r="E469" s="1085"/>
      <c r="F469" s="258">
        <f ca="1">ROUND((F458*10^7/F468/G479),2)</f>
        <v>115.97</v>
      </c>
      <c r="G469" s="215" t="s">
        <v>652</v>
      </c>
      <c r="H469" s="225" t="str">
        <f ca="1">IF(F469&lt;0.8*F452,"ok","revise")</f>
        <v>ok</v>
      </c>
    </row>
    <row r="470" spans="1:8" ht="65.25" hidden="1" customHeight="1" x14ac:dyDescent="0.25">
      <c r="A470" s="248"/>
      <c r="B470" s="207" t="s">
        <v>398</v>
      </c>
      <c r="C470" s="215" t="s">
        <v>236</v>
      </c>
      <c r="D470" s="1155" t="str">
        <f ca="1">"(2*"&amp;F458&amp;"*10^7/"&amp;F468&amp;"/"&amp;F461&amp;"/"&amp;F467&amp;")"</f>
        <v>(2*0.86*10^7/131.21/1000/41.37)</v>
      </c>
      <c r="E470" s="1085"/>
      <c r="F470" s="257">
        <f ca="1">2*F458*10^7/F468/F461/F467</f>
        <v>3.1686625464105438</v>
      </c>
      <c r="G470" s="215" t="s">
        <v>652</v>
      </c>
      <c r="H470" s="225" t="str">
        <f ca="1">IF(F470&lt;0.45*$F$451,"ok","revise")</f>
        <v>ok</v>
      </c>
    </row>
    <row r="471" spans="1:8" ht="62.25" hidden="1" customHeight="1" x14ac:dyDescent="0.3">
      <c r="A471" s="248"/>
      <c r="B471" s="260" t="s">
        <v>660</v>
      </c>
      <c r="C471" s="261" t="s">
        <v>399</v>
      </c>
      <c r="D471" s="1155" t="str">
        <f ca="1">"(("&amp;F462&amp;"-"&amp;F467&amp;")*"&amp;F469&amp;"/("&amp;F464&amp;"-"&amp;F467&amp;")/"&amp;F455&amp;")"</f>
        <v>((200-41.37)*115.97/(145-41.37)/200000)</v>
      </c>
      <c r="E471" s="1085"/>
      <c r="F471" s="262">
        <f ca="1">(F462-F467)*F469/(F464-F467)/$F$455</f>
        <v>8.8759630898388507E-4</v>
      </c>
      <c r="G471" s="215" t="s">
        <v>202</v>
      </c>
      <c r="H471" s="263"/>
    </row>
    <row r="472" spans="1:8" ht="47.25" hidden="1" customHeight="1" x14ac:dyDescent="0.25">
      <c r="A472" s="248"/>
      <c r="B472" s="260" t="s">
        <v>400</v>
      </c>
      <c r="C472" s="261" t="s">
        <v>236</v>
      </c>
      <c r="D472" s="1155" t="str">
        <f ca="1">"(("&amp;F461&amp;"*("&amp;F462&amp;"-"&amp;F467&amp;")^2)/(3*"&amp;F455&amp;"*"&amp;F466&amp;"*("&amp;F464&amp;"-"&amp;F467&amp;")))"</f>
        <v>((1000*(200-41.37)^2)/(3*200000*209.67*(145-41.37)))</v>
      </c>
      <c r="E472" s="1085"/>
      <c r="F472" s="264">
        <f>(F461*(F462-F467)^2)/(3*$F$455*G479*(F464-F467))</f>
        <v>7.1603087073463054E-4</v>
      </c>
      <c r="G472" s="215" t="s">
        <v>202</v>
      </c>
      <c r="H472" s="263"/>
    </row>
    <row r="473" spans="1:8" ht="35.25" hidden="1" customHeight="1" x14ac:dyDescent="0.25">
      <c r="A473" s="248"/>
      <c r="B473" s="260" t="s">
        <v>401</v>
      </c>
      <c r="C473" s="261" t="s">
        <v>236</v>
      </c>
      <c r="D473" s="1155" t="str">
        <f ca="1">"("&amp;F462&amp;")*("&amp;1000&amp;")+("&amp;10&amp;"*"&amp;ROUND(F466,3)&amp;")"</f>
        <v>(200)*(1000)+(10*209.67)</v>
      </c>
      <c r="E473" s="1085"/>
      <c r="F473" s="264">
        <f ca="1">ROUND((F471-F472),7)</f>
        <v>1.716E-4</v>
      </c>
      <c r="G473" s="258" t="s">
        <v>202</v>
      </c>
      <c r="H473" s="263"/>
    </row>
    <row r="474" spans="1:8" ht="18" hidden="1" customHeight="1" x14ac:dyDescent="0.3">
      <c r="A474" s="259"/>
      <c r="B474" s="207" t="s">
        <v>657</v>
      </c>
      <c r="C474" s="215" t="s">
        <v>236</v>
      </c>
      <c r="D474" s="1155">
        <f>F474</f>
        <v>114.13</v>
      </c>
      <c r="E474" s="1085"/>
      <c r="F474" s="215">
        <f>ROUND((SQRT((D480/2)^2+F463^2)),2)</f>
        <v>114.13</v>
      </c>
      <c r="G474" s="215" t="s">
        <v>202</v>
      </c>
      <c r="H474" s="215"/>
    </row>
    <row r="475" spans="1:8" ht="34.5" hidden="1" customHeight="1" x14ac:dyDescent="0.25">
      <c r="A475" s="259"/>
      <c r="B475" s="207" t="s">
        <v>404</v>
      </c>
      <c r="C475" s="215" t="s">
        <v>405</v>
      </c>
      <c r="D475" s="1155" t="str">
        <f ca="1">"((3*"&amp;F474&amp;"*"&amp;F473&amp;")/(1+(2*("&amp;F474&amp;"-"&amp;F463&amp;"-10)/("&amp;F462&amp;"-"&amp;F467&amp;"))))"</f>
        <v>((3*114.13*0.0001716)/(1+(2*(114.13-55-10)/(200-41.37))))</v>
      </c>
      <c r="E475" s="1085"/>
      <c r="F475" s="235">
        <f ca="1">(3*F474*F473)/(1+(2*(F474-F463-10)/(F462-F467)))</f>
        <v>3.6280768773093545E-2</v>
      </c>
      <c r="G475" s="215" t="s">
        <v>202</v>
      </c>
      <c r="H475" s="225" t="str">
        <f ca="1">IF(F475&lt;0.2,"OK","REVISE")</f>
        <v>OK</v>
      </c>
    </row>
    <row r="476" spans="1:8" ht="24.75" hidden="1" customHeight="1" x14ac:dyDescent="0.25">
      <c r="A476" s="248"/>
      <c r="B476" s="215" t="s">
        <v>406</v>
      </c>
      <c r="C476" s="248"/>
      <c r="D476" s="243"/>
      <c r="E476" s="243"/>
      <c r="F476" s="243"/>
      <c r="G476" s="243"/>
      <c r="H476" s="243"/>
    </row>
    <row r="477" spans="1:8" ht="24.75" hidden="1" customHeight="1" x14ac:dyDescent="0.25">
      <c r="A477" s="248"/>
      <c r="B477" s="265">
        <f ca="1">F466</f>
        <v>209.67</v>
      </c>
      <c r="C477" s="243">
        <f>C437</f>
        <v>12</v>
      </c>
      <c r="D477" s="243" t="s">
        <v>300</v>
      </c>
      <c r="E477" s="243">
        <f>D437</f>
        <v>200</v>
      </c>
      <c r="F477" s="243" t="s">
        <v>202</v>
      </c>
      <c r="G477" s="243">
        <f>(3.14*0.25*(C477^2))/(E477/1000)</f>
        <v>565.20000000000005</v>
      </c>
      <c r="H477" s="266" t="s">
        <v>655</v>
      </c>
    </row>
    <row r="478" spans="1:8" ht="24.75" hidden="1" customHeight="1" x14ac:dyDescent="0.25">
      <c r="A478" s="248"/>
      <c r="B478" s="215"/>
      <c r="C478" s="243">
        <v>0</v>
      </c>
      <c r="D478" s="243" t="s">
        <v>300</v>
      </c>
      <c r="E478" s="243">
        <v>250</v>
      </c>
      <c r="F478" s="243" t="s">
        <v>202</v>
      </c>
      <c r="G478" s="243">
        <f>(3.14*0.25*(C478^2))/(E478/1000)</f>
        <v>0</v>
      </c>
      <c r="H478" s="266" t="s">
        <v>655</v>
      </c>
    </row>
    <row r="479" spans="1:8" ht="24.75" hidden="1" customHeight="1" x14ac:dyDescent="0.25">
      <c r="A479" s="248"/>
      <c r="B479" s="215"/>
      <c r="C479" s="265"/>
      <c r="D479" s="243"/>
      <c r="E479" s="243"/>
      <c r="F479" s="243"/>
      <c r="G479" s="243">
        <f>SUM(G477:G478)</f>
        <v>565.20000000000005</v>
      </c>
      <c r="H479" s="266" t="s">
        <v>655</v>
      </c>
    </row>
    <row r="480" spans="1:8" ht="30" hidden="1" customHeight="1" x14ac:dyDescent="0.25">
      <c r="A480" s="248"/>
      <c r="B480" s="215"/>
      <c r="C480" s="243" t="s">
        <v>568</v>
      </c>
      <c r="D480" s="243">
        <f>IF(C478&gt;0,E477/2,E477)</f>
        <v>200</v>
      </c>
      <c r="E480" s="243" t="s">
        <v>202</v>
      </c>
      <c r="F480" s="243" t="str">
        <f ca="1">IF(G479&gt;B477,"OK","REVISE")</f>
        <v>OK</v>
      </c>
      <c r="G480" s="1176" t="str">
        <f>IF(G479&gt;G481,"MORE THAN MINIMUM","REVISE")</f>
        <v>MORE THAN MINIMUM</v>
      </c>
      <c r="H480" s="1177"/>
    </row>
    <row r="481" spans="1:10" ht="24.75" hidden="1" customHeight="1" x14ac:dyDescent="0.25">
      <c r="A481" s="248"/>
      <c r="B481" s="215" t="s">
        <v>408</v>
      </c>
      <c r="C481" s="268">
        <v>0.14000000000000001</v>
      </c>
      <c r="D481" s="243"/>
      <c r="E481" s="243"/>
      <c r="F481" s="243"/>
      <c r="G481" s="243">
        <f>C481*MIN(F462,500)*1000/100</f>
        <v>280.00000000000006</v>
      </c>
      <c r="H481" s="266" t="s">
        <v>655</v>
      </c>
    </row>
    <row r="482" spans="1:10" ht="24.75" customHeight="1" x14ac:dyDescent="0.25">
      <c r="A482" s="248"/>
      <c r="B482" s="215"/>
      <c r="C482" s="1171" t="s">
        <v>409</v>
      </c>
      <c r="D482" s="1172"/>
      <c r="E482" s="247"/>
      <c r="F482" s="247"/>
      <c r="G482" s="247"/>
      <c r="H482" s="247"/>
    </row>
    <row r="483" spans="1:10" ht="24.75" customHeight="1" x14ac:dyDescent="0.25">
      <c r="A483" s="248"/>
      <c r="B483" s="215" t="s">
        <v>410</v>
      </c>
      <c r="C483" s="265"/>
      <c r="D483" s="246"/>
      <c r="E483" s="247"/>
      <c r="F483" s="632">
        <f ca="1">$G$321</f>
        <v>2.6560000000000001</v>
      </c>
      <c r="G483" s="247"/>
      <c r="H483" s="235" t="s">
        <v>285</v>
      </c>
    </row>
    <row r="484" spans="1:10" ht="51.75" customHeight="1" x14ac:dyDescent="0.25">
      <c r="A484" s="248"/>
      <c r="B484" s="215" t="s">
        <v>411</v>
      </c>
      <c r="C484" s="1155" t="str">
        <f ca="1">"("&amp;F483&amp;"*10^4/"&amp;F422&amp;"/"&amp;F423&amp;")"</f>
        <v>(2.656*10^4/1000/145)</v>
      </c>
      <c r="D484" s="1085"/>
      <c r="E484" s="248"/>
      <c r="F484" s="235">
        <f ca="1">F483*10^4/F422/F423</f>
        <v>0.18317241379310345</v>
      </c>
      <c r="G484" s="208"/>
      <c r="H484" s="248"/>
    </row>
    <row r="485" spans="1:10" ht="24.75" customHeight="1" x14ac:dyDescent="0.25">
      <c r="A485" s="248"/>
      <c r="B485" s="215" t="s">
        <v>291</v>
      </c>
      <c r="C485" s="270"/>
      <c r="D485" s="226"/>
      <c r="E485" s="226"/>
      <c r="F485" s="235">
        <f>F439/F422/F423*100</f>
        <v>0.38979310344827584</v>
      </c>
      <c r="G485" s="208"/>
      <c r="H485" s="226"/>
    </row>
    <row r="486" spans="1:10" ht="39.75" customHeight="1" x14ac:dyDescent="0.25">
      <c r="A486" s="248"/>
      <c r="B486" s="215" t="s">
        <v>290</v>
      </c>
      <c r="C486" s="231" t="s">
        <v>236</v>
      </c>
      <c r="D486" s="215"/>
      <c r="E486" s="215"/>
      <c r="F486" s="246">
        <f>LOOKUP(F485,tc!C6:C42,tc!D6:D42)</f>
        <v>0.27160000000000001</v>
      </c>
      <c r="G486" s="1176" t="str">
        <f ca="1">IF(F486&lt;F484,"section is to be revised","section is safe")</f>
        <v>section is safe</v>
      </c>
      <c r="H486" s="1177"/>
    </row>
    <row r="487" spans="1:10" ht="24.75" customHeight="1" x14ac:dyDescent="0.25">
      <c r="A487" s="52"/>
      <c r="B487" s="53"/>
      <c r="C487" s="204"/>
      <c r="D487" s="205"/>
      <c r="E487" s="54"/>
      <c r="F487" s="54"/>
      <c r="G487" s="54"/>
      <c r="H487" s="54"/>
    </row>
    <row r="488" spans="1:10" ht="24.75" customHeight="1" x14ac:dyDescent="0.25">
      <c r="A488" s="211"/>
      <c r="B488" s="1165" t="s">
        <v>1294</v>
      </c>
      <c r="C488" s="1166"/>
      <c r="D488" s="1166"/>
      <c r="E488" s="1166"/>
      <c r="F488" s="1166"/>
      <c r="G488" s="1167"/>
      <c r="H488" s="211"/>
    </row>
    <row r="489" spans="1:10" ht="24.75" customHeight="1" x14ac:dyDescent="0.25">
      <c r="A489" s="211"/>
      <c r="B489" s="10"/>
      <c r="C489" s="10"/>
      <c r="D489" s="10"/>
      <c r="E489" s="10"/>
      <c r="F489" s="10"/>
      <c r="G489" s="10"/>
      <c r="H489" s="211"/>
    </row>
    <row r="490" spans="1:10" ht="24.75" customHeight="1" x14ac:dyDescent="0.25">
      <c r="A490" s="211"/>
      <c r="B490" s="20" t="s">
        <v>621</v>
      </c>
      <c r="C490" s="5"/>
      <c r="D490" s="6"/>
      <c r="E490" s="19"/>
      <c r="F490" s="13">
        <f ca="1">$F$419/2</f>
        <v>0.43</v>
      </c>
      <c r="G490" s="3" t="s">
        <v>91</v>
      </c>
      <c r="H490" s="211"/>
    </row>
    <row r="491" spans="1:10" ht="24.75" customHeight="1" x14ac:dyDescent="0.25">
      <c r="A491" s="211"/>
      <c r="B491" s="20" t="s">
        <v>310</v>
      </c>
      <c r="C491" s="5"/>
      <c r="D491" s="6"/>
      <c r="E491" s="19"/>
      <c r="F491" s="13">
        <f ca="1">$E$321</f>
        <v>0.32</v>
      </c>
      <c r="G491" s="3" t="s">
        <v>1125</v>
      </c>
      <c r="H491" s="211"/>
    </row>
    <row r="492" spans="1:10" ht="24.75" customHeight="1" x14ac:dyDescent="0.25">
      <c r="A492" s="211"/>
      <c r="B492" s="20" t="s">
        <v>1234</v>
      </c>
      <c r="C492" s="5"/>
      <c r="D492" s="6"/>
      <c r="E492" s="19"/>
      <c r="F492" s="13">
        <f>$F$420</f>
        <v>200</v>
      </c>
      <c r="G492" s="3" t="s">
        <v>202</v>
      </c>
      <c r="H492" s="211"/>
    </row>
    <row r="493" spans="1:10" ht="24.75" customHeight="1" x14ac:dyDescent="0.25">
      <c r="A493" s="211"/>
      <c r="B493" s="10" t="s">
        <v>1239</v>
      </c>
      <c r="C493" s="10"/>
      <c r="D493" s="182"/>
      <c r="E493" s="10"/>
      <c r="F493" s="571">
        <f>$F$49</f>
        <v>45</v>
      </c>
      <c r="G493" s="10" t="s">
        <v>202</v>
      </c>
      <c r="H493" s="211"/>
      <c r="J493" s="10">
        <f>$F$46</f>
        <v>8.33</v>
      </c>
    </row>
    <row r="494" spans="1:10" ht="24.75" customHeight="1" x14ac:dyDescent="0.25">
      <c r="A494" s="211"/>
      <c r="B494" s="20" t="s">
        <v>1235</v>
      </c>
      <c r="C494" s="5"/>
      <c r="D494" s="6"/>
      <c r="E494" s="19"/>
      <c r="F494" s="13">
        <v>1000</v>
      </c>
      <c r="G494" s="3" t="s">
        <v>202</v>
      </c>
      <c r="H494" s="211"/>
    </row>
    <row r="495" spans="1:10" ht="24.75" customHeight="1" x14ac:dyDescent="0.25">
      <c r="A495" s="211"/>
      <c r="B495" s="569" t="s">
        <v>1283</v>
      </c>
      <c r="C495" s="5"/>
      <c r="D495" s="6"/>
      <c r="E495" s="19" t="str">
        <f>CONCATENATE(F492,"-",F493,"-10")</f>
        <v>200-45-10</v>
      </c>
      <c r="F495" s="13">
        <f>F492-F493-10</f>
        <v>145</v>
      </c>
      <c r="G495" s="3" t="s">
        <v>202</v>
      </c>
      <c r="H495" s="211"/>
    </row>
    <row r="496" spans="1:10" ht="24.75" customHeight="1" x14ac:dyDescent="0.25">
      <c r="A496" s="211"/>
      <c r="B496" s="569" t="s">
        <v>1277</v>
      </c>
      <c r="C496" s="5"/>
      <c r="D496" s="6"/>
      <c r="E496" s="19"/>
      <c r="F496" s="13">
        <f>intro!$J$74</f>
        <v>130</v>
      </c>
      <c r="G496" s="216" t="s">
        <v>260</v>
      </c>
      <c r="H496" s="211"/>
    </row>
    <row r="497" spans="1:10" ht="29.25" customHeight="1" x14ac:dyDescent="0.25">
      <c r="A497" s="211"/>
      <c r="B497" s="569" t="s">
        <v>1308</v>
      </c>
      <c r="C497" s="5"/>
      <c r="D497" s="6"/>
      <c r="E497" s="19" t="str">
        <f ca="1">"("&amp;F491&amp;"*10000000/("&amp;F496&amp;"*("&amp;F495&amp;"-"&amp;F492&amp;"/10)))"</f>
        <v>(0.32*10000000/(130*(145-200/10)))</v>
      </c>
      <c r="F497" s="13">
        <f ca="1">ROUND((F491*10000000/(F496*(F495-F492/10))),3)</f>
        <v>196.923</v>
      </c>
      <c r="G497" s="216" t="s">
        <v>679</v>
      </c>
      <c r="H497" s="211"/>
    </row>
    <row r="498" spans="1:10" ht="26.25" customHeight="1" x14ac:dyDescent="0.25">
      <c r="A498" s="211"/>
      <c r="B498" s="569" t="s">
        <v>1246</v>
      </c>
      <c r="C498" s="5"/>
      <c r="D498" s="6"/>
      <c r="E498" s="19" t="str">
        <f ca="1">"(("&amp;F494&amp;"*"&amp;F492&amp;"*"&amp;F492&amp;"/2+"&amp;$F$46&amp;"*"&amp;F497&amp;"*"&amp;F495&amp;")/("&amp;F494&amp;"*"&amp;F492&amp;"+"&amp;$F$46&amp;"*"&amp;F497&amp;"))"</f>
        <v>((1000*200*200/2+8.33*196.923*145)/(1000*200+8.33*196.923))</v>
      </c>
      <c r="F498" s="589">
        <f ca="1">ROUND(((F494*F492*F492/2+$F$46*F497*F495)/(F494*F492+$F$46*F497)),3)</f>
        <v>100.366</v>
      </c>
      <c r="G498" s="216" t="s">
        <v>202</v>
      </c>
      <c r="H498" s="211"/>
    </row>
    <row r="499" spans="1:10" ht="24.75" customHeight="1" x14ac:dyDescent="0.25">
      <c r="A499" s="211"/>
      <c r="B499" s="590" t="s">
        <v>1285</v>
      </c>
      <c r="C499" s="591"/>
      <c r="D499" s="6"/>
      <c r="E499" s="19" t="str">
        <f ca="1">"(POWER("&amp;F498&amp;",3))"</f>
        <v>(POWER(100.366,3))</v>
      </c>
      <c r="F499" s="592">
        <f ca="1">POWER(F498,3)</f>
        <v>1011020.235827896</v>
      </c>
      <c r="G499" s="216" t="s">
        <v>1295</v>
      </c>
      <c r="H499" s="211"/>
    </row>
    <row r="500" spans="1:10" ht="24.75" customHeight="1" x14ac:dyDescent="0.25">
      <c r="A500" s="211"/>
      <c r="B500" s="590" t="s">
        <v>1291</v>
      </c>
      <c r="C500" s="591"/>
      <c r="D500" s="6"/>
      <c r="E500" s="19" t="str">
        <f ca="1">"(POWER(("&amp;F492&amp;"-"&amp;F498&amp;"),3))"</f>
        <v>(POWER((200-100.366),3))</v>
      </c>
      <c r="F500" s="592">
        <f ca="1">POWER((F492-F498),3)</f>
        <v>989060.13777210412</v>
      </c>
      <c r="G500" s="216" t="s">
        <v>1295</v>
      </c>
      <c r="H500" s="211"/>
    </row>
    <row r="501" spans="1:10" ht="24.75" customHeight="1" x14ac:dyDescent="0.25">
      <c r="A501" s="211"/>
      <c r="B501" s="590" t="s">
        <v>1286</v>
      </c>
      <c r="C501" s="591"/>
      <c r="D501" s="6"/>
      <c r="E501" s="19" t="str">
        <f ca="1">"(POWER(("&amp;F492&amp;"-"&amp;F498&amp;"-("&amp;$F$49&amp;"+10),2))"</f>
        <v>(POWER((200-100.366-(45+10),2))</v>
      </c>
      <c r="F501" s="592">
        <f ca="1">POWER((F492-F498-($F$49+10)),2)</f>
        <v>1992.1939560000001</v>
      </c>
      <c r="G501" s="216" t="s">
        <v>668</v>
      </c>
      <c r="H501" s="211"/>
    </row>
    <row r="502" spans="1:10" ht="27" customHeight="1" x14ac:dyDescent="0.25">
      <c r="A502" s="211"/>
      <c r="B502" s="590" t="s">
        <v>1287</v>
      </c>
      <c r="C502" s="591"/>
      <c r="D502" s="6"/>
      <c r="E502" s="631" t="str">
        <f ca="1">"("&amp;F494&amp;"/3*("&amp;F499&amp;"+"&amp;F500&amp;")+"&amp;$F$46&amp;"*"&amp;F497&amp;"*"&amp;F501&amp;")"</f>
        <v>(1000/3*(1011020.2358279+989060.137772104)+8.33*196.923*1992.193956)</v>
      </c>
      <c r="F502" s="592">
        <f ca="1">F494/3*(F499+F500)+$F$46*F497*F501</f>
        <v>669961390.25727689</v>
      </c>
      <c r="G502" s="216" t="s">
        <v>1295</v>
      </c>
      <c r="H502" s="211"/>
    </row>
    <row r="503" spans="1:10" ht="24.75" customHeight="1" x14ac:dyDescent="0.25">
      <c r="A503" s="211"/>
      <c r="B503" s="590" t="s">
        <v>1288</v>
      </c>
      <c r="C503" s="591"/>
      <c r="D503" s="6"/>
      <c r="E503" s="19" t="str">
        <f ca="1">"("&amp;F492&amp;"*1000+"&amp;$F$46&amp;"*"&amp;F497&amp;")"</f>
        <v>(200*1000+8.33*196.923)</v>
      </c>
      <c r="F503" s="592">
        <f ca="1">F492*1000+$F$46*F497</f>
        <v>201640.36859</v>
      </c>
      <c r="G503" s="216" t="s">
        <v>668</v>
      </c>
      <c r="H503" s="211"/>
    </row>
    <row r="504" spans="1:10" ht="24.75" customHeight="1" x14ac:dyDescent="0.25">
      <c r="A504" s="211"/>
      <c r="B504" s="590" t="s">
        <v>1289</v>
      </c>
      <c r="C504" s="591"/>
      <c r="D504" s="6"/>
      <c r="E504" s="631"/>
      <c r="F504" s="593">
        <f>$F$432</f>
        <v>-2</v>
      </c>
      <c r="G504" s="216"/>
      <c r="H504" s="211"/>
    </row>
    <row r="505" spans="1:10" ht="24.75" customHeight="1" x14ac:dyDescent="0.25">
      <c r="A505" s="211"/>
      <c r="B505" s="590" t="s">
        <v>1290</v>
      </c>
      <c r="C505" s="591"/>
      <c r="D505" s="6"/>
      <c r="E505" s="631" t="str">
        <f ca="1">"((("&amp;F490&amp;"*10000/"&amp;F503&amp;"))-(("&amp;F491&amp;"*10000000)*("&amp;F492&amp;"-"&amp;F498&amp;")/"&amp;F502&amp;"))"</f>
        <v>(((0.43*10000/201640.36859))-((0.32*10000000)*(200-100.366)/669961390.257277))</v>
      </c>
      <c r="F505" s="594">
        <f ca="1">((F490*10000/F503))-((F491*10000000)*(F492-F498)/F502)</f>
        <v>-0.45456620961798816</v>
      </c>
      <c r="G505" s="595" t="str">
        <f ca="1">IF(F504&lt;F505,"ok","revise")</f>
        <v>ok</v>
      </c>
      <c r="H505" s="211"/>
    </row>
    <row r="506" spans="1:10" ht="24.75" customHeight="1" x14ac:dyDescent="0.25">
      <c r="A506" s="211"/>
      <c r="B506" s="569"/>
      <c r="C506" s="5"/>
      <c r="D506" s="6"/>
      <c r="E506" s="19"/>
      <c r="F506" s="10"/>
      <c r="G506" s="216"/>
      <c r="H506" s="211"/>
    </row>
    <row r="507" spans="1:10" ht="24.75" customHeight="1" x14ac:dyDescent="0.25">
      <c r="A507" s="211"/>
      <c r="B507" s="596" t="s">
        <v>1293</v>
      </c>
      <c r="C507" s="5"/>
      <c r="D507" s="6">
        <f>IF(F86&lt;14,P351/2,VLOOKUP(F65,O351:P365,2,FALSE))</f>
        <v>0.14000000000000001</v>
      </c>
      <c r="E507" s="19"/>
      <c r="F507" s="597">
        <f>D507*F492*F494/100</f>
        <v>280.00000000000006</v>
      </c>
      <c r="G507" s="595" t="str">
        <f>IF(F509&gt;F507,"ok","revise")</f>
        <v>ok</v>
      </c>
      <c r="H507" s="211"/>
    </row>
    <row r="508" spans="1:10" ht="24.75" customHeight="1" x14ac:dyDescent="0.25">
      <c r="A508" s="211"/>
      <c r="B508" s="635">
        <f ca="1">$F$497</f>
        <v>196.923</v>
      </c>
      <c r="C508" s="569" t="s">
        <v>1253</v>
      </c>
      <c r="D508" s="569" t="s">
        <v>454</v>
      </c>
      <c r="E508" s="19"/>
      <c r="H508" s="211"/>
      <c r="J508" s="10">
        <f>$F$46</f>
        <v>8.33</v>
      </c>
    </row>
    <row r="509" spans="1:10" ht="24.75" customHeight="1" x14ac:dyDescent="0.25">
      <c r="A509" s="211"/>
      <c r="B509" s="20"/>
      <c r="C509" s="581">
        <v>10</v>
      </c>
      <c r="D509" s="581">
        <v>250</v>
      </c>
      <c r="E509" s="19"/>
      <c r="F509" s="569">
        <f>3.14*C509*C509/4*1000/D509</f>
        <v>314</v>
      </c>
      <c r="G509" s="595" t="str">
        <f ca="1">IF(F511&gt;F497,"ok","revise")</f>
        <v>ok</v>
      </c>
      <c r="H509" s="211"/>
    </row>
    <row r="510" spans="1:10" ht="24.75" customHeight="1" x14ac:dyDescent="0.25">
      <c r="A510" s="211"/>
      <c r="B510" s="20"/>
      <c r="C510" s="581"/>
      <c r="D510" s="581"/>
      <c r="E510" s="19"/>
      <c r="F510" s="569"/>
      <c r="G510" s="10"/>
      <c r="H510" s="211"/>
    </row>
    <row r="511" spans="1:10" ht="43.5" customHeight="1" x14ac:dyDescent="0.25">
      <c r="A511" s="211"/>
      <c r="B511" s="586"/>
      <c r="C511" s="587"/>
      <c r="D511" s="247"/>
      <c r="E511" s="247" t="s">
        <v>235</v>
      </c>
      <c r="F511" s="247">
        <f>F509+F510</f>
        <v>314</v>
      </c>
      <c r="G511" s="1210" t="s">
        <v>1296</v>
      </c>
      <c r="H511" s="1211"/>
    </row>
    <row r="512" spans="1:10" ht="24.75" customHeight="1" x14ac:dyDescent="0.25">
      <c r="A512" s="211"/>
      <c r="B512" s="586"/>
      <c r="C512" s="587"/>
      <c r="D512" s="247"/>
      <c r="E512" s="247"/>
      <c r="F512" s="247"/>
      <c r="G512" s="588"/>
      <c r="H512" s="588"/>
    </row>
    <row r="513" spans="1:8" ht="24.75" hidden="1" customHeight="1" x14ac:dyDescent="0.25">
      <c r="A513" s="248"/>
      <c r="B513" s="1173" t="s">
        <v>1258</v>
      </c>
      <c r="C513" s="1174"/>
      <c r="D513" s="1174"/>
      <c r="E513" s="1174"/>
      <c r="F513" s="1174"/>
      <c r="G513" s="1174"/>
      <c r="H513" s="1175"/>
    </row>
    <row r="514" spans="1:8" ht="24.75" hidden="1" customHeight="1" x14ac:dyDescent="0.25">
      <c r="A514" s="248"/>
      <c r="B514" s="207"/>
      <c r="C514" s="209" t="s">
        <v>373</v>
      </c>
      <c r="D514" s="210"/>
      <c r="E514" s="208"/>
      <c r="F514" s="208"/>
      <c r="G514" s="208"/>
      <c r="H514" s="208"/>
    </row>
    <row r="515" spans="1:8" ht="24.75" hidden="1" customHeight="1" x14ac:dyDescent="0.25">
      <c r="A515" s="248"/>
      <c r="B515" s="207"/>
      <c r="C515" s="208"/>
      <c r="D515" s="208"/>
      <c r="E515" s="208"/>
      <c r="F515" s="208"/>
      <c r="G515" s="208"/>
      <c r="H515" s="208"/>
    </row>
    <row r="516" spans="1:8" ht="24.75" hidden="1" customHeight="1" x14ac:dyDescent="0.25">
      <c r="A516" s="248"/>
      <c r="B516" s="206" t="s">
        <v>567</v>
      </c>
      <c r="C516" s="248"/>
      <c r="D516" s="249"/>
      <c r="E516" s="215"/>
      <c r="F516" s="250"/>
      <c r="G516" s="250"/>
      <c r="H516" s="251"/>
    </row>
    <row r="517" spans="1:8" ht="24.75" hidden="1" customHeight="1" x14ac:dyDescent="0.25">
      <c r="A517" s="248"/>
      <c r="B517" s="215" t="s">
        <v>375</v>
      </c>
      <c r="C517" s="248"/>
      <c r="D517" s="215"/>
      <c r="F517" s="252">
        <f>$F$49</f>
        <v>45</v>
      </c>
      <c r="G517" s="215" t="s">
        <v>202</v>
      </c>
      <c r="H517" s="251"/>
    </row>
    <row r="518" spans="1:8" ht="24.75" hidden="1" customHeight="1" x14ac:dyDescent="0.25">
      <c r="A518" s="248"/>
      <c r="B518" s="215" t="s">
        <v>376</v>
      </c>
      <c r="C518" s="248"/>
      <c r="D518" s="215"/>
      <c r="F518" s="252">
        <f>F517+10</f>
        <v>55</v>
      </c>
      <c r="G518" s="215" t="s">
        <v>202</v>
      </c>
      <c r="H518" s="251"/>
    </row>
    <row r="519" spans="1:8" ht="39" hidden="1" customHeight="1" x14ac:dyDescent="0.35">
      <c r="A519" s="248"/>
      <c r="B519" s="215" t="s">
        <v>377</v>
      </c>
      <c r="C519" s="215" t="s">
        <v>658</v>
      </c>
      <c r="D519" s="215" t="str">
        <f>"(0.8*"&amp;F524&amp;")"</f>
        <v>(0.8*500)</v>
      </c>
      <c r="F519" s="252">
        <f>0.8*F524</f>
        <v>400</v>
      </c>
      <c r="G519" s="215" t="s">
        <v>652</v>
      </c>
      <c r="H519" s="253"/>
    </row>
    <row r="520" spans="1:8" ht="24.75" hidden="1" customHeight="1" x14ac:dyDescent="0.25">
      <c r="A520" s="248"/>
      <c r="B520" s="215" t="s">
        <v>378</v>
      </c>
      <c r="C520" s="286"/>
      <c r="D520" s="248"/>
      <c r="F520" s="252">
        <v>250</v>
      </c>
      <c r="G520" s="215" t="s">
        <v>653</v>
      </c>
      <c r="H520" s="251"/>
    </row>
    <row r="521" spans="1:8" ht="24.75" hidden="1" customHeight="1" x14ac:dyDescent="0.25">
      <c r="A521" s="248"/>
      <c r="B521" s="215" t="s">
        <v>83</v>
      </c>
      <c r="C521" s="254"/>
      <c r="D521" s="248"/>
      <c r="F521" s="252">
        <v>2.5</v>
      </c>
      <c r="G521" s="215" t="s">
        <v>659</v>
      </c>
      <c r="H521" s="250"/>
    </row>
    <row r="522" spans="1:8" ht="24.75" hidden="1" customHeight="1" x14ac:dyDescent="0.25">
      <c r="A522" s="248"/>
      <c r="B522" s="207" t="s">
        <v>566</v>
      </c>
      <c r="C522" s="255"/>
      <c r="D522" s="248"/>
      <c r="F522" s="215"/>
      <c r="G522" s="215"/>
      <c r="H522" s="251"/>
    </row>
    <row r="523" spans="1:8" ht="24.75" hidden="1" customHeight="1" x14ac:dyDescent="0.25">
      <c r="A523" s="248"/>
      <c r="B523" s="215" t="s">
        <v>379</v>
      </c>
      <c r="C523" s="215"/>
      <c r="D523" s="248"/>
      <c r="F523" s="252">
        <v>30</v>
      </c>
      <c r="G523" s="215" t="s">
        <v>652</v>
      </c>
      <c r="H523" s="251"/>
    </row>
    <row r="524" spans="1:8" ht="24.75" hidden="1" customHeight="1" x14ac:dyDescent="0.25">
      <c r="A524" s="248"/>
      <c r="B524" s="215" t="s">
        <v>311</v>
      </c>
      <c r="C524" s="215"/>
      <c r="D524" s="248"/>
      <c r="F524" s="252">
        <v>500</v>
      </c>
      <c r="G524" s="215" t="s">
        <v>652</v>
      </c>
      <c r="H524" s="251"/>
    </row>
    <row r="525" spans="1:8" ht="24.75" hidden="1" customHeight="1" x14ac:dyDescent="0.25">
      <c r="A525" s="248"/>
      <c r="B525" s="215" t="s">
        <v>380</v>
      </c>
      <c r="C525" s="215"/>
      <c r="D525" s="248"/>
      <c r="F525" s="215">
        <f>1/3*F523</f>
        <v>10</v>
      </c>
      <c r="G525" s="215" t="s">
        <v>652</v>
      </c>
      <c r="H525" s="251"/>
    </row>
    <row r="526" spans="1:8" ht="24.75" hidden="1" customHeight="1" x14ac:dyDescent="0.25">
      <c r="A526" s="248"/>
      <c r="B526" s="215" t="s">
        <v>381</v>
      </c>
      <c r="C526" s="215" t="s">
        <v>382</v>
      </c>
      <c r="D526" s="248"/>
      <c r="F526" s="235">
        <f>ROUND((2*10^5)/((0.5*5000*((F523^0.5)))),2)</f>
        <v>14.61</v>
      </c>
      <c r="G526" s="215"/>
      <c r="H526" s="251"/>
    </row>
    <row r="527" spans="1:8" ht="24.75" hidden="1" customHeight="1" x14ac:dyDescent="0.25">
      <c r="A527" s="248"/>
      <c r="B527" s="215" t="s">
        <v>383</v>
      </c>
      <c r="C527" s="248"/>
      <c r="D527" s="215"/>
      <c r="F527" s="235">
        <f>2*10^5</f>
        <v>200000</v>
      </c>
      <c r="G527" s="215" t="s">
        <v>652</v>
      </c>
      <c r="H527" s="251"/>
    </row>
    <row r="528" spans="1:8" ht="40.5" hidden="1" customHeight="1" x14ac:dyDescent="0.25">
      <c r="A528" s="248"/>
      <c r="B528" s="206" t="s">
        <v>565</v>
      </c>
      <c r="C528" s="248"/>
      <c r="D528" s="249"/>
      <c r="F528" s="215"/>
      <c r="G528" s="251"/>
      <c r="H528" s="251"/>
    </row>
    <row r="529" spans="1:13" ht="24.75" hidden="1" customHeight="1" x14ac:dyDescent="0.25">
      <c r="A529" s="248"/>
      <c r="B529" s="215"/>
      <c r="C529" s="215"/>
      <c r="D529" s="215"/>
      <c r="F529" s="256"/>
      <c r="G529" s="250"/>
      <c r="H529" s="250"/>
    </row>
    <row r="530" spans="1:13" ht="51" hidden="1" customHeight="1" x14ac:dyDescent="0.25">
      <c r="A530" s="248"/>
      <c r="B530" s="207" t="s">
        <v>110</v>
      </c>
      <c r="C530" s="215" t="s">
        <v>310</v>
      </c>
      <c r="D530" s="215" t="s">
        <v>236</v>
      </c>
      <c r="F530" s="235">
        <f ca="1">Calculation!$D$329</f>
        <v>0.86</v>
      </c>
      <c r="G530" s="215" t="s">
        <v>497</v>
      </c>
      <c r="H530" s="248"/>
    </row>
    <row r="531" spans="1:13" ht="49.5" hidden="1" customHeight="1" x14ac:dyDescent="0.25">
      <c r="A531" s="248"/>
      <c r="B531" s="207" t="s">
        <v>384</v>
      </c>
      <c r="C531" s="215" t="s">
        <v>385</v>
      </c>
      <c r="D531" s="215" t="s">
        <v>236</v>
      </c>
      <c r="F531" s="257">
        <f>Calculation!$F$560</f>
        <v>1.7520000000000002</v>
      </c>
      <c r="G531" s="215" t="s">
        <v>285</v>
      </c>
      <c r="H531" s="248"/>
    </row>
    <row r="532" spans="1:13" ht="24.75" hidden="1" customHeight="1" x14ac:dyDescent="0.25">
      <c r="A532" s="248"/>
      <c r="B532" s="207"/>
      <c r="C532" s="215"/>
      <c r="D532" s="215"/>
      <c r="E532" s="215"/>
      <c r="F532" s="215"/>
      <c r="G532" s="215"/>
      <c r="H532" s="215"/>
    </row>
    <row r="533" spans="1:13" ht="24.75" hidden="1" customHeight="1" x14ac:dyDescent="0.25">
      <c r="A533" s="248"/>
      <c r="B533" s="207" t="s">
        <v>386</v>
      </c>
      <c r="C533" s="215" t="s">
        <v>387</v>
      </c>
      <c r="D533" s="215">
        <f>F533</f>
        <v>1000</v>
      </c>
      <c r="F533" s="215">
        <v>1000</v>
      </c>
      <c r="G533" s="215" t="s">
        <v>202</v>
      </c>
      <c r="H533" s="215"/>
    </row>
    <row r="534" spans="1:13" ht="24.75" hidden="1" customHeight="1" x14ac:dyDescent="0.25">
      <c r="A534" s="248"/>
      <c r="B534" s="207" t="s">
        <v>33</v>
      </c>
      <c r="C534" s="215" t="s">
        <v>388</v>
      </c>
      <c r="D534" s="215">
        <f>F534</f>
        <v>200</v>
      </c>
      <c r="F534" s="227">
        <f>Calculation!$B$325*1000</f>
        <v>200</v>
      </c>
      <c r="G534" s="215" t="s">
        <v>202</v>
      </c>
      <c r="H534" s="215"/>
    </row>
    <row r="535" spans="1:13" ht="24.75" hidden="1" customHeight="1" x14ac:dyDescent="0.25">
      <c r="A535" s="248"/>
      <c r="B535" s="207"/>
      <c r="C535" s="215" t="s">
        <v>389</v>
      </c>
      <c r="D535" s="215">
        <f>F518</f>
        <v>55</v>
      </c>
      <c r="F535" s="228">
        <f>F518</f>
        <v>55</v>
      </c>
      <c r="G535" s="215" t="s">
        <v>202</v>
      </c>
      <c r="H535" s="215"/>
    </row>
    <row r="536" spans="1:13" ht="24.75" hidden="1" customHeight="1" x14ac:dyDescent="0.25">
      <c r="A536" s="248"/>
      <c r="B536" s="207" t="s">
        <v>107</v>
      </c>
      <c r="C536" s="215" t="s">
        <v>390</v>
      </c>
      <c r="D536" s="229" t="str">
        <f>"("&amp;F534&amp;"-"&amp;F518&amp;")"</f>
        <v>(200-55)</v>
      </c>
      <c r="F536" s="228">
        <f>F534-F518</f>
        <v>145</v>
      </c>
      <c r="G536" s="215" t="s">
        <v>202</v>
      </c>
      <c r="H536" s="215"/>
      <c r="L536" s="1155"/>
      <c r="M536" s="1085"/>
    </row>
    <row r="537" spans="1:13" ht="24.75" hidden="1" customHeight="1" x14ac:dyDescent="0.25">
      <c r="A537" s="248"/>
      <c r="B537" s="207" t="s">
        <v>494</v>
      </c>
      <c r="C537" s="215"/>
      <c r="D537" s="229"/>
      <c r="F537" s="228">
        <f>$F$445</f>
        <v>45</v>
      </c>
      <c r="G537" s="215" t="s">
        <v>202</v>
      </c>
      <c r="H537" s="215"/>
    </row>
    <row r="538" spans="1:13" ht="60.75" hidden="1" customHeight="1" x14ac:dyDescent="0.25">
      <c r="A538" s="248"/>
      <c r="B538" s="207" t="s">
        <v>392</v>
      </c>
      <c r="C538" s="215" t="s">
        <v>393</v>
      </c>
      <c r="D538" s="1155" t="str">
        <f ca="1">"((1-SQRT(1-((4.6*"&amp;F530&amp;"*1.5*10^7)/("&amp;$F$451&amp;"*"&amp;F533&amp;"*"&amp;F536&amp;"^2))))/((2/("&amp;F533&amp;"*"&amp;F536&amp;"))*("&amp;$F$452&amp;"/"&amp;$F$451&amp;")))"</f>
        <v>((1-SQRT(1-((4.6*0.86*1.5*10^7)/(30*1000*145^2))))/((2/(1000*145))*(500/30)))</v>
      </c>
      <c r="E538" s="1085"/>
      <c r="F538" s="231">
        <f ca="1">ROUND((1-SQRT(1-((4.6*F530*1.5*10^7)/($F$451*F533*F536^2))))/((2/(F533*F536))*($F$452/$F$451)),2)</f>
        <v>209.67</v>
      </c>
      <c r="G538" s="215" t="s">
        <v>564</v>
      </c>
      <c r="H538" s="248"/>
    </row>
    <row r="539" spans="1:13" ht="51.75" hidden="1" customHeight="1" x14ac:dyDescent="0.25">
      <c r="A539" s="248"/>
      <c r="B539" s="207" t="s">
        <v>394</v>
      </c>
      <c r="C539" s="215" t="s">
        <v>395</v>
      </c>
      <c r="D539" s="1155" t="str">
        <f ca="1">"("&amp;F536&amp;"*(("&amp;F526&amp;"*("&amp;F538&amp;"/"&amp;F533&amp;"/"&amp;F536&amp;"))*((1+2/("&amp;F538&amp;"/"&amp;F533&amp;"/"&amp;F536&amp;")^0.5)-1)))"</f>
        <v>(145*((14.61*(209.67/1000/145))*((1+2/(209.67/1000/145)^0.5)-1)))</v>
      </c>
      <c r="E539" s="1085"/>
      <c r="F539" s="239">
        <f>ROUND(((F536*F526*(G551/F533/F536))*((((1+2/(G551/F533/F536*F526)))^0.5)-1)),3)</f>
        <v>32.173999999999999</v>
      </c>
      <c r="G539" s="239" t="s">
        <v>202</v>
      </c>
      <c r="H539" s="248"/>
    </row>
    <row r="540" spans="1:13" ht="24.75" hidden="1" customHeight="1" x14ac:dyDescent="0.25">
      <c r="A540" s="248"/>
      <c r="B540" s="207" t="s">
        <v>396</v>
      </c>
      <c r="C540" s="215"/>
      <c r="D540" s="1155" t="str">
        <f>"("&amp;F536&amp;"-"&amp;F539&amp;"/3)"</f>
        <v>(145-32.174/3)</v>
      </c>
      <c r="E540" s="1085"/>
      <c r="F540" s="257">
        <f>ROUND((F536-F539/3),2)</f>
        <v>134.28</v>
      </c>
      <c r="G540" s="215" t="s">
        <v>202</v>
      </c>
      <c r="H540" s="248"/>
    </row>
    <row r="541" spans="1:13" ht="55.5" hidden="1" customHeight="1" x14ac:dyDescent="0.25">
      <c r="A541" s="248"/>
      <c r="B541" s="207" t="s">
        <v>397</v>
      </c>
      <c r="C541" s="215" t="s">
        <v>236</v>
      </c>
      <c r="D541" s="1155" t="str">
        <f ca="1">"("&amp;F530&amp;"*10^7/"&amp;F540&amp;"/"&amp;F538&amp;")"</f>
        <v>(0.86*10^7/134.28/209.67)</v>
      </c>
      <c r="E541" s="1085"/>
      <c r="F541" s="258">
        <f ca="1">ROUND((F530*10^7/F540/G551),2)</f>
        <v>203.97</v>
      </c>
      <c r="G541" s="215" t="s">
        <v>652</v>
      </c>
      <c r="H541" s="225" t="str">
        <f ca="1">IF(F541&lt;0.8*F524,"ok","revise")</f>
        <v>ok</v>
      </c>
    </row>
    <row r="542" spans="1:13" ht="65.25" hidden="1" customHeight="1" x14ac:dyDescent="0.25">
      <c r="A542" s="248"/>
      <c r="B542" s="207" t="s">
        <v>398</v>
      </c>
      <c r="C542" s="215" t="s">
        <v>236</v>
      </c>
      <c r="D542" s="1155" t="str">
        <f ca="1">"(2*"&amp;F530&amp;"*10^7/"&amp;F540&amp;"/"&amp;F533&amp;"/"&amp;F539&amp;")"</f>
        <v>(2*0.86*10^7/134.28/1000/32.174)</v>
      </c>
      <c r="E542" s="1085"/>
      <c r="F542" s="257">
        <f ca="1">2*F530*10^7/F540/F533/F539</f>
        <v>3.9811822292839136</v>
      </c>
      <c r="G542" s="215" t="s">
        <v>652</v>
      </c>
      <c r="H542" s="225" t="str">
        <f ca="1">IF(F542&lt;0.45*$F$451,"ok","revise")</f>
        <v>ok</v>
      </c>
    </row>
    <row r="543" spans="1:13" ht="62.25" hidden="1" customHeight="1" x14ac:dyDescent="0.3">
      <c r="A543" s="248"/>
      <c r="B543" s="260" t="s">
        <v>660</v>
      </c>
      <c r="C543" s="261" t="s">
        <v>399</v>
      </c>
      <c r="D543" s="1155" t="str">
        <f ca="1">"(("&amp;F534&amp;"-"&amp;F539&amp;")*"&amp;F541&amp;"/("&amp;F536&amp;"-"&amp;F539&amp;")/"&amp;F527&amp;")"</f>
        <v>((200-32.174)*203.97/(145-32.174)/200000)</v>
      </c>
      <c r="E543" s="1085"/>
      <c r="F543" s="262">
        <f ca="1">(F534-F539)*F541/(F536-F539)/$F$455</f>
        <v>1.5170026953007286E-3</v>
      </c>
      <c r="G543" s="215" t="s">
        <v>202</v>
      </c>
      <c r="H543" s="263"/>
    </row>
    <row r="544" spans="1:13" ht="47.25" hidden="1" customHeight="1" x14ac:dyDescent="0.25">
      <c r="A544" s="248"/>
      <c r="B544" s="260" t="s">
        <v>400</v>
      </c>
      <c r="C544" s="261" t="s">
        <v>236</v>
      </c>
      <c r="D544" s="1155" t="str">
        <f ca="1">"(("&amp;F533&amp;"*("&amp;F534&amp;"-"&amp;F539&amp;")^2)/(3*"&amp;F527&amp;"*"&amp;F538&amp;"*("&amp;F536&amp;"-"&amp;F539&amp;")))"</f>
        <v>((1000*(200-32.174)^2)/(3*200000*209.67*(145-32.174)))</v>
      </c>
      <c r="E544" s="1085"/>
      <c r="F544" s="264">
        <f>(F533*(F534-F539)^2)/(3*$F$455*G551*(F536-F539))</f>
        <v>1.3250381953339796E-3</v>
      </c>
      <c r="G544" s="215" t="s">
        <v>202</v>
      </c>
      <c r="H544" s="263"/>
    </row>
    <row r="545" spans="1:19" ht="35.25" hidden="1" customHeight="1" x14ac:dyDescent="0.25">
      <c r="A545" s="248"/>
      <c r="B545" s="260" t="s">
        <v>401</v>
      </c>
      <c r="C545" s="261" t="s">
        <v>236</v>
      </c>
      <c r="D545" s="1155" t="str">
        <f ca="1">"("&amp;F534&amp;")*("&amp;1000&amp;")+("&amp;10&amp;"*"&amp;ROUND(F538,3)&amp;")"</f>
        <v>(200)*(1000)+(10*209.67)</v>
      </c>
      <c r="E545" s="1085"/>
      <c r="F545" s="264">
        <f ca="1">ROUND((F543-F544),7)</f>
        <v>1.92E-4</v>
      </c>
      <c r="G545" s="258" t="s">
        <v>202</v>
      </c>
      <c r="H545" s="263"/>
    </row>
    <row r="546" spans="1:19" ht="18" hidden="1" customHeight="1" x14ac:dyDescent="0.3">
      <c r="A546" s="259"/>
      <c r="B546" s="207" t="s">
        <v>657</v>
      </c>
      <c r="C546" s="215" t="s">
        <v>236</v>
      </c>
      <c r="D546" s="1155">
        <f>F546</f>
        <v>136.57</v>
      </c>
      <c r="E546" s="1085"/>
      <c r="F546" s="215">
        <f>ROUND((SQRT((D552/2)^2+F535^2)),2)</f>
        <v>136.57</v>
      </c>
      <c r="G546" s="215" t="s">
        <v>202</v>
      </c>
      <c r="H546" s="215"/>
    </row>
    <row r="547" spans="1:19" ht="34.5" hidden="1" customHeight="1" x14ac:dyDescent="0.25">
      <c r="A547" s="259"/>
      <c r="B547" s="207" t="s">
        <v>404</v>
      </c>
      <c r="C547" s="215" t="s">
        <v>405</v>
      </c>
      <c r="D547" s="1155" t="str">
        <f ca="1">"((3*"&amp;F546&amp;"*"&amp;F545&amp;")/(1+(2*("&amp;F546&amp;"-"&amp;F535&amp;"-10)/("&amp;F534&amp;"-"&amp;F539&amp;"))))"</f>
        <v>((3*136.57*0.000192)/(1+(2*(136.57-55-10)/(200-32.174))))</v>
      </c>
      <c r="E547" s="1085"/>
      <c r="F547" s="235">
        <f ca="1">(3*F546*F545)/(1+(2*(F546-F535-10)/(F534-F539)))</f>
        <v>4.24545389795669E-2</v>
      </c>
      <c r="G547" s="215" t="s">
        <v>202</v>
      </c>
      <c r="H547" s="225" t="str">
        <f ca="1">IF(F547&lt;0.2,"OK","REVISE")</f>
        <v>OK</v>
      </c>
    </row>
    <row r="548" spans="1:19" ht="24.75" hidden="1" customHeight="1" x14ac:dyDescent="0.25">
      <c r="A548" s="248"/>
      <c r="B548" s="215" t="s">
        <v>406</v>
      </c>
      <c r="C548" s="248"/>
      <c r="D548" s="243"/>
      <c r="E548" s="243"/>
      <c r="F548" s="243"/>
      <c r="G548" s="243"/>
      <c r="H548" s="243"/>
    </row>
    <row r="549" spans="1:19" ht="24.75" hidden="1" customHeight="1" x14ac:dyDescent="0.25">
      <c r="A549" s="248"/>
      <c r="B549" s="265">
        <f ca="1">F538</f>
        <v>209.67</v>
      </c>
      <c r="C549" s="243">
        <f>C509</f>
        <v>10</v>
      </c>
      <c r="D549" s="243" t="s">
        <v>300</v>
      </c>
      <c r="E549" s="243">
        <f>D509</f>
        <v>250</v>
      </c>
      <c r="F549" s="243" t="s">
        <v>202</v>
      </c>
      <c r="G549" s="243">
        <f>(3.14*0.25*(C549^2))/(E549/1000)</f>
        <v>314</v>
      </c>
      <c r="H549" s="266" t="s">
        <v>655</v>
      </c>
    </row>
    <row r="550" spans="1:19" ht="24.75" hidden="1" customHeight="1" x14ac:dyDescent="0.25">
      <c r="A550" s="248"/>
      <c r="B550" s="215"/>
      <c r="C550" s="243">
        <v>0</v>
      </c>
      <c r="D550" s="243" t="s">
        <v>300</v>
      </c>
      <c r="E550" s="243">
        <v>250</v>
      </c>
      <c r="F550" s="243" t="s">
        <v>202</v>
      </c>
      <c r="G550" s="243">
        <f>(3.14*0.25*(C550^2))/(E550/1000)</f>
        <v>0</v>
      </c>
      <c r="H550" s="266" t="s">
        <v>655</v>
      </c>
    </row>
    <row r="551" spans="1:19" ht="24.75" hidden="1" customHeight="1" x14ac:dyDescent="0.25">
      <c r="A551" s="248"/>
      <c r="B551" s="215"/>
      <c r="C551" s="265"/>
      <c r="D551" s="243"/>
      <c r="E551" s="243"/>
      <c r="F551" s="243"/>
      <c r="G551" s="243">
        <f>SUM(G549:G550)</f>
        <v>314</v>
      </c>
      <c r="H551" s="266" t="s">
        <v>655</v>
      </c>
    </row>
    <row r="552" spans="1:19" ht="30" hidden="1" customHeight="1" x14ac:dyDescent="0.25">
      <c r="A552" s="248"/>
      <c r="B552" s="215"/>
      <c r="C552" s="243" t="s">
        <v>568</v>
      </c>
      <c r="D552" s="243">
        <f>IF(C550&gt;0,E549/2,E549)</f>
        <v>250</v>
      </c>
      <c r="E552" s="243" t="s">
        <v>202</v>
      </c>
      <c r="F552" s="243" t="str">
        <f ca="1">IF(G551&gt;B549,"OK","REVISE")</f>
        <v>OK</v>
      </c>
      <c r="G552" s="1176" t="str">
        <f>IF(G551&gt;G553,"MORE THAN MINIMUM","REVISE")</f>
        <v>MORE THAN MINIMUM</v>
      </c>
      <c r="H552" s="1177"/>
    </row>
    <row r="553" spans="1:19" ht="24.75" hidden="1" customHeight="1" x14ac:dyDescent="0.25">
      <c r="A553" s="248"/>
      <c r="B553" s="215" t="s">
        <v>408</v>
      </c>
      <c r="C553" s="268">
        <v>0.14000000000000001</v>
      </c>
      <c r="D553" s="243"/>
      <c r="E553" s="243"/>
      <c r="F553" s="243"/>
      <c r="G553" s="243">
        <f>C553*MIN(F534,500)*1000/100</f>
        <v>280.00000000000006</v>
      </c>
      <c r="H553" s="266" t="s">
        <v>655</v>
      </c>
    </row>
    <row r="554" spans="1:19" x14ac:dyDescent="0.25">
      <c r="A554" s="36" t="s">
        <v>118</v>
      </c>
      <c r="B554" s="37" t="s">
        <v>119</v>
      </c>
      <c r="C554" s="36"/>
      <c r="D554" s="38">
        <f>Calculation!$D$90</f>
        <v>400</v>
      </c>
      <c r="E554" s="39">
        <f>Calculation!$D$91</f>
        <v>500</v>
      </c>
    </row>
    <row r="555" spans="1:19" x14ac:dyDescent="0.25">
      <c r="A555" s="6"/>
      <c r="B555" s="298"/>
      <c r="C555" s="298"/>
      <c r="D555" s="298"/>
      <c r="E555" s="298"/>
      <c r="R555" s="182"/>
      <c r="S555" s="182"/>
    </row>
    <row r="556" spans="1:19" x14ac:dyDescent="0.25">
      <c r="A556" s="6"/>
      <c r="B556" s="298" t="s">
        <v>131</v>
      </c>
      <c r="C556" s="298"/>
      <c r="D556" s="1178" t="str">
        <f>"("&amp;ROUND(F202,3)&amp;"*SIN(RADIANS("&amp;ROUND(Calculation!C80,3)&amp;")))"</f>
        <v>(2.069*SIN(RADIANS(0.616)))</v>
      </c>
      <c r="E556" s="1179"/>
      <c r="F556" s="93">
        <f>F202*SIN(Calculation!F103)</f>
        <v>1.2142405876313733</v>
      </c>
      <c r="G556" s="3" t="s">
        <v>91</v>
      </c>
    </row>
    <row r="557" spans="1:19" x14ac:dyDescent="0.25">
      <c r="A557" s="6"/>
      <c r="B557" s="298"/>
      <c r="C557" s="298"/>
      <c r="D557" s="299"/>
      <c r="E557" s="299"/>
    </row>
    <row r="558" spans="1:19" ht="29.25" x14ac:dyDescent="0.25">
      <c r="A558" s="6"/>
      <c r="B558" s="301" t="s">
        <v>132</v>
      </c>
      <c r="C558" s="298"/>
      <c r="D558" s="1178" t="str">
        <f>"("&amp;Calculation!C81&amp;"*"&amp;Calculation!C82&amp;"*"&amp;Calculation!F44&amp;"/1000000)"</f>
        <v>(300*300*2.4/1000000)</v>
      </c>
      <c r="E558" s="1179"/>
      <c r="F558" s="3">
        <f>Calculation!C81*Calculation!C82*Calculation!F44/1000000</f>
        <v>0.216</v>
      </c>
      <c r="G558" s="3" t="s">
        <v>91</v>
      </c>
    </row>
    <row r="559" spans="1:19" x14ac:dyDescent="0.25">
      <c r="A559" s="6"/>
      <c r="B559" s="298"/>
      <c r="C559" s="298"/>
      <c r="D559" s="299"/>
      <c r="E559" s="299"/>
    </row>
    <row r="560" spans="1:19" ht="15.75" customHeight="1" x14ac:dyDescent="0.25">
      <c r="A560" s="6"/>
      <c r="B560" s="298" t="s">
        <v>133</v>
      </c>
      <c r="C560" s="298"/>
      <c r="D560" s="1178" t="str">
        <f>"("&amp;Calculation!B84&amp;"*"&amp;Calculation!B86&amp;"+("&amp;ROUND(Calculation!F88,2)&amp;"-"&amp;Calculation!B84&amp;"-"&amp;ROUND(Calculation!B93,2)&amp;")*("&amp;Calculation!B86&amp;"+"&amp;Calculation!B86&amp;")/2)*"&amp;Calculation!F44&amp;""</f>
        <v>(*0.2+(4.65--1)*(0.2+0.2)/2)*2.4</v>
      </c>
      <c r="E560" s="1179"/>
      <c r="F560" s="3">
        <f>(Calculation!B84*Calculation!B86+(Calculation!F88-Calculation!B84-Calculation!B93)*(Calculation!B86+Calculation!B86)/2)*Calculation!F44</f>
        <v>1.7520000000000002</v>
      </c>
      <c r="G560" s="3" t="s">
        <v>91</v>
      </c>
    </row>
    <row r="561" spans="1:7" x14ac:dyDescent="0.25">
      <c r="A561" s="6"/>
      <c r="B561" s="301"/>
      <c r="C561" s="298"/>
      <c r="D561" s="299"/>
      <c r="E561" s="299"/>
    </row>
    <row r="562" spans="1:7" ht="15.75" customHeight="1" x14ac:dyDescent="0.25">
      <c r="A562" s="6"/>
      <c r="B562" s="298" t="s">
        <v>134</v>
      </c>
      <c r="C562" s="298"/>
      <c r="D562" s="1178" t="str">
        <f>"("&amp;Calculation!D90&amp;"*"&amp;Calculation!D91&amp;"*"&amp;Calculation!F44&amp;"/1000000)+("&amp;F309&amp;"*"&amp;F310&amp;")"</f>
        <v>(400*500*2.4/1000000)+(0.95*1)</v>
      </c>
      <c r="E562" s="1179"/>
      <c r="F562" s="3">
        <f>Calculation!D90*Calculation!D91*Calculation!F44/1000000+(F309*F310)</f>
        <v>1.43</v>
      </c>
      <c r="G562" s="3" t="s">
        <v>91</v>
      </c>
    </row>
    <row r="563" spans="1:7" x14ac:dyDescent="0.25">
      <c r="A563" s="6"/>
      <c r="B563" s="301"/>
      <c r="C563" s="298"/>
      <c r="D563" s="298"/>
      <c r="E563" s="298"/>
    </row>
    <row r="564" spans="1:7" x14ac:dyDescent="0.25">
      <c r="A564" s="6"/>
      <c r="B564" s="301" t="s">
        <v>135</v>
      </c>
      <c r="C564" s="298" t="s">
        <v>194</v>
      </c>
      <c r="D564" s="298"/>
      <c r="E564" s="298"/>
      <c r="F564" s="93">
        <f>SUM(F556:F562)</f>
        <v>4.6122405876313737</v>
      </c>
      <c r="G564" s="3" t="s">
        <v>91</v>
      </c>
    </row>
    <row r="565" spans="1:7" x14ac:dyDescent="0.25">
      <c r="A565" s="6"/>
      <c r="B565" s="301"/>
      <c r="C565" s="298"/>
      <c r="D565" s="298"/>
      <c r="E565" s="298"/>
    </row>
    <row r="566" spans="1:7" ht="29.25" x14ac:dyDescent="0.25">
      <c r="A566" s="9" t="s">
        <v>13</v>
      </c>
      <c r="B566" s="301" t="s">
        <v>136</v>
      </c>
      <c r="C566" s="298" t="s">
        <v>195</v>
      </c>
      <c r="D566" s="300" t="s">
        <v>137</v>
      </c>
      <c r="E566" s="300" t="str">
        <f>"("&amp;ROUND(Calculation!G134,3)&amp;"*("&amp;Calculation!F65&amp;"+"&amp;Calculation!B86&amp;")/2)"</f>
        <v>(4.609*(9.1+0.2)/2)</v>
      </c>
      <c r="F566" s="93">
        <f>Calculation!G134*(Calculation!F65+Calculation!B86)/2</f>
        <v>21.429838117259958</v>
      </c>
      <c r="G566" s="3" t="s">
        <v>117</v>
      </c>
    </row>
    <row r="567" spans="1:7" x14ac:dyDescent="0.25">
      <c r="A567" s="38"/>
      <c r="B567" s="301"/>
      <c r="C567" s="298"/>
      <c r="D567" s="298"/>
      <c r="E567" s="298"/>
    </row>
    <row r="568" spans="1:7" ht="40.5" customHeight="1" x14ac:dyDescent="0.25">
      <c r="A568" s="9" t="s">
        <v>13</v>
      </c>
      <c r="B568" s="301" t="s">
        <v>138</v>
      </c>
      <c r="C568" s="298" t="s">
        <v>196</v>
      </c>
      <c r="D568" s="300" t="s">
        <v>139</v>
      </c>
      <c r="E568" s="302" t="str">
        <f>"(1*("&amp;ROUND(Calculation!F88,2)&amp;"-"&amp;ROUND(Calculation!B93,2)&amp;")  *("&amp;Calculation!D90&amp;"/1000)*("&amp;Calculation!F65&amp;"+"&amp;Calculation!B86&amp;")/2)"</f>
        <v>(1*(4.65-1)  *(400/1000)*(9.1+0.2)/2)</v>
      </c>
      <c r="F568" s="93">
        <f>1*(Calculation!F88-Calculation!B93)*(Calculation!D90/1000)*(Calculation!F65+Calculation!B86)/2</f>
        <v>6.7889999999999997</v>
      </c>
      <c r="G568" s="3" t="s">
        <v>117</v>
      </c>
    </row>
    <row r="569" spans="1:7" x14ac:dyDescent="0.25">
      <c r="A569" s="6"/>
      <c r="B569" s="298"/>
      <c r="C569" s="298"/>
      <c r="D569" s="298"/>
      <c r="E569" s="298"/>
    </row>
    <row r="570" spans="1:7" x14ac:dyDescent="0.25">
      <c r="A570" s="38" t="s">
        <v>13</v>
      </c>
      <c r="B570" s="298" t="s">
        <v>140</v>
      </c>
      <c r="C570" s="298"/>
      <c r="D570" s="298"/>
      <c r="E570" s="302" t="str">
        <f>"(((SUM("&amp;F566&amp;":"&amp;F569&amp;")),2))"</f>
        <v>(((SUM(21.42983811726:)),2))</v>
      </c>
      <c r="F570" s="93">
        <f>ROUND((SUM(F566:F569)),2)</f>
        <v>28.22</v>
      </c>
      <c r="G570" s="3" t="s">
        <v>117</v>
      </c>
    </row>
    <row r="571" spans="1:7" x14ac:dyDescent="0.25">
      <c r="A571" s="6"/>
      <c r="B571" s="20" t="s">
        <v>310</v>
      </c>
      <c r="C571" s="5"/>
      <c r="D571" s="6"/>
      <c r="E571" s="19"/>
      <c r="F571" s="13">
        <v>0</v>
      </c>
      <c r="G571" s="3" t="s">
        <v>210</v>
      </c>
    </row>
    <row r="572" spans="1:7" x14ac:dyDescent="0.25">
      <c r="A572" s="6"/>
      <c r="B572" s="20" t="s">
        <v>1234</v>
      </c>
      <c r="C572" s="5"/>
      <c r="D572" s="6"/>
      <c r="E572" s="19"/>
      <c r="F572" s="13">
        <f>D90</f>
        <v>400</v>
      </c>
      <c r="G572" s="3" t="s">
        <v>202</v>
      </c>
    </row>
    <row r="573" spans="1:7" x14ac:dyDescent="0.25">
      <c r="A573" s="6"/>
      <c r="B573" s="10" t="s">
        <v>1239</v>
      </c>
      <c r="C573" s="10"/>
      <c r="D573" s="10"/>
      <c r="E573" s="10"/>
      <c r="F573" s="571">
        <f>$F$49</f>
        <v>45</v>
      </c>
      <c r="G573" s="10" t="s">
        <v>202</v>
      </c>
    </row>
    <row r="574" spans="1:7" x14ac:dyDescent="0.25">
      <c r="A574" s="6"/>
      <c r="B574" s="20" t="s">
        <v>1235</v>
      </c>
      <c r="C574" s="5"/>
      <c r="D574" s="6"/>
      <c r="E574" s="19"/>
      <c r="F574" s="13">
        <f>D91</f>
        <v>500</v>
      </c>
      <c r="G574" s="3" t="s">
        <v>202</v>
      </c>
    </row>
    <row r="575" spans="1:7" x14ac:dyDescent="0.25">
      <c r="A575" s="6"/>
      <c r="B575" s="569" t="s">
        <v>1283</v>
      </c>
      <c r="C575" s="5"/>
      <c r="D575" s="6"/>
      <c r="E575" s="19" t="str">
        <f>CONCATENATE(F572,"-",F573,"-10")</f>
        <v>400-45-10</v>
      </c>
      <c r="F575" s="13">
        <f>F572-F573-10</f>
        <v>345</v>
      </c>
      <c r="G575" s="3" t="s">
        <v>202</v>
      </c>
    </row>
    <row r="576" spans="1:7" x14ac:dyDescent="0.25">
      <c r="A576" s="6"/>
      <c r="B576" s="569" t="s">
        <v>1277</v>
      </c>
      <c r="C576" s="5"/>
      <c r="D576" s="6"/>
      <c r="E576" s="19"/>
      <c r="F576" s="13">
        <f>intro!$J$74</f>
        <v>130</v>
      </c>
      <c r="G576" s="216" t="s">
        <v>260</v>
      </c>
    </row>
    <row r="577" spans="1:14" ht="26.25" x14ac:dyDescent="0.25">
      <c r="A577" s="6"/>
      <c r="B577" s="569" t="s">
        <v>1297</v>
      </c>
      <c r="C577" s="5"/>
      <c r="D577" s="6"/>
      <c r="E577" s="19" t="str">
        <f>CONCATENATE("(",F571,"*10^7)/(",F576,"*(",F575,"-",F573,"/10))+((",F570,"*10000)/(",F576,"*2))")</f>
        <v>(0*10^7)/(130*(345-45/10))+((28.22*10000)/(130*2))</v>
      </c>
      <c r="F577" s="13">
        <f>(F571*10^7)/(F576*(F575-F572/10))+((F570*10000)/(F576*2))</f>
        <v>1085.3846153846155</v>
      </c>
      <c r="G577" s="216" t="s">
        <v>679</v>
      </c>
    </row>
    <row r="578" spans="1:14" x14ac:dyDescent="0.25">
      <c r="A578" s="6"/>
      <c r="B578" s="569" t="s">
        <v>1298</v>
      </c>
      <c r="C578" s="5"/>
      <c r="D578" s="6"/>
      <c r="E578" s="19"/>
      <c r="F578" s="572">
        <f>F577*2</f>
        <v>2170.7692307692309</v>
      </c>
      <c r="G578" s="216" t="s">
        <v>679</v>
      </c>
    </row>
    <row r="579" spans="1:14" ht="18" x14ac:dyDescent="0.25">
      <c r="A579" s="6"/>
      <c r="B579" s="569" t="s">
        <v>1241</v>
      </c>
      <c r="C579" s="5"/>
      <c r="D579" s="6"/>
      <c r="E579" s="19" t="str">
        <f>CONCATENATE(F574,"*(",F572,"-",F573,")*(",F572,"-",F573,")/2")</f>
        <v>500*(400-45)*(400-45)/2</v>
      </c>
      <c r="F579" s="573">
        <f>ROUND(F574*(F572-F573)*(F572-F573)/2,2)</f>
        <v>31506250</v>
      </c>
      <c r="G579" s="216" t="s">
        <v>1242</v>
      </c>
    </row>
    <row r="580" spans="1:14" ht="18" x14ac:dyDescent="0.25">
      <c r="A580" s="6"/>
      <c r="B580" s="569" t="s">
        <v>1243</v>
      </c>
      <c r="C580" s="5"/>
      <c r="D580" s="6"/>
      <c r="E580" s="19" t="str">
        <f>CONCATENATE(intro!$J$85,"*",F577,"*(",F572,"-",F573,")")</f>
        <v>9.33*1085.38461538462*(400-45)</v>
      </c>
      <c r="F580" s="573">
        <f>ROUND(ABS(intro!$J$85*F577*(F572-F573)),3)</f>
        <v>3594956.6540000001</v>
      </c>
      <c r="G580" s="216" t="s">
        <v>1242</v>
      </c>
    </row>
    <row r="581" spans="1:14" x14ac:dyDescent="0.25">
      <c r="A581" s="6"/>
      <c r="B581" s="569" t="s">
        <v>1244</v>
      </c>
      <c r="C581" s="5"/>
      <c r="D581" s="6"/>
      <c r="E581" s="19" t="str">
        <f>CONCATENATE(F574,"*(",F572,")")</f>
        <v>500*(400)</v>
      </c>
      <c r="F581" s="573">
        <f>F574*(F572 )</f>
        <v>200000</v>
      </c>
      <c r="G581" s="216" t="s">
        <v>679</v>
      </c>
    </row>
    <row r="582" spans="1:14" x14ac:dyDescent="0.25">
      <c r="A582" s="6"/>
      <c r="B582" s="569" t="s">
        <v>1245</v>
      </c>
      <c r="C582" s="5"/>
      <c r="D582" s="6"/>
      <c r="E582" s="19" t="str">
        <f>CONCATENATE(intro!$J$85,"*",F577)</f>
        <v>9.33*1085.38461538462</v>
      </c>
      <c r="F582" s="570">
        <f>intro!$J$85*F577</f>
        <v>10126.638461538463</v>
      </c>
      <c r="G582" s="216" t="s">
        <v>679</v>
      </c>
    </row>
    <row r="583" spans="1:14" ht="26.25" x14ac:dyDescent="0.25">
      <c r="A583" s="6"/>
      <c r="B583" s="569" t="s">
        <v>1246</v>
      </c>
      <c r="C583" s="5"/>
      <c r="D583" s="6"/>
      <c r="E583" s="19" t="str">
        <f>CONCATENATE("(",F579,"+",F580,")/(",F581,"+",F582,")")</f>
        <v>(31506250+3594956.654)/(200000+10126.6384615385)</v>
      </c>
      <c r="F583" s="574">
        <f>(F579+F580)/(F581+F582)</f>
        <v>167.04786651990779</v>
      </c>
      <c r="G583" s="216" t="s">
        <v>202</v>
      </c>
    </row>
    <row r="584" spans="1:14" x14ac:dyDescent="0.25">
      <c r="A584" s="6"/>
      <c r="B584" s="20"/>
      <c r="C584" s="5"/>
      <c r="D584" s="6"/>
      <c r="E584" s="19"/>
      <c r="F584" s="13"/>
    </row>
    <row r="585" spans="1:14" ht="18" x14ac:dyDescent="0.25">
      <c r="A585" s="6"/>
      <c r="B585" s="569" t="s">
        <v>1247</v>
      </c>
      <c r="C585" s="5"/>
      <c r="D585" s="6"/>
      <c r="E585" s="19" t="str">
        <f>CONCATENATE(F574,"*POWER((",F572,"),3)/12")</f>
        <v>500*POWER((400),3)/12</v>
      </c>
      <c r="F585" s="573">
        <f>ROUND(F574*POWER((F572),3)/12,3)</f>
        <v>2666666666.6669998</v>
      </c>
      <c r="G585" s="216" t="s">
        <v>1242</v>
      </c>
      <c r="K585" s="10" t="s">
        <v>1713</v>
      </c>
      <c r="N585" s="10" t="s">
        <v>1714</v>
      </c>
    </row>
    <row r="586" spans="1:14" ht="26.25" x14ac:dyDescent="0.25">
      <c r="A586" s="6"/>
      <c r="B586" s="569" t="s">
        <v>1250</v>
      </c>
      <c r="C586" s="5"/>
      <c r="D586" s="6"/>
      <c r="E586" s="19" t="str">
        <f>CONCATENATE(F574,"*(",F572,")*POWER((",F583,"-(",F572,")/2),2)")</f>
        <v>500*(400)*POWER((167.047866519908-(400)/2),2)</v>
      </c>
      <c r="F586" s="573">
        <f>ROUND(F574*(F572)*POWER((F583-(F572)/2),2),2)</f>
        <v>217168620.18000001</v>
      </c>
      <c r="G586" s="216" t="s">
        <v>1242</v>
      </c>
    </row>
    <row r="587" spans="1:14" ht="26.25" x14ac:dyDescent="0.25">
      <c r="A587" s="6"/>
      <c r="B587" s="569" t="s">
        <v>1248</v>
      </c>
      <c r="C587" s="5"/>
      <c r="D587" s="6"/>
      <c r="E587" s="19" t="str">
        <f>CONCATENATE(intro!$J$85,"*",F577,"*POWER((",F572,"-60-",F583,"),2)")</f>
        <v>9.33*1085.38461538462*POWER((400-60-167.047866519908),2)</v>
      </c>
      <c r="F587" s="573">
        <f>ROUND(intro!$J$85*F577*POWER((F572-60-F583),2),2)</f>
        <v>302912470.19999999</v>
      </c>
      <c r="G587" s="216" t="s">
        <v>1242</v>
      </c>
      <c r="K587" s="10">
        <v>6</v>
      </c>
      <c r="L587" s="10" t="s">
        <v>1925</v>
      </c>
      <c r="M587" s="10" t="s">
        <v>1926</v>
      </c>
      <c r="N587" s="10">
        <v>12</v>
      </c>
    </row>
    <row r="588" spans="1:14" ht="26.25" x14ac:dyDescent="0.25">
      <c r="A588" s="6"/>
      <c r="B588" s="569" t="s">
        <v>1249</v>
      </c>
      <c r="C588" s="5"/>
      <c r="D588" s="6"/>
      <c r="E588" s="19" t="str">
        <f>CONCATENATE(F585,"+",F586,"+",F587)</f>
        <v>2666666666.667+217168620.18+302912470.2</v>
      </c>
      <c r="F588" s="573">
        <f>F585+F586+F587</f>
        <v>3186747757.0469995</v>
      </c>
      <c r="G588" s="216" t="s">
        <v>1242</v>
      </c>
      <c r="K588" s="10">
        <v>8</v>
      </c>
      <c r="L588" s="10" t="s">
        <v>1878</v>
      </c>
      <c r="M588" s="10" t="s">
        <v>1885</v>
      </c>
      <c r="N588" s="10">
        <v>16</v>
      </c>
    </row>
    <row r="589" spans="1:14" x14ac:dyDescent="0.25">
      <c r="A589" s="6"/>
      <c r="B589" s="569" t="s">
        <v>1251</v>
      </c>
      <c r="C589" s="5"/>
      <c r="D589" s="6"/>
      <c r="E589" s="19" t="str">
        <f>CONCATENATE(F572,"*",F574,"+",intro!$J$85,"*",F577)</f>
        <v>400*500+9.33*1085.38461538462</v>
      </c>
      <c r="F589" s="573">
        <f>F572*F574+intro!$J$85*F577</f>
        <v>210126.63846153847</v>
      </c>
      <c r="G589" s="216" t="s">
        <v>679</v>
      </c>
      <c r="K589" s="10">
        <v>10</v>
      </c>
      <c r="L589" s="10" t="s">
        <v>1879</v>
      </c>
      <c r="M589" s="10" t="s">
        <v>1886</v>
      </c>
      <c r="N589" s="10">
        <v>20</v>
      </c>
    </row>
    <row r="590" spans="1:14" ht="27" x14ac:dyDescent="0.3">
      <c r="A590" s="6"/>
      <c r="B590" s="569" t="s">
        <v>1279</v>
      </c>
      <c r="C590" s="5" t="s">
        <v>1278</v>
      </c>
      <c r="D590" s="6"/>
      <c r="E590" s="19" t="str">
        <f>CONCATENATE("(",F570,"*10000)/(",F589,"*",intro!$J$63,")")</f>
        <v>(28.22*10000)/(210126.638461538*1.5)</v>
      </c>
      <c r="F590" s="575">
        <f>ROUND((F570*10000)/(F589*intro!$J$63),3)</f>
        <v>0.89500000000000002</v>
      </c>
      <c r="G590" s="216"/>
      <c r="K590" s="10">
        <v>12</v>
      </c>
      <c r="L590" s="10" t="s">
        <v>1880</v>
      </c>
      <c r="M590" s="10" t="s">
        <v>1887</v>
      </c>
      <c r="N590" s="10">
        <v>25</v>
      </c>
    </row>
    <row r="591" spans="1:14" ht="39.75" x14ac:dyDescent="0.3">
      <c r="A591" s="6"/>
      <c r="B591" s="569" t="s">
        <v>1280</v>
      </c>
      <c r="C591" s="5" t="s">
        <v>1281</v>
      </c>
      <c r="D591" s="6"/>
      <c r="E591" s="19" t="str">
        <f>CONCATENATE("(",F571,"*10000000)*(",F572,"-",F583,")/(",F588,"*2)")</f>
        <v>(0*10000000)*(400-167.047866519908)/(3186747757.047*2)</v>
      </c>
      <c r="F591" s="575">
        <f>(F571*10000000)*(F572-F583)/(F588*2)</f>
        <v>0</v>
      </c>
      <c r="G591" s="216"/>
      <c r="K591" s="10">
        <v>14</v>
      </c>
      <c r="L591" s="10" t="s">
        <v>1881</v>
      </c>
      <c r="M591" s="10" t="s">
        <v>1888</v>
      </c>
      <c r="N591" s="10">
        <v>32</v>
      </c>
    </row>
    <row r="592" spans="1:14" ht="20.25" x14ac:dyDescent="0.3">
      <c r="A592" s="6"/>
      <c r="B592" s="569" t="s">
        <v>1282</v>
      </c>
      <c r="C592" s="5"/>
      <c r="D592" s="6"/>
      <c r="E592" s="19" t="str">
        <f>CONCATENATE(F590,"+",F591)</f>
        <v>0.895+0</v>
      </c>
      <c r="F592" s="575">
        <f>ROUND(F590+F591,3)</f>
        <v>0.89500000000000002</v>
      </c>
      <c r="G592" s="576" t="str">
        <f>IF(F592&lt;1,"ok","revise")</f>
        <v>ok</v>
      </c>
      <c r="K592" s="10">
        <v>16</v>
      </c>
      <c r="L592" s="10" t="s">
        <v>1882</v>
      </c>
      <c r="M592" s="10" t="s">
        <v>1889</v>
      </c>
    </row>
    <row r="593" spans="1:14" x14ac:dyDescent="0.25">
      <c r="A593" s="6"/>
      <c r="B593" s="633" t="s">
        <v>1252</v>
      </c>
      <c r="C593" s="5"/>
      <c r="D593" s="6"/>
      <c r="E593" s="19"/>
      <c r="F593" s="569"/>
      <c r="G593" s="216"/>
      <c r="K593" s="10">
        <v>18</v>
      </c>
      <c r="L593" s="10" t="s">
        <v>1883</v>
      </c>
      <c r="M593" s="10" t="s">
        <v>1890</v>
      </c>
    </row>
    <row r="594" spans="1:14" x14ac:dyDescent="0.25">
      <c r="A594" s="6"/>
      <c r="B594" s="643">
        <f>$F$577</f>
        <v>1085.3846153846155</v>
      </c>
      <c r="C594" s="5"/>
      <c r="D594" s="6"/>
      <c r="E594" s="19"/>
      <c r="F594" s="569"/>
      <c r="G594" s="216"/>
      <c r="K594" s="10">
        <v>20</v>
      </c>
      <c r="L594" s="10" t="s">
        <v>1884</v>
      </c>
      <c r="M594" s="10" t="s">
        <v>1891</v>
      </c>
    </row>
    <row r="595" spans="1:14" x14ac:dyDescent="0.25">
      <c r="A595" s="6"/>
      <c r="B595" s="20"/>
      <c r="C595" s="569" t="s">
        <v>332</v>
      </c>
      <c r="D595" s="569" t="s">
        <v>1253</v>
      </c>
      <c r="E595" s="10"/>
    </row>
    <row r="596" spans="1:14" x14ac:dyDescent="0.25">
      <c r="A596" s="6"/>
      <c r="B596" s="20"/>
      <c r="C596" s="298"/>
      <c r="D596" s="298"/>
      <c r="E596" s="13"/>
      <c r="F596" s="10"/>
      <c r="G596" s="10"/>
    </row>
    <row r="597" spans="1:14" x14ac:dyDescent="0.25">
      <c r="A597" s="6"/>
      <c r="B597" s="20"/>
      <c r="C597" s="298"/>
      <c r="D597" s="298"/>
      <c r="E597" s="13"/>
      <c r="F597" s="570"/>
    </row>
    <row r="598" spans="1:14" x14ac:dyDescent="0.25">
      <c r="A598" s="6"/>
      <c r="B598" s="298" t="s">
        <v>235</v>
      </c>
      <c r="C598" s="298">
        <v>8</v>
      </c>
      <c r="D598" s="598">
        <v>20</v>
      </c>
      <c r="E598" s="13">
        <f>C598*(22/7)*D598^2/4</f>
        <v>2514.2857142857142</v>
      </c>
      <c r="F598" s="570">
        <f>E598</f>
        <v>2514.2857142857142</v>
      </c>
      <c r="G598" s="3" t="str">
        <f>IF(F598&gt;F578,"ok","revise")</f>
        <v>ok</v>
      </c>
      <c r="H598" s="576" t="str">
        <f>IF(F598&gt;F577,"ok","revise")</f>
        <v>ok</v>
      </c>
    </row>
    <row r="599" spans="1:14" ht="15.75" hidden="1" customHeight="1" x14ac:dyDescent="0.25">
      <c r="A599" s="6"/>
      <c r="L599" s="144"/>
      <c r="M599" s="652"/>
      <c r="N599" s="150"/>
    </row>
    <row r="600" spans="1:14" ht="15.75" hidden="1" customHeight="1" x14ac:dyDescent="0.25">
      <c r="A600" s="6"/>
      <c r="B600" s="298"/>
      <c r="C600" s="298"/>
      <c r="D600" s="598"/>
      <c r="E600" s="599"/>
      <c r="F600" s="3" t="s">
        <v>235</v>
      </c>
      <c r="L600" s="144"/>
      <c r="M600" s="652"/>
      <c r="N600" s="150"/>
    </row>
    <row r="601" spans="1:14" ht="15.75" hidden="1" customHeight="1" x14ac:dyDescent="0.25">
      <c r="A601" s="6"/>
      <c r="B601" s="298"/>
      <c r="C601" s="298"/>
      <c r="D601" s="298"/>
      <c r="E601" s="298"/>
      <c r="F601" s="22"/>
      <c r="G601" s="10"/>
      <c r="K601" s="10">
        <v>50</v>
      </c>
      <c r="L601" s="144"/>
      <c r="M601" s="652"/>
      <c r="N601" s="150"/>
    </row>
    <row r="602" spans="1:14" ht="15.75" hidden="1" customHeight="1" x14ac:dyDescent="0.25">
      <c r="A602" s="6"/>
      <c r="B602" s="298" t="s">
        <v>383</v>
      </c>
      <c r="C602" s="298"/>
      <c r="D602" s="298"/>
      <c r="E602" s="298"/>
      <c r="F602" s="53">
        <f>2*10^5</f>
        <v>200000</v>
      </c>
      <c r="G602" s="10"/>
      <c r="L602" s="144"/>
      <c r="M602" s="652"/>
      <c r="N602" s="150"/>
    </row>
    <row r="603" spans="1:14" ht="15.75" hidden="1" customHeight="1" x14ac:dyDescent="0.25">
      <c r="A603" s="6"/>
      <c r="B603" s="298" t="s">
        <v>486</v>
      </c>
      <c r="C603" s="298" t="s">
        <v>487</v>
      </c>
      <c r="D603" s="1169" t="str">
        <f>"(("&amp;F570&amp;"*10^4)/("&amp;2*F598&amp;"*"&amp;F602&amp;"))"</f>
        <v>((28.22*10^4)/(5028.57142857143*200000))</v>
      </c>
      <c r="E603" s="1170"/>
      <c r="F603" s="130">
        <f>ROUND(((F570*10^4)/(2*F598*F602)),6)</f>
        <v>2.81E-4</v>
      </c>
      <c r="G603" s="182"/>
      <c r="I603" s="10" t="s">
        <v>684</v>
      </c>
      <c r="L603" s="144"/>
      <c r="M603" s="652"/>
      <c r="N603" s="150"/>
    </row>
    <row r="604" spans="1:14" ht="15.75" hidden="1" customHeight="1" x14ac:dyDescent="0.25">
      <c r="A604" s="6"/>
      <c r="B604" s="298" t="s">
        <v>488</v>
      </c>
      <c r="C604" s="298" t="s">
        <v>489</v>
      </c>
      <c r="D604" s="1169" t="str">
        <f>"((2*"&amp;D554&amp;"*"&amp;E554&amp;")/(3*"&amp;F602&amp;"*"&amp;2*F598&amp;"))"</f>
        <v>((2*400*500)/(3*200000*5028.57142857143))</v>
      </c>
      <c r="E604" s="1170"/>
      <c r="F604" s="129">
        <f>ROUND(((2*D554*E554)/(3*F602*F598*2)),6)</f>
        <v>1.3300000000000001E-4</v>
      </c>
      <c r="G604" s="10"/>
      <c r="K604" s="10" t="e">
        <f>(D554-2*K601)/(#REF!-1)</f>
        <v>#REF!</v>
      </c>
      <c r="L604" s="144"/>
      <c r="M604" s="652"/>
      <c r="N604" s="150"/>
    </row>
    <row r="605" spans="1:14" ht="15.75" hidden="1" customHeight="1" x14ac:dyDescent="0.25">
      <c r="A605" s="6"/>
      <c r="B605" s="298" t="s">
        <v>491</v>
      </c>
      <c r="C605" s="298" t="s">
        <v>490</v>
      </c>
      <c r="D605" s="1169" t="str">
        <f>"("&amp;F603&amp;"-"&amp;F604&amp;")"</f>
        <v>(0.000281-0.000133)</v>
      </c>
      <c r="E605" s="1170"/>
      <c r="F605" s="130">
        <f>F603-F604</f>
        <v>1.4799999999999999E-4</v>
      </c>
      <c r="G605" s="10"/>
      <c r="L605" s="144"/>
      <c r="M605" s="652"/>
      <c r="N605" s="150"/>
    </row>
    <row r="606" spans="1:14" ht="18.75" hidden="1" customHeight="1" x14ac:dyDescent="0.35">
      <c r="A606" s="6"/>
      <c r="B606" s="298" t="s">
        <v>402</v>
      </c>
      <c r="C606" s="298" t="s">
        <v>236</v>
      </c>
      <c r="D606" s="1169" t="str">
        <f>"(((SQRT((120)^2+50^2)),2))"</f>
        <v>(((SQRT((120)^2+50^2)),2))</v>
      </c>
      <c r="E606" s="1170"/>
      <c r="F606" s="131">
        <f>((SQRT((120)^2+50^2)))</f>
        <v>130</v>
      </c>
      <c r="G606" s="10"/>
      <c r="L606" s="144"/>
      <c r="M606" s="652"/>
      <c r="N606" s="150"/>
    </row>
    <row r="607" spans="1:14" ht="15.75" hidden="1" customHeight="1" x14ac:dyDescent="0.25">
      <c r="A607" s="6"/>
      <c r="B607" s="298" t="s">
        <v>492</v>
      </c>
      <c r="C607" s="298"/>
      <c r="D607" s="298"/>
      <c r="E607" s="298"/>
      <c r="F607" s="130">
        <f>3*F606*F605</f>
        <v>5.772E-2</v>
      </c>
      <c r="G607" s="10"/>
      <c r="L607" s="144"/>
      <c r="M607" s="652"/>
      <c r="N607" s="150"/>
    </row>
    <row r="608" spans="1:14" ht="15.75" hidden="1" customHeight="1" x14ac:dyDescent="0.25">
      <c r="A608" s="6"/>
      <c r="B608" s="298"/>
      <c r="C608" s="298"/>
      <c r="D608" s="298"/>
      <c r="E608" s="298"/>
      <c r="F608" s="3" t="str">
        <f>IF(F607&lt;0.2,"ok","rev")</f>
        <v>ok</v>
      </c>
      <c r="G608" s="10"/>
      <c r="J608" s="10" t="str">
        <f>intro!$J$63</f>
        <v>1.5</v>
      </c>
      <c r="L608" s="144"/>
      <c r="M608" s="653"/>
      <c r="N608" s="150"/>
    </row>
    <row r="609" spans="1:13" ht="15.75" hidden="1" customHeight="1" x14ac:dyDescent="0.25">
      <c r="A609" s="6"/>
      <c r="B609" s="9"/>
      <c r="C609" s="5"/>
      <c r="D609" s="38"/>
      <c r="E609" s="39"/>
      <c r="F609" s="22"/>
      <c r="G609" s="10"/>
      <c r="M609" s="152"/>
    </row>
    <row r="610" spans="1:13" ht="30.75" customHeight="1" x14ac:dyDescent="0.25">
      <c r="A610" s="6"/>
      <c r="B610" s="20" t="s">
        <v>141</v>
      </c>
      <c r="C610" s="5" t="s">
        <v>114</v>
      </c>
      <c r="D610" s="6"/>
      <c r="E610" s="19" t="str">
        <f>"("&amp;ROUND(F570,3)&amp;"*10^4/("&amp;Calculation!D90&amp;"*"&amp;Calculation!D91&amp;"+"&amp;Calculation!F46&amp;"*"&amp;ROUND(2*F598,3)&amp;"))"</f>
        <v>(28.22*10^4/(400*500+8.33*5028.571))</v>
      </c>
      <c r="F610" s="13">
        <f>F570*10^4/(Calculation!D90*Calculation!D91+Calculation!F46*F598*2)</f>
        <v>1.166655642280725</v>
      </c>
      <c r="G610" s="3" t="s">
        <v>116</v>
      </c>
      <c r="H610" s="10" t="str">
        <f>IF(F610&lt;intro!$J$63,"ok","rev")</f>
        <v>ok</v>
      </c>
    </row>
    <row r="611" spans="1:13" ht="30.75" customHeight="1" x14ac:dyDescent="0.25">
      <c r="A611" s="6"/>
      <c r="B611" s="12" t="s">
        <v>1126</v>
      </c>
      <c r="C611" s="505"/>
      <c r="D611" s="6"/>
      <c r="E611" s="19" t="s">
        <v>1127</v>
      </c>
      <c r="F611" s="13">
        <f>ABS(ROUND('cont ana'!D341,2))</f>
        <v>163.19</v>
      </c>
      <c r="G611" s="3" t="s">
        <v>1123</v>
      </c>
    </row>
    <row r="612" spans="1:13" ht="26.25" x14ac:dyDescent="0.25">
      <c r="A612" s="6"/>
      <c r="B612" s="12" t="s">
        <v>2100</v>
      </c>
      <c r="C612" s="1040" t="str">
        <f>CONCATENATE("SQRT(",F611,"/1000*1000/",intro!J109,")")</f>
        <v>SQRT(163.19/1000*1000/0.33)</v>
      </c>
      <c r="D612" s="1045">
        <f>ROUND(SQRT(F611/1000*1000/intro!J109),2)</f>
        <v>22.24</v>
      </c>
      <c r="E612" s="1046" t="str">
        <f>IF(D90&gt;D612,"Hence OK","Change the thickness")</f>
        <v>Hence OK</v>
      </c>
      <c r="F612" s="23" t="str">
        <f>IF(F610&gt;1.3,"REVISES THKNESS","OK")</f>
        <v>OK</v>
      </c>
    </row>
    <row r="613" spans="1:13" ht="27" x14ac:dyDescent="0.3">
      <c r="A613" s="6"/>
      <c r="B613" s="170" t="s">
        <v>318</v>
      </c>
      <c r="C613" s="6" t="s">
        <v>303</v>
      </c>
      <c r="D613" s="6"/>
      <c r="E613" s="6"/>
      <c r="F613" s="25">
        <f>22/7*B323*F562</f>
        <v>40.897999999999996</v>
      </c>
      <c r="G613" s="3" t="s">
        <v>229</v>
      </c>
    </row>
    <row r="614" spans="1:13" ht="26.25" x14ac:dyDescent="0.25">
      <c r="A614" s="36" t="s">
        <v>143</v>
      </c>
      <c r="B614" s="37" t="s">
        <v>161</v>
      </c>
      <c r="C614" s="36"/>
      <c r="D614" s="19" t="s">
        <v>258</v>
      </c>
      <c r="E614" s="15" t="str">
        <f>"(("&amp;Calculation!F86&amp;"-"&amp;Calculation!E96&amp;"*2)*0.5)"</f>
        <v>((9.1-3.55*2)*0.5)</v>
      </c>
      <c r="F614" s="3">
        <f>(Calculation!F86-Calculation!E96*2)*0.5</f>
        <v>1</v>
      </c>
      <c r="G614" s="3" t="s">
        <v>74</v>
      </c>
    </row>
    <row r="615" spans="1:13" x14ac:dyDescent="0.25">
      <c r="A615" s="6"/>
      <c r="B615" s="12"/>
      <c r="C615" s="5"/>
      <c r="D615" s="6"/>
      <c r="E615" s="6"/>
    </row>
    <row r="616" spans="1:13" ht="32.25" customHeight="1" x14ac:dyDescent="0.25">
      <c r="A616" s="6"/>
      <c r="B616" s="20" t="s">
        <v>145</v>
      </c>
      <c r="C616" s="5"/>
      <c r="D616" s="6"/>
      <c r="E616" s="6" t="str">
        <f>"("&amp;Calculation!F65&amp;"+"&amp;Calculation!F61&amp;")/2"</f>
        <v>(9.1+7.1)/2</v>
      </c>
      <c r="F616" s="3">
        <f>(Calculation!F65+Calculation!F61)/2</f>
        <v>8.1</v>
      </c>
      <c r="G616" s="3" t="s">
        <v>110</v>
      </c>
    </row>
    <row r="617" spans="1:13" x14ac:dyDescent="0.25">
      <c r="A617" s="6"/>
      <c r="B617" s="12"/>
      <c r="C617" s="5"/>
      <c r="D617" s="6"/>
      <c r="E617" s="6"/>
    </row>
    <row r="618" spans="1:13" x14ac:dyDescent="0.25">
      <c r="A618" s="6"/>
      <c r="B618" s="20" t="s">
        <v>146</v>
      </c>
      <c r="C618" s="5"/>
      <c r="D618" s="6"/>
      <c r="E618" s="6" t="str">
        <f>"("&amp;ROUND(Calculation!F88,2)&amp;"-"&amp;ROUND(Calculation!B93,2)&amp;"/2)"</f>
        <v>(4.65-1/2)</v>
      </c>
      <c r="F618" s="3">
        <f>Calculation!F88-Calculation!B93/2</f>
        <v>4.1500000000000004</v>
      </c>
      <c r="G618" s="3" t="s">
        <v>110</v>
      </c>
    </row>
    <row r="619" spans="1:13" x14ac:dyDescent="0.25">
      <c r="A619" s="6"/>
      <c r="B619" s="12"/>
      <c r="C619" s="5"/>
      <c r="D619" s="6"/>
      <c r="E619" s="6"/>
    </row>
    <row r="620" spans="1:13" ht="46.5" customHeight="1" x14ac:dyDescent="0.25">
      <c r="A620" s="6"/>
      <c r="B620" s="20" t="s">
        <v>148</v>
      </c>
      <c r="C620" s="5"/>
      <c r="D620" s="179"/>
      <c r="E620" s="6" t="str">
        <f>"("&amp;F614&amp;"*(22/7)*"&amp;F616&amp;"*"&amp;ROUND(F618,2)&amp;")"</f>
        <v>(1*(22/7)*8.1*4.15)</v>
      </c>
      <c r="F620" s="13">
        <f>F614*(22/7)*F616*F618</f>
        <v>105.64714285714285</v>
      </c>
      <c r="G620" s="3" t="s">
        <v>117</v>
      </c>
    </row>
    <row r="621" spans="1:13" x14ac:dyDescent="0.25">
      <c r="A621" s="6"/>
      <c r="B621" s="12"/>
      <c r="C621" s="5"/>
      <c r="D621" s="6"/>
      <c r="E621" s="6"/>
    </row>
    <row r="622" spans="1:13" x14ac:dyDescent="0.25">
      <c r="A622" s="6"/>
      <c r="B622" s="12" t="s">
        <v>144</v>
      </c>
      <c r="C622" s="5"/>
      <c r="D622" s="6"/>
      <c r="E622" s="19" t="str">
        <f>"((22/7)*"&amp;F616&amp;"*"&amp;ROUND(Calculation!B95,3)&amp;"*"&amp;Calculation!C94&amp;"*"&amp;Calculation!F44&amp;")"</f>
        <v>((22/7)*8.1*1.414*0.35*2.4)</v>
      </c>
      <c r="F622" s="13">
        <f>(22/7)*F616*Calculation!B95*Calculation!C94*Calculation!F44</f>
        <v>30.241542817786261</v>
      </c>
      <c r="G622" s="3" t="s">
        <v>117</v>
      </c>
      <c r="L622" s="182"/>
    </row>
    <row r="623" spans="1:13" x14ac:dyDescent="0.25">
      <c r="A623" s="6"/>
      <c r="B623" s="12"/>
      <c r="C623" s="5"/>
      <c r="D623" s="6"/>
      <c r="E623" s="6"/>
    </row>
    <row r="624" spans="1:13" ht="75.75" customHeight="1" x14ac:dyDescent="0.25">
      <c r="A624" s="271"/>
      <c r="B624" s="272" t="s">
        <v>147</v>
      </c>
      <c r="C624" s="273"/>
      <c r="D624" s="271"/>
      <c r="E624" s="271" t="str">
        <f>"("&amp;ROUND(F564,3)&amp;"*(22/7)*"&amp;Calculation!F65&amp;")"</f>
        <v>(4.612*(22/7)*9.1)</v>
      </c>
      <c r="F624" s="274">
        <f>F564*(22/7)*Calculation!F65</f>
        <v>131.91008080625727</v>
      </c>
      <c r="G624" s="271" t="s">
        <v>117</v>
      </c>
      <c r="H624" s="216"/>
    </row>
    <row r="625" spans="1:10" x14ac:dyDescent="0.25">
      <c r="A625" s="271"/>
      <c r="B625" s="275"/>
      <c r="C625" s="273"/>
      <c r="D625" s="271"/>
      <c r="E625" s="271"/>
      <c r="F625" s="271"/>
      <c r="G625" s="271"/>
      <c r="H625" s="216"/>
    </row>
    <row r="626" spans="1:10" ht="43.5" x14ac:dyDescent="0.25">
      <c r="A626" s="271"/>
      <c r="B626" s="272" t="s">
        <v>149</v>
      </c>
      <c r="C626" s="273"/>
      <c r="D626" s="271">
        <f>Calculation!$F$61</f>
        <v>7.1</v>
      </c>
      <c r="E626" s="271"/>
      <c r="F626" s="274">
        <f>SUM(F620:F625)</f>
        <v>267.79876648118636</v>
      </c>
      <c r="G626" s="271" t="s">
        <v>117</v>
      </c>
      <c r="H626" s="216"/>
    </row>
    <row r="627" spans="1:10" x14ac:dyDescent="0.25">
      <c r="A627" s="271"/>
      <c r="B627" s="275"/>
      <c r="C627" s="273"/>
      <c r="D627" s="271"/>
      <c r="E627" s="271"/>
      <c r="F627" s="271"/>
      <c r="G627" s="271"/>
      <c r="H627" s="216"/>
    </row>
    <row r="628" spans="1:10" ht="17.25" x14ac:dyDescent="0.3">
      <c r="A628" s="271"/>
      <c r="B628" s="275" t="s">
        <v>150</v>
      </c>
      <c r="C628" s="273" t="s">
        <v>661</v>
      </c>
      <c r="D628" s="271"/>
      <c r="E628" s="271" t="str">
        <f>"("&amp;ROUND(F626,1)&amp;"/(22/7)/"&amp;Calculation!F61&amp;")"</f>
        <v>(267.8/(22/7)/7.1)</v>
      </c>
      <c r="F628" s="276">
        <f>F626/(22/7)/Calculation!$F$61</f>
        <v>12.001225130398877</v>
      </c>
      <c r="G628" s="271" t="s">
        <v>230</v>
      </c>
      <c r="H628" s="216"/>
    </row>
    <row r="629" spans="1:10" x14ac:dyDescent="0.25">
      <c r="A629" s="271"/>
      <c r="B629" s="275"/>
      <c r="C629" s="273"/>
      <c r="D629" s="271"/>
      <c r="E629" s="271"/>
      <c r="F629" s="271"/>
      <c r="G629" s="271"/>
      <c r="H629" s="216"/>
    </row>
    <row r="630" spans="1:10" ht="30.75" customHeight="1" x14ac:dyDescent="0.3">
      <c r="A630" s="277" t="s">
        <v>13</v>
      </c>
      <c r="B630" s="272" t="s">
        <v>89</v>
      </c>
      <c r="C630" s="273" t="s">
        <v>662</v>
      </c>
      <c r="D630" s="271" t="s">
        <v>663</v>
      </c>
      <c r="E630" s="278" t="str">
        <f>"("&amp;ROUND(F628,3)&amp;"*1/(SIN(RADIANS("&amp;ROUND(Calculation!F135,3)&amp;"))))"</f>
        <v>(12.001*1/(SIN(RADIANS(45.023))))</v>
      </c>
      <c r="F630" s="274">
        <f>F628*1/(SIN(RADIANS(Calculation!F135)))</f>
        <v>16.965538208259108</v>
      </c>
      <c r="G630" s="271" t="s">
        <v>91</v>
      </c>
      <c r="H630" s="216"/>
    </row>
    <row r="631" spans="1:10" x14ac:dyDescent="0.25">
      <c r="A631" s="279"/>
      <c r="B631" s="275"/>
      <c r="C631" s="273"/>
      <c r="D631" s="271"/>
      <c r="E631" s="271"/>
      <c r="F631" s="271"/>
      <c r="G631" s="271"/>
      <c r="H631" s="216"/>
    </row>
    <row r="632" spans="1:10" ht="38.25" customHeight="1" x14ac:dyDescent="0.3">
      <c r="A632" s="277" t="s">
        <v>13</v>
      </c>
      <c r="B632" s="272" t="s">
        <v>94</v>
      </c>
      <c r="C632" s="273" t="s">
        <v>664</v>
      </c>
      <c r="D632" s="271"/>
      <c r="E632" s="278" t="str">
        <f>"("&amp;ROUND(F630,3)&amp;"*10^4/1000/("&amp;Calculation!C94&amp;"*1000))"</f>
        <v>(16.966*10^4/1000/(0.35*1000))</v>
      </c>
      <c r="F632" s="274">
        <f>F630*10^4/1000/(Calculation!C94*1000)</f>
        <v>0.48472966309311744</v>
      </c>
      <c r="G632" s="271" t="s">
        <v>665</v>
      </c>
      <c r="H632" s="216"/>
      <c r="J632" s="182"/>
    </row>
    <row r="633" spans="1:10" x14ac:dyDescent="0.25">
      <c r="A633" s="279"/>
      <c r="B633" s="275"/>
      <c r="C633" s="273"/>
      <c r="D633" s="271"/>
      <c r="E633" s="271"/>
      <c r="F633" s="280" t="str">
        <f>IF(F632&gt;5,"REVISES THKNESS","OK")</f>
        <v>OK</v>
      </c>
      <c r="G633" s="271"/>
      <c r="H633" s="216"/>
    </row>
    <row r="634" spans="1:10" ht="53.25" customHeight="1" x14ac:dyDescent="0.25">
      <c r="A634" s="277" t="s">
        <v>13</v>
      </c>
      <c r="B634" s="272" t="s">
        <v>152</v>
      </c>
      <c r="C634" s="273" t="s">
        <v>103</v>
      </c>
      <c r="D634" s="278" t="s">
        <v>153</v>
      </c>
      <c r="E634" s="278" t="str">
        <f>"(("&amp;ROUND(Calculation!F147,2)&amp;"/SIN(RADIANS("&amp;ROUND(Calculation!F135,3)&amp;"))+"&amp;Calculation!C152&amp;"/tan(RADIANS("&amp;ROUND(Calculation!F135,3)&amp;")))*"&amp;Calculation!F65&amp;"/2)"</f>
        <v>((3.65/SIN(RADIANS(45.023))+0.84/tan(RADIANS(45.023)))*9.1/2)</v>
      </c>
      <c r="F634" s="271">
        <f>(Calculation!F147/SIN(RADIANS(Calculation!F135))+Calculation!C152/TAN(RADIANS(Calculation!F135)))*Calculation!F65/2</f>
        <v>27.296157204415042</v>
      </c>
      <c r="G634" s="271" t="s">
        <v>117</v>
      </c>
      <c r="H634" s="216"/>
    </row>
    <row r="635" spans="1:10" ht="28.5" customHeight="1" x14ac:dyDescent="0.25">
      <c r="A635" s="277"/>
      <c r="B635" s="272"/>
      <c r="C635" s="273"/>
      <c r="D635" s="278"/>
      <c r="E635" s="278"/>
      <c r="F635" s="271"/>
      <c r="G635" s="271"/>
      <c r="H635" s="216"/>
    </row>
    <row r="636" spans="1:10" ht="28.5" customHeight="1" x14ac:dyDescent="0.25">
      <c r="A636" s="277" t="s">
        <v>13</v>
      </c>
      <c r="B636" s="272" t="s">
        <v>1128</v>
      </c>
      <c r="C636" s="273"/>
      <c r="D636" s="278"/>
      <c r="E636" s="278"/>
      <c r="F636" s="271">
        <f>MAX('cont ana'!F518,'cont ana'!F342)/10000</f>
        <v>30.57961323</v>
      </c>
      <c r="G636" s="271" t="s">
        <v>117</v>
      </c>
      <c r="H636" s="216"/>
    </row>
    <row r="637" spans="1:10" ht="28.5" customHeight="1" x14ac:dyDescent="0.25">
      <c r="A637" s="277"/>
      <c r="B637" s="272" t="s">
        <v>1129</v>
      </c>
      <c r="C637" s="273"/>
      <c r="D637" s="278"/>
      <c r="E637" s="278"/>
      <c r="F637" s="271">
        <f>MAX(F634:F636)</f>
        <v>30.57961323</v>
      </c>
      <c r="G637" s="271" t="s">
        <v>117</v>
      </c>
      <c r="H637" s="216"/>
    </row>
    <row r="638" spans="1:10" ht="28.5" customHeight="1" x14ac:dyDescent="0.25">
      <c r="A638" s="277"/>
      <c r="B638" s="20" t="s">
        <v>310</v>
      </c>
      <c r="C638" s="5"/>
      <c r="D638" s="6"/>
      <c r="E638" s="19"/>
      <c r="F638" s="13">
        <v>0</v>
      </c>
      <c r="G638" s="3" t="s">
        <v>210</v>
      </c>
      <c r="H638" s="216"/>
    </row>
    <row r="639" spans="1:10" ht="28.5" customHeight="1" x14ac:dyDescent="0.25">
      <c r="A639" s="277"/>
      <c r="B639" s="20" t="s">
        <v>1234</v>
      </c>
      <c r="C639" s="5"/>
      <c r="D639" s="6"/>
      <c r="E639" s="19"/>
      <c r="F639" s="13">
        <f>C94*1000</f>
        <v>350</v>
      </c>
      <c r="G639" s="3" t="s">
        <v>202</v>
      </c>
      <c r="H639" s="216"/>
    </row>
    <row r="640" spans="1:10" ht="28.5" customHeight="1" x14ac:dyDescent="0.25">
      <c r="A640" s="277"/>
      <c r="B640" s="10" t="s">
        <v>1239</v>
      </c>
      <c r="C640" s="10"/>
      <c r="D640" s="10"/>
      <c r="E640" s="10"/>
      <c r="F640" s="571">
        <f>$F$49</f>
        <v>45</v>
      </c>
      <c r="G640" s="10" t="s">
        <v>202</v>
      </c>
      <c r="H640" s="216"/>
    </row>
    <row r="641" spans="1:12" ht="28.5" customHeight="1" x14ac:dyDescent="0.25">
      <c r="A641" s="277"/>
      <c r="B641" s="20" t="s">
        <v>1235</v>
      </c>
      <c r="C641" s="5"/>
      <c r="D641" s="6"/>
      <c r="E641" s="19"/>
      <c r="F641" s="13">
        <v>1000</v>
      </c>
      <c r="G641" s="3" t="s">
        <v>202</v>
      </c>
      <c r="H641" s="216"/>
    </row>
    <row r="642" spans="1:12" ht="28.5" customHeight="1" x14ac:dyDescent="0.25">
      <c r="A642" s="277"/>
      <c r="B642" s="569" t="s">
        <v>1283</v>
      </c>
      <c r="C642" s="5"/>
      <c r="D642" s="6"/>
      <c r="E642" s="19" t="str">
        <f>CONCATENATE(F639,"-",F640,"-10")</f>
        <v>350-45-10</v>
      </c>
      <c r="F642" s="13">
        <f>F639-F640-10</f>
        <v>295</v>
      </c>
      <c r="G642" s="3" t="s">
        <v>202</v>
      </c>
      <c r="H642" s="216"/>
    </row>
    <row r="643" spans="1:12" ht="28.5" customHeight="1" x14ac:dyDescent="0.25">
      <c r="A643" s="277"/>
      <c r="B643" s="569" t="s">
        <v>1277</v>
      </c>
      <c r="C643" s="5"/>
      <c r="D643" s="6"/>
      <c r="E643" s="19"/>
      <c r="F643" s="13">
        <f>intro!$J$74</f>
        <v>130</v>
      </c>
      <c r="G643" s="216" t="s">
        <v>260</v>
      </c>
      <c r="H643" s="216"/>
    </row>
    <row r="644" spans="1:12" ht="28.5" customHeight="1" x14ac:dyDescent="0.25">
      <c r="A644" s="277"/>
      <c r="B644" s="569" t="s">
        <v>1297</v>
      </c>
      <c r="C644" s="5"/>
      <c r="D644" s="6"/>
      <c r="E644" s="19" t="str">
        <f>CONCATENATE("(",F638,"*10^7)/(",F643,"*(",F642,"-",F640,"/10))+((",F637,"*10000)/(",F643,"*2))")</f>
        <v>(0*10^7)/(130*(295-45/10))+((30.57961323*10000)/(130*2))</v>
      </c>
      <c r="F644" s="13">
        <f>(F638*10^7)/(F643*(F642-F639/10))+((F637*10000)/(F643*2))</f>
        <v>1176.1389703846153</v>
      </c>
      <c r="G644" s="216" t="s">
        <v>679</v>
      </c>
      <c r="H644" s="216"/>
    </row>
    <row r="645" spans="1:12" ht="28.5" customHeight="1" x14ac:dyDescent="0.25">
      <c r="A645" s="277"/>
      <c r="B645" s="569" t="s">
        <v>1298</v>
      </c>
      <c r="C645" s="5"/>
      <c r="D645" s="6"/>
      <c r="E645" s="19"/>
      <c r="F645" s="572">
        <f>F644*2</f>
        <v>2352.2779407692306</v>
      </c>
      <c r="G645" s="216" t="s">
        <v>679</v>
      </c>
      <c r="H645" s="216"/>
    </row>
    <row r="646" spans="1:12" ht="28.5" customHeight="1" x14ac:dyDescent="0.25">
      <c r="A646" s="277"/>
      <c r="B646" s="569" t="s">
        <v>1241</v>
      </c>
      <c r="C646" s="5"/>
      <c r="D646" s="6"/>
      <c r="E646" s="19" t="str">
        <f>CONCATENATE(F641,"*(",F639,"-",F640,")*(",F639,"-",F640,")/2")</f>
        <v>1000*(350-45)*(350-45)/2</v>
      </c>
      <c r="F646" s="573">
        <f>ROUND(F641*(F639-F640)*(F639-F640)/2,2)</f>
        <v>46512500</v>
      </c>
      <c r="G646" s="216" t="s">
        <v>1242</v>
      </c>
      <c r="H646" s="216"/>
    </row>
    <row r="647" spans="1:12" ht="28.5" customHeight="1" x14ac:dyDescent="0.25">
      <c r="A647" s="277"/>
      <c r="B647" s="569" t="s">
        <v>1243</v>
      </c>
      <c r="C647" s="5"/>
      <c r="D647" s="6"/>
      <c r="E647" s="19" t="str">
        <f>CONCATENATE(intro!$J$85,"*",F644,"*(",F639,"-",F640,")")</f>
        <v>9.33*1176.13897038462*(350-45)</v>
      </c>
      <c r="F647" s="573">
        <f>ROUND(ABS(intro!$J$85*F644*(F639-F640)),3)</f>
        <v>3346879.861</v>
      </c>
      <c r="G647" s="216" t="s">
        <v>1242</v>
      </c>
      <c r="H647" s="216"/>
    </row>
    <row r="648" spans="1:12" ht="28.5" customHeight="1" x14ac:dyDescent="0.25">
      <c r="A648" s="277"/>
      <c r="B648" s="569" t="s">
        <v>1244</v>
      </c>
      <c r="C648" s="5"/>
      <c r="D648" s="6"/>
      <c r="E648" s="19" t="str">
        <f>CONCATENATE(F641,"*(",F639,")")</f>
        <v>1000*(350)</v>
      </c>
      <c r="F648" s="573">
        <f>F641*(F639 )</f>
        <v>350000</v>
      </c>
      <c r="G648" s="216" t="s">
        <v>679</v>
      </c>
      <c r="H648" s="216"/>
    </row>
    <row r="649" spans="1:12" ht="28.5" customHeight="1" x14ac:dyDescent="0.25">
      <c r="A649" s="277"/>
      <c r="B649" s="569" t="s">
        <v>1245</v>
      </c>
      <c r="C649" s="5"/>
      <c r="D649" s="6"/>
      <c r="E649" s="19" t="str">
        <f>CONCATENATE(intro!$J$85,"*",F644)</f>
        <v>9.33*1176.13897038462</v>
      </c>
      <c r="F649" s="570">
        <f>intro!$J$85*F644</f>
        <v>10973.376593688461</v>
      </c>
      <c r="G649" s="216" t="s">
        <v>679</v>
      </c>
      <c r="H649" s="216"/>
    </row>
    <row r="650" spans="1:12" ht="28.5" customHeight="1" x14ac:dyDescent="0.25">
      <c r="A650" s="277"/>
      <c r="B650" s="569" t="s">
        <v>1246</v>
      </c>
      <c r="C650" s="5"/>
      <c r="D650" s="6"/>
      <c r="E650" s="19" t="str">
        <f>CONCATENATE("(",F646,"+",F647,")/(",F648,"+",F649,")")</f>
        <v>(46512500+3346879.861)/(350000+10973.3765936885)</v>
      </c>
      <c r="F650" s="574">
        <f>(F646+F647)/(F648+F649)</f>
        <v>138.12481222714027</v>
      </c>
      <c r="G650" s="216" t="s">
        <v>202</v>
      </c>
      <c r="H650" s="216"/>
    </row>
    <row r="651" spans="1:12" ht="28.5" customHeight="1" x14ac:dyDescent="0.25">
      <c r="A651" s="277"/>
      <c r="B651" s="20"/>
      <c r="C651" s="5"/>
      <c r="D651" s="6"/>
      <c r="E651" s="19"/>
      <c r="F651" s="13"/>
      <c r="H651" s="216"/>
    </row>
    <row r="652" spans="1:12" ht="28.5" customHeight="1" x14ac:dyDescent="0.25">
      <c r="A652" s="277"/>
      <c r="B652" s="569" t="s">
        <v>1247</v>
      </c>
      <c r="C652" s="5"/>
      <c r="D652" s="6"/>
      <c r="E652" s="19" t="str">
        <f>CONCATENATE(F641,"*POWER((",F639,"),3)/12")</f>
        <v>1000*POWER((350),3)/12</v>
      </c>
      <c r="F652" s="573">
        <f>ROUND(F641*POWER((F639),3)/12,3)</f>
        <v>3572916666.6669998</v>
      </c>
      <c r="G652" s="216" t="s">
        <v>1242</v>
      </c>
      <c r="H652" s="216"/>
    </row>
    <row r="653" spans="1:12" ht="28.5" customHeight="1" x14ac:dyDescent="0.25">
      <c r="A653" s="277"/>
      <c r="B653" s="569" t="s">
        <v>1250</v>
      </c>
      <c r="C653" s="5"/>
      <c r="D653" s="6"/>
      <c r="E653" s="19" t="str">
        <f>CONCATENATE(F641,"*(",F639,")*POWER((",F650,"-(",F639,")/2),2)")</f>
        <v>1000*(350)*POWER((138.12481222714-(350)/2),2)</v>
      </c>
      <c r="F653" s="573">
        <f>ROUND(F641*(F639)*POWER((F650-(F639)/2),2),2)</f>
        <v>475922815.64999998</v>
      </c>
      <c r="G653" s="216" t="s">
        <v>1242</v>
      </c>
      <c r="H653" s="216"/>
    </row>
    <row r="654" spans="1:12" ht="28.5" customHeight="1" x14ac:dyDescent="0.25">
      <c r="A654" s="277"/>
      <c r="B654" s="569" t="s">
        <v>1248</v>
      </c>
      <c r="C654" s="5"/>
      <c r="D654" s="6"/>
      <c r="E654" s="19" t="str">
        <f>CONCATENATE(intro!$J$85,"*",F644,"*POWER((",F639,"-60-",F650,"),2)")</f>
        <v>9.33*1176.13897038462*POWER((350-60-138.12481222714),2)</v>
      </c>
      <c r="F654" s="573">
        <f>ROUND(intro!$J$85*F644*POWER((F639-60-F650),2),2)</f>
        <v>253112701.84999999</v>
      </c>
      <c r="G654" s="216" t="s">
        <v>1242</v>
      </c>
      <c r="H654" s="216"/>
    </row>
    <row r="655" spans="1:12" ht="28.5" customHeight="1" x14ac:dyDescent="0.25">
      <c r="A655" s="277"/>
      <c r="B655" s="569" t="s">
        <v>1249</v>
      </c>
      <c r="C655" s="5"/>
      <c r="D655" s="6"/>
      <c r="E655" s="19" t="str">
        <f>CONCATENATE(F652,"+",F653,"+",F654)</f>
        <v>3572916666.667+475922815.65+253112701.85</v>
      </c>
      <c r="F655" s="573">
        <f>F652+F653+F654</f>
        <v>4301952184.1669998</v>
      </c>
      <c r="G655" s="216" t="s">
        <v>1242</v>
      </c>
      <c r="H655" s="216"/>
      <c r="K655" s="10">
        <v>8</v>
      </c>
      <c r="L655" s="10">
        <v>200</v>
      </c>
    </row>
    <row r="656" spans="1:12" ht="28.5" customHeight="1" x14ac:dyDescent="0.25">
      <c r="A656" s="277"/>
      <c r="B656" s="569" t="s">
        <v>1251</v>
      </c>
      <c r="C656" s="5"/>
      <c r="D656" s="6"/>
      <c r="E656" s="19" t="str">
        <f>CONCATENATE(F639,"*",F641,"+",$F$46,"*",F644)</f>
        <v>350*1000+8.33*1176.13897038462</v>
      </c>
      <c r="F656" s="573">
        <f>F639*F641+$F$46*F644</f>
        <v>359797.23762330384</v>
      </c>
      <c r="G656" s="216" t="s">
        <v>679</v>
      </c>
      <c r="H656" s="216"/>
      <c r="K656" s="10">
        <v>10</v>
      </c>
      <c r="L656" s="10">
        <v>175</v>
      </c>
    </row>
    <row r="657" spans="1:12" ht="28.5" customHeight="1" x14ac:dyDescent="0.3">
      <c r="A657" s="277"/>
      <c r="B657" s="569" t="s">
        <v>1279</v>
      </c>
      <c r="C657" s="5" t="s">
        <v>1278</v>
      </c>
      <c r="D657" s="6"/>
      <c r="E657" s="19" t="str">
        <f>CONCATENATE("(",F637,"*10000)/(",F656,"*",intro!$J$63,")")</f>
        <v>(30.57961323*10000)/(359797.237623304*1.5)</v>
      </c>
      <c r="F657" s="575">
        <f>ROUND((F637*10000)/(F656*intro!$J$63),3)</f>
        <v>0.56699999999999995</v>
      </c>
      <c r="G657" s="216"/>
      <c r="H657" s="216"/>
      <c r="J657" s="182"/>
      <c r="K657" s="10">
        <v>12</v>
      </c>
      <c r="L657" s="10">
        <v>150</v>
      </c>
    </row>
    <row r="658" spans="1:12" ht="28.5" customHeight="1" x14ac:dyDescent="0.3">
      <c r="A658" s="277"/>
      <c r="B658" s="569" t="s">
        <v>1280</v>
      </c>
      <c r="C658" s="5" t="s">
        <v>1281</v>
      </c>
      <c r="D658" s="6"/>
      <c r="E658" s="19" t="str">
        <f>CONCATENATE("(",F638,"*10000000)*(",F639,"-",F650,")/(",F655,"*2)")</f>
        <v>(0*10000000)*(350-138.12481222714)/(4301952184.167*2)</v>
      </c>
      <c r="F658" s="575">
        <f>(F638*10000000)*(F639-F650)/(F655*2)</f>
        <v>0</v>
      </c>
      <c r="G658" s="216"/>
      <c r="H658" s="216"/>
      <c r="K658" s="10">
        <v>16</v>
      </c>
      <c r="L658" s="10">
        <v>125</v>
      </c>
    </row>
    <row r="659" spans="1:12" ht="28.5" customHeight="1" x14ac:dyDescent="0.3">
      <c r="A659" s="277"/>
      <c r="B659" s="569" t="s">
        <v>1282</v>
      </c>
      <c r="C659" s="5"/>
      <c r="D659" s="6"/>
      <c r="E659" s="19" t="str">
        <f>CONCATENATE(F657,"+",F658)</f>
        <v>0.567+0</v>
      </c>
      <c r="F659" s="575">
        <f>ROUND(F657+F658,3)</f>
        <v>0.56699999999999995</v>
      </c>
      <c r="G659" s="576" t="str">
        <f>IF(F659&lt;1,"ok","revise")</f>
        <v>ok</v>
      </c>
      <c r="H659" s="216"/>
      <c r="K659" s="10">
        <v>20</v>
      </c>
      <c r="L659" s="10">
        <v>100</v>
      </c>
    </row>
    <row r="660" spans="1:12" ht="28.5" customHeight="1" x14ac:dyDescent="0.25">
      <c r="A660" s="277"/>
      <c r="B660" s="569" t="s">
        <v>1252</v>
      </c>
      <c r="C660" s="5"/>
      <c r="D660" s="569" t="s">
        <v>1253</v>
      </c>
      <c r="E660" s="13" t="s">
        <v>454</v>
      </c>
      <c r="F660" s="10"/>
      <c r="G660" s="10"/>
      <c r="H660" s="216"/>
      <c r="K660" s="10">
        <v>25</v>
      </c>
    </row>
    <row r="661" spans="1:12" ht="28.5" customHeight="1" x14ac:dyDescent="0.25">
      <c r="A661" s="277"/>
      <c r="B661" s="20" t="s">
        <v>1299</v>
      </c>
      <c r="C661" s="570">
        <f>$F$644</f>
        <v>1176.1389703846153</v>
      </c>
      <c r="D661" s="600">
        <v>16</v>
      </c>
      <c r="E661" s="601">
        <v>150</v>
      </c>
      <c r="F661" s="271">
        <f>22/7*D661^2*0.25/(E661/1000)</f>
        <v>1340.952380952381</v>
      </c>
      <c r="G661" s="576" t="str">
        <f>IF(F661&gt;F644,"ok","revise")</f>
        <v>ok</v>
      </c>
      <c r="H661" s="216"/>
    </row>
    <row r="662" spans="1:12" ht="28.5" customHeight="1" x14ac:dyDescent="0.25">
      <c r="A662" s="277"/>
      <c r="B662" s="20"/>
      <c r="C662" s="298"/>
      <c r="D662" s="298"/>
      <c r="E662" s="599"/>
      <c r="F662" s="569" t="s">
        <v>256</v>
      </c>
      <c r="G662" s="10"/>
      <c r="H662" s="216"/>
    </row>
    <row r="663" spans="1:12" ht="28.5" customHeight="1" x14ac:dyDescent="0.25">
      <c r="A663" s="277"/>
      <c r="B663" s="298"/>
      <c r="C663" s="298"/>
      <c r="D663" s="298"/>
      <c r="E663" s="298"/>
      <c r="H663" s="216"/>
    </row>
    <row r="664" spans="1:12" ht="23.25" hidden="1" customHeight="1" x14ac:dyDescent="0.3">
      <c r="A664" s="277"/>
      <c r="B664" s="273" t="s">
        <v>666</v>
      </c>
      <c r="C664" s="273" t="str">
        <f>$E$298</f>
        <v>0.8*fy</v>
      </c>
      <c r="D664" s="271"/>
      <c r="E664" s="278" t="s">
        <v>259</v>
      </c>
      <c r="F664" s="271">
        <f>$F$298</f>
        <v>400</v>
      </c>
      <c r="G664" s="271" t="s">
        <v>260</v>
      </c>
      <c r="H664" s="216"/>
    </row>
    <row r="665" spans="1:12" ht="26.25" hidden="1" customHeight="1" x14ac:dyDescent="0.25">
      <c r="A665" s="277"/>
      <c r="B665" s="272" t="s">
        <v>261</v>
      </c>
      <c r="C665" s="273"/>
      <c r="D665" s="279">
        <f>Calculation!$C$94</f>
        <v>0.35</v>
      </c>
      <c r="E665" s="278"/>
      <c r="F665" s="271">
        <f>1.5*F637*10^4/F664/2</f>
        <v>573.36774806249991</v>
      </c>
      <c r="G665" s="278" t="s">
        <v>262</v>
      </c>
      <c r="H665" s="216"/>
    </row>
    <row r="666" spans="1:12" ht="24.75" hidden="1" customHeight="1" x14ac:dyDescent="0.25">
      <c r="A666" s="277"/>
      <c r="B666" s="272" t="s">
        <v>263</v>
      </c>
      <c r="C666" s="273"/>
      <c r="D666" s="279" t="s">
        <v>236</v>
      </c>
      <c r="E666" s="278"/>
      <c r="F666" s="271">
        <f>(F637*10^4)/(F665*2*2*10^5)</f>
        <v>1.3333333333333335E-3</v>
      </c>
      <c r="G666" s="271"/>
      <c r="H666" s="216"/>
    </row>
    <row r="667" spans="1:12" ht="42.75" hidden="1" customHeight="1" x14ac:dyDescent="0.25">
      <c r="A667" s="277"/>
      <c r="B667" s="272" t="s">
        <v>264</v>
      </c>
      <c r="C667" s="273"/>
      <c r="D667" s="271"/>
      <c r="E667" s="278"/>
      <c r="F667" s="271">
        <f>(2*1000*D665*1000)/(3*2*10^5*F665*2)</f>
        <v>1.0173807914807009E-3</v>
      </c>
      <c r="G667" s="271"/>
      <c r="H667" s="216"/>
    </row>
    <row r="668" spans="1:12" ht="24" hidden="1" customHeight="1" x14ac:dyDescent="0.25">
      <c r="A668" s="277"/>
      <c r="B668" s="272" t="s">
        <v>265</v>
      </c>
      <c r="C668" s="273"/>
      <c r="D668" s="271"/>
      <c r="E668" s="278"/>
      <c r="F668" s="271">
        <f>F666-F667</f>
        <v>3.1595254185263263E-4</v>
      </c>
      <c r="G668" s="271"/>
      <c r="H668" s="216"/>
    </row>
    <row r="669" spans="1:12" ht="20.25" hidden="1" customHeight="1" x14ac:dyDescent="0.25">
      <c r="A669" s="277"/>
      <c r="B669" s="272" t="s">
        <v>266</v>
      </c>
      <c r="C669" s="273"/>
      <c r="D669" s="281">
        <v>50</v>
      </c>
      <c r="E669" s="278"/>
      <c r="F669" s="271">
        <f>(D669^2+(E671/2)^2)^0.5</f>
        <v>90.13878188659973</v>
      </c>
      <c r="G669" s="271"/>
      <c r="H669" s="216"/>
    </row>
    <row r="670" spans="1:12" ht="32.25" hidden="1" customHeight="1" x14ac:dyDescent="0.25">
      <c r="A670" s="277"/>
      <c r="B670" s="272" t="s">
        <v>268</v>
      </c>
      <c r="C670" s="273"/>
      <c r="D670" s="271"/>
      <c r="E670" s="278"/>
      <c r="F670" s="271">
        <f>3*F669*F668</f>
        <v>8.5438731769713672E-2</v>
      </c>
      <c r="G670" s="271"/>
      <c r="H670" s="271" t="str">
        <f>IF(F670&lt;0.2,"ok","revise")</f>
        <v>ok</v>
      </c>
    </row>
    <row r="671" spans="1:12" ht="17.25" hidden="1" customHeight="1" x14ac:dyDescent="0.25">
      <c r="A671" s="277"/>
      <c r="B671" s="272" t="s">
        <v>267</v>
      </c>
      <c r="C671" s="273"/>
      <c r="D671" s="273">
        <f>D661</f>
        <v>16</v>
      </c>
      <c r="E671" s="273">
        <f>E661</f>
        <v>150</v>
      </c>
      <c r="F671" s="271">
        <f>22/7*D671^2*0.25/(E671/1000)</f>
        <v>1340.952380952381</v>
      </c>
      <c r="G671" s="271" t="s">
        <v>425</v>
      </c>
      <c r="H671" s="271" t="str">
        <f>IF(F671&gt;F665,"ok","revise")</f>
        <v>ok</v>
      </c>
    </row>
    <row r="672" spans="1:12" hidden="1" x14ac:dyDescent="0.25">
      <c r="A672" s="271"/>
      <c r="B672" s="275" t="s">
        <v>558</v>
      </c>
      <c r="C672" s="282">
        <v>0.14000000000000001</v>
      </c>
      <c r="D672" s="271" t="s">
        <v>236</v>
      </c>
      <c r="E672" s="271"/>
      <c r="F672" s="271">
        <f>C672*1000*D665*1000/100</f>
        <v>490</v>
      </c>
      <c r="G672" s="271" t="s">
        <v>425</v>
      </c>
      <c r="H672" s="271" t="str">
        <f>IF(F672&gt;F673,"ok","revise")</f>
        <v>ok</v>
      </c>
      <c r="L672" s="10">
        <f>Calculation!$E$80</f>
        <v>0.35</v>
      </c>
    </row>
    <row r="673" spans="1:10" ht="43.5" x14ac:dyDescent="0.25">
      <c r="A673" s="279" t="s">
        <v>13</v>
      </c>
      <c r="B673" s="272" t="s">
        <v>1300</v>
      </c>
      <c r="C673" s="273"/>
      <c r="D673" s="271"/>
      <c r="E673" s="271"/>
      <c r="F673" s="271"/>
      <c r="G673" s="271"/>
      <c r="H673" s="216"/>
    </row>
    <row r="674" spans="1:10" ht="29.25" customHeight="1" x14ac:dyDescent="0.25">
      <c r="A674" s="271"/>
      <c r="B674" s="277" t="s">
        <v>156</v>
      </c>
      <c r="C674" s="273" t="s">
        <v>110</v>
      </c>
      <c r="D674" s="271"/>
      <c r="E674" s="278" t="str">
        <f>"("&amp;Calculation!C137&amp;"^2*("&amp;ROUND(Calculation!F618,2)&amp;"+"&amp;Calculation!$E$80&amp;")+("&amp;Calculation!$C$94&amp;"*2.5))/8)"</f>
        <v>(1^2*(4.15+0.35)+(0.35*2.5))/8)</v>
      </c>
      <c r="F674" s="271">
        <f>(Calculation!C137^2*((Calculation!F618+Calculation!$E$80+Calculation!$C$94*2.5))/8)</f>
        <v>0.671875</v>
      </c>
      <c r="G674" s="271" t="s">
        <v>210</v>
      </c>
      <c r="H674" s="216"/>
    </row>
    <row r="675" spans="1:10" ht="29.25" customHeight="1" x14ac:dyDescent="0.25">
      <c r="A675" s="271"/>
      <c r="B675" s="301" t="s">
        <v>1130</v>
      </c>
      <c r="C675" s="273"/>
      <c r="D675" s="271"/>
      <c r="E675" s="278"/>
      <c r="F675" s="271">
        <f>MAX('cont ana'!D342,'cont ana'!D518)/10000</f>
        <v>0.31303600000000004</v>
      </c>
      <c r="G675" s="271" t="s">
        <v>210</v>
      </c>
      <c r="H675" s="216"/>
    </row>
    <row r="676" spans="1:10" ht="29.25" customHeight="1" x14ac:dyDescent="0.25">
      <c r="A676" s="271"/>
      <c r="B676" s="301" t="s">
        <v>1131</v>
      </c>
      <c r="C676" s="273"/>
      <c r="D676" s="271"/>
      <c r="E676" s="278"/>
      <c r="F676" s="271">
        <f>ROUND(MAX(F674:F675),2)</f>
        <v>0.67</v>
      </c>
      <c r="G676" s="271" t="s">
        <v>210</v>
      </c>
      <c r="H676" s="216"/>
    </row>
    <row r="677" spans="1:10" x14ac:dyDescent="0.25">
      <c r="A677" s="271"/>
      <c r="B677" s="12" t="s">
        <v>2100</v>
      </c>
      <c r="C677" s="273"/>
      <c r="D677" s="1047">
        <f>ROUND(SQRT(F676*10*1000/intro!J109),2)</f>
        <v>142.49</v>
      </c>
      <c r="E677" s="271" t="str">
        <f>CONCATENATE("SQRT(",F676,"*10*1000/",intro!J109,")")</f>
        <v>SQRT(0.67*10*1000/0.33)</v>
      </c>
      <c r="F677" s="1048" t="str">
        <f>IF(F639&gt;D677,"Hence OK","Change the thickness")</f>
        <v>Hence OK</v>
      </c>
      <c r="G677" s="271"/>
      <c r="H677" s="216"/>
    </row>
    <row r="678" spans="1:10" ht="29.25" customHeight="1" x14ac:dyDescent="0.3">
      <c r="A678" s="271"/>
      <c r="B678" s="285" t="s">
        <v>157</v>
      </c>
      <c r="C678" s="273" t="s">
        <v>667</v>
      </c>
      <c r="D678" s="271"/>
      <c r="E678" s="278" t="s">
        <v>1301</v>
      </c>
      <c r="F678" s="283">
        <f>Calculation!$F$751</f>
        <v>904.32</v>
      </c>
      <c r="G678" s="271" t="s">
        <v>668</v>
      </c>
      <c r="H678" s="216"/>
    </row>
    <row r="679" spans="1:10" x14ac:dyDescent="0.25">
      <c r="A679" s="271"/>
      <c r="B679" s="275"/>
      <c r="C679" s="273"/>
      <c r="D679" s="271"/>
      <c r="E679" s="271"/>
      <c r="F679" s="271"/>
      <c r="G679" s="271"/>
      <c r="H679" s="216"/>
    </row>
    <row r="680" spans="1:10" x14ac:dyDescent="0.25">
      <c r="A680" s="271"/>
      <c r="B680" s="277" t="s">
        <v>158</v>
      </c>
      <c r="C680" s="273" t="s">
        <v>159</v>
      </c>
      <c r="D680" s="271"/>
      <c r="E680" s="271" t="str">
        <f>"(("&amp;ROUND(F618,2)&amp;"+"&amp;Calculation!C94&amp;"*"&amp;Calculation!F44&amp;")*"&amp;Calculation!C137&amp;"/2)"</f>
        <v>((4.15+0.35*2.4)*1/2)</v>
      </c>
      <c r="F680" s="271">
        <f>(F618+Calculation!C94*Calculation!F44)*Calculation!C137/2</f>
        <v>2.4950000000000001</v>
      </c>
      <c r="G680" s="271" t="s">
        <v>91</v>
      </c>
      <c r="H680" s="216"/>
    </row>
    <row r="681" spans="1:10" x14ac:dyDescent="0.25">
      <c r="A681" s="271"/>
      <c r="B681" s="275"/>
      <c r="C681" s="273"/>
      <c r="D681" s="271"/>
      <c r="E681" s="271"/>
      <c r="F681" s="271"/>
      <c r="G681" s="271"/>
      <c r="H681" s="216"/>
    </row>
    <row r="682" spans="1:10" ht="34.5" customHeight="1" x14ac:dyDescent="0.25">
      <c r="A682" s="602"/>
      <c r="B682" s="277" t="s">
        <v>160</v>
      </c>
      <c r="C682" s="299"/>
      <c r="D682" s="271"/>
      <c r="E682" s="278" t="str">
        <f>"("&amp;ROUND(F680,3)&amp;"*10^4/1000/("&amp;Calculation!C94&amp;"*1000-50))"</f>
        <v>(2.495*10^4/1000/(0.35*1000-50))</v>
      </c>
      <c r="F682" s="276">
        <f>F680*10^4/1000/(Calculation!C94*1000-50)</f>
        <v>8.3166666666666667E-2</v>
      </c>
      <c r="G682" s="271" t="s">
        <v>665</v>
      </c>
      <c r="H682" s="216"/>
    </row>
    <row r="683" spans="1:10" x14ac:dyDescent="0.25">
      <c r="A683" s="271"/>
      <c r="B683" s="277"/>
      <c r="C683" s="273"/>
      <c r="D683" s="271"/>
      <c r="E683" s="278"/>
      <c r="F683" s="276"/>
      <c r="G683" s="271"/>
      <c r="H683" s="216"/>
      <c r="J683" s="5"/>
    </row>
    <row r="684" spans="1:10" x14ac:dyDescent="0.25">
      <c r="A684" s="271"/>
      <c r="B684" s="277"/>
      <c r="C684" s="273"/>
      <c r="D684" s="271"/>
      <c r="E684" s="278"/>
      <c r="F684" s="276"/>
      <c r="G684" s="271"/>
      <c r="H684" s="216"/>
      <c r="J684" s="591"/>
    </row>
    <row r="685" spans="1:10" x14ac:dyDescent="0.25">
      <c r="A685" s="271"/>
      <c r="B685" s="1165" t="s">
        <v>1302</v>
      </c>
      <c r="C685" s="1166"/>
      <c r="D685" s="1166"/>
      <c r="E685" s="1166"/>
      <c r="F685" s="1166"/>
      <c r="G685" s="1167"/>
      <c r="H685" s="216"/>
      <c r="I685" s="569" t="s">
        <v>1246</v>
      </c>
      <c r="J685" s="591"/>
    </row>
    <row r="686" spans="1:10" x14ac:dyDescent="0.25">
      <c r="A686" s="271"/>
      <c r="B686" s="10"/>
      <c r="C686" s="10"/>
      <c r="D686" s="10"/>
      <c r="E686" s="10"/>
      <c r="F686" s="10"/>
      <c r="G686" s="10"/>
      <c r="H686" s="216"/>
      <c r="I686" s="590" t="s">
        <v>1285</v>
      </c>
      <c r="J686" s="591"/>
    </row>
    <row r="687" spans="1:10" x14ac:dyDescent="0.25">
      <c r="A687" s="271"/>
      <c r="B687" s="20" t="s">
        <v>621</v>
      </c>
      <c r="C687" s="5"/>
      <c r="D687" s="6"/>
      <c r="E687" s="19"/>
      <c r="F687" s="13">
        <f>F560</f>
        <v>1.7520000000000002</v>
      </c>
      <c r="G687" s="3" t="s">
        <v>103</v>
      </c>
      <c r="H687" s="216"/>
      <c r="I687" s="590" t="s">
        <v>1291</v>
      </c>
      <c r="J687" s="591"/>
    </row>
    <row r="688" spans="1:10" x14ac:dyDescent="0.25">
      <c r="A688" s="271"/>
      <c r="B688" s="20" t="s">
        <v>310</v>
      </c>
      <c r="C688" s="5"/>
      <c r="D688" s="6"/>
      <c r="E688" s="19"/>
      <c r="F688" s="13">
        <f>F676</f>
        <v>0.67</v>
      </c>
      <c r="G688" s="3" t="s">
        <v>210</v>
      </c>
      <c r="H688" s="216"/>
      <c r="I688" s="590" t="s">
        <v>1286</v>
      </c>
      <c r="J688" s="591"/>
    </row>
    <row r="689" spans="1:12" x14ac:dyDescent="0.25">
      <c r="A689" s="271"/>
      <c r="B689" s="20" t="s">
        <v>1234</v>
      </c>
      <c r="C689" s="5"/>
      <c r="D689" s="6"/>
      <c r="E689" s="19"/>
      <c r="F689" s="13">
        <f>C94*1000</f>
        <v>350</v>
      </c>
      <c r="G689" s="3" t="s">
        <v>202</v>
      </c>
      <c r="H689" s="216"/>
      <c r="I689" s="590" t="s">
        <v>1287</v>
      </c>
      <c r="J689" s="591"/>
    </row>
    <row r="690" spans="1:12" x14ac:dyDescent="0.25">
      <c r="A690" s="271"/>
      <c r="B690" s="10" t="s">
        <v>1239</v>
      </c>
      <c r="C690" s="10"/>
      <c r="D690" s="182"/>
      <c r="E690" s="10"/>
      <c r="F690" s="571">
        <f>$F$49</f>
        <v>45</v>
      </c>
      <c r="G690" s="10" t="s">
        <v>202</v>
      </c>
      <c r="H690" s="216"/>
      <c r="I690" s="590" t="s">
        <v>1288</v>
      </c>
      <c r="J690" s="591"/>
    </row>
    <row r="691" spans="1:12" x14ac:dyDescent="0.25">
      <c r="A691" s="271"/>
      <c r="B691" s="20" t="s">
        <v>1235</v>
      </c>
      <c r="C691" s="5"/>
      <c r="D691" s="6"/>
      <c r="E691" s="19"/>
      <c r="F691" s="13">
        <v>1000</v>
      </c>
      <c r="G691" s="3" t="s">
        <v>202</v>
      </c>
      <c r="H691" s="216"/>
      <c r="I691" s="590" t="s">
        <v>1289</v>
      </c>
    </row>
    <row r="692" spans="1:12" x14ac:dyDescent="0.25">
      <c r="A692" s="271"/>
      <c r="B692" s="569" t="s">
        <v>1283</v>
      </c>
      <c r="C692" s="5"/>
      <c r="D692" s="6"/>
      <c r="E692" s="19" t="str">
        <f>CONCATENATE(F689,"-",F690,"-10")</f>
        <v>350-45-10</v>
      </c>
      <c r="F692" s="13">
        <f>F689-F690-10</f>
        <v>295</v>
      </c>
      <c r="G692" s="3" t="s">
        <v>202</v>
      </c>
      <c r="H692" s="216"/>
      <c r="I692" s="590" t="s">
        <v>1290</v>
      </c>
    </row>
    <row r="693" spans="1:12" x14ac:dyDescent="0.25">
      <c r="A693" s="271"/>
      <c r="B693" s="569" t="s">
        <v>1277</v>
      </c>
      <c r="C693" s="5"/>
      <c r="D693" s="6"/>
      <c r="E693" s="19"/>
      <c r="F693" s="13">
        <f>intro!$J$74</f>
        <v>130</v>
      </c>
      <c r="G693" s="216" t="s">
        <v>260</v>
      </c>
      <c r="H693" s="216"/>
    </row>
    <row r="694" spans="1:12" ht="30" customHeight="1" x14ac:dyDescent="0.25">
      <c r="A694" s="271"/>
      <c r="B694" s="569" t="s">
        <v>1297</v>
      </c>
      <c r="C694" s="5"/>
      <c r="D694" s="6"/>
      <c r="E694" s="19" t="str">
        <f>"("&amp;F688&amp;"*10000000/("&amp;F693&amp;"*("&amp;F692&amp;"-"&amp;F689&amp;"/10)))"</f>
        <v>(0.67*10000000/(130*(295-350/10)))</v>
      </c>
      <c r="F694" s="13">
        <f>ROUND((F688*10000000/(F693*(F692-F689/10))),3)</f>
        <v>198.22499999999999</v>
      </c>
      <c r="G694" s="216" t="s">
        <v>679</v>
      </c>
      <c r="H694" s="216"/>
    </row>
    <row r="695" spans="1:12" x14ac:dyDescent="0.25">
      <c r="A695" s="271"/>
      <c r="B695" s="569"/>
      <c r="C695" s="5"/>
      <c r="D695" s="6"/>
      <c r="E695" s="19"/>
      <c r="F695" s="572"/>
      <c r="G695" s="216"/>
      <c r="H695" s="216"/>
    </row>
    <row r="696" spans="1:12" ht="39.75" customHeight="1" x14ac:dyDescent="0.25">
      <c r="A696" s="271"/>
      <c r="B696" s="569" t="s">
        <v>1246</v>
      </c>
      <c r="C696" s="5"/>
      <c r="D696" s="6"/>
      <c r="E696" s="19" t="str">
        <f>CONCATENATE("(",F691,"*",F689,"*",F689,"/2+",intro!J289,"*",F694,"*",F692,")/(",F691,"*",F689,"+",intro!J85*F694,")")</f>
        <v>(1000*350*350/2+*198.225*295)/(1000*350+1849.43925)</v>
      </c>
      <c r="F696" s="589">
        <f>ROUND(((F691*F689*F689/2+intro!$J$85*F694*F692)/(F691*F689+intro!$J$85*F694)),3)</f>
        <v>175.631</v>
      </c>
      <c r="G696" s="216" t="s">
        <v>202</v>
      </c>
      <c r="H696" s="216"/>
    </row>
    <row r="697" spans="1:12" x14ac:dyDescent="0.25">
      <c r="A697" s="271"/>
      <c r="B697" s="590" t="s">
        <v>1285</v>
      </c>
      <c r="C697" s="591"/>
      <c r="D697" s="6"/>
      <c r="E697" s="19" t="str">
        <f>"(POWER("&amp;F696&amp;",3))"</f>
        <v>(POWER(175.631,3))</v>
      </c>
      <c r="F697" s="592">
        <f>POWER(F696,3)</f>
        <v>5417557.4107645908</v>
      </c>
      <c r="G697" s="216"/>
      <c r="H697" s="216"/>
    </row>
    <row r="698" spans="1:12" x14ac:dyDescent="0.25">
      <c r="A698" s="271"/>
      <c r="B698" s="590" t="s">
        <v>1291</v>
      </c>
      <c r="C698" s="591"/>
      <c r="D698" s="6"/>
      <c r="E698" s="19" t="str">
        <f>"(POWER(("&amp;F689&amp;"-"&amp;F696&amp;"),3))"</f>
        <v>(POWER((350-175.631),3))</v>
      </c>
      <c r="F698" s="592">
        <f>POWER((F689-F696),3)</f>
        <v>5301610.6582854092</v>
      </c>
      <c r="G698" s="216"/>
      <c r="H698" s="216"/>
    </row>
    <row r="699" spans="1:12" ht="27.75" customHeight="1" x14ac:dyDescent="0.25">
      <c r="A699" s="271"/>
      <c r="B699" s="590" t="s">
        <v>1286</v>
      </c>
      <c r="C699" s="591"/>
      <c r="D699" s="10"/>
      <c r="E699" s="10" t="str">
        <f>"(POWER(("&amp;F689&amp;"-"&amp;F696&amp;"-60),2))"</f>
        <v>(POWER((350-175.631-60),2))</v>
      </c>
      <c r="F699" s="592">
        <f>POWER((F689-F696-60),2)</f>
        <v>13080.268161</v>
      </c>
      <c r="G699" s="216"/>
      <c r="H699" s="216"/>
      <c r="K699" s="10">
        <v>8</v>
      </c>
      <c r="L699" s="10">
        <v>200</v>
      </c>
    </row>
    <row r="700" spans="1:12" ht="70.5" customHeight="1" x14ac:dyDescent="0.25">
      <c r="A700" s="271"/>
      <c r="B700" s="590" t="s">
        <v>1287</v>
      </c>
      <c r="C700" s="591"/>
      <c r="D700" s="10"/>
      <c r="E700" s="46" t="str">
        <f>"("&amp;F691&amp;"/3*("&amp;F697&amp;"+"&amp;F698&amp;")+"&amp;$F$46&amp;"*"&amp;F694&amp;"*"&amp;F699&amp;")"</f>
        <v>(1000/3*(5417557.41076459+5301610.65828541)+8.33*198.225*13080.268161)</v>
      </c>
      <c r="F700" s="592">
        <f>F691/3*(F697+F698)+$F$46*F694*F699</f>
        <v>3594654348.1979303</v>
      </c>
      <c r="G700" s="216"/>
      <c r="H700" s="216"/>
      <c r="I700" s="182"/>
      <c r="K700" s="10">
        <v>10</v>
      </c>
      <c r="L700" s="10">
        <v>175</v>
      </c>
    </row>
    <row r="701" spans="1:12" ht="19.5" customHeight="1" x14ac:dyDescent="0.25">
      <c r="A701" s="271"/>
      <c r="B701" s="590" t="s">
        <v>1288</v>
      </c>
      <c r="C701" s="591"/>
      <c r="D701" s="10"/>
      <c r="E701" s="10" t="str">
        <f>"("&amp;F689&amp;"*1000+"&amp;$F$46&amp;"*"&amp;F694&amp;")"</f>
        <v>(350*1000+8.33*198.225)</v>
      </c>
      <c r="F701" s="592">
        <f>F689*1000+$F$46*F694</f>
        <v>351651.21425000002</v>
      </c>
      <c r="G701" s="216"/>
      <c r="H701" s="216"/>
      <c r="K701" s="10">
        <v>12</v>
      </c>
      <c r="L701" s="10">
        <v>150</v>
      </c>
    </row>
    <row r="702" spans="1:12" x14ac:dyDescent="0.25">
      <c r="A702" s="271"/>
      <c r="B702" s="590" t="s">
        <v>1289</v>
      </c>
      <c r="C702" s="591"/>
      <c r="D702" s="10"/>
      <c r="E702" s="10"/>
      <c r="F702" s="593">
        <f>-intro!$J$65</f>
        <v>-2</v>
      </c>
      <c r="G702" s="216"/>
      <c r="H702" s="216"/>
      <c r="K702" s="10">
        <v>16</v>
      </c>
      <c r="L702" s="10">
        <v>125</v>
      </c>
    </row>
    <row r="703" spans="1:12" ht="80.25" customHeight="1" x14ac:dyDescent="0.25">
      <c r="A703" s="271"/>
      <c r="B703" s="590" t="s">
        <v>1290</v>
      </c>
      <c r="C703" s="591"/>
      <c r="D703" s="10"/>
      <c r="E703" s="46" t="str">
        <f>"((("&amp;F687&amp;"*10000/"&amp;F701&amp;"))-(("&amp;F688&amp;"*10000000)*("&amp;F689&amp;"-"&amp;F696&amp;")/"&amp;F700&amp;"))"</f>
        <v>(((1.752*10000/351651.21425))-((0.67*10000000)*(350-175.631)/3594654348.19793))</v>
      </c>
      <c r="F703" s="594">
        <f>((F687*10000/F701))-((F688*10000000)*(F689-F696)/F700)</f>
        <v>-0.27518058645757232</v>
      </c>
      <c r="G703" s="595" t="str">
        <f>IF(F702&lt;F703,"ok","revise")</f>
        <v>ok</v>
      </c>
      <c r="H703" s="216"/>
      <c r="K703" s="10">
        <v>20</v>
      </c>
      <c r="L703" s="10">
        <v>100</v>
      </c>
    </row>
    <row r="704" spans="1:12" x14ac:dyDescent="0.25">
      <c r="A704" s="271"/>
      <c r="B704" s="569"/>
      <c r="C704" s="5"/>
      <c r="D704" s="6"/>
      <c r="E704" s="19"/>
      <c r="F704" s="10"/>
      <c r="G704" s="216"/>
      <c r="H704" s="216"/>
      <c r="K704" s="10">
        <v>25</v>
      </c>
    </row>
    <row r="705" spans="1:8" x14ac:dyDescent="0.25">
      <c r="A705" s="271"/>
      <c r="B705" s="596" t="s">
        <v>408</v>
      </c>
      <c r="C705" s="5"/>
      <c r="D705" s="6">
        <f>IF(F86&lt;14,P351/2,VLOOKUP(F65,O351:P365,2,FALSE))</f>
        <v>0.14000000000000001</v>
      </c>
      <c r="E705" s="19"/>
      <c r="F705" s="597">
        <f>D705*F689*F691/100</f>
        <v>490.00000000000006</v>
      </c>
      <c r="G705" s="595" t="str">
        <f>IF(F707&gt;F705,"ok","revise")</f>
        <v>ok</v>
      </c>
      <c r="H705" s="216"/>
    </row>
    <row r="706" spans="1:8" x14ac:dyDescent="0.25">
      <c r="A706" s="271"/>
      <c r="B706" s="20" t="s">
        <v>1303</v>
      </c>
      <c r="C706" s="569" t="s">
        <v>1253</v>
      </c>
      <c r="D706" s="569" t="s">
        <v>454</v>
      </c>
      <c r="E706" s="19"/>
      <c r="H706" s="216"/>
    </row>
    <row r="707" spans="1:8" x14ac:dyDescent="0.25">
      <c r="A707" s="271"/>
      <c r="B707" s="635">
        <f>$F$694</f>
        <v>198.22499999999999</v>
      </c>
      <c r="C707" s="581">
        <v>12</v>
      </c>
      <c r="D707" s="581">
        <v>200</v>
      </c>
      <c r="E707" s="19"/>
      <c r="F707" s="569">
        <f>ROUND((3.14*C707*C707/4*1000/D707),2)</f>
        <v>565.20000000000005</v>
      </c>
      <c r="G707" s="595" t="str">
        <f>IF(F707&gt;F694,"ok","revise")</f>
        <v>ok</v>
      </c>
      <c r="H707" s="216"/>
    </row>
    <row r="708" spans="1:8" x14ac:dyDescent="0.25">
      <c r="A708" s="271"/>
      <c r="C708" s="569"/>
      <c r="D708" s="569"/>
      <c r="E708" s="19"/>
      <c r="F708" s="569" t="s">
        <v>1259</v>
      </c>
      <c r="G708" s="10"/>
      <c r="H708" s="216"/>
    </row>
    <row r="709" spans="1:8" x14ac:dyDescent="0.25">
      <c r="A709" s="271"/>
      <c r="B709" s="125" t="s">
        <v>1358</v>
      </c>
      <c r="C709" s="273"/>
      <c r="D709" s="15">
        <v>12</v>
      </c>
      <c r="E709" s="271">
        <v>200</v>
      </c>
      <c r="F709" s="569">
        <f>ROUND((3.14*D709*D709/4*1000/E709),2)</f>
        <v>565.20000000000005</v>
      </c>
      <c r="G709" s="595" t="str">
        <f>IF(F709&gt;F705,"ok","revise")</f>
        <v>ok</v>
      </c>
      <c r="H709" s="216"/>
    </row>
    <row r="710" spans="1:8" x14ac:dyDescent="0.25">
      <c r="A710" s="271"/>
      <c r="B710" s="277"/>
      <c r="C710" s="273"/>
      <c r="D710" s="271"/>
      <c r="E710" s="278"/>
      <c r="F710" s="276"/>
      <c r="G710" s="271"/>
      <c r="H710" s="216"/>
    </row>
    <row r="711" spans="1:8" x14ac:dyDescent="0.25">
      <c r="A711" s="606"/>
      <c r="B711" s="607"/>
      <c r="C711" s="608"/>
      <c r="D711" s="606"/>
      <c r="E711" s="609"/>
      <c r="F711" s="610"/>
      <c r="G711" s="606"/>
      <c r="H711" s="611"/>
    </row>
    <row r="712" spans="1:8" ht="25.5" hidden="1" customHeight="1" x14ac:dyDescent="0.25">
      <c r="A712" s="216"/>
      <c r="B712" s="1173" t="s">
        <v>1260</v>
      </c>
      <c r="C712" s="1174"/>
      <c r="D712" s="1174"/>
      <c r="E712" s="1174"/>
      <c r="F712" s="1174"/>
      <c r="G712" s="1175"/>
      <c r="H712" s="208"/>
    </row>
    <row r="713" spans="1:8" hidden="1" x14ac:dyDescent="0.25">
      <c r="A713" s="216"/>
      <c r="B713" s="207"/>
      <c r="C713" s="208"/>
      <c r="D713" s="208"/>
      <c r="E713" s="208"/>
      <c r="F713" s="208"/>
      <c r="G713" s="208"/>
      <c r="H713" s="208"/>
    </row>
    <row r="714" spans="1:8" hidden="1" x14ac:dyDescent="0.25">
      <c r="A714" s="216"/>
      <c r="B714" s="206" t="s">
        <v>571</v>
      </c>
      <c r="C714" s="248"/>
      <c r="D714" s="249"/>
      <c r="E714" s="286"/>
      <c r="F714" s="208"/>
      <c r="G714" s="208"/>
      <c r="H714" s="208"/>
    </row>
    <row r="715" spans="1:8" hidden="1" x14ac:dyDescent="0.25">
      <c r="A715" s="216"/>
      <c r="B715" s="208"/>
      <c r="C715" s="248"/>
      <c r="D715" s="286"/>
      <c r="E715" s="208"/>
      <c r="F715" s="208"/>
      <c r="G715" s="208"/>
      <c r="H715" s="208"/>
    </row>
    <row r="716" spans="1:8" hidden="1" x14ac:dyDescent="0.25">
      <c r="A716" s="216"/>
      <c r="B716" s="206" t="s">
        <v>567</v>
      </c>
      <c r="C716" s="248"/>
      <c r="D716" s="249"/>
      <c r="E716" s="215"/>
      <c r="F716" s="256"/>
      <c r="G716" s="256"/>
      <c r="H716" s="215"/>
    </row>
    <row r="717" spans="1:8" hidden="1" x14ac:dyDescent="0.25">
      <c r="A717" s="216"/>
      <c r="B717" s="215" t="s">
        <v>375</v>
      </c>
      <c r="C717" s="248"/>
      <c r="D717" s="215"/>
      <c r="F717" s="252">
        <f>$F$49</f>
        <v>45</v>
      </c>
      <c r="G717" s="215" t="s">
        <v>202</v>
      </c>
      <c r="H717" s="215"/>
    </row>
    <row r="718" spans="1:8" hidden="1" x14ac:dyDescent="0.25">
      <c r="A718" s="216"/>
      <c r="B718" s="215" t="s">
        <v>376</v>
      </c>
      <c r="C718" s="248"/>
      <c r="D718" s="215"/>
      <c r="F718" s="252">
        <f>F717+10</f>
        <v>55</v>
      </c>
      <c r="G718" s="215" t="s">
        <v>202</v>
      </c>
      <c r="H718" s="215"/>
    </row>
    <row r="719" spans="1:8" ht="30.75" hidden="1" x14ac:dyDescent="0.35">
      <c r="A719" s="216"/>
      <c r="B719" s="215" t="s">
        <v>377</v>
      </c>
      <c r="C719" s="215" t="s">
        <v>658</v>
      </c>
      <c r="D719" s="215" t="str">
        <f>"(0.8*"&amp;F724&amp;")"</f>
        <v>(0.8*500)</v>
      </c>
      <c r="F719" s="252">
        <f>0.8*F724</f>
        <v>400</v>
      </c>
      <c r="G719" s="215" t="s">
        <v>652</v>
      </c>
      <c r="H719" s="207"/>
    </row>
    <row r="720" spans="1:8" ht="17.25" hidden="1" x14ac:dyDescent="0.25">
      <c r="A720" s="216"/>
      <c r="B720" s="215" t="s">
        <v>378</v>
      </c>
      <c r="C720" s="248"/>
      <c r="D720" s="215"/>
      <c r="F720" s="252">
        <v>250</v>
      </c>
      <c r="G720" s="215" t="s">
        <v>653</v>
      </c>
      <c r="H720" s="215"/>
    </row>
    <row r="721" spans="1:8" ht="17.25" hidden="1" x14ac:dyDescent="0.25">
      <c r="A721" s="216"/>
      <c r="B721" s="215" t="s">
        <v>83</v>
      </c>
      <c r="C721" s="248"/>
      <c r="D721" s="254"/>
      <c r="F721" s="252">
        <v>2.5</v>
      </c>
      <c r="G721" s="215" t="s">
        <v>659</v>
      </c>
      <c r="H721" s="256"/>
    </row>
    <row r="722" spans="1:8" hidden="1" x14ac:dyDescent="0.25">
      <c r="A722" s="216"/>
      <c r="B722" s="207" t="s">
        <v>566</v>
      </c>
      <c r="C722" s="248"/>
      <c r="D722" s="255"/>
      <c r="F722" s="215"/>
      <c r="G722" s="215"/>
      <c r="H722" s="215"/>
    </row>
    <row r="723" spans="1:8" ht="17.25" hidden="1" x14ac:dyDescent="0.25">
      <c r="A723" s="216"/>
      <c r="B723" s="215" t="s">
        <v>379</v>
      </c>
      <c r="C723" s="248"/>
      <c r="D723" s="215"/>
      <c r="F723" s="252">
        <v>30</v>
      </c>
      <c r="G723" s="215" t="s">
        <v>652</v>
      </c>
      <c r="H723" s="215"/>
    </row>
    <row r="724" spans="1:8" ht="17.25" hidden="1" x14ac:dyDescent="0.25">
      <c r="A724" s="216"/>
      <c r="B724" s="215" t="s">
        <v>311</v>
      </c>
      <c r="C724" s="248"/>
      <c r="D724" s="215"/>
      <c r="F724" s="252">
        <v>500</v>
      </c>
      <c r="G724" s="215" t="s">
        <v>652</v>
      </c>
      <c r="H724" s="215"/>
    </row>
    <row r="725" spans="1:8" ht="17.25" hidden="1" x14ac:dyDescent="0.25">
      <c r="A725" s="216"/>
      <c r="B725" s="215" t="s">
        <v>380</v>
      </c>
      <c r="C725" s="248"/>
      <c r="D725" s="215"/>
      <c r="F725" s="215">
        <f>1/3*F723</f>
        <v>10</v>
      </c>
      <c r="G725" s="215" t="s">
        <v>652</v>
      </c>
      <c r="H725" s="215"/>
    </row>
    <row r="726" spans="1:8" hidden="1" x14ac:dyDescent="0.25">
      <c r="A726" s="216"/>
      <c r="B726" s="215" t="s">
        <v>381</v>
      </c>
      <c r="C726" s="215" t="s">
        <v>382</v>
      </c>
      <c r="D726" s="248"/>
      <c r="F726" s="235">
        <f>ROUND((2*10^5)/((0.5*5000*((F723^0.5)))),2)</f>
        <v>14.61</v>
      </c>
      <c r="G726" s="215"/>
      <c r="H726" s="215"/>
    </row>
    <row r="727" spans="1:8" ht="17.25" hidden="1" x14ac:dyDescent="0.25">
      <c r="A727" s="216"/>
      <c r="B727" s="215" t="s">
        <v>383</v>
      </c>
      <c r="C727" s="248"/>
      <c r="D727" s="215"/>
      <c r="F727" s="235">
        <f>2*10^5</f>
        <v>200000</v>
      </c>
      <c r="G727" s="215" t="s">
        <v>652</v>
      </c>
      <c r="H727" s="215"/>
    </row>
    <row r="728" spans="1:8" ht="30" hidden="1" x14ac:dyDescent="0.25">
      <c r="A728" s="216"/>
      <c r="B728" s="206" t="s">
        <v>565</v>
      </c>
      <c r="C728" s="248"/>
      <c r="D728" s="604"/>
      <c r="E728" s="215"/>
      <c r="F728" s="215"/>
      <c r="G728" s="603"/>
      <c r="H728" s="215"/>
    </row>
    <row r="729" spans="1:8" hidden="1" x14ac:dyDescent="0.25">
      <c r="A729" s="216"/>
      <c r="B729" s="215"/>
      <c r="C729" s="215"/>
      <c r="D729" s="215"/>
      <c r="E729" s="215"/>
      <c r="F729" s="215"/>
      <c r="G729" s="603"/>
      <c r="H729" s="256"/>
    </row>
    <row r="730" spans="1:8" hidden="1" x14ac:dyDescent="0.25">
      <c r="A730" s="216"/>
      <c r="B730" s="207" t="s">
        <v>110</v>
      </c>
      <c r="C730" s="215" t="s">
        <v>496</v>
      </c>
      <c r="D730" s="215" t="s">
        <v>236</v>
      </c>
      <c r="F730" s="235">
        <f>Calculation!$F$676</f>
        <v>0.67</v>
      </c>
      <c r="G730" s="215" t="s">
        <v>497</v>
      </c>
      <c r="H730" s="248"/>
    </row>
    <row r="731" spans="1:8" hidden="1" x14ac:dyDescent="0.25">
      <c r="A731" s="216"/>
      <c r="B731" s="207" t="s">
        <v>384</v>
      </c>
      <c r="C731" s="215" t="s">
        <v>385</v>
      </c>
      <c r="D731" s="215" t="s">
        <v>236</v>
      </c>
      <c r="F731" s="257">
        <f>Calculation!$F$560</f>
        <v>1.7520000000000002</v>
      </c>
      <c r="G731" s="215" t="s">
        <v>285</v>
      </c>
      <c r="H731" s="248"/>
    </row>
    <row r="732" spans="1:8" hidden="1" x14ac:dyDescent="0.25">
      <c r="A732" s="216"/>
      <c r="B732" s="207"/>
      <c r="C732" s="215"/>
      <c r="D732" s="215"/>
      <c r="F732" s="215"/>
      <c r="G732" s="215"/>
      <c r="H732" s="215"/>
    </row>
    <row r="733" spans="1:8" hidden="1" x14ac:dyDescent="0.25">
      <c r="A733" s="216"/>
      <c r="B733" s="207" t="s">
        <v>386</v>
      </c>
      <c r="C733" s="215" t="s">
        <v>387</v>
      </c>
      <c r="D733" s="215">
        <f>F733</f>
        <v>1000</v>
      </c>
      <c r="F733" s="215">
        <v>1000</v>
      </c>
      <c r="G733" s="215" t="s">
        <v>202</v>
      </c>
      <c r="H733" s="215"/>
    </row>
    <row r="734" spans="1:8" hidden="1" x14ac:dyDescent="0.25">
      <c r="A734" s="216"/>
      <c r="B734" s="207" t="s">
        <v>33</v>
      </c>
      <c r="C734" s="215" t="s">
        <v>388</v>
      </c>
      <c r="D734" s="215">
        <f>F734</f>
        <v>350</v>
      </c>
      <c r="F734" s="227">
        <f>Calculation!$D$665*1000</f>
        <v>350</v>
      </c>
      <c r="G734" s="215" t="s">
        <v>202</v>
      </c>
      <c r="H734" s="215"/>
    </row>
    <row r="735" spans="1:8" hidden="1" x14ac:dyDescent="0.25">
      <c r="A735" s="216"/>
      <c r="B735" s="207"/>
      <c r="C735" s="215" t="s">
        <v>389</v>
      </c>
      <c r="D735" s="215">
        <f>F718</f>
        <v>55</v>
      </c>
      <c r="F735" s="228">
        <f>F718</f>
        <v>55</v>
      </c>
      <c r="G735" s="215" t="s">
        <v>202</v>
      </c>
      <c r="H735" s="215"/>
    </row>
    <row r="736" spans="1:8" hidden="1" x14ac:dyDescent="0.25">
      <c r="A736" s="216"/>
      <c r="B736" s="207" t="s">
        <v>107</v>
      </c>
      <c r="C736" s="215" t="s">
        <v>390</v>
      </c>
      <c r="D736" s="229" t="str">
        <f>"("&amp;F734&amp;"-"&amp;F718&amp;")"</f>
        <v>(350-55)</v>
      </c>
      <c r="F736" s="228">
        <f>F734-F718</f>
        <v>295</v>
      </c>
      <c r="G736" s="215" t="s">
        <v>202</v>
      </c>
      <c r="H736" s="215"/>
    </row>
    <row r="737" spans="1:8" hidden="1" x14ac:dyDescent="0.25">
      <c r="A737" s="216"/>
      <c r="B737" s="207" t="s">
        <v>494</v>
      </c>
      <c r="C737" s="215"/>
      <c r="D737" s="229"/>
      <c r="F737" s="228">
        <f>$F$717</f>
        <v>45</v>
      </c>
      <c r="G737" s="215" t="s">
        <v>202</v>
      </c>
      <c r="H737" s="215"/>
    </row>
    <row r="738" spans="1:8" ht="72" hidden="1" x14ac:dyDescent="0.25">
      <c r="A738" s="216"/>
      <c r="B738" s="207" t="s">
        <v>392</v>
      </c>
      <c r="C738" s="215" t="s">
        <v>393</v>
      </c>
      <c r="D738" s="256" t="str">
        <f>"((1-SQRT(1-((4.6*"&amp;F730&amp;"*1.5*10^7)/("&amp;$F$723&amp;"*"&amp;F733&amp;"*"&amp;F736&amp;"^2))))/((2/("&amp;F733&amp;"*"&amp;F736&amp;"))*("&amp;$F$724&amp;"/"&amp;$F$723&amp;")))"</f>
        <v>((1-SQRT(1-((4.6*0.67*1.5*10^7)/(30*1000*295^2))))/((2/(1000*295))*(500/30)))</v>
      </c>
      <c r="F738" s="231">
        <f>ROUND((1-SQRT(1-((4.6*F730*1.5*10^7)/($F$723*F733*F736^2))))/((2/(F733*F736))*($F$724/$F$723)),2)</f>
        <v>78.709999999999994</v>
      </c>
      <c r="G738" s="215" t="s">
        <v>564</v>
      </c>
      <c r="H738" s="248"/>
    </row>
    <row r="739" spans="1:8" ht="57.75" hidden="1" x14ac:dyDescent="0.25">
      <c r="A739" s="216"/>
      <c r="B739" s="207" t="s">
        <v>394</v>
      </c>
      <c r="C739" s="215" t="s">
        <v>395</v>
      </c>
      <c r="D739" s="256" t="str">
        <f>"("&amp;F736&amp;"*(("&amp;F726&amp;"*("&amp;F738&amp;"/"&amp;F733&amp;"/"&amp;F736&amp;"))*((1+2/("&amp;F738&amp;"/"&amp;F733&amp;"/"&amp;F736&amp;")^0.5)-1)))"</f>
        <v>(295*((14.61*(78.71/1000/295))*((1+2/(78.71/1000/295)^0.5)-1)))</v>
      </c>
      <c r="F739" s="239">
        <f>ROUND(((F736*F726*(F751/F733/F736))*((((1+2/(F751/F733/F736*F726)))^0.5)-1)),3)</f>
        <v>76.061000000000007</v>
      </c>
      <c r="G739" s="239" t="s">
        <v>202</v>
      </c>
      <c r="H739" s="603"/>
    </row>
    <row r="740" spans="1:8" hidden="1" x14ac:dyDescent="0.25">
      <c r="A740" s="216"/>
      <c r="B740" s="207" t="s">
        <v>396</v>
      </c>
      <c r="C740" s="215"/>
      <c r="D740" s="256" t="str">
        <f>"("&amp;F736&amp;"-"&amp;F739&amp;"/3)"</f>
        <v>(295-76.061/3)</v>
      </c>
      <c r="F740" s="257">
        <f>ROUND((F736-F739/3),2)</f>
        <v>269.64999999999998</v>
      </c>
      <c r="G740" s="215" t="s">
        <v>202</v>
      </c>
      <c r="H740" s="603"/>
    </row>
    <row r="741" spans="1:8" ht="45" hidden="1" x14ac:dyDescent="0.25">
      <c r="A741" s="216"/>
      <c r="B741" s="207" t="s">
        <v>397</v>
      </c>
      <c r="C741" s="215" t="s">
        <v>236</v>
      </c>
      <c r="D741" s="256" t="str">
        <f>"("&amp;F730&amp;"*10^7/"&amp;F740&amp;"/"&amp;F738&amp;")"</f>
        <v>(0.67*10^7/269.65/78.71)</v>
      </c>
      <c r="F741" s="258">
        <f>ROUND((F730*10^7/F740/F751),2)</f>
        <v>27.48</v>
      </c>
      <c r="G741" s="215" t="s">
        <v>652</v>
      </c>
      <c r="H741" s="208" t="str">
        <f>IF(F741&lt;0.8*F724,"ok","revise")</f>
        <v>ok</v>
      </c>
    </row>
    <row r="742" spans="1:8" ht="60" hidden="1" x14ac:dyDescent="0.25">
      <c r="A742" s="216"/>
      <c r="B742" s="207" t="s">
        <v>398</v>
      </c>
      <c r="C742" s="215" t="s">
        <v>236</v>
      </c>
      <c r="D742" s="256" t="str">
        <f>"(2*"&amp;F730&amp;"*10^7/"&amp;F740&amp;"/"&amp;F733&amp;"/"&amp;F739&amp;")"</f>
        <v>(2*0.67*10^7/269.65/1000/76.061)</v>
      </c>
      <c r="F742" s="257">
        <f>2*F730*10^7/F740/F733/F739</f>
        <v>0.65334465547116549</v>
      </c>
      <c r="G742" s="215" t="s">
        <v>652</v>
      </c>
      <c r="H742" s="208" t="str">
        <f>IF(F742&lt;0.45*$F$723,"ok","revise")</f>
        <v>ok</v>
      </c>
    </row>
    <row r="743" spans="1:8" ht="58.5" hidden="1" x14ac:dyDescent="0.3">
      <c r="A743" s="216"/>
      <c r="B743" s="260" t="s">
        <v>660</v>
      </c>
      <c r="C743" s="261" t="s">
        <v>399</v>
      </c>
      <c r="D743" s="256" t="str">
        <f>"(("&amp;F734&amp;"-"&amp;F739&amp;")*"&amp;F741&amp;"/("&amp;F736&amp;"-"&amp;F739&amp;")/"&amp;F727&amp;")"</f>
        <v>((350-76.061)*27.48/(295-76.061)/200000)</v>
      </c>
      <c r="F743" s="262">
        <f>(F734-F739)*F741/(F736-F739)/$F$727</f>
        <v>1.7191646348983049E-4</v>
      </c>
      <c r="G743" s="215" t="s">
        <v>202</v>
      </c>
      <c r="H743" s="263"/>
    </row>
    <row r="744" spans="1:8" ht="57.75" hidden="1" x14ac:dyDescent="0.25">
      <c r="A744" s="216"/>
      <c r="B744" s="260" t="s">
        <v>400</v>
      </c>
      <c r="C744" s="261" t="s">
        <v>236</v>
      </c>
      <c r="D744" s="256" t="str">
        <f>"(("&amp;F733&amp;"*("&amp;F734&amp;"-"&amp;F739&amp;")^2)/(3*"&amp;F727&amp;"*"&amp;F738&amp;"*("&amp;F736&amp;"-"&amp;F739&amp;")))"</f>
        <v>((1000*(350-76.061)^2)/(3*200000*78.71*(295-76.061)))</v>
      </c>
      <c r="F744" s="264">
        <f>(F733*(F734-F739)^2)/(3*$F$727*F751*(F736-F739))</f>
        <v>6.3170049292455286E-4</v>
      </c>
      <c r="G744" s="215" t="s">
        <v>202</v>
      </c>
      <c r="H744" s="248"/>
    </row>
    <row r="745" spans="1:8" ht="29.25" hidden="1" x14ac:dyDescent="0.25">
      <c r="A745" s="216"/>
      <c r="B745" s="260" t="s">
        <v>401</v>
      </c>
      <c r="C745" s="261" t="s">
        <v>236</v>
      </c>
      <c r="D745" s="256" t="str">
        <f>"("&amp;F734&amp;")*("&amp;1000&amp;")+("&amp;10&amp;"*"&amp;ROUND(F738,3)&amp;")"</f>
        <v>(350)*(1000)+(10*78.71)</v>
      </c>
      <c r="F745" s="264">
        <f>ROUND((F743-F744),7)</f>
        <v>-4.5980000000000001E-4</v>
      </c>
      <c r="G745" s="258" t="s">
        <v>202</v>
      </c>
      <c r="H745" s="248"/>
    </row>
    <row r="746" spans="1:8" ht="16.5" hidden="1" x14ac:dyDescent="0.3">
      <c r="A746" s="216"/>
      <c r="B746" s="207" t="s">
        <v>657</v>
      </c>
      <c r="C746" s="215" t="s">
        <v>236</v>
      </c>
      <c r="D746" s="256">
        <f>F746</f>
        <v>83.25</v>
      </c>
      <c r="F746" s="215">
        <f>ROUND((SQRT((D752/2)^2+F735^2)),2)</f>
        <v>83.25</v>
      </c>
      <c r="G746" s="215" t="s">
        <v>202</v>
      </c>
      <c r="H746" s="259"/>
    </row>
    <row r="747" spans="1:8" ht="72" hidden="1" x14ac:dyDescent="0.25">
      <c r="A747" s="216"/>
      <c r="B747" s="207" t="s">
        <v>404</v>
      </c>
      <c r="C747" s="215" t="s">
        <v>405</v>
      </c>
      <c r="D747" s="256" t="str">
        <f>"((3*"&amp;F746&amp;"*"&amp;F745&amp;")/(1+(2*("&amp;F746&amp;"-"&amp;F735&amp;"-10)/("&amp;F734&amp;"-"&amp;F739&amp;"))))"</f>
        <v>((3*83.25*-0.0004598)/(1+(2*(83.25-55-10)/(350-76.061))))</v>
      </c>
      <c r="F747" s="235">
        <f>(3*F746*F745)/(1+(2*(F746-F735-10)/(F734-F739)))</f>
        <v>-0.10133326921536921</v>
      </c>
      <c r="G747" s="215" t="s">
        <v>202</v>
      </c>
      <c r="H747" s="208" t="str">
        <f>IF(F747&lt;0.2,"ok","REVISE")</f>
        <v>ok</v>
      </c>
    </row>
    <row r="748" spans="1:8" hidden="1" x14ac:dyDescent="0.25">
      <c r="A748" s="216"/>
      <c r="B748" s="215" t="s">
        <v>406</v>
      </c>
      <c r="C748" s="265">
        <f>F738</f>
        <v>78.709999999999994</v>
      </c>
      <c r="D748" s="243"/>
      <c r="E748" s="243"/>
      <c r="F748" s="243"/>
      <c r="G748" s="248"/>
      <c r="H748" s="243"/>
    </row>
    <row r="749" spans="1:8" ht="17.25" hidden="1" x14ac:dyDescent="0.25">
      <c r="A749" s="216"/>
      <c r="B749" s="265">
        <v>12</v>
      </c>
      <c r="C749" s="265" t="s">
        <v>300</v>
      </c>
      <c r="D749" s="265">
        <v>125</v>
      </c>
      <c r="E749" s="265" t="s">
        <v>202</v>
      </c>
      <c r="F749" s="243">
        <f>(3.14*0.25*(B749^2))/(D749/1000)</f>
        <v>904.32</v>
      </c>
      <c r="G749" s="266" t="s">
        <v>655</v>
      </c>
      <c r="H749" s="259"/>
    </row>
    <row r="750" spans="1:8" ht="17.25" hidden="1" x14ac:dyDescent="0.25">
      <c r="A750" s="216"/>
      <c r="B750" s="265">
        <v>0</v>
      </c>
      <c r="C750" s="265" t="s">
        <v>300</v>
      </c>
      <c r="D750" s="265">
        <v>200</v>
      </c>
      <c r="E750" s="265" t="s">
        <v>202</v>
      </c>
      <c r="F750" s="243">
        <f>(3.14*0.25*(B750^2))/(D750/1000)</f>
        <v>0</v>
      </c>
      <c r="G750" s="266" t="s">
        <v>655</v>
      </c>
      <c r="H750" s="259"/>
    </row>
    <row r="751" spans="1:8" ht="17.25" hidden="1" x14ac:dyDescent="0.25">
      <c r="A751" s="216"/>
      <c r="B751" s="243"/>
      <c r="C751" s="243"/>
      <c r="D751" s="243"/>
      <c r="E751" s="243"/>
      <c r="F751" s="243">
        <f>SUM(F749:F750)</f>
        <v>904.32</v>
      </c>
      <c r="G751" s="266" t="s">
        <v>655</v>
      </c>
      <c r="H751" s="259"/>
    </row>
    <row r="752" spans="1:8" ht="57.75" hidden="1" x14ac:dyDescent="0.25">
      <c r="A752" s="216"/>
      <c r="B752" s="215"/>
      <c r="C752" s="243" t="s">
        <v>568</v>
      </c>
      <c r="D752" s="243">
        <f>IF(B750&gt;0,D749/2,D749)</f>
        <v>125</v>
      </c>
      <c r="E752" s="243" t="s">
        <v>202</v>
      </c>
      <c r="F752" s="243" t="str">
        <f>IF(F751&gt;C748,"OK","REVISE")</f>
        <v>OK</v>
      </c>
      <c r="G752" s="267" t="str">
        <f>IF(F751&gt;D753,"MORE THAN MINIMUM","REVISE")</f>
        <v>MORE THAN MINIMUM</v>
      </c>
      <c r="H752" s="248"/>
    </row>
    <row r="753" spans="1:14" ht="17.25" hidden="1" x14ac:dyDescent="0.25">
      <c r="A753" s="216"/>
      <c r="B753" s="207" t="s">
        <v>408</v>
      </c>
      <c r="C753" s="268">
        <v>0.14000000000000001</v>
      </c>
      <c r="D753" s="243">
        <f>C753*MIN(F734,500)*1000/100</f>
        <v>490.00000000000006</v>
      </c>
      <c r="E753" s="266" t="s">
        <v>655</v>
      </c>
      <c r="F753" s="243"/>
      <c r="G753" s="243"/>
      <c r="H753" s="248"/>
    </row>
    <row r="754" spans="1:14" ht="30" x14ac:dyDescent="0.25">
      <c r="A754" s="216"/>
      <c r="B754" s="207"/>
      <c r="C754" s="206" t="s">
        <v>409</v>
      </c>
      <c r="D754" s="247"/>
      <c r="E754" s="247"/>
      <c r="F754" s="247"/>
      <c r="G754" s="247"/>
      <c r="H754" s="248"/>
    </row>
    <row r="755" spans="1:14" x14ac:dyDescent="0.25">
      <c r="A755" s="216"/>
      <c r="B755" s="207" t="s">
        <v>410</v>
      </c>
      <c r="C755" s="265"/>
      <c r="D755" s="246"/>
      <c r="E755" s="247"/>
      <c r="F755" s="247">
        <f>Calculation!$F$680</f>
        <v>2.4950000000000001</v>
      </c>
      <c r="G755" s="235" t="s">
        <v>285</v>
      </c>
      <c r="H755" s="247"/>
    </row>
    <row r="756" spans="1:14" ht="27.75" customHeight="1" x14ac:dyDescent="0.25">
      <c r="A756" s="216"/>
      <c r="B756" s="207" t="s">
        <v>411</v>
      </c>
      <c r="D756" s="248"/>
      <c r="E756" s="269" t="str">
        <f>CONCATENATE(F755,"*10^4/",F691,"/",F692)</f>
        <v>2.495*10^4/1000/295</v>
      </c>
      <c r="F756" s="235">
        <f>F755*10^4/F691/F692</f>
        <v>8.4576271186440677E-2</v>
      </c>
      <c r="G756" s="208"/>
      <c r="H756" s="248"/>
    </row>
    <row r="757" spans="1:14" ht="24" customHeight="1" x14ac:dyDescent="0.25">
      <c r="A757" s="216"/>
      <c r="B757" s="207" t="s">
        <v>291</v>
      </c>
      <c r="C757" s="270"/>
      <c r="D757" s="226"/>
      <c r="E757" s="15" t="str">
        <f>"("&amp;F707&amp;"/"&amp;F691&amp;"/"&amp;F692&amp;"*100)"</f>
        <v>(565.2/1000/295*100)</v>
      </c>
      <c r="F757" s="235">
        <f>F707/F691/F692*100</f>
        <v>0.19159322033898304</v>
      </c>
      <c r="G757" s="208"/>
      <c r="H757" s="226"/>
    </row>
    <row r="758" spans="1:14" ht="30" x14ac:dyDescent="0.25">
      <c r="A758" s="216"/>
      <c r="B758" s="207" t="s">
        <v>290</v>
      </c>
      <c r="C758" s="231" t="s">
        <v>236</v>
      </c>
      <c r="D758" s="215"/>
      <c r="F758" s="246">
        <f>LOOKUP(F757,tc!C6:C42,tc!D6:D42)</f>
        <v>0.21200000000000002</v>
      </c>
      <c r="G758" s="605" t="str">
        <f>IF(F758&lt;F756,"section is to be revised","section is safe")</f>
        <v>section is safe</v>
      </c>
      <c r="H758" s="215"/>
    </row>
    <row r="759" spans="1:14" ht="18.75" x14ac:dyDescent="0.3">
      <c r="A759" s="6"/>
      <c r="B759" s="24" t="s">
        <v>319</v>
      </c>
      <c r="C759" s="6"/>
      <c r="D759" s="6"/>
      <c r="E759" s="6"/>
      <c r="F759" s="43">
        <f>$F$622</f>
        <v>30.241542817786261</v>
      </c>
      <c r="G759" s="3" t="s">
        <v>229</v>
      </c>
    </row>
    <row r="760" spans="1:14" ht="18.75" x14ac:dyDescent="0.3">
      <c r="A760" s="6"/>
      <c r="B760" s="24"/>
      <c r="C760" s="6"/>
      <c r="D760" s="6"/>
      <c r="E760" s="6"/>
      <c r="F760" s="43"/>
    </row>
    <row r="761" spans="1:14" x14ac:dyDescent="0.25">
      <c r="A761" s="36" t="s">
        <v>162</v>
      </c>
      <c r="B761" s="37" t="s">
        <v>163</v>
      </c>
      <c r="C761" s="36"/>
      <c r="D761" s="23"/>
      <c r="E761" s="6"/>
    </row>
    <row r="762" spans="1:14" x14ac:dyDescent="0.25">
      <c r="A762" s="6"/>
      <c r="B762" s="12"/>
      <c r="C762" s="5"/>
      <c r="D762" s="6"/>
      <c r="E762" s="6"/>
    </row>
    <row r="763" spans="1:14" x14ac:dyDescent="0.25">
      <c r="A763" s="6"/>
      <c r="B763" s="12" t="s">
        <v>168</v>
      </c>
      <c r="C763" s="5" t="s">
        <v>269</v>
      </c>
      <c r="D763" s="6" t="s">
        <v>236</v>
      </c>
      <c r="E763" s="6" t="s">
        <v>236</v>
      </c>
      <c r="F763" s="13">
        <f>ROUND(Calculation!$G$101,3)</f>
        <v>5.6070000000000002</v>
      </c>
      <c r="G763" s="3" t="s">
        <v>110</v>
      </c>
    </row>
    <row r="764" spans="1:14" x14ac:dyDescent="0.25">
      <c r="A764" s="6"/>
      <c r="B764" s="12"/>
      <c r="C764" s="5"/>
      <c r="D764" s="6"/>
      <c r="E764" s="6"/>
    </row>
    <row r="765" spans="1:14" x14ac:dyDescent="0.25">
      <c r="A765" s="6"/>
      <c r="B765" s="12"/>
      <c r="C765" s="5"/>
      <c r="D765" s="6"/>
      <c r="E765" s="6"/>
    </row>
    <row r="766" spans="1:14" x14ac:dyDescent="0.25">
      <c r="A766" s="6"/>
      <c r="B766" s="20" t="s">
        <v>144</v>
      </c>
      <c r="C766" s="5"/>
      <c r="D766" s="6" t="s">
        <v>270</v>
      </c>
      <c r="E766" s="19" t="str">
        <f>"(2*(22/7)*"&amp;ROUND(F763,3)&amp;"*"&amp;Calculation!E94&amp;"*"&amp;Calculation!D92&amp;"*"&amp;Calculation!F44&amp;")"</f>
        <v>(2*(22/7)*5.607*1.267*0.2*2.4)</v>
      </c>
      <c r="F766" s="3">
        <f>2*(22/7)*F763*Calculation!E94*Calculation!D92*Calculation!F44</f>
        <v>21.433991040000002</v>
      </c>
      <c r="G766" s="3" t="s">
        <v>117</v>
      </c>
    </row>
    <row r="767" spans="1:14" x14ac:dyDescent="0.25">
      <c r="A767" s="6"/>
      <c r="B767" s="20" t="s">
        <v>1057</v>
      </c>
      <c r="C767" s="5"/>
      <c r="D767" s="6"/>
      <c r="E767" s="19" t="str">
        <f>CONCATENATE("2*3.14*",E94,"*",F763)</f>
        <v>2*3.14*1.267*5.607</v>
      </c>
      <c r="F767" s="3">
        <f>ROUND(2*3.14*E94*F763,3)</f>
        <v>44.613999999999997</v>
      </c>
      <c r="G767" s="3" t="s">
        <v>610</v>
      </c>
    </row>
    <row r="768" spans="1:14" ht="26.25" x14ac:dyDescent="0.25">
      <c r="A768" s="6"/>
      <c r="B768" s="20" t="s">
        <v>61</v>
      </c>
      <c r="C768" s="5" t="s">
        <v>72</v>
      </c>
      <c r="D768" s="6" t="s">
        <v>63</v>
      </c>
      <c r="E768" s="19" t="str">
        <f>"((22/7)*(3*"&amp;Calculation!E96&amp;"^2+"&amp;Calculation!E94&amp;"^2)*"&amp;Calculation!E94&amp;"/6)"</f>
        <v>((22/7)*(3*3.55^2+1.267^2)*1.267/6)</v>
      </c>
      <c r="F768" s="3">
        <f>(22/7)*(3*Calculation!E96^2+Calculation!E94^2)*Calculation!E94/6</f>
        <v>26.156954299666666</v>
      </c>
      <c r="G768" s="3" t="s">
        <v>117</v>
      </c>
      <c r="L768" s="20"/>
      <c r="M768" s="4"/>
      <c r="N768" s="6"/>
    </row>
    <row r="769" spans="1:14" x14ac:dyDescent="0.25">
      <c r="A769" s="6"/>
      <c r="B769" s="20"/>
      <c r="C769" s="5"/>
      <c r="D769" s="6"/>
      <c r="E769" s="19"/>
      <c r="L769" s="113"/>
      <c r="M769" s="4"/>
      <c r="N769" s="6"/>
    </row>
    <row r="770" spans="1:14" ht="30" customHeight="1" x14ac:dyDescent="0.25">
      <c r="A770" s="6"/>
      <c r="B770" s="20" t="s">
        <v>191</v>
      </c>
      <c r="C770" s="5"/>
      <c r="D770" s="6" t="s">
        <v>271</v>
      </c>
      <c r="E770" s="19" t="str">
        <f>"((22/7)*"&amp;Calculation!F61&amp;"^2*"&amp;Calculation!F88&amp;"/4-"&amp;ROUND(Calculation!F768,3)&amp;")"</f>
        <v>((22/7)*7.1^2*4.65/4-26.157)</v>
      </c>
      <c r="F770" s="3">
        <f>(22/7)*Calculation!F61^2*Calculation!F88/4-Calculation!F768</f>
        <v>158.01958141461907</v>
      </c>
      <c r="G770" s="3" t="s">
        <v>117</v>
      </c>
      <c r="L770" s="20"/>
      <c r="M770" s="4"/>
      <c r="N770" s="6"/>
    </row>
    <row r="771" spans="1:14" x14ac:dyDescent="0.25">
      <c r="A771" s="6"/>
      <c r="B771" s="12"/>
      <c r="C771" s="5"/>
      <c r="D771" s="6"/>
      <c r="E771" s="6"/>
    </row>
    <row r="772" spans="1:14" ht="22.5" customHeight="1" x14ac:dyDescent="0.25">
      <c r="A772" s="6"/>
      <c r="B772" s="12" t="s">
        <v>169</v>
      </c>
      <c r="C772" s="5" t="s">
        <v>170</v>
      </c>
      <c r="D772" s="6"/>
      <c r="E772" s="6" t="str">
        <f>"("&amp;ROUND(F766,3)&amp;"+"&amp;ROUND(F770,3)&amp;")"</f>
        <v>(21.434+158.02)</v>
      </c>
      <c r="F772" s="3">
        <f>ROUND((F770+F766),3)</f>
        <v>179.45400000000001</v>
      </c>
      <c r="G772" s="3" t="s">
        <v>117</v>
      </c>
    </row>
    <row r="773" spans="1:14" x14ac:dyDescent="0.25">
      <c r="A773" s="6"/>
      <c r="B773" s="12"/>
      <c r="C773" s="5"/>
      <c r="D773" s="6"/>
      <c r="E773" s="6"/>
    </row>
    <row r="774" spans="1:14" x14ac:dyDescent="0.25">
      <c r="A774" s="6"/>
      <c r="B774" s="12" t="s">
        <v>274</v>
      </c>
      <c r="C774" s="5"/>
      <c r="D774" s="6"/>
      <c r="E774" s="6" t="str">
        <f>"(("&amp;F772&amp;")/((22/7)*"&amp;(Calculation!F61)&amp;"^2*0.25))"</f>
        <v>((179.454)/((22/7)*7.1^2*0.25))</v>
      </c>
      <c r="F774" s="93">
        <f>(F772)/((22/7)*(F61)^2*0.25)</f>
        <v>4.5307677048204722</v>
      </c>
      <c r="G774" s="3" t="s">
        <v>254</v>
      </c>
    </row>
    <row r="775" spans="1:14" x14ac:dyDescent="0.25">
      <c r="A775" s="6"/>
      <c r="B775" s="12"/>
      <c r="C775" s="5"/>
      <c r="D775" s="6"/>
      <c r="E775" s="6"/>
    </row>
    <row r="776" spans="1:14" ht="30" customHeight="1" x14ac:dyDescent="0.25">
      <c r="A776" s="9" t="s">
        <v>13</v>
      </c>
      <c r="B776" s="20" t="s">
        <v>89</v>
      </c>
      <c r="C776" s="5" t="s">
        <v>179</v>
      </c>
      <c r="D776" s="6" t="s">
        <v>171</v>
      </c>
      <c r="E776" s="19" t="str">
        <f>"("&amp;ROUND(F774,3)&amp;"*"&amp;ROUND(F763,3)&amp;"/(1+COS(RADIANS("&amp;ROUND(Calculation!G160,3)&amp;"))))"</f>
        <v>(4.531*5.607/(1+COS(RADIANS(35.919))))</v>
      </c>
      <c r="F776" s="13">
        <f>F774*F763/(1+COS(RADIANS(Calculation!G160)))</f>
        <v>14.036555077289744</v>
      </c>
      <c r="G776" s="3" t="s">
        <v>91</v>
      </c>
    </row>
    <row r="777" spans="1:14" x14ac:dyDescent="0.25">
      <c r="A777" s="38"/>
      <c r="B777" s="12"/>
      <c r="C777" s="5"/>
      <c r="D777" s="6"/>
      <c r="E777" s="6"/>
    </row>
    <row r="778" spans="1:14" ht="53.25" customHeight="1" x14ac:dyDescent="0.25">
      <c r="A778" s="9" t="s">
        <v>13</v>
      </c>
      <c r="B778" s="20" t="s">
        <v>92</v>
      </c>
      <c r="C778" s="5" t="s">
        <v>93</v>
      </c>
      <c r="D778" s="6" t="s">
        <v>172</v>
      </c>
      <c r="E778" s="19" t="str">
        <f>"("&amp;ROUND(F774,3)&amp;"*"&amp;ROUND(F763,3)&amp;"*(COS(RADIANS("&amp;ROUND(Calculation!G160,3)&amp;"))-1/(1+COS(RADIANS("&amp;ROUND(Calculation!G160,3)&amp;")))))"</f>
        <v>(4.531*5.607*(COS(RADIANS(35.919))-1/(1+COS(RADIANS(35.919)))))</v>
      </c>
      <c r="F778" s="13">
        <f>F774*F763*(COS(RADIANS(Calculation!G160))-1/(1+COS(RADIANS(Calculation!G160))))</f>
        <v>6.5368052082041599</v>
      </c>
      <c r="G778" s="3" t="s">
        <v>91</v>
      </c>
      <c r="H778" s="157"/>
    </row>
    <row r="779" spans="1:14" x14ac:dyDescent="0.25">
      <c r="A779" s="38"/>
      <c r="B779" s="12"/>
      <c r="C779" s="5"/>
      <c r="D779" s="6"/>
      <c r="E779" s="6"/>
      <c r="H779" s="157"/>
    </row>
    <row r="780" spans="1:14" ht="27" customHeight="1" x14ac:dyDescent="0.25">
      <c r="A780" s="9" t="s">
        <v>13</v>
      </c>
      <c r="B780" s="20" t="s">
        <v>94</v>
      </c>
      <c r="C780" s="5" t="s">
        <v>95</v>
      </c>
      <c r="D780" s="6"/>
      <c r="E780" s="19" t="str">
        <f>"("&amp;ROUND(F776,3)&amp;"*10^4/1000/"&amp;Calculation!D92&amp;"/1000)"</f>
        <v>(14.037*10^4/1000/0.2/1000)</v>
      </c>
      <c r="F780" s="13">
        <f>F776*10^4/1000/Calculation!D92/1000</f>
        <v>0.70182775386448704</v>
      </c>
      <c r="G780" s="3" t="s">
        <v>116</v>
      </c>
    </row>
    <row r="781" spans="1:14" x14ac:dyDescent="0.25">
      <c r="A781" s="38"/>
      <c r="B781" s="12"/>
      <c r="C781" s="5"/>
      <c r="D781" s="6"/>
      <c r="E781" s="6"/>
      <c r="F781" s="13" t="str">
        <f>IF(F780&gt;5,"REVISES THKNESS","OK")</f>
        <v>OK</v>
      </c>
    </row>
    <row r="782" spans="1:14" ht="28.5" customHeight="1" x14ac:dyDescent="0.25">
      <c r="A782" s="9" t="s">
        <v>13</v>
      </c>
      <c r="B782" s="20" t="s">
        <v>96</v>
      </c>
      <c r="C782" s="5" t="s">
        <v>97</v>
      </c>
      <c r="D782" s="6"/>
      <c r="E782" s="19" t="str">
        <f>"("&amp;ROUND(F778,3)&amp;"*10^4/1000/"&amp;Calculation!D92&amp;"/1000)"</f>
        <v>(6.537*10^4/1000/0.2/1000)</v>
      </c>
      <c r="F782" s="13">
        <f>F778*10^4/1000/Calculation!D92/1000</f>
        <v>0.32684026041020797</v>
      </c>
      <c r="G782" s="3" t="s">
        <v>116</v>
      </c>
    </row>
    <row r="783" spans="1:14" x14ac:dyDescent="0.25">
      <c r="A783" s="6"/>
      <c r="B783" s="12"/>
      <c r="C783" s="5"/>
      <c r="D783" s="6"/>
      <c r="E783" s="6"/>
      <c r="F783" s="13" t="str">
        <f>IF(F782&gt;5,"REVISES THKNESS","OK")</f>
        <v>OK</v>
      </c>
    </row>
    <row r="784" spans="1:14" ht="18.75" x14ac:dyDescent="0.25">
      <c r="A784" s="6"/>
      <c r="B784" s="12" t="s">
        <v>678</v>
      </c>
      <c r="C784" s="5"/>
      <c r="D784" s="6"/>
      <c r="E784" s="6"/>
      <c r="F784" s="13">
        <f>0.14*Calculation!D92*1000*1000/100</f>
        <v>280.00000000000006</v>
      </c>
      <c r="G784" s="3" t="s">
        <v>98</v>
      </c>
    </row>
    <row r="785" spans="1:11" ht="18.75" x14ac:dyDescent="0.25">
      <c r="A785" s="6"/>
      <c r="B785" s="654">
        <v>10</v>
      </c>
      <c r="C785" s="5" t="s">
        <v>300</v>
      </c>
      <c r="D785" s="567">
        <v>250</v>
      </c>
      <c r="F785" s="13">
        <f>22/7*B785^2*0.25/(D785/1000)</f>
        <v>314.28571428571428</v>
      </c>
      <c r="G785" s="3" t="s">
        <v>231</v>
      </c>
      <c r="H785" s="41" t="str">
        <f>IF(F785&gt;F784,"ok","rev")</f>
        <v>ok</v>
      </c>
    </row>
    <row r="786" spans="1:11" ht="18.75" x14ac:dyDescent="0.25">
      <c r="A786" s="6"/>
      <c r="B786" s="9" t="s">
        <v>559</v>
      </c>
      <c r="C786" s="5" t="s">
        <v>192</v>
      </c>
      <c r="D786" s="40">
        <f>IF(F86&lt;14,P351/2,VLOOKUP(F65,O351:P365,2,FALSE))</f>
        <v>0.14000000000000001</v>
      </c>
      <c r="E786" s="6"/>
      <c r="F786" s="13">
        <f>D786*1000*Calculation!D92*1000/100</f>
        <v>280</v>
      </c>
      <c r="G786" s="3" t="s">
        <v>231</v>
      </c>
      <c r="H786" s="41" t="str">
        <f>IF(F785&gt;F786,"ok","rev")</f>
        <v>ok</v>
      </c>
    </row>
    <row r="787" spans="1:11" ht="25.5" x14ac:dyDescent="0.25">
      <c r="A787" s="6"/>
      <c r="B787" s="506" t="s">
        <v>320</v>
      </c>
      <c r="C787" s="6" t="s">
        <v>236</v>
      </c>
      <c r="D787" s="6"/>
      <c r="E787" s="6"/>
      <c r="F787" s="166">
        <f>$F$766</f>
        <v>21.433991040000002</v>
      </c>
      <c r="G787" s="3" t="s">
        <v>229</v>
      </c>
    </row>
    <row r="788" spans="1:11" x14ac:dyDescent="0.25">
      <c r="A788" s="6"/>
      <c r="B788" s="24"/>
      <c r="C788" s="6"/>
      <c r="D788" s="6"/>
      <c r="E788" s="6"/>
      <c r="F788" s="166"/>
    </row>
    <row r="789" spans="1:11" ht="20.25" x14ac:dyDescent="0.3">
      <c r="A789" s="6"/>
      <c r="B789" s="636" t="s">
        <v>1132</v>
      </c>
      <c r="C789" s="637"/>
      <c r="D789" s="6"/>
      <c r="E789" s="6"/>
      <c r="F789" s="166"/>
    </row>
    <row r="790" spans="1:11" x14ac:dyDescent="0.25">
      <c r="A790" s="6"/>
      <c r="B790" s="24"/>
      <c r="C790" s="6"/>
      <c r="D790" s="6"/>
      <c r="E790" s="6"/>
      <c r="F790" s="166"/>
    </row>
    <row r="791" spans="1:11" x14ac:dyDescent="0.25">
      <c r="A791" s="6"/>
      <c r="B791" s="507" t="s">
        <v>1133</v>
      </c>
      <c r="C791" s="6"/>
      <c r="D791" s="6"/>
      <c r="E791" s="6"/>
      <c r="F791" s="166"/>
    </row>
    <row r="792" spans="1:11" x14ac:dyDescent="0.25">
      <c r="A792" s="6"/>
      <c r="B792" s="24"/>
      <c r="C792" s="6"/>
      <c r="D792" s="6"/>
      <c r="E792" s="6"/>
      <c r="F792" s="166"/>
      <c r="K792" s="182"/>
    </row>
    <row r="793" spans="1:11" ht="17.25" x14ac:dyDescent="0.25">
      <c r="A793" s="6"/>
      <c r="B793" s="476" t="str">
        <f>"Load per unit area w ="</f>
        <v>Load per unit area w =</v>
      </c>
      <c r="C793" s="476"/>
      <c r="E793" s="484" t="s">
        <v>442</v>
      </c>
      <c r="F793" s="508">
        <f>ROUND(F774*10,2)</f>
        <v>45.31</v>
      </c>
      <c r="G793" s="482" t="s">
        <v>1134</v>
      </c>
    </row>
    <row r="794" spans="1:11" ht="49.5" customHeight="1" x14ac:dyDescent="0.25">
      <c r="A794" s="6"/>
      <c r="B794" s="1151" t="str">
        <f>"Moment at sprinings  = WRt/4 √3  ="&amp;F793&amp;" x"&amp;G101&amp;"x"&amp;(D93)&amp;"/(4x√3)"</f>
        <v>Moment at sprinings  = WRt/4 √3  =45.31 x5.6069x0.3/(4x√3)</v>
      </c>
      <c r="C794" s="1151"/>
      <c r="E794" s="484" t="s">
        <v>442</v>
      </c>
      <c r="F794" s="509">
        <f>ROUND(F793*G101*(D93)/(4*SQRT(3)),2)</f>
        <v>11</v>
      </c>
      <c r="G794" s="482" t="s">
        <v>1135</v>
      </c>
    </row>
    <row r="795" spans="1:11" x14ac:dyDescent="0.25">
      <c r="A795" s="6"/>
      <c r="B795" s="476" t="s">
        <v>1136</v>
      </c>
      <c r="C795" s="479"/>
      <c r="E795" s="484" t="s">
        <v>442</v>
      </c>
      <c r="F795" s="508">
        <f>ABS('cont ana'!D520/1000)</f>
        <v>20.39528</v>
      </c>
      <c r="G795" s="482" t="s">
        <v>1135</v>
      </c>
    </row>
    <row r="796" spans="1:11" x14ac:dyDescent="0.25">
      <c r="A796" s="6"/>
      <c r="B796" s="476" t="s">
        <v>1137</v>
      </c>
      <c r="C796" s="479"/>
      <c r="E796" s="484" t="s">
        <v>442</v>
      </c>
      <c r="F796" s="508">
        <f>ROUNDUP(MAX(F794:F795),2)</f>
        <v>20.400000000000002</v>
      </c>
      <c r="G796" s="482" t="s">
        <v>1135</v>
      </c>
    </row>
    <row r="797" spans="1:11" ht="40.5" customHeight="1" x14ac:dyDescent="0.25">
      <c r="A797" s="6"/>
      <c r="B797" s="1151" t="str">
        <f>"Depth Required  (un cracked)   =  Sqrt (( "&amp;F796&amp;"x 10^6) /("&amp;E41&amp;"x1000))"</f>
        <v>Depth Required  (un cracked)   =  Sqrt (( 20.4x 10^6) /(x1000))</v>
      </c>
      <c r="C797" s="1151"/>
      <c r="E797" s="484" t="s">
        <v>442</v>
      </c>
      <c r="F797" s="508">
        <f>SQRT((F796*10^6)/(intro!J109*1000))</f>
        <v>248.63262420322445</v>
      </c>
      <c r="G797" s="476" t="s">
        <v>202</v>
      </c>
    </row>
    <row r="798" spans="1:11" x14ac:dyDescent="0.25">
      <c r="A798" s="6"/>
      <c r="B798" s="476" t="str">
        <f>"Provided thickness at Springings"</f>
        <v>Provided thickness at Springings</v>
      </c>
      <c r="C798" s="476"/>
      <c r="E798" s="484" t="s">
        <v>442</v>
      </c>
      <c r="F798" s="510">
        <f>D93*1000</f>
        <v>300</v>
      </c>
      <c r="G798" s="476" t="s">
        <v>202</v>
      </c>
      <c r="H798" s="511" t="str">
        <f>IF(F797&lt;F798," OK","Revise")</f>
        <v xml:space="preserve"> OK</v>
      </c>
    </row>
    <row r="799" spans="1:11" x14ac:dyDescent="0.25">
      <c r="A799" s="6"/>
      <c r="B799" s="476" t="s">
        <v>494</v>
      </c>
      <c r="C799" s="476"/>
      <c r="E799" s="484" t="s">
        <v>442</v>
      </c>
      <c r="F799" s="512">
        <v>45</v>
      </c>
      <c r="G799" s="476" t="s">
        <v>202</v>
      </c>
    </row>
    <row r="800" spans="1:11" x14ac:dyDescent="0.25">
      <c r="A800" s="6"/>
      <c r="B800" s="476" t="s">
        <v>1083</v>
      </c>
      <c r="C800" s="476"/>
      <c r="E800" s="484" t="s">
        <v>442</v>
      </c>
      <c r="F800" s="508">
        <f>F798-F799</f>
        <v>255</v>
      </c>
      <c r="G800" s="476" t="s">
        <v>202</v>
      </c>
    </row>
    <row r="801" spans="1:8" ht="36" customHeight="1" x14ac:dyDescent="0.25">
      <c r="A801" s="6"/>
      <c r="B801" s="1151" t="str">
        <f>"Stiffen the dome over a length of 0.76√ Rt=0.76*√"&amp;G101&amp;"*"&amp;(D93)</f>
        <v>Stiffen the dome over a length of 0.76√ Rt=0.76*√5.6069*0.3</v>
      </c>
      <c r="C801" s="1151"/>
      <c r="E801" s="484" t="s">
        <v>442</v>
      </c>
      <c r="F801" s="508">
        <f>0.76*SQRT(G101*(D93))</f>
        <v>0.98567927440927761</v>
      </c>
      <c r="G801" s="476" t="s">
        <v>74</v>
      </c>
    </row>
    <row r="802" spans="1:8" x14ac:dyDescent="0.25">
      <c r="A802" s="6"/>
      <c r="B802" s="476"/>
      <c r="C802" s="483" t="s">
        <v>1070</v>
      </c>
      <c r="E802" s="484" t="s">
        <v>1138</v>
      </c>
      <c r="F802" s="514">
        <f>ROUNDUP(F801,1)</f>
        <v>1</v>
      </c>
      <c r="G802" s="476" t="s">
        <v>74</v>
      </c>
      <c r="H802" s="511" t="str">
        <f>IF(F801&lt;F802," OK","Revise")</f>
        <v xml:space="preserve"> OK</v>
      </c>
    </row>
    <row r="803" spans="1:8" ht="30.75" customHeight="1" x14ac:dyDescent="0.25">
      <c r="A803" s="6"/>
      <c r="B803" s="1151" t="s">
        <v>1139</v>
      </c>
      <c r="C803" s="1151"/>
      <c r="E803" s="484" t="s">
        <v>442</v>
      </c>
      <c r="F803" s="508">
        <f>'cont ana'!F518</f>
        <v>208303.64</v>
      </c>
      <c r="G803" s="476" t="s">
        <v>832</v>
      </c>
    </row>
    <row r="804" spans="1:8" x14ac:dyDescent="0.25">
      <c r="A804" s="6"/>
      <c r="B804" s="476" t="str">
        <f>CONCATENATE(F803,"/ 1000 *",D92*1000)</f>
        <v>208303.64/ 1000 *200</v>
      </c>
      <c r="E804" s="484" t="s">
        <v>442</v>
      </c>
      <c r="F804" s="508">
        <f>F803/(1000*D92*1000)</f>
        <v>1.0415182000000001</v>
      </c>
      <c r="G804" s="513" t="s">
        <v>1093</v>
      </c>
    </row>
    <row r="805" spans="1:8" x14ac:dyDescent="0.25">
      <c r="A805" s="6"/>
      <c r="B805" s="476"/>
      <c r="C805" s="476"/>
      <c r="E805" s="484" t="s">
        <v>1068</v>
      </c>
      <c r="F805" s="508" t="str">
        <f>intro!J63</f>
        <v>1.5</v>
      </c>
      <c r="G805" s="513" t="s">
        <v>1093</v>
      </c>
      <c r="H805" s="511" t="str">
        <f>IF(F804&lt;F805,"OK","Revise")</f>
        <v>OK</v>
      </c>
    </row>
    <row r="806" spans="1:8" x14ac:dyDescent="0.25">
      <c r="A806" s="6"/>
      <c r="B806" s="476" t="s">
        <v>1140</v>
      </c>
      <c r="C806" s="476"/>
      <c r="E806" s="484" t="s">
        <v>442</v>
      </c>
      <c r="F806" s="508">
        <f>'cont ana'!F520</f>
        <v>119030.65</v>
      </c>
      <c r="G806" s="476" t="s">
        <v>899</v>
      </c>
    </row>
    <row r="807" spans="1:8" x14ac:dyDescent="0.25">
      <c r="A807" s="6"/>
      <c r="B807" s="476" t="s">
        <v>1141</v>
      </c>
      <c r="C807" s="476"/>
      <c r="D807" s="484"/>
      <c r="E807" s="508"/>
      <c r="F807" s="513"/>
      <c r="G807" s="511"/>
      <c r="H807" s="493"/>
    </row>
    <row r="808" spans="1:8" ht="17.25" x14ac:dyDescent="0.25">
      <c r="A808" s="6"/>
      <c r="B808" s="476" t="str">
        <f>CONCATENATE("Area of hoop steel required = ",F806,"*",F802*1000," /1000 / ",intro!J53)</f>
        <v>Area of hoop steel required = 119030.65*1000 /1000 / 130</v>
      </c>
      <c r="C808" s="476"/>
      <c r="D808" s="10"/>
      <c r="E808" s="484" t="s">
        <v>442</v>
      </c>
      <c r="F808" s="508">
        <f>F806*(F802*1000)/1000/intro!J53</f>
        <v>915.62038461538452</v>
      </c>
      <c r="G808" s="513" t="s">
        <v>1071</v>
      </c>
      <c r="H808" s="493"/>
    </row>
    <row r="809" spans="1:8" ht="17.25" x14ac:dyDescent="0.25">
      <c r="A809" s="6"/>
      <c r="B809" s="476" t="str">
        <f>CONCATENATE("Min steel required = ")</f>
        <v xml:space="preserve">Min steel required = </v>
      </c>
      <c r="C809" s="476"/>
      <c r="E809" s="484" t="s">
        <v>442</v>
      </c>
      <c r="F809" s="508">
        <f>(D786*F802*1000*(D93+D92)/2*1000)/100*2</f>
        <v>700</v>
      </c>
      <c r="G809" s="513" t="s">
        <v>1071</v>
      </c>
      <c r="H809" s="493"/>
    </row>
    <row r="810" spans="1:8" x14ac:dyDescent="0.25">
      <c r="A810" s="6"/>
      <c r="B810" s="515" t="s">
        <v>1142</v>
      </c>
      <c r="C810" s="476"/>
      <c r="E810" s="484" t="s">
        <v>442</v>
      </c>
      <c r="F810" s="514">
        <v>16</v>
      </c>
      <c r="G810" s="513" t="s">
        <v>202</v>
      </c>
      <c r="H810" s="493"/>
    </row>
    <row r="811" spans="1:8" ht="17.25" x14ac:dyDescent="0.25">
      <c r="A811" s="6"/>
      <c r="B811" s="515" t="s">
        <v>1143</v>
      </c>
      <c r="C811" s="476"/>
      <c r="E811" s="484" t="s">
        <v>442</v>
      </c>
      <c r="F811" s="508">
        <f>(3.14/4)*F810*F810</f>
        <v>200.96</v>
      </c>
      <c r="G811" s="513" t="s">
        <v>1071</v>
      </c>
      <c r="H811" s="493"/>
    </row>
    <row r="812" spans="1:8" x14ac:dyDescent="0.25">
      <c r="A812" s="6"/>
      <c r="B812" s="476" t="s">
        <v>1074</v>
      </c>
      <c r="C812" s="476"/>
      <c r="E812" s="484" t="s">
        <v>442</v>
      </c>
      <c r="F812" s="508">
        <f>MAX(F808:F809)/F811</f>
        <v>4.5562320094316506</v>
      </c>
      <c r="G812" s="513" t="s">
        <v>1075</v>
      </c>
      <c r="H812" s="493"/>
    </row>
    <row r="813" spans="1:8" x14ac:dyDescent="0.25">
      <c r="A813" s="6"/>
      <c r="B813" s="476" t="s">
        <v>1076</v>
      </c>
      <c r="C813" s="476"/>
      <c r="E813" s="484" t="s">
        <v>442</v>
      </c>
      <c r="F813" s="514">
        <f>ROUNDUP(F812,0)</f>
        <v>5</v>
      </c>
      <c r="G813" s="513" t="s">
        <v>1075</v>
      </c>
      <c r="H813" s="493"/>
    </row>
    <row r="814" spans="1:8" x14ac:dyDescent="0.25">
      <c r="A814" s="6"/>
      <c r="B814" s="476" t="s">
        <v>1356</v>
      </c>
      <c r="C814" s="476"/>
      <c r="D814" s="484"/>
      <c r="E814" s="508"/>
      <c r="F814" s="914">
        <f>F785</f>
        <v>314.28571428571428</v>
      </c>
      <c r="G814" s="493"/>
      <c r="H814" s="493"/>
    </row>
    <row r="815" spans="1:8" x14ac:dyDescent="0.25">
      <c r="A815" s="6"/>
      <c r="B815" s="476" t="str">
        <f>"Ast reqd   = "&amp;F796&amp;" x 10^6   /("&amp;intro!J83&amp;"x"&amp;ROUND(intro!J88,2)&amp;"x"&amp;F800&amp;")"</f>
        <v>Ast reqd   = 20.4 x 10^6   /(130x0.86x255)</v>
      </c>
      <c r="C815" s="476"/>
      <c r="E815" s="484" t="s">
        <v>442</v>
      </c>
      <c r="F815" s="516">
        <f>(F796*10^6)/(intro!J83*intro!J88*F800)-F814</f>
        <v>401.27779197546653</v>
      </c>
      <c r="G815" s="482" t="s">
        <v>1144</v>
      </c>
      <c r="H815" s="493"/>
    </row>
    <row r="816" spans="1:8" x14ac:dyDescent="0.25">
      <c r="A816" s="6"/>
      <c r="B816" s="517" t="s">
        <v>1145</v>
      </c>
      <c r="C816" s="484"/>
      <c r="E816" s="484" t="s">
        <v>442</v>
      </c>
      <c r="F816" s="520">
        <v>12</v>
      </c>
      <c r="G816" s="484" t="s">
        <v>202</v>
      </c>
      <c r="H816" s="484"/>
    </row>
    <row r="817" spans="1:8" ht="17.25" x14ac:dyDescent="0.25">
      <c r="A817" s="6"/>
      <c r="B817" s="517" t="s">
        <v>1146</v>
      </c>
      <c r="C817" s="484"/>
      <c r="D817" s="179"/>
      <c r="E817" s="484" t="s">
        <v>442</v>
      </c>
      <c r="F817" s="484">
        <f>ROUND((PI()/4) *F816^2,2)</f>
        <v>113.1</v>
      </c>
      <c r="G817" s="484" t="s">
        <v>1071</v>
      </c>
      <c r="H817" s="484"/>
    </row>
    <row r="818" spans="1:8" x14ac:dyDescent="0.25">
      <c r="A818" s="6"/>
      <c r="B818" s="1181" t="s">
        <v>1147</v>
      </c>
      <c r="C818" s="1181"/>
      <c r="E818" s="484" t="s">
        <v>442</v>
      </c>
      <c r="F818" s="484">
        <f>ROUND(F817/(F815),2)*1000</f>
        <v>280</v>
      </c>
      <c r="G818" s="484" t="s">
        <v>202</v>
      </c>
      <c r="H818" s="484"/>
    </row>
    <row r="819" spans="1:8" x14ac:dyDescent="0.25">
      <c r="A819" s="6"/>
      <c r="B819" s="1181" t="s">
        <v>1148</v>
      </c>
      <c r="C819" s="1181"/>
      <c r="E819" s="484" t="s">
        <v>442</v>
      </c>
      <c r="F819" s="520">
        <v>250</v>
      </c>
      <c r="G819" s="484" t="s">
        <v>202</v>
      </c>
      <c r="H819" s="484"/>
    </row>
    <row r="820" spans="1:8" x14ac:dyDescent="0.25">
      <c r="A820" s="6"/>
      <c r="B820" s="1181" t="s">
        <v>1149</v>
      </c>
      <c r="C820" s="1181"/>
      <c r="E820" s="484" t="s">
        <v>442</v>
      </c>
      <c r="F820" s="518">
        <f>(F817/F819)*1000</f>
        <v>452.4</v>
      </c>
      <c r="G820" s="484" t="s">
        <v>1144</v>
      </c>
      <c r="H820" s="915" t="str">
        <f>IF(F820&gt;F815,"ok","not ok")</f>
        <v>ok</v>
      </c>
    </row>
    <row r="821" spans="1:8" ht="15.75" customHeight="1" x14ac:dyDescent="0.25">
      <c r="A821" s="6"/>
      <c r="B821" s="1180" t="str">
        <f>CONCATENATE("Increase the edge of the dome slab to ",D93*1000,"mm and reduce to",D92*1000,"mm  at ",F802,"m from edge and provide extra rod ",F810,"mm ",F813," Nos on top face in Radially &amp; ",F816,"mm @",F819," mm c/c on top face Circumferentially in ",F802," mtr length to take care of edge moments. ")</f>
        <v xml:space="preserve">Increase the edge of the dome slab to 300mm and reduce to200mm  at 1m from edge and provide extra rod 16mm 5 Nos on top face in Radially &amp; 12mm @250 mm c/c on top face Circumferentially in 1 mtr length to take care of edge moments. </v>
      </c>
      <c r="C821" s="1180"/>
      <c r="D821" s="1180"/>
      <c r="E821" s="1180"/>
      <c r="F821" s="1180"/>
      <c r="G821" s="1180"/>
      <c r="H821" s="1180"/>
    </row>
    <row r="822" spans="1:8" ht="29.25" customHeight="1" x14ac:dyDescent="0.25">
      <c r="A822" s="6"/>
      <c r="B822" s="1180"/>
      <c r="C822" s="1180"/>
      <c r="D822" s="1180"/>
      <c r="E822" s="1180"/>
      <c r="F822" s="1180"/>
      <c r="G822" s="1180"/>
      <c r="H822" s="1180"/>
    </row>
    <row r="823" spans="1:8" x14ac:dyDescent="0.25">
      <c r="A823" s="6"/>
      <c r="B823" s="519" t="s">
        <v>1150</v>
      </c>
      <c r="C823" s="482"/>
      <c r="D823" s="482"/>
      <c r="E823" s="482"/>
      <c r="F823" s="482"/>
      <c r="G823" s="482"/>
      <c r="H823" s="493"/>
    </row>
    <row r="824" spans="1:8" ht="17.25" x14ac:dyDescent="0.25">
      <c r="A824" s="6"/>
      <c r="B824" s="476" t="s">
        <v>1151</v>
      </c>
      <c r="C824" s="476"/>
      <c r="D824" s="482"/>
      <c r="E824" s="482"/>
      <c r="F824" s="482"/>
      <c r="G824" s="482"/>
      <c r="H824" s="493"/>
    </row>
    <row r="825" spans="1:8" ht="18" x14ac:dyDescent="0.35">
      <c r="A825" s="6"/>
      <c r="B825" s="476" t="s">
        <v>1152</v>
      </c>
      <c r="C825" s="476"/>
      <c r="D825" s="482"/>
      <c r="E825" s="482"/>
      <c r="F825" s="482"/>
      <c r="G825" s="482"/>
      <c r="H825" s="493"/>
    </row>
    <row r="826" spans="1:8" ht="18" x14ac:dyDescent="0.35">
      <c r="A826" s="6"/>
      <c r="B826" s="482"/>
      <c r="C826" s="483" t="s">
        <v>1153</v>
      </c>
      <c r="E826" s="484" t="s">
        <v>442</v>
      </c>
      <c r="F826" s="512">
        <f>2.1*10^5</f>
        <v>210000</v>
      </c>
      <c r="G826" s="482" t="s">
        <v>1154</v>
      </c>
      <c r="H826" s="493"/>
    </row>
    <row r="827" spans="1:8" x14ac:dyDescent="0.25">
      <c r="A827" s="6"/>
      <c r="B827" s="482"/>
      <c r="C827" s="483" t="str">
        <f>F826&amp;"/"&amp;ROUND(intro!J85,2)</f>
        <v>210000/9.33</v>
      </c>
      <c r="E827" s="484" t="s">
        <v>442</v>
      </c>
      <c r="F827" s="509">
        <f>ROUND(F826/intro!J85,2)</f>
        <v>22508.04</v>
      </c>
      <c r="G827" s="482" t="s">
        <v>1154</v>
      </c>
      <c r="H827" s="493"/>
    </row>
    <row r="828" spans="1:8" x14ac:dyDescent="0.25">
      <c r="A828" s="6"/>
      <c r="B828" s="476"/>
      <c r="C828" s="476"/>
      <c r="E828" s="484" t="s">
        <v>442</v>
      </c>
      <c r="F828" s="509">
        <f>ROUND(F827*101.97,2)</f>
        <v>2295144.84</v>
      </c>
      <c r="G828" s="482" t="s">
        <v>1155</v>
      </c>
      <c r="H828" s="493"/>
    </row>
    <row r="829" spans="1:8" x14ac:dyDescent="0.25">
      <c r="A829" s="6"/>
      <c r="B829" s="476" t="str">
        <f>"Allowable Load per m²    =   0.1x"&amp;F828&amp;" x"&amp;(F800/100)&amp;"^2 /"&amp;G101&amp;"^2 "</f>
        <v xml:space="preserve">Allowable Load per m²    =   0.1x2295144.84 x2.55^2 /5.6069^2 </v>
      </c>
      <c r="C829" s="476"/>
      <c r="E829" s="484" t="s">
        <v>442</v>
      </c>
      <c r="F829" s="508">
        <f>(0.1*F828*((F800/1000)^2))/G101^2</f>
        <v>474.72798919946098</v>
      </c>
      <c r="G829" s="482" t="s">
        <v>1155</v>
      </c>
      <c r="H829" s="493"/>
    </row>
    <row r="830" spans="1:8" x14ac:dyDescent="0.25">
      <c r="A830" s="6"/>
      <c r="B830" s="476" t="str">
        <f>"Actual Load per m² = ("&amp;F793&amp;" )/10"</f>
        <v>Actual Load per m² = (45.31 )/10</v>
      </c>
      <c r="C830" s="476"/>
      <c r="E830" s="484" t="s">
        <v>442</v>
      </c>
      <c r="F830" s="508">
        <f>F793/10</f>
        <v>4.5310000000000006</v>
      </c>
      <c r="G830" s="482" t="s">
        <v>1155</v>
      </c>
      <c r="H830" s="493"/>
    </row>
    <row r="831" spans="1:8" x14ac:dyDescent="0.25">
      <c r="A831" s="6"/>
      <c r="B831" s="482"/>
      <c r="C831" s="496"/>
      <c r="E831" s="509"/>
      <c r="F831" s="512" t="str">
        <f>IF(F829&gt;F830,"Hence Safe","not Safe")</f>
        <v>Hence Safe</v>
      </c>
      <c r="G831" s="482"/>
      <c r="H831" s="493"/>
    </row>
    <row r="832" spans="1:8" x14ac:dyDescent="0.25">
      <c r="A832" s="6"/>
      <c r="B832" s="24"/>
      <c r="C832" s="6"/>
      <c r="D832" s="6"/>
      <c r="E832" s="166"/>
      <c r="F832" s="166"/>
    </row>
    <row r="833" spans="1:6" x14ac:dyDescent="0.25">
      <c r="A833" s="6"/>
      <c r="B833" s="24"/>
      <c r="C833" s="6"/>
      <c r="D833" s="6"/>
      <c r="E833" s="166"/>
      <c r="F833" s="166"/>
    </row>
    <row r="834" spans="1:6" x14ac:dyDescent="0.25">
      <c r="A834" s="6"/>
      <c r="B834" s="24"/>
      <c r="C834" s="6"/>
      <c r="D834" s="6"/>
      <c r="E834" s="166"/>
      <c r="F834" s="166"/>
    </row>
    <row r="835" spans="1:6" x14ac:dyDescent="0.25">
      <c r="A835" s="6"/>
      <c r="B835" s="24"/>
      <c r="C835" s="6" t="str">
        <f>CONCATENATE(F816," dia",F819," mm c/c")</f>
        <v>12 dia250 mm c/c</v>
      </c>
      <c r="D835" s="6"/>
      <c r="E835" s="166"/>
      <c r="F835" s="166"/>
    </row>
    <row r="836" spans="1:6" x14ac:dyDescent="0.25">
      <c r="A836" s="6"/>
      <c r="B836" s="24"/>
      <c r="C836" s="6"/>
      <c r="D836" s="6"/>
      <c r="E836" s="166"/>
      <c r="F836" s="166"/>
    </row>
    <row r="837" spans="1:6" x14ac:dyDescent="0.25">
      <c r="A837" s="6"/>
      <c r="B837" s="24"/>
      <c r="C837" s="6"/>
      <c r="D837" s="6"/>
      <c r="E837" s="166"/>
      <c r="F837" s="166"/>
    </row>
    <row r="838" spans="1:6" x14ac:dyDescent="0.25">
      <c r="A838" s="6"/>
      <c r="B838" s="24"/>
      <c r="C838" s="6" t="str">
        <f>CONCATENATE(F802,"M")</f>
        <v>1M</v>
      </c>
      <c r="D838" s="6"/>
      <c r="E838" s="166"/>
      <c r="F838" s="166"/>
    </row>
    <row r="839" spans="1:6" x14ac:dyDescent="0.25">
      <c r="A839" s="6"/>
      <c r="B839" s="24"/>
      <c r="C839" s="6"/>
      <c r="D839" s="6"/>
      <c r="E839" s="166"/>
      <c r="F839" s="166"/>
    </row>
    <row r="840" spans="1:6" x14ac:dyDescent="0.25">
      <c r="A840" s="6"/>
      <c r="B840" s="24"/>
      <c r="C840" s="6"/>
      <c r="D840" s="6"/>
      <c r="E840" s="639" t="str">
        <f>CONCATENATE(B785," dia",D785," c/c")</f>
        <v>10 dia250 c/c</v>
      </c>
      <c r="F840" s="166"/>
    </row>
    <row r="841" spans="1:6" x14ac:dyDescent="0.25">
      <c r="A841" s="6"/>
      <c r="B841" s="24"/>
      <c r="C841" s="6"/>
      <c r="D841" s="6"/>
      <c r="E841" s="166"/>
      <c r="F841" s="166"/>
    </row>
    <row r="842" spans="1:6" x14ac:dyDescent="0.25">
      <c r="A842" s="6"/>
      <c r="B842" s="24"/>
      <c r="C842" s="6"/>
      <c r="D842" s="6"/>
      <c r="E842" s="13" t="str">
        <f>CONCATENATE(D92*1000," mm thk")</f>
        <v>200 mm thk</v>
      </c>
      <c r="F842" s="166"/>
    </row>
    <row r="843" spans="1:6" x14ac:dyDescent="0.25">
      <c r="A843" s="6"/>
      <c r="B843" s="24"/>
      <c r="C843" s="6"/>
      <c r="D843" s="6" t="str">
        <f>CONCATENATE(F813," nos",F810," dia")</f>
        <v>5 nos16 dia</v>
      </c>
      <c r="E843" s="166"/>
      <c r="F843" s="166"/>
    </row>
    <row r="844" spans="1:6" x14ac:dyDescent="0.25">
      <c r="A844" s="6"/>
      <c r="B844" s="24"/>
      <c r="C844" s="6"/>
      <c r="D844" s="6"/>
      <c r="E844" s="166"/>
      <c r="F844" s="166"/>
    </row>
    <row r="845" spans="1:6" x14ac:dyDescent="0.25">
      <c r="A845" s="6"/>
      <c r="B845" s="24"/>
      <c r="C845" s="6"/>
      <c r="D845" s="6"/>
      <c r="E845" s="89" t="str">
        <f>CONCATENATE(D93*1000," mm thk")</f>
        <v>300 mm thk</v>
      </c>
      <c r="F845" s="166"/>
    </row>
    <row r="846" spans="1:6" x14ac:dyDescent="0.25">
      <c r="A846" s="6"/>
      <c r="B846" s="24"/>
      <c r="C846" s="6"/>
      <c r="D846" s="6"/>
      <c r="E846" s="166"/>
      <c r="F846" s="166"/>
    </row>
    <row r="847" spans="1:6" x14ac:dyDescent="0.25">
      <c r="A847" s="6"/>
      <c r="B847" s="24"/>
      <c r="C847" s="6"/>
      <c r="D847" s="6"/>
      <c r="E847" s="166"/>
      <c r="F847" s="166"/>
    </row>
    <row r="848" spans="1:6" x14ac:dyDescent="0.25">
      <c r="A848" s="6"/>
      <c r="B848" s="24"/>
      <c r="C848" s="6"/>
      <c r="D848" s="6"/>
      <c r="E848" s="166"/>
      <c r="F848" s="166"/>
    </row>
    <row r="849" spans="1:12" x14ac:dyDescent="0.25">
      <c r="A849" s="6"/>
      <c r="B849" s="24"/>
      <c r="C849" s="6"/>
      <c r="D849" s="6"/>
      <c r="E849" s="166"/>
      <c r="F849" s="166"/>
    </row>
    <row r="850" spans="1:12" x14ac:dyDescent="0.25">
      <c r="A850" s="6"/>
      <c r="B850" s="24"/>
      <c r="C850" s="6"/>
      <c r="D850" s="6"/>
      <c r="E850" s="166"/>
      <c r="F850" s="166"/>
    </row>
    <row r="851" spans="1:12" x14ac:dyDescent="0.25">
      <c r="A851" s="6"/>
      <c r="B851" s="24"/>
      <c r="C851" s="6"/>
      <c r="D851" s="6"/>
      <c r="E851" s="166"/>
      <c r="F851" s="166"/>
    </row>
    <row r="852" spans="1:12" x14ac:dyDescent="0.25">
      <c r="A852" s="6"/>
      <c r="B852" s="24"/>
      <c r="C852" s="6"/>
      <c r="D852" s="6"/>
      <c r="E852" s="166"/>
      <c r="F852" s="166"/>
    </row>
    <row r="853" spans="1:12" x14ac:dyDescent="0.25">
      <c r="A853" s="6"/>
      <c r="B853" s="24"/>
      <c r="C853" s="6"/>
      <c r="D853" s="6"/>
      <c r="E853" s="166"/>
      <c r="F853" s="166"/>
    </row>
    <row r="854" spans="1:12" x14ac:dyDescent="0.25">
      <c r="A854" s="6"/>
      <c r="B854" s="24"/>
      <c r="C854" s="6"/>
      <c r="D854" s="6"/>
      <c r="E854" s="6"/>
      <c r="F854" s="166"/>
    </row>
    <row r="855" spans="1:12" x14ac:dyDescent="0.25">
      <c r="A855" s="36" t="s">
        <v>173</v>
      </c>
      <c r="B855" s="37" t="s">
        <v>174</v>
      </c>
      <c r="C855" s="36"/>
      <c r="D855" s="23"/>
      <c r="E855" s="6"/>
    </row>
    <row r="856" spans="1:12" x14ac:dyDescent="0.25">
      <c r="A856" s="6"/>
      <c r="B856" s="12"/>
      <c r="C856" s="5"/>
      <c r="D856" s="6"/>
      <c r="E856" s="6"/>
    </row>
    <row r="857" spans="1:12" ht="28.5" customHeight="1" x14ac:dyDescent="0.25">
      <c r="A857" s="38" t="s">
        <v>13</v>
      </c>
      <c r="B857" s="20" t="s">
        <v>178</v>
      </c>
      <c r="C857" s="5" t="s">
        <v>90</v>
      </c>
      <c r="D857" s="6" t="s">
        <v>151</v>
      </c>
      <c r="E857" s="19" t="str">
        <f>E630</f>
        <v>(12.001*1/(SIN(RADIANS(45.023))))</v>
      </c>
      <c r="F857" s="3">
        <f>F630</f>
        <v>16.965538208259108</v>
      </c>
      <c r="G857" s="3" t="str">
        <f>G630</f>
        <v>T/m</v>
      </c>
    </row>
    <row r="858" spans="1:12" x14ac:dyDescent="0.25">
      <c r="A858" s="6"/>
      <c r="B858" s="12"/>
      <c r="C858" s="5"/>
      <c r="D858" s="6"/>
      <c r="E858" s="38" t="s">
        <v>181</v>
      </c>
      <c r="F858" s="13">
        <f>Calculation!D161</f>
        <v>45.022824653356906</v>
      </c>
      <c r="G858" s="3" t="s">
        <v>59</v>
      </c>
    </row>
    <row r="859" spans="1:12" ht="38.25" customHeight="1" x14ac:dyDescent="0.25">
      <c r="A859" s="38" t="s">
        <v>13</v>
      </c>
      <c r="B859" s="20" t="s">
        <v>180</v>
      </c>
      <c r="C859" s="5" t="s">
        <v>179</v>
      </c>
      <c r="D859" s="6" t="str">
        <f>D776</f>
        <v>(wR/(1+cosβ))</v>
      </c>
      <c r="E859" s="19" t="str">
        <f>E776</f>
        <v>(4.531*5.607/(1+COS(RADIANS(35.919))))</v>
      </c>
      <c r="F859" s="3">
        <f>F776</f>
        <v>14.036555077289744</v>
      </c>
      <c r="G859" s="3" t="str">
        <f>G776</f>
        <v>T/m</v>
      </c>
      <c r="J859" s="10">
        <v>4</v>
      </c>
      <c r="K859" s="10">
        <v>10</v>
      </c>
    </row>
    <row r="860" spans="1:12" x14ac:dyDescent="0.25">
      <c r="A860" s="6"/>
      <c r="B860" s="12"/>
      <c r="C860" s="5"/>
      <c r="D860" s="6"/>
      <c r="E860" s="38" t="s">
        <v>181</v>
      </c>
      <c r="F860" s="3">
        <f>Calculation!G160</f>
        <v>35.919032327651216</v>
      </c>
      <c r="G860" s="3" t="s">
        <v>59</v>
      </c>
      <c r="J860" s="10">
        <v>6</v>
      </c>
      <c r="K860" s="10">
        <v>12</v>
      </c>
    </row>
    <row r="861" spans="1:12" x14ac:dyDescent="0.25">
      <c r="A861" s="6"/>
      <c r="B861" s="12"/>
      <c r="C861" s="5"/>
      <c r="D861" s="6"/>
      <c r="E861" s="38"/>
      <c r="J861" s="10">
        <v>8</v>
      </c>
      <c r="K861" s="10">
        <v>16</v>
      </c>
    </row>
    <row r="862" spans="1:12" ht="43.5" customHeight="1" x14ac:dyDescent="0.25">
      <c r="A862" s="38" t="s">
        <v>13</v>
      </c>
      <c r="B862" s="20" t="s">
        <v>182</v>
      </c>
      <c r="C862" s="5"/>
      <c r="D862" s="6" t="s">
        <v>185</v>
      </c>
      <c r="E862" s="19" t="str">
        <f>"("&amp;ROUND(F857,3)&amp;"*COS(RADIANS("&amp;ROUND(F858,3)&amp;"))-"&amp;ROUND(F859,3)&amp;"*COS  (RADIANS("&amp;ROUND(F860,3)&amp;")))"</f>
        <v>(16.966*COS(RADIANS(45.023))-14.037*COS  (RADIANS(35.919)))</v>
      </c>
      <c r="F862" s="3">
        <f>ROUND(F857*COS(RADIANS(F858))-F859*COS(RADIANS(F860)),3)</f>
        <v>0.624</v>
      </c>
      <c r="G862" s="3" t="s">
        <v>91</v>
      </c>
      <c r="K862" s="10">
        <v>20</v>
      </c>
    </row>
    <row r="863" spans="1:12" x14ac:dyDescent="0.25">
      <c r="A863" s="6"/>
      <c r="B863" s="3"/>
      <c r="C863" s="3"/>
      <c r="D863" s="3"/>
      <c r="E863" s="3"/>
      <c r="H863" s="3"/>
      <c r="L863" s="10">
        <f>Calculation!$G$161*Calculation!$D$97*E865*10^-4</f>
        <v>360</v>
      </c>
    </row>
    <row r="864" spans="1:12" ht="27.75" customHeight="1" x14ac:dyDescent="0.25">
      <c r="A864" s="6"/>
      <c r="B864" s="20" t="s">
        <v>361</v>
      </c>
      <c r="C864" s="5" t="str">
        <f>IF(F864&gt;0,"compression","tension")</f>
        <v>compression</v>
      </c>
      <c r="D864" s="6"/>
      <c r="E864" s="6" t="str">
        <f>"(ABS("&amp;ROUND(F862,3)&amp;"*"&amp;Calculation!H95&amp;"/2))"</f>
        <v>(ABS(0.624*7.6/2))</v>
      </c>
      <c r="F864" s="3">
        <f>(F862*Calculation!H95/2)</f>
        <v>2.3712</v>
      </c>
      <c r="G864" s="3" t="s">
        <v>117</v>
      </c>
      <c r="H864" s="182"/>
    </row>
    <row r="865" spans="1:8" ht="27.75" customHeight="1" x14ac:dyDescent="0.25">
      <c r="A865" s="6"/>
      <c r="B865" s="20" t="s">
        <v>480</v>
      </c>
      <c r="C865" s="1182" t="s">
        <v>481</v>
      </c>
      <c r="D865" s="1148"/>
      <c r="E865" s="303">
        <v>8</v>
      </c>
      <c r="F865" s="3">
        <f>Calculation!$G$161*Calculation!$D$97*E865*10^-4</f>
        <v>360</v>
      </c>
      <c r="G865" s="3" t="s">
        <v>117</v>
      </c>
    </row>
    <row r="866" spans="1:8" x14ac:dyDescent="0.25">
      <c r="A866" s="6"/>
      <c r="B866" s="12" t="s">
        <v>557</v>
      </c>
      <c r="C866" s="5"/>
      <c r="D866" s="6" t="str">
        <f>C864</f>
        <v>compression</v>
      </c>
      <c r="E866" s="6" t="str">
        <f>IF(F864&gt;0,"tension reinf not needed ","tension reinf needed")</f>
        <v xml:space="preserve">tension reinf not needed </v>
      </c>
      <c r="F866" s="3">
        <f>IF(F864-F865&lt;0,0,( F864-F865))</f>
        <v>0</v>
      </c>
      <c r="G866" s="3" t="s">
        <v>117</v>
      </c>
    </row>
    <row r="867" spans="1:8" ht="27" customHeight="1" x14ac:dyDescent="0.25">
      <c r="A867" s="6"/>
      <c r="B867" s="117" t="s">
        <v>113</v>
      </c>
      <c r="C867" s="5" t="s">
        <v>193</v>
      </c>
      <c r="D867" s="6"/>
      <c r="E867" s="6" t="str">
        <f>IF(F864&gt;0,"tension reinf not needed ","tension reinf needed")</f>
        <v xml:space="preserve">tension reinf not needed </v>
      </c>
      <c r="F867" s="41">
        <f>F866*10^4/Calculation!F47</f>
        <v>0</v>
      </c>
      <c r="G867" s="3" t="s">
        <v>98</v>
      </c>
    </row>
    <row r="868" spans="1:8" x14ac:dyDescent="0.25">
      <c r="A868" s="6"/>
      <c r="B868" s="117"/>
      <c r="C868" s="5"/>
      <c r="D868" s="1025">
        <v>4</v>
      </c>
      <c r="E868" s="126">
        <v>10</v>
      </c>
      <c r="F868" s="127">
        <f>3.14*E868^2*0.25*D868</f>
        <v>314</v>
      </c>
      <c r="G868" s="127" t="str">
        <f>IF(F868&gt;F867,"ok","revise")</f>
        <v>ok</v>
      </c>
    </row>
    <row r="869" spans="1:8" ht="18.75" hidden="1" x14ac:dyDescent="0.25">
      <c r="A869" s="6"/>
      <c r="B869" s="12" t="s">
        <v>105</v>
      </c>
      <c r="C869" s="5" t="s">
        <v>114</v>
      </c>
      <c r="D869" s="6"/>
      <c r="E869" s="6"/>
      <c r="F869" s="3">
        <f>F864*10^4/(Calculation!D97 *Calculation!G161+Calculation!F46*Calculation!F867)</f>
        <v>5.2693333333333335E-2</v>
      </c>
      <c r="G869" s="3" t="s">
        <v>116</v>
      </c>
    </row>
    <row r="870" spans="1:8" hidden="1" x14ac:dyDescent="0.25">
      <c r="A870" s="6"/>
      <c r="B870" s="12"/>
      <c r="C870" s="5"/>
      <c r="D870" s="6"/>
      <c r="E870" s="6"/>
      <c r="F870" s="23" t="str">
        <f>IF(F869&gt;1.2,"REVISES THKNESS","OK")</f>
        <v>OK</v>
      </c>
    </row>
    <row r="871" spans="1:8" x14ac:dyDescent="0.25">
      <c r="A871" s="6"/>
      <c r="B871" s="12"/>
      <c r="C871" s="5"/>
      <c r="D871" s="6"/>
      <c r="E871" s="6"/>
      <c r="H871" s="150"/>
    </row>
    <row r="872" spans="1:8" x14ac:dyDescent="0.25">
      <c r="A872" s="6"/>
      <c r="B872" s="482" t="s">
        <v>1156</v>
      </c>
      <c r="C872" s="483"/>
      <c r="E872" s="484" t="s">
        <v>442</v>
      </c>
      <c r="F872" s="508">
        <f>'cont ana'!E519/1000</f>
        <v>-47.635400000000004</v>
      </c>
      <c r="G872" s="476" t="s">
        <v>1157</v>
      </c>
      <c r="H872" s="150"/>
    </row>
    <row r="873" spans="1:8" x14ac:dyDescent="0.25">
      <c r="A873" s="6"/>
      <c r="B873" s="482" t="s">
        <v>1158</v>
      </c>
      <c r="C873" s="483"/>
      <c r="E873" s="484"/>
      <c r="F873" s="509"/>
      <c r="G873" s="476"/>
      <c r="H873" s="150"/>
    </row>
    <row r="874" spans="1:8" x14ac:dyDescent="0.25">
      <c r="A874" s="6"/>
      <c r="B874" s="509" t="str">
        <f>CONCATENATE(" = ",F872,"*",F816,"/2")</f>
        <v xml:space="preserve"> = -47.6354*12/2</v>
      </c>
      <c r="E874" s="484" t="s">
        <v>442</v>
      </c>
      <c r="F874" s="521">
        <f>((ABS(F872)*F61)/2)</f>
        <v>169.10567</v>
      </c>
      <c r="G874" s="476" t="s">
        <v>1157</v>
      </c>
      <c r="H874" s="150"/>
    </row>
    <row r="875" spans="1:8" x14ac:dyDescent="0.25">
      <c r="A875" s="6"/>
      <c r="B875" s="482" t="s">
        <v>1159</v>
      </c>
      <c r="C875" s="509"/>
      <c r="D875" s="484"/>
      <c r="E875" s="509"/>
      <c r="F875" s="476"/>
      <c r="G875" s="482"/>
      <c r="H875" s="150"/>
    </row>
    <row r="876" spans="1:8" x14ac:dyDescent="0.25">
      <c r="A876" s="6"/>
      <c r="B876" s="476" t="str">
        <f>CONCATENATE("=",F874,"*1000/",G161,"*",D97)</f>
        <v>=169.10567*1000/500*900</v>
      </c>
      <c r="E876" s="484" t="s">
        <v>442</v>
      </c>
      <c r="F876" s="516">
        <f>(F874*1000)/(G161*D97)</f>
        <v>0.3757903777777778</v>
      </c>
      <c r="G876" s="476" t="s">
        <v>1160</v>
      </c>
      <c r="H876" s="472"/>
    </row>
    <row r="877" spans="1:8" x14ac:dyDescent="0.25">
      <c r="A877" s="6"/>
      <c r="B877" s="482"/>
      <c r="C877" s="509"/>
      <c r="E877" s="522" t="s">
        <v>1068</v>
      </c>
      <c r="F877" s="509" t="str">
        <f>intro!J63</f>
        <v>1.5</v>
      </c>
      <c r="G877" s="476" t="s">
        <v>1160</v>
      </c>
      <c r="H877" s="563" t="str">
        <f>IF(F877&gt;F876,"Safe","Revise")</f>
        <v>Safe</v>
      </c>
    </row>
    <row r="878" spans="1:8" x14ac:dyDescent="0.25">
      <c r="A878" s="6"/>
      <c r="B878" s="482"/>
      <c r="C878" s="509"/>
      <c r="D878" s="522"/>
      <c r="E878" s="509"/>
      <c r="F878" s="476"/>
      <c r="G878" s="511"/>
      <c r="H878" s="150"/>
    </row>
    <row r="879" spans="1:8" ht="17.25" x14ac:dyDescent="0.25">
      <c r="A879" s="6"/>
      <c r="B879" s="476" t="str">
        <f>"Area of section provided = " &amp;E828&amp;"x"&amp;E829</f>
        <v>Area of section provided = =x=</v>
      </c>
      <c r="C879" s="483"/>
      <c r="E879" s="484" t="s">
        <v>442</v>
      </c>
      <c r="F879" s="509">
        <f>G161*D97</f>
        <v>450000</v>
      </c>
      <c r="G879" s="476" t="s">
        <v>1071</v>
      </c>
      <c r="H879" s="150"/>
    </row>
    <row r="880" spans="1:8" x14ac:dyDescent="0.25">
      <c r="A880" s="6"/>
      <c r="B880" s="476" t="str">
        <f>"Direct compressive stress = " &amp;F862*10^34&amp;"/"&amp;F879</f>
        <v>Direct compressive stress = 6.24E+33/450000</v>
      </c>
      <c r="C880" s="483"/>
      <c r="E880" s="484" t="s">
        <v>442</v>
      </c>
      <c r="F880" s="509">
        <f>ROUND(F862*10000/F879,2)</f>
        <v>0.01</v>
      </c>
      <c r="G880" s="482" t="s">
        <v>1154</v>
      </c>
      <c r="H880" s="150"/>
    </row>
    <row r="881" spans="1:15" x14ac:dyDescent="0.25">
      <c r="A881" s="6"/>
      <c r="B881" s="476" t="s">
        <v>1161</v>
      </c>
      <c r="C881" s="483"/>
      <c r="E881" s="484" t="s">
        <v>442</v>
      </c>
      <c r="F881" s="509" t="str">
        <f>intro!J64</f>
        <v>8.0</v>
      </c>
      <c r="G881" s="482" t="s">
        <v>1154</v>
      </c>
      <c r="H881" s="563" t="str">
        <f>IF(F881&gt;F880," Safe","not Safe")</f>
        <v xml:space="preserve"> Safe</v>
      </c>
    </row>
    <row r="882" spans="1:15" x14ac:dyDescent="0.25">
      <c r="A882" s="6"/>
      <c r="B882" s="12"/>
      <c r="C882" s="5"/>
      <c r="D882" s="6"/>
      <c r="E882" s="6"/>
      <c r="H882" s="150"/>
    </row>
    <row r="883" spans="1:15" x14ac:dyDescent="0.25">
      <c r="A883" s="6"/>
      <c r="B883" s="12"/>
      <c r="C883" s="5"/>
      <c r="D883" s="6"/>
      <c r="E883" s="6"/>
      <c r="H883" s="150"/>
    </row>
    <row r="884" spans="1:15" x14ac:dyDescent="0.25">
      <c r="A884" s="6"/>
      <c r="B884" s="12"/>
      <c r="C884" s="5"/>
      <c r="D884" s="6"/>
      <c r="E884" s="6"/>
      <c r="H884" s="150"/>
    </row>
    <row r="885" spans="1:15" x14ac:dyDescent="0.25">
      <c r="A885" s="6"/>
      <c r="B885" s="12"/>
      <c r="C885" s="5"/>
      <c r="D885" s="6"/>
      <c r="E885" s="6"/>
    </row>
    <row r="886" spans="1:15" ht="26.25" x14ac:dyDescent="0.25">
      <c r="A886" s="6"/>
      <c r="B886" s="12" t="s">
        <v>189</v>
      </c>
      <c r="C886" s="5"/>
      <c r="D886" s="6" t="s">
        <v>190</v>
      </c>
      <c r="E886" s="19" t="str">
        <f>"("&amp;ROUND(F857,3)&amp;"*sin(RADIANS("&amp;ROUND(F858,3)&amp;"))-"&amp;ROUND(F859,3)&amp;"*sin  (RADIANS("&amp;ROUND(F860,3)&amp;")))"</f>
        <v>(16.966*sin(RADIANS(45.023))-14.037*sin  (RADIANS(35.919)))</v>
      </c>
      <c r="F886" s="3">
        <f>ROUND((F857*SIN(RADIANS(F858))+F859*SIN(RADIANS(F860))),3)</f>
        <v>20.236000000000001</v>
      </c>
      <c r="G886" s="3" t="s">
        <v>91</v>
      </c>
    </row>
    <row r="887" spans="1:15" x14ac:dyDescent="0.25">
      <c r="A887" s="6"/>
      <c r="B887" s="12"/>
      <c r="C887" s="5"/>
      <c r="D887" s="6"/>
      <c r="E887" s="6"/>
    </row>
    <row r="888" spans="1:15" x14ac:dyDescent="0.25">
      <c r="A888" s="6"/>
      <c r="B888" s="12" t="s">
        <v>188</v>
      </c>
      <c r="C888" s="5"/>
      <c r="D888" s="6"/>
      <c r="E888" s="6" t="str">
        <f>"("&amp;Calculation!G161&amp;"*"&amp;Calculation!D97&amp;"*"&amp;Calculation!F44&amp;"/1000000)"</f>
        <v>(500*900*2.4/1000000)</v>
      </c>
      <c r="F888" s="3">
        <f>ROUND((Calculation!G161*Calculation!D97*Calculation!F44/1000000),3)</f>
        <v>1.08</v>
      </c>
      <c r="G888" s="3" t="s">
        <v>91</v>
      </c>
    </row>
    <row r="889" spans="1:15" x14ac:dyDescent="0.25">
      <c r="A889" s="6"/>
      <c r="B889" s="12"/>
      <c r="C889" s="5"/>
      <c r="D889" s="6"/>
      <c r="E889" s="6"/>
    </row>
    <row r="890" spans="1:15" x14ac:dyDescent="0.25">
      <c r="A890" s="6"/>
      <c r="B890" s="12" t="s">
        <v>483</v>
      </c>
      <c r="C890" s="5"/>
      <c r="D890" s="6"/>
      <c r="E890" s="6" t="str">
        <f>"("&amp;ROUND(F886,3)&amp;"+"&amp;ROUND(F888,3)&amp;")"</f>
        <v>(20.236+1.08)</v>
      </c>
      <c r="F890" s="3">
        <f>F886+F888</f>
        <v>21.316000000000003</v>
      </c>
      <c r="G890" s="3" t="s">
        <v>91</v>
      </c>
    </row>
    <row r="891" spans="1:15" x14ac:dyDescent="0.25">
      <c r="A891" s="6"/>
      <c r="B891" s="12" t="s">
        <v>484</v>
      </c>
      <c r="C891" s="5"/>
      <c r="D891" s="6"/>
      <c r="E891" s="6" t="str">
        <f>"("&amp;F886&amp;"+"&amp;F888&amp;"-("&amp;F188&amp;")/(3.14*"&amp;B323&amp;"))"</f>
        <v>(20.236+1.08-(261.484)/(3.14*9.1))</v>
      </c>
      <c r="F891" s="3">
        <f>F886+F888-(F188)/(3.14*B323)</f>
        <v>12.16488360047596</v>
      </c>
      <c r="G891" s="3" t="s">
        <v>91</v>
      </c>
    </row>
    <row r="892" spans="1:15" ht="26.25" x14ac:dyDescent="0.25">
      <c r="A892" s="6"/>
      <c r="B892" s="20" t="s">
        <v>186</v>
      </c>
      <c r="C892" s="5" t="s">
        <v>170</v>
      </c>
      <c r="D892" s="6" t="s">
        <v>187</v>
      </c>
      <c r="E892" s="6" t="str">
        <f>"((22/7)*"&amp;ROUND(F890,3)&amp;"*"&amp;Calculation!F61&amp;")"</f>
        <v>((22/7)*21.316*7.1)</v>
      </c>
      <c r="F892" s="3">
        <f>ROUND((22/7)*F890*Calculation!F61,2)</f>
        <v>475.65</v>
      </c>
      <c r="G892" s="3" t="s">
        <v>117</v>
      </c>
    </row>
    <row r="893" spans="1:15" ht="51.75" x14ac:dyDescent="0.25">
      <c r="A893" s="6"/>
      <c r="C893" s="505"/>
      <c r="D893" s="6"/>
      <c r="E893" s="6"/>
      <c r="J893" s="523"/>
      <c r="K893"/>
      <c r="L893"/>
      <c r="M893" s="174" t="s">
        <v>579</v>
      </c>
      <c r="N893" s="174" t="s">
        <v>580</v>
      </c>
      <c r="O893" s="174" t="s">
        <v>581</v>
      </c>
    </row>
    <row r="894" spans="1:15" x14ac:dyDescent="0.25">
      <c r="A894" s="6"/>
      <c r="B894" s="12" t="s">
        <v>439</v>
      </c>
      <c r="C894" s="5"/>
      <c r="D894" s="6"/>
      <c r="E894" s="6">
        <f>Calculation!$F$63</f>
        <v>8</v>
      </c>
      <c r="F894" s="3" t="s">
        <v>440</v>
      </c>
      <c r="J894" s="523"/>
      <c r="K894"/>
      <c r="L894"/>
      <c r="M894" s="174"/>
      <c r="N894" s="174"/>
      <c r="O894" s="174"/>
    </row>
    <row r="895" spans="1:15" ht="63" customHeight="1" x14ac:dyDescent="0.25">
      <c r="A895" s="566"/>
      <c r="B895" s="20" t="s">
        <v>1318</v>
      </c>
      <c r="C895" s="20" t="s">
        <v>1319</v>
      </c>
      <c r="D895" s="172">
        <f>LOOKUP(E894,Calculation!K915:K918,Calculation!M915:M918)</f>
        <v>8.3000000000000001E-3</v>
      </c>
      <c r="E895" s="19" t="str">
        <f>CONCATENATE(D895,"*",F892,"*",Calculation!E96,"-",F890,"/12*3.14*",E96,"*2*",D98,"/2+(",D98,"/2)^2*",F890)</f>
        <v>0.0083*475.65*3.55-21.316/12*3.14*3.55*2*0.5/2+(0.5/2)^2*21.316</v>
      </c>
      <c r="F895" s="3">
        <f>ROUND(D895*F892*Calculation!E96-F890/(E894*2)*3.14*E96*2*D98/2+(D98/2)^2*F890,3)</f>
        <v>7.9219999999999997</v>
      </c>
      <c r="G895" s="3" t="s">
        <v>210</v>
      </c>
    </row>
    <row r="896" spans="1:15" ht="26.25" x14ac:dyDescent="0.25">
      <c r="A896" s="6"/>
      <c r="B896" s="1049" t="s">
        <v>2100</v>
      </c>
      <c r="C896" s="613"/>
      <c r="D896" s="1050" t="str">
        <f>CONCATENATE("SQRT((",F895,"*10*10^6)/(",intro!J109,"*1000))")</f>
        <v>SQRT((7.922*10*10^6)/(0.33*1000))</v>
      </c>
      <c r="E896" s="1051">
        <f>SQRT((F895*10*10^6)/(intro!J109*1000))</f>
        <v>489.95980045367605</v>
      </c>
      <c r="F896" s="615"/>
      <c r="G896" s="616"/>
      <c r="H896" s="1033" t="str">
        <f>IF(E896&lt;F901," OK","Revise")</f>
        <v xml:space="preserve"> OK</v>
      </c>
    </row>
    <row r="897" spans="1:10" x14ac:dyDescent="0.25">
      <c r="A897" s="271"/>
      <c r="B897" s="1165" t="s">
        <v>1304</v>
      </c>
      <c r="C897" s="1166"/>
      <c r="D897" s="1166"/>
      <c r="E897" s="1166"/>
      <c r="F897" s="1166"/>
      <c r="G897" s="1167"/>
      <c r="H897" s="216"/>
    </row>
    <row r="898" spans="1:10" x14ac:dyDescent="0.25">
      <c r="A898" s="271"/>
      <c r="B898" s="10"/>
      <c r="C898" s="10"/>
      <c r="D898" s="10"/>
      <c r="E898" s="10"/>
      <c r="F898" s="10"/>
      <c r="G898" s="10"/>
      <c r="H898" s="216"/>
      <c r="J898" s="5"/>
    </row>
    <row r="899" spans="1:10" x14ac:dyDescent="0.25">
      <c r="A899" s="271"/>
      <c r="B899" s="20" t="s">
        <v>621</v>
      </c>
      <c r="C899" s="5"/>
      <c r="D899" s="6"/>
      <c r="E899" s="19"/>
      <c r="F899" s="13">
        <v>0</v>
      </c>
      <c r="G899" s="3" t="s">
        <v>103</v>
      </c>
      <c r="H899" s="216"/>
      <c r="J899" s="5"/>
    </row>
    <row r="900" spans="1:10" x14ac:dyDescent="0.25">
      <c r="A900" s="271"/>
      <c r="B900" s="20" t="s">
        <v>310</v>
      </c>
      <c r="C900" s="5"/>
      <c r="D900" s="6"/>
      <c r="E900" s="19"/>
      <c r="F900" s="13">
        <f>F895</f>
        <v>7.9219999999999997</v>
      </c>
      <c r="G900" s="3" t="s">
        <v>210</v>
      </c>
      <c r="H900" s="216"/>
      <c r="I900" s="569" t="s">
        <v>1283</v>
      </c>
      <c r="J900" s="5"/>
    </row>
    <row r="901" spans="1:10" x14ac:dyDescent="0.25">
      <c r="A901" s="271"/>
      <c r="B901" s="20" t="s">
        <v>1234</v>
      </c>
      <c r="C901" s="5"/>
      <c r="D901" s="6"/>
      <c r="E901" s="19"/>
      <c r="F901" s="13">
        <f>G162</f>
        <v>900</v>
      </c>
      <c r="G901" s="3" t="s">
        <v>202</v>
      </c>
      <c r="H901" s="216"/>
      <c r="I901" s="569" t="s">
        <v>1277</v>
      </c>
    </row>
    <row r="902" spans="1:10" x14ac:dyDescent="0.25">
      <c r="A902" s="271"/>
      <c r="B902" s="10" t="s">
        <v>1239</v>
      </c>
      <c r="C902" s="10"/>
      <c r="D902" s="182"/>
      <c r="E902" s="10"/>
      <c r="F902" s="571">
        <f>$F$49</f>
        <v>45</v>
      </c>
      <c r="G902" s="10" t="s">
        <v>202</v>
      </c>
      <c r="H902" s="216"/>
      <c r="I902" s="569" t="s">
        <v>1297</v>
      </c>
      <c r="J902" s="5"/>
    </row>
    <row r="903" spans="1:10" x14ac:dyDescent="0.25">
      <c r="A903" s="271"/>
      <c r="B903" s="20" t="s">
        <v>1235</v>
      </c>
      <c r="C903" s="5"/>
      <c r="D903" s="6"/>
      <c r="E903" s="19"/>
      <c r="F903" s="13">
        <f>G161</f>
        <v>500</v>
      </c>
      <c r="G903" s="3" t="s">
        <v>202</v>
      </c>
      <c r="H903" s="216"/>
      <c r="J903" s="591"/>
    </row>
    <row r="904" spans="1:10" x14ac:dyDescent="0.25">
      <c r="A904" s="271"/>
      <c r="B904" s="569" t="s">
        <v>1283</v>
      </c>
      <c r="C904" s="5"/>
      <c r="D904" s="10"/>
      <c r="E904" s="19" t="str">
        <f>CONCATENATE(F901,"-",F902,"-10")</f>
        <v>900-45-10</v>
      </c>
      <c r="F904" s="13">
        <f>F901-F902-10</f>
        <v>845</v>
      </c>
      <c r="G904" s="3" t="s">
        <v>202</v>
      </c>
      <c r="H904" s="216"/>
      <c r="I904" s="569" t="s">
        <v>1246</v>
      </c>
      <c r="J904" s="591"/>
    </row>
    <row r="905" spans="1:10" x14ac:dyDescent="0.25">
      <c r="A905" s="271"/>
      <c r="B905" s="569" t="s">
        <v>1277</v>
      </c>
      <c r="C905" s="5"/>
      <c r="D905" s="10"/>
      <c r="E905" s="19"/>
      <c r="F905" s="13">
        <f>intro!$J$74</f>
        <v>130</v>
      </c>
      <c r="G905" s="216" t="s">
        <v>260</v>
      </c>
      <c r="H905" s="216"/>
      <c r="I905" s="590" t="s">
        <v>1285</v>
      </c>
      <c r="J905" s="591"/>
    </row>
    <row r="906" spans="1:10" ht="32.25" customHeight="1" x14ac:dyDescent="0.25">
      <c r="A906" s="271"/>
      <c r="B906" s="569" t="s">
        <v>1305</v>
      </c>
      <c r="C906" s="5"/>
      <c r="D906" s="10"/>
      <c r="E906" s="19" t="str">
        <f>"("&amp;F900&amp;"*10000000/("&amp;F905&amp;"*("&amp;F904&amp;"-"&amp;F901&amp;"/10)))"</f>
        <v>(7.922*10000000/(130*(845-900/10)))</v>
      </c>
      <c r="F906" s="13">
        <f>F900*10000000/(F905*(F904-F901/10))</f>
        <v>807.1319409067753</v>
      </c>
      <c r="G906" s="216" t="s">
        <v>679</v>
      </c>
      <c r="H906" s="216"/>
      <c r="I906" s="590" t="s">
        <v>1291</v>
      </c>
      <c r="J906" s="591"/>
    </row>
    <row r="907" spans="1:10" x14ac:dyDescent="0.25">
      <c r="A907" s="271"/>
      <c r="B907" s="569"/>
      <c r="C907" s="5"/>
      <c r="D907" s="6"/>
      <c r="E907" s="19"/>
      <c r="F907" s="572"/>
      <c r="G907" s="216"/>
      <c r="H907" s="216"/>
      <c r="I907" s="590" t="s">
        <v>1286</v>
      </c>
      <c r="J907" s="591"/>
    </row>
    <row r="908" spans="1:10" ht="72.75" customHeight="1" x14ac:dyDescent="0.25">
      <c r="A908" s="271"/>
      <c r="B908" s="569" t="s">
        <v>1246</v>
      </c>
      <c r="C908" s="5"/>
      <c r="D908" s="10"/>
      <c r="E908" s="46" t="str">
        <f>"(("&amp;F903&amp;"*"&amp;F901&amp;"*"&amp;F901&amp;"/2+"&amp;intro!$J$85&amp;"*"&amp;F906&amp;"*"&amp;F904&amp;")/("&amp;F903&amp;"*"&amp;F901&amp;"+"&amp;intro!$J$85&amp;"*"&amp;F906&amp;"))"</f>
        <v>((500*900*900/2+9.33*807.131940906775*845)/(500*900+9.33*807.131940906775))</v>
      </c>
      <c r="F908" s="589">
        <f>ROUND(((F903*F901*F901/2+intro!$J$85*F906*F904)/(F903*F901+intro!$J$85*F906)),2)</f>
        <v>456.5</v>
      </c>
      <c r="G908" s="216" t="s">
        <v>202</v>
      </c>
      <c r="H908" s="216"/>
      <c r="I908" s="590" t="s">
        <v>1287</v>
      </c>
      <c r="J908" s="591"/>
    </row>
    <row r="909" spans="1:10" x14ac:dyDescent="0.25">
      <c r="A909" s="271"/>
      <c r="B909" s="590" t="s">
        <v>1285</v>
      </c>
      <c r="C909" s="591"/>
      <c r="D909" s="10"/>
      <c r="E909" s="19" t="str">
        <f>"(POWER("&amp;F908&amp;",3))"</f>
        <v>(POWER(456.5,3))</v>
      </c>
      <c r="F909" s="592">
        <f>POWER(F908,3)</f>
        <v>95131062.125</v>
      </c>
      <c r="G909" s="216"/>
      <c r="H909" s="216"/>
      <c r="I909" s="590" t="s">
        <v>1288</v>
      </c>
      <c r="J909" s="591"/>
    </row>
    <row r="910" spans="1:10" x14ac:dyDescent="0.25">
      <c r="A910" s="271"/>
      <c r="B910" s="590" t="s">
        <v>1291</v>
      </c>
      <c r="C910" s="591"/>
      <c r="D910" s="10"/>
      <c r="E910" s="19" t="str">
        <f>"(POWER(("&amp;F901&amp;"-"&amp;F908&amp;"),3))"</f>
        <v>(POWER((900-456.5),3))</v>
      </c>
      <c r="F910" s="592">
        <f>POWER((F901-F908),3)</f>
        <v>87233012.875</v>
      </c>
      <c r="G910" s="216"/>
      <c r="H910" s="216"/>
      <c r="I910" s="590" t="s">
        <v>1289</v>
      </c>
    </row>
    <row r="911" spans="1:10" x14ac:dyDescent="0.25">
      <c r="A911" s="271"/>
      <c r="B911" s="590" t="s">
        <v>1286</v>
      </c>
      <c r="C911" s="591"/>
      <c r="D911" s="10"/>
      <c r="E911" s="10" t="str">
        <f>"(POWER(("&amp;F901&amp;"-"&amp;F908&amp;"-60),2))"</f>
        <v>(POWER((900-456.5-60),2))</v>
      </c>
      <c r="F911" s="592">
        <f>POWER((F901-F908-60),2)</f>
        <v>147072.25</v>
      </c>
      <c r="G911" s="216"/>
      <c r="H911" s="216"/>
      <c r="I911" s="590" t="s">
        <v>1290</v>
      </c>
    </row>
    <row r="912" spans="1:10" ht="47.25" x14ac:dyDescent="0.25">
      <c r="A912" s="271"/>
      <c r="B912" s="590" t="s">
        <v>1287</v>
      </c>
      <c r="C912" s="591"/>
      <c r="D912" s="10"/>
      <c r="E912" s="46" t="str">
        <f>"("&amp;F903&amp;"/3*("&amp;F909&amp;"+"&amp;F910&amp;")+"&amp;$F$46&amp;"*"&amp;F906&amp;"*"&amp;F911&amp;")"</f>
        <v>(500/3*(95131062.125+87233012.875)+8.33*807.131940906775*147072.25)</v>
      </c>
      <c r="F912" s="592">
        <f>F903/3*(F909+F910)+$F$46*F906*F911</f>
        <v>31382839399.2649</v>
      </c>
      <c r="G912" s="216"/>
      <c r="H912" s="216"/>
    </row>
    <row r="913" spans="1:15" x14ac:dyDescent="0.25">
      <c r="A913" s="271"/>
      <c r="B913" s="590" t="s">
        <v>1288</v>
      </c>
      <c r="C913" s="591"/>
      <c r="D913" s="10"/>
      <c r="E913" s="10" t="str">
        <f>"("&amp;F901&amp;"*1000+"&amp;$F$46&amp;"*"&amp;F906&amp;")"</f>
        <v>(900*1000+8.33*807.131940906775)</v>
      </c>
      <c r="F913" s="592">
        <f>F901*1000+$F$46*F906</f>
        <v>906723.40906775347</v>
      </c>
      <c r="G913" s="216"/>
      <c r="H913" s="216"/>
    </row>
    <row r="914" spans="1:15" x14ac:dyDescent="0.25">
      <c r="A914" s="271"/>
      <c r="B914" s="590" t="s">
        <v>1289</v>
      </c>
      <c r="C914" s="591"/>
      <c r="D914" s="10"/>
      <c r="E914" s="10"/>
      <c r="F914" s="593">
        <f>-intro!$J$65</f>
        <v>-2</v>
      </c>
      <c r="G914" s="216"/>
      <c r="H914" s="216"/>
    </row>
    <row r="915" spans="1:15" ht="90.75" customHeight="1" x14ac:dyDescent="0.25">
      <c r="A915" s="271"/>
      <c r="B915" s="590" t="s">
        <v>1290</v>
      </c>
      <c r="C915" s="591"/>
      <c r="D915" s="10"/>
      <c r="E915" s="46" t="str">
        <f>"((("&amp;F899&amp;"*10000/"&amp;F913&amp;"))-(("&amp;F900&amp;"*10000000)*("&amp;F901&amp;"-"&amp;F908&amp;")/"&amp;F912&amp;"))"</f>
        <v>(((0*10000/906723.409067753))-((7.922*10000000)*(900-456.5)/31382839399.2649))</v>
      </c>
      <c r="F915" s="594">
        <f>((F899*10000/F913))-((F900*10000000)*(F901-F908)/F912)</f>
        <v>-1.1195312684429366</v>
      </c>
      <c r="G915" s="595" t="str">
        <f>IF(F914&lt;F915,"ok","revise")</f>
        <v>ok</v>
      </c>
      <c r="H915" s="216"/>
      <c r="J915" s="523"/>
      <c r="K915">
        <v>4</v>
      </c>
      <c r="L915"/>
      <c r="M915">
        <v>3.4200000000000001E-2</v>
      </c>
      <c r="N915">
        <v>1.7600000000000001E-2</v>
      </c>
      <c r="O915">
        <v>5.3E-3</v>
      </c>
    </row>
    <row r="916" spans="1:15" x14ac:dyDescent="0.25">
      <c r="A916" s="271"/>
      <c r="B916" s="569"/>
      <c r="C916" s="5"/>
      <c r="D916" s="6"/>
      <c r="E916" s="19"/>
      <c r="F916" s="10"/>
      <c r="G916" s="216"/>
      <c r="H916" s="216"/>
      <c r="J916" s="523"/>
      <c r="K916">
        <v>6</v>
      </c>
      <c r="L916"/>
      <c r="M916">
        <v>1.4800000000000001E-2</v>
      </c>
      <c r="N916">
        <v>7.4999999999999997E-3</v>
      </c>
      <c r="O916">
        <v>1.5E-3</v>
      </c>
    </row>
    <row r="917" spans="1:15" x14ac:dyDescent="0.25">
      <c r="A917" s="271"/>
      <c r="B917" s="596" t="s">
        <v>408</v>
      </c>
      <c r="C917" s="5"/>
      <c r="D917" s="6">
        <f>IF(F86&lt;14,P351/2,VLOOKUP(F65,O351:P365,2,FALSE))</f>
        <v>0.14000000000000001</v>
      </c>
      <c r="E917" s="19"/>
      <c r="F917" s="597">
        <f>D917*F901*F903/100</f>
        <v>630.00000000000011</v>
      </c>
      <c r="G917" s="595" t="str">
        <f>IF(F920&gt;F917,"ok","revise")</f>
        <v>ok</v>
      </c>
      <c r="H917" s="216"/>
      <c r="J917" s="523"/>
      <c r="K917">
        <v>8</v>
      </c>
      <c r="L917"/>
      <c r="M917">
        <v>8.3000000000000001E-3</v>
      </c>
      <c r="N917">
        <v>4.1000000000000003E-3</v>
      </c>
      <c r="O917">
        <v>5.9999999999999995E-4</v>
      </c>
    </row>
    <row r="918" spans="1:15" x14ac:dyDescent="0.25">
      <c r="A918" s="271"/>
      <c r="B918" s="20"/>
      <c r="D918" s="569" t="s">
        <v>332</v>
      </c>
      <c r="E918" s="569" t="s">
        <v>1253</v>
      </c>
      <c r="H918" s="216"/>
      <c r="J918" s="523"/>
      <c r="K918">
        <v>10</v>
      </c>
      <c r="L918"/>
      <c r="M918">
        <v>5.4000000000000003E-3</v>
      </c>
      <c r="N918">
        <v>2.3E-3</v>
      </c>
      <c r="O918">
        <v>2.9999999999999997E-4</v>
      </c>
    </row>
    <row r="919" spans="1:15" x14ac:dyDescent="0.25">
      <c r="A919" s="271"/>
      <c r="B919" s="634">
        <f>$F$906</f>
        <v>807.1319409067753</v>
      </c>
      <c r="D919" s="581">
        <v>3</v>
      </c>
      <c r="E919" s="581">
        <v>16</v>
      </c>
      <c r="F919" s="10"/>
      <c r="G919" s="10"/>
      <c r="H919" s="216"/>
    </row>
    <row r="920" spans="1:15" x14ac:dyDescent="0.25">
      <c r="A920" s="271"/>
      <c r="B920" s="20"/>
      <c r="D920" s="1026">
        <v>3</v>
      </c>
      <c r="E920" s="1026">
        <v>12</v>
      </c>
      <c r="F920" s="569">
        <f>3.14*E919*E919/4*D919+3.14*E920*E920/4*D920</f>
        <v>942</v>
      </c>
      <c r="G920" s="595" t="str">
        <f>IF(F920&gt;F906,"ok","revise")</f>
        <v>ok</v>
      </c>
      <c r="H920" s="216"/>
    </row>
    <row r="921" spans="1:15" x14ac:dyDescent="0.25">
      <c r="A921" s="271"/>
      <c r="B921" s="277"/>
      <c r="C921" s="273"/>
      <c r="D921" s="271"/>
      <c r="E921" s="278"/>
      <c r="F921" s="569" t="s">
        <v>1259</v>
      </c>
      <c r="G921" s="10"/>
      <c r="H921" s="216"/>
      <c r="J921" s="10">
        <v>3</v>
      </c>
      <c r="K921" s="10">
        <v>10</v>
      </c>
    </row>
    <row r="922" spans="1:15" x14ac:dyDescent="0.25">
      <c r="A922" s="606"/>
      <c r="B922" s="607"/>
      <c r="C922" s="608"/>
      <c r="D922" s="606"/>
      <c r="E922" s="609"/>
      <c r="F922" s="610"/>
      <c r="G922" s="606"/>
      <c r="H922" s="611"/>
      <c r="J922" s="10">
        <v>4</v>
      </c>
      <c r="K922" s="10">
        <v>12</v>
      </c>
    </row>
    <row r="923" spans="1:15" ht="26.25" x14ac:dyDescent="0.25">
      <c r="A923" s="6"/>
      <c r="B923" s="20" t="s">
        <v>201</v>
      </c>
      <c r="C923" s="5" t="s">
        <v>197</v>
      </c>
      <c r="D923" s="128">
        <f>LOOKUP(E894,Calculation!K915:K918,Calculation!N915:N918)</f>
        <v>4.1000000000000003E-3</v>
      </c>
      <c r="E923" s="6" t="str">
        <f>"("&amp;D923&amp;"*"&amp;ROUND(F892,3)&amp;"*"&amp;Calculation!E96&amp;")"</f>
        <v>(0.0041*475.65*3.55)</v>
      </c>
      <c r="F923" s="13">
        <f>D923*F892*Calculation!E96</f>
        <v>6.9230857500000003</v>
      </c>
      <c r="G923" s="3" t="s">
        <v>210</v>
      </c>
      <c r="J923" s="10">
        <v>5</v>
      </c>
      <c r="K923" s="10">
        <v>16</v>
      </c>
    </row>
    <row r="924" spans="1:15" x14ac:dyDescent="0.25">
      <c r="A924" s="6"/>
      <c r="B924" s="612"/>
      <c r="C924" s="613"/>
      <c r="D924" s="617"/>
      <c r="E924" s="614"/>
      <c r="F924" s="618"/>
      <c r="G924" s="616"/>
      <c r="K924" s="10">
        <v>20</v>
      </c>
    </row>
    <row r="925" spans="1:15" x14ac:dyDescent="0.25">
      <c r="A925" s="6"/>
      <c r="B925" s="1165" t="s">
        <v>1261</v>
      </c>
      <c r="C925" s="1166"/>
      <c r="D925" s="1166"/>
      <c r="E925" s="1166"/>
      <c r="F925" s="1166"/>
      <c r="G925" s="1167"/>
      <c r="K925" s="10">
        <v>25</v>
      </c>
    </row>
    <row r="926" spans="1:15" x14ac:dyDescent="0.25">
      <c r="A926" s="6"/>
      <c r="B926" s="20"/>
      <c r="C926" s="5"/>
      <c r="D926" s="128"/>
      <c r="E926" s="6"/>
      <c r="F926" s="13"/>
      <c r="K926" s="10">
        <v>32</v>
      </c>
    </row>
    <row r="927" spans="1:15" x14ac:dyDescent="0.25">
      <c r="A927" s="271"/>
      <c r="B927" s="20" t="s">
        <v>621</v>
      </c>
      <c r="C927" s="5"/>
      <c r="D927" s="6"/>
      <c r="E927" s="19"/>
      <c r="F927" s="13">
        <v>0</v>
      </c>
      <c r="G927" s="3" t="s">
        <v>103</v>
      </c>
      <c r="H927" s="216"/>
    </row>
    <row r="928" spans="1:15" x14ac:dyDescent="0.25">
      <c r="A928" s="271"/>
      <c r="B928" s="20" t="s">
        <v>310</v>
      </c>
      <c r="C928" s="5"/>
      <c r="D928" s="6"/>
      <c r="E928" s="19"/>
      <c r="F928" s="13">
        <f>F923</f>
        <v>6.9230857500000003</v>
      </c>
      <c r="G928" s="3" t="s">
        <v>210</v>
      </c>
      <c r="H928" s="216"/>
    </row>
    <row r="929" spans="1:14" x14ac:dyDescent="0.25">
      <c r="A929" s="271"/>
      <c r="B929" s="20" t="s">
        <v>1234</v>
      </c>
      <c r="C929" s="5"/>
      <c r="D929" s="6"/>
      <c r="E929" s="19"/>
      <c r="F929" s="13">
        <f>G162</f>
        <v>900</v>
      </c>
      <c r="G929" s="3" t="s">
        <v>202</v>
      </c>
      <c r="H929" s="216"/>
    </row>
    <row r="930" spans="1:14" x14ac:dyDescent="0.25">
      <c r="A930" s="271"/>
      <c r="B930" s="10" t="s">
        <v>1239</v>
      </c>
      <c r="C930" s="10"/>
      <c r="D930" s="182"/>
      <c r="E930" s="10"/>
      <c r="F930" s="571">
        <f>$F$49</f>
        <v>45</v>
      </c>
      <c r="G930" s="10" t="s">
        <v>202</v>
      </c>
      <c r="H930" s="216"/>
      <c r="J930" s="19" t="str">
        <f>CONCATENATE(K927,"-",K928,"-10")</f>
        <v>--10</v>
      </c>
    </row>
    <row r="931" spans="1:14" x14ac:dyDescent="0.25">
      <c r="A931" s="271"/>
      <c r="B931" s="20" t="s">
        <v>1235</v>
      </c>
      <c r="C931" s="5"/>
      <c r="D931" s="6"/>
      <c r="E931" s="19"/>
      <c r="F931" s="13">
        <f>G161</f>
        <v>500</v>
      </c>
      <c r="G931" s="3" t="s">
        <v>202</v>
      </c>
      <c r="H931" s="216"/>
      <c r="J931" s="19"/>
    </row>
    <row r="932" spans="1:14" ht="26.25" x14ac:dyDescent="0.25">
      <c r="A932" s="271"/>
      <c r="B932" s="569" t="s">
        <v>1283</v>
      </c>
      <c r="C932" s="5"/>
      <c r="D932" s="6"/>
      <c r="E932" s="19" t="str">
        <f>CONCATENATE(F929,"-",F930,"-10")</f>
        <v>900-45-10</v>
      </c>
      <c r="F932" s="13">
        <f>F929-F930-10</f>
        <v>845</v>
      </c>
      <c r="G932" s="3" t="s">
        <v>202</v>
      </c>
      <c r="H932" s="216"/>
      <c r="J932" s="19" t="str">
        <f>"("&amp;K926&amp;"*10000000/("&amp;K931&amp;"*("&amp;K930&amp;"-"&amp;K927&amp;"/10)))"</f>
        <v>(32*10000000/(*(-/10)))</v>
      </c>
    </row>
    <row r="933" spans="1:14" x14ac:dyDescent="0.25">
      <c r="A933" s="271"/>
      <c r="B933" s="569" t="s">
        <v>1277</v>
      </c>
      <c r="C933" s="5"/>
      <c r="D933" s="6"/>
      <c r="E933" s="19"/>
      <c r="F933" s="13">
        <f>intro!$J$74</f>
        <v>130</v>
      </c>
      <c r="G933" s="216" t="s">
        <v>260</v>
      </c>
      <c r="H933" s="216"/>
      <c r="J933" s="19"/>
    </row>
    <row r="934" spans="1:14" ht="47.25" x14ac:dyDescent="0.25">
      <c r="A934" s="271"/>
      <c r="B934" s="569" t="s">
        <v>1305</v>
      </c>
      <c r="C934" s="5"/>
      <c r="D934" s="6"/>
      <c r="E934" s="19" t="str">
        <f>"("&amp;F928&amp;"*10000000/("&amp;F933&amp;"*("&amp;F932&amp;"-"&amp;F929&amp;"/10)))"</f>
        <v>(6.92308575*10000000/(130*(845-900/10)))</v>
      </c>
      <c r="F934" s="13">
        <f>F928*10000000/(F933*(F932-F929/10))</f>
        <v>705.35769230769233</v>
      </c>
      <c r="G934" s="216" t="s">
        <v>679</v>
      </c>
      <c r="H934" s="216"/>
      <c r="J934" s="46" t="str">
        <f>"(("&amp;K929&amp;"*"&amp;K927&amp;"*"&amp;K927&amp;"/2+"&amp;intro!$J$85&amp;"*"&amp;K932&amp;"*"&amp;K930&amp;")/("&amp;K929&amp;"*"&amp;K927&amp;"+"&amp;intro!$J$85&amp;"*"&amp;K932&amp;"))"</f>
        <v>((**/2+9.33**)/(*+9.33*))</v>
      </c>
      <c r="L934" s="182"/>
    </row>
    <row r="935" spans="1:14" x14ac:dyDescent="0.25">
      <c r="A935" s="271"/>
      <c r="B935" s="569"/>
      <c r="C935" s="5"/>
      <c r="D935" s="6"/>
      <c r="E935" s="19"/>
      <c r="F935" s="572"/>
      <c r="G935" s="216"/>
      <c r="H935" s="216"/>
      <c r="J935" s="19" t="str">
        <f>"(POWER("&amp;K934&amp;",3))"</f>
        <v>(POWER(,3))</v>
      </c>
    </row>
    <row r="936" spans="1:14" ht="48.75" customHeight="1" x14ac:dyDescent="0.25">
      <c r="A936" s="271"/>
      <c r="B936" s="569" t="s">
        <v>1246</v>
      </c>
      <c r="C936" s="5"/>
      <c r="D936" s="6"/>
      <c r="E936" s="19" t="str">
        <f>CONCATENATE("(",F931,"*",F929,"*",F929,"/2+",intro!J514,"*",F934,"*",F932,")/(",F931,"*",F929,"+",intro!J85*F934,")")</f>
        <v>(500*900*900/2+*705.357692307692*845)/(500*900+6580.98726923077)</v>
      </c>
      <c r="F936" s="589">
        <f>(F931*F929*F929/2+intro!$J$85*F934*F932)/(F931*F929+intro!$J$85*F934)</f>
        <v>455.69338199317821</v>
      </c>
      <c r="G936" s="216" t="s">
        <v>202</v>
      </c>
      <c r="H936" s="216"/>
      <c r="J936" s="19" t="str">
        <f>"(POWER(("&amp;K927&amp;"-"&amp;K934&amp;"),3))"</f>
        <v>(POWER((-),3))</v>
      </c>
    </row>
    <row r="937" spans="1:14" x14ac:dyDescent="0.25">
      <c r="A937" s="271"/>
      <c r="B937" s="590" t="s">
        <v>1285</v>
      </c>
      <c r="C937" s="591"/>
      <c r="D937" s="6"/>
      <c r="E937" s="19" t="str">
        <f>"(POWER("&amp;F936&amp;",3))"</f>
        <v>(POWER(455.693381993178,3))</v>
      </c>
      <c r="F937" s="592">
        <f>POWER(F936,3)</f>
        <v>94627673.817549616</v>
      </c>
      <c r="G937" s="216"/>
      <c r="H937" s="216"/>
      <c r="J937" s="10" t="str">
        <f>"(POWER(("&amp;K927&amp;"-"&amp;K934&amp;"-60),2))"</f>
        <v>(POWER((--60),2))</v>
      </c>
    </row>
    <row r="938" spans="1:14" ht="31.5" x14ac:dyDescent="0.25">
      <c r="A938" s="271"/>
      <c r="B938" s="590" t="s">
        <v>1291</v>
      </c>
      <c r="C938" s="591"/>
      <c r="D938" s="6"/>
      <c r="E938" s="19" t="str">
        <f>"(POWER(("&amp;F929&amp;"-"&amp;F936&amp;"),3))"</f>
        <v>(POWER((900-455.693381993178),3))</v>
      </c>
      <c r="F938" s="592">
        <f>POWER((F929-F936),3)</f>
        <v>87709845.598455042</v>
      </c>
      <c r="G938" s="216"/>
      <c r="H938" s="216"/>
      <c r="J938" s="46" t="str">
        <f>"("&amp;K929&amp;"/3*("&amp;K935&amp;"+"&amp;K936&amp;")+"&amp;$F$46&amp;"*"&amp;K932&amp;"*"&amp;K937&amp;")"</f>
        <v>(/3*(+)+8.33**)</v>
      </c>
    </row>
    <row r="939" spans="1:14" x14ac:dyDescent="0.25">
      <c r="A939" s="271"/>
      <c r="B939" s="590" t="s">
        <v>1286</v>
      </c>
      <c r="C939" s="591"/>
      <c r="D939" s="6"/>
      <c r="E939" s="10" t="str">
        <f>"(POWER(("&amp;F929&amp;"-"&amp;F936&amp;"-60),2))"</f>
        <v>(POWER((900-455.693381993178-60),2))</v>
      </c>
      <c r="F939" s="592">
        <f>POWER((F929-F936-60),2)</f>
        <v>147691.57664384125</v>
      </c>
      <c r="G939" s="216"/>
      <c r="H939" s="216"/>
      <c r="J939" s="10" t="str">
        <f>"("&amp;K927&amp;"*1000+"&amp;$F$46&amp;"*"&amp;K932&amp;")"</f>
        <v>(*1000+8.33*)</v>
      </c>
    </row>
    <row r="940" spans="1:14" x14ac:dyDescent="0.25">
      <c r="A940" s="271"/>
      <c r="B940" s="590" t="s">
        <v>1287</v>
      </c>
      <c r="C940" s="591"/>
      <c r="D940" s="6"/>
      <c r="E940" s="19"/>
      <c r="F940" s="592">
        <f>F931/3*(F937+F938)+intro!$J$85*F934*F939</f>
        <v>31361542954.999847</v>
      </c>
      <c r="G940" s="216"/>
      <c r="H940" s="216"/>
    </row>
    <row r="941" spans="1:14" ht="63" x14ac:dyDescent="0.25">
      <c r="A941" s="271"/>
      <c r="B941" s="590" t="s">
        <v>1288</v>
      </c>
      <c r="C941" s="591"/>
      <c r="D941" s="6"/>
      <c r="E941" s="19"/>
      <c r="F941" s="592">
        <f>F929*1000+intro!$J$85*F934</f>
        <v>906580.98726923077</v>
      </c>
      <c r="G941" s="216"/>
      <c r="H941" s="216"/>
      <c r="J941" s="46" t="str">
        <f>"((("&amp;K925&amp;"*10000/"&amp;K939&amp;"))-(("&amp;K926&amp;"*10000000)*("&amp;K927&amp;"-"&amp;K934&amp;")/"&amp;K938&amp;"))"</f>
        <v>(((25*10000/))-((32*10000000)*(-)/))</v>
      </c>
    </row>
    <row r="942" spans="1:14" x14ac:dyDescent="0.25">
      <c r="A942" s="271"/>
      <c r="B942" s="590" t="s">
        <v>1289</v>
      </c>
      <c r="C942" s="591"/>
      <c r="D942" s="6"/>
      <c r="E942" s="19"/>
      <c r="F942" s="593">
        <f>-intro!$J$65</f>
        <v>-2</v>
      </c>
      <c r="G942" s="216"/>
      <c r="H942" s="216"/>
    </row>
    <row r="943" spans="1:14" ht="99" customHeight="1" x14ac:dyDescent="0.25">
      <c r="A943" s="271"/>
      <c r="B943" s="590" t="s">
        <v>1290</v>
      </c>
      <c r="C943" s="591"/>
      <c r="D943" s="6"/>
      <c r="E943" s="46" t="str">
        <f>"((("&amp;F927&amp;"*10000/"&amp;F941&amp;"))-(("&amp;F928&amp;"*10000000)*("&amp;F929&amp;"-"&amp;F936&amp;")/"&amp;F940&amp;"))"</f>
        <v>(((0*10000/906580.987269231))-((6.92308575*10000000)*(900-455.693381993178)/31361542954.9998))</v>
      </c>
      <c r="F943" s="594">
        <f>((F927*10000/F941))-((F928*10000000)*(F929-F936)/F940)</f>
        <v>-0.98081042127531259</v>
      </c>
      <c r="G943" s="595" t="str">
        <f>IF(F942&lt;F943,"ok","revise")</f>
        <v>ok</v>
      </c>
      <c r="H943" s="216"/>
    </row>
    <row r="944" spans="1:14" x14ac:dyDescent="0.25">
      <c r="A944" s="271"/>
      <c r="B944" s="569"/>
      <c r="C944" s="5"/>
      <c r="D944" s="6"/>
      <c r="E944" s="19"/>
      <c r="F944" s="10"/>
      <c r="G944" s="216"/>
      <c r="H944" s="216"/>
      <c r="K944" s="10" t="s">
        <v>1713</v>
      </c>
      <c r="N944" s="10" t="s">
        <v>1714</v>
      </c>
    </row>
    <row r="945" spans="1:14" x14ac:dyDescent="0.25">
      <c r="A945" s="271"/>
      <c r="B945" s="596" t="s">
        <v>408</v>
      </c>
      <c r="C945" s="5"/>
      <c r="D945" s="6">
        <f>IF(F86&lt;14,P351/2,VLOOKUP(F65,O351:P365,2,FALSE))</f>
        <v>0.14000000000000001</v>
      </c>
      <c r="E945" s="19" t="s">
        <v>256</v>
      </c>
      <c r="F945" s="597">
        <f>D945*F929*F931/100</f>
        <v>630.00000000000011</v>
      </c>
      <c r="G945" s="595" t="str">
        <f>IF(F948&gt;F945,"ok","revise")</f>
        <v>ok</v>
      </c>
      <c r="H945" s="216"/>
      <c r="K945" s="10">
        <v>3</v>
      </c>
      <c r="L945" s="10" t="s">
        <v>1892</v>
      </c>
      <c r="M945" s="10" t="s">
        <v>1896</v>
      </c>
      <c r="N945" s="10">
        <v>12</v>
      </c>
    </row>
    <row r="946" spans="1:14" x14ac:dyDescent="0.25">
      <c r="A946" s="271"/>
      <c r="B946" s="20"/>
      <c r="D946" s="569" t="s">
        <v>332</v>
      </c>
      <c r="E946" s="569" t="s">
        <v>1253</v>
      </c>
      <c r="H946" s="216"/>
      <c r="K946" s="10">
        <v>4</v>
      </c>
      <c r="L946" s="10" t="s">
        <v>1893</v>
      </c>
      <c r="M946" s="10" t="s">
        <v>1897</v>
      </c>
      <c r="N946" s="10">
        <v>16</v>
      </c>
    </row>
    <row r="947" spans="1:14" x14ac:dyDescent="0.25">
      <c r="A947" s="271"/>
      <c r="B947" s="634">
        <f>$F$934</f>
        <v>705.35769230769233</v>
      </c>
      <c r="D947" s="581">
        <v>3</v>
      </c>
      <c r="E947" s="581">
        <v>20</v>
      </c>
      <c r="F947" s="10"/>
      <c r="G947" s="10"/>
      <c r="H947" s="216"/>
      <c r="K947" s="10">
        <v>5</v>
      </c>
      <c r="L947" s="10" t="s">
        <v>1894</v>
      </c>
      <c r="M947" s="10" t="s">
        <v>1898</v>
      </c>
      <c r="N947" s="10">
        <v>20</v>
      </c>
    </row>
    <row r="948" spans="1:14" x14ac:dyDescent="0.25">
      <c r="A948" s="271"/>
      <c r="B948" s="20"/>
      <c r="C948" s="581"/>
      <c r="D948" s="581"/>
      <c r="E948" s="19"/>
      <c r="F948" s="569">
        <f>3.14*E947*E947/4*D947+3.14*C948*C948/4*D948</f>
        <v>942</v>
      </c>
      <c r="G948" s="595" t="str">
        <f>IF(F948&gt;F934,"ok","revise")</f>
        <v>ok</v>
      </c>
      <c r="H948" s="216"/>
      <c r="J948" s="10">
        <f>intro!$J$80</f>
        <v>0.28000000000000003</v>
      </c>
      <c r="K948" s="10">
        <v>6</v>
      </c>
      <c r="L948" s="10" t="s">
        <v>1895</v>
      </c>
      <c r="M948" s="10" t="s">
        <v>1899</v>
      </c>
      <c r="N948" s="10">
        <v>25</v>
      </c>
    </row>
    <row r="949" spans="1:14" x14ac:dyDescent="0.25">
      <c r="A949" s="271"/>
      <c r="B949" s="277"/>
      <c r="C949" s="273"/>
      <c r="D949" s="271"/>
      <c r="E949" s="278"/>
      <c r="F949" s="569" t="s">
        <v>1259</v>
      </c>
      <c r="G949" s="10"/>
      <c r="H949" s="216"/>
    </row>
    <row r="950" spans="1:14" x14ac:dyDescent="0.25">
      <c r="A950" s="606"/>
      <c r="B950" s="607"/>
      <c r="C950" s="608"/>
      <c r="D950" s="606"/>
      <c r="E950" s="609"/>
      <c r="F950" s="610"/>
      <c r="G950" s="606"/>
      <c r="H950" s="611"/>
    </row>
    <row r="951" spans="1:14" x14ac:dyDescent="0.25">
      <c r="A951" s="6"/>
      <c r="B951" s="20" t="s">
        <v>208</v>
      </c>
      <c r="C951" s="5" t="s">
        <v>205</v>
      </c>
      <c r="D951" s="128">
        <f>LOOKUP(E894,Calculation!K915:K918,Calculation!O915:O918)</f>
        <v>5.9999999999999995E-4</v>
      </c>
      <c r="E951" s="6" t="str">
        <f>"(0.00015*"&amp;ROUND(F892,3)&amp;"*"&amp;Calculation!E96&amp;")"</f>
        <v>(0.00015*475.65*3.55)</v>
      </c>
      <c r="F951" s="13">
        <f>D951*F892*Calculation!E96</f>
        <v>1.0131344999999998</v>
      </c>
      <c r="G951" s="3" t="s">
        <v>210</v>
      </c>
    </row>
    <row r="952" spans="1:14" x14ac:dyDescent="0.25">
      <c r="A952" s="6"/>
      <c r="B952" s="12"/>
      <c r="C952" s="5"/>
      <c r="D952" s="6"/>
      <c r="E952" s="6"/>
    </row>
    <row r="953" spans="1:14" ht="26.25" x14ac:dyDescent="0.25">
      <c r="A953" s="6"/>
      <c r="B953" s="20" t="s">
        <v>206</v>
      </c>
      <c r="C953" s="5" t="s">
        <v>198</v>
      </c>
      <c r="D953" s="6" t="s">
        <v>209</v>
      </c>
      <c r="E953" s="6"/>
      <c r="F953" s="3">
        <f>F951*(1+(Calculation!D97/Calculation!G161))/1.7</f>
        <v>1.6686921176470586</v>
      </c>
      <c r="G953" s="3" t="s">
        <v>210</v>
      </c>
    </row>
    <row r="954" spans="1:14" x14ac:dyDescent="0.25">
      <c r="A954" s="6"/>
      <c r="B954" s="12"/>
      <c r="C954" s="5"/>
      <c r="D954" s="6"/>
      <c r="E954" s="6"/>
    </row>
    <row r="955" spans="1:14" ht="29.25" hidden="1" customHeight="1" x14ac:dyDescent="0.25">
      <c r="A955" s="6"/>
      <c r="B955" s="117" t="s">
        <v>203</v>
      </c>
      <c r="C955" s="5" t="s">
        <v>211</v>
      </c>
      <c r="D955" s="6"/>
      <c r="E955" s="19" t="str">
        <f>"(("&amp;ROUND(F953,3)&amp;"*10^7/"&amp;Calculation!F47&amp;"/(("&amp;Calculation!D97&amp;"-"&amp;Calculation!F49&amp;"*2)-"&amp;Calculation!D97&amp;"/10)))"</f>
        <v>((1.669*10^7/500/((900-45*2)-900/10)))</v>
      </c>
      <c r="F955" s="3">
        <f>(F953*10^7/Calculation!F47/((Calculation!D97-Calculation!F49*2)-Calculation!D97/10))</f>
        <v>46.352558823529407</v>
      </c>
      <c r="G955" s="3" t="s">
        <v>98</v>
      </c>
    </row>
    <row r="956" spans="1:14" ht="21.75" customHeight="1" x14ac:dyDescent="0.25">
      <c r="A956" s="6"/>
      <c r="B956" s="12" t="s">
        <v>1309</v>
      </c>
      <c r="C956" s="5"/>
      <c r="D956" s="6">
        <f>intro!$J$80</f>
        <v>0.28000000000000003</v>
      </c>
      <c r="E956" s="6"/>
      <c r="F956" s="41">
        <f>D956*Calculation!G161*Calculation!D97/100</f>
        <v>1260</v>
      </c>
      <c r="G956" s="3" t="s">
        <v>98</v>
      </c>
    </row>
    <row r="957" spans="1:14" x14ac:dyDescent="0.25">
      <c r="A957" s="6"/>
      <c r="B957" s="12"/>
      <c r="C957" s="5"/>
      <c r="D957" s="6"/>
      <c r="E957" s="6"/>
    </row>
    <row r="958" spans="1:14" x14ac:dyDescent="0.25">
      <c r="A958" s="6"/>
      <c r="B958" s="20" t="s">
        <v>199</v>
      </c>
      <c r="C958" s="5" t="s">
        <v>159</v>
      </c>
      <c r="D958" s="6"/>
      <c r="E958" s="6" t="str">
        <f>"("&amp;ROUND(F890,3)&amp;"*"&amp;Calculation!E96&amp;"*(22/7)/4/2)"</f>
        <v>(21.316*3.55*(22/7)/4/2)</v>
      </c>
      <c r="F958" s="3">
        <f>F890*Calculation!E96*(22/7)/4/2</f>
        <v>29.728207142857144</v>
      </c>
      <c r="G958" s="3" t="s">
        <v>117</v>
      </c>
    </row>
    <row r="959" spans="1:14" x14ac:dyDescent="0.25">
      <c r="A959" s="6"/>
      <c r="B959" s="12"/>
      <c r="C959" s="5"/>
      <c r="D959" s="6"/>
      <c r="E959" s="6"/>
    </row>
    <row r="960" spans="1:14" ht="28.5" customHeight="1" x14ac:dyDescent="0.25">
      <c r="A960" s="6"/>
      <c r="B960" s="12"/>
      <c r="C960" s="5" t="s">
        <v>212</v>
      </c>
      <c r="D960" s="6"/>
      <c r="E960" s="19" t="str">
        <f>"(("&amp;ROUND(F958,3)&amp;"*10^4/"&amp;Calculation!G161&amp;"/("&amp;Calculation!D97&amp;"-2*"&amp;Calculation!F49&amp;")))"</f>
        <v>((29.728*10^4/500/(900-2*45)))</v>
      </c>
      <c r="F960" s="3">
        <f>(F958*10^4/Calculation!G161/(Calculation!D97-2*Calculation!F49))</f>
        <v>0.73402980599647272</v>
      </c>
      <c r="G960" s="3" t="s">
        <v>116</v>
      </c>
    </row>
    <row r="961" spans="1:9" ht="12" customHeight="1" x14ac:dyDescent="0.25">
      <c r="A961" s="6"/>
      <c r="B961" s="12"/>
      <c r="C961" s="5"/>
      <c r="D961" s="6"/>
      <c r="E961" s="19"/>
    </row>
    <row r="962" spans="1:9" x14ac:dyDescent="0.25">
      <c r="A962" s="6"/>
      <c r="B962" s="9" t="s">
        <v>213</v>
      </c>
      <c r="C962" s="5"/>
      <c r="D962" s="6"/>
      <c r="E962" s="6"/>
      <c r="F962" s="3">
        <f>100*F920/Calculation!G161/(Calculation!D97-Calculation!F49*2)</f>
        <v>0.2325925925925926</v>
      </c>
    </row>
    <row r="963" spans="1:9" ht="18.75" x14ac:dyDescent="0.25">
      <c r="A963" s="6"/>
      <c r="B963" s="12"/>
      <c r="C963" s="5" t="s">
        <v>214</v>
      </c>
      <c r="D963" s="6"/>
      <c r="E963" s="6"/>
      <c r="F963" s="3">
        <f>VLOOKUP(F962,tc!C6:D42,2)</f>
        <v>0.224</v>
      </c>
      <c r="G963" s="3" t="s">
        <v>116</v>
      </c>
      <c r="I963" s="10">
        <f>LOOKUP(F962,tc!D6:D42)</f>
        <v>0.23</v>
      </c>
    </row>
    <row r="964" spans="1:9" x14ac:dyDescent="0.25">
      <c r="A964" s="6"/>
      <c r="B964" s="12" t="s">
        <v>273</v>
      </c>
      <c r="C964" s="5"/>
      <c r="D964" s="304">
        <v>10</v>
      </c>
      <c r="E964" s="6">
        <f>3.14*D964^2*0.25</f>
        <v>78.5</v>
      </c>
      <c r="G964" s="3" t="s">
        <v>679</v>
      </c>
    </row>
    <row r="965" spans="1:9" x14ac:dyDescent="0.25">
      <c r="A965" s="6"/>
      <c r="B965" s="9" t="s">
        <v>215</v>
      </c>
      <c r="C965" s="5" t="s">
        <v>216</v>
      </c>
      <c r="D965" s="6"/>
      <c r="E965" s="19" t="str">
        <f>"("&amp;Calculation!F47&amp;"*4*"&amp;E964&amp;"/(("&amp;ROUND(Calculation!F960,3)&amp;"-"&amp;ROUND(Calculation!F963,3)&amp;")*"&amp;Calculation!G161&amp;"))"</f>
        <v>(500*4*78.5/((0.734-0.224)*500))</v>
      </c>
      <c r="F965" s="3">
        <f>Calculation!F47*4*E964/((Calculation!F960-Calculation!F963)*Calculation!G161)</f>
        <v>615.65029397942976</v>
      </c>
      <c r="G965" s="3" t="s">
        <v>202</v>
      </c>
    </row>
    <row r="966" spans="1:9" x14ac:dyDescent="0.25">
      <c r="A966" s="6"/>
      <c r="B966" s="9"/>
      <c r="C966" s="5"/>
      <c r="D966" s="6"/>
      <c r="E966" s="6"/>
    </row>
    <row r="967" spans="1:9" ht="39" customHeight="1" x14ac:dyDescent="0.25">
      <c r="A967" s="6"/>
      <c r="B967" s="20" t="s">
        <v>207</v>
      </c>
      <c r="C967" s="5" t="s">
        <v>200</v>
      </c>
      <c r="D967" s="6"/>
      <c r="E967" s="19" t="str">
        <f>"("&amp;ROUND(F958,3)&amp;"-("&amp;ROUND(F895,3)&amp;"* (22/7)*"&amp;Calculation!E96&amp;"*9.5/180))"</f>
        <v>(29.728-(7.922* (22/7)*3.55*9.5/180))</v>
      </c>
      <c r="F967" s="3">
        <f>F958-(F895*(22/7)*Calculation!E96*9.5/180)</f>
        <v>25.063343730158731</v>
      </c>
      <c r="G967" s="3" t="s">
        <v>117</v>
      </c>
      <c r="I967" s="182"/>
    </row>
    <row r="968" spans="1:9" ht="13.5" customHeight="1" x14ac:dyDescent="0.25">
      <c r="A968" s="6"/>
      <c r="B968" s="20"/>
      <c r="C968" s="5"/>
      <c r="D968" s="6"/>
      <c r="E968" s="19"/>
    </row>
    <row r="969" spans="1:9" x14ac:dyDescent="0.25">
      <c r="A969" s="6"/>
      <c r="B969" s="9" t="s">
        <v>217</v>
      </c>
      <c r="C969" s="5" t="s">
        <v>218</v>
      </c>
      <c r="D969" s="6" t="s">
        <v>219</v>
      </c>
      <c r="E969" s="6"/>
      <c r="F969" s="3">
        <f>F967+1.6*F953/(Calculation!G161/1000)</f>
        <v>30.403158506629318</v>
      </c>
      <c r="G969" s="3" t="s">
        <v>117</v>
      </c>
    </row>
    <row r="970" spans="1:9" x14ac:dyDescent="0.25">
      <c r="A970" s="6"/>
      <c r="B970" s="12"/>
      <c r="C970" s="5"/>
      <c r="D970" s="6"/>
      <c r="E970" s="6"/>
    </row>
    <row r="971" spans="1:9" ht="18.75" x14ac:dyDescent="0.25">
      <c r="A971" s="6"/>
      <c r="B971" s="12"/>
      <c r="C971" s="5" t="s">
        <v>220</v>
      </c>
      <c r="D971" s="6" t="s">
        <v>221</v>
      </c>
      <c r="E971" s="6"/>
      <c r="F971" s="3">
        <f>F969*10^4/Calculation!G161/(Calculation!D97-2*Calculation!F49)</f>
        <v>0.75069527176862516</v>
      </c>
      <c r="G971" s="3" t="s">
        <v>116</v>
      </c>
    </row>
    <row r="972" spans="1:9" x14ac:dyDescent="0.25">
      <c r="A972" s="6"/>
      <c r="B972" s="12"/>
      <c r="D972" s="6"/>
      <c r="E972" s="6"/>
    </row>
    <row r="973" spans="1:9" x14ac:dyDescent="0.25">
      <c r="A973" s="6"/>
      <c r="B973" s="9" t="s">
        <v>213</v>
      </c>
      <c r="C973" s="5"/>
      <c r="D973" s="6"/>
      <c r="E973" s="6"/>
      <c r="F973" s="3">
        <f>100*F956/Calculation!G161/(Calculation!D97-Calculation!F49*2)</f>
        <v>0.31111111111111112</v>
      </c>
    </row>
    <row r="974" spans="1:9" ht="18.75" x14ac:dyDescent="0.25">
      <c r="A974" s="6"/>
      <c r="B974" s="12"/>
      <c r="C974" s="5" t="s">
        <v>222</v>
      </c>
      <c r="D974" s="6"/>
      <c r="E974" s="6"/>
      <c r="F974" s="3">
        <f>VLOOKUP(F973,tc!C6:D42,2)</f>
        <v>0.2492</v>
      </c>
      <c r="G974" s="3" t="s">
        <v>116</v>
      </c>
    </row>
    <row r="975" spans="1:9" x14ac:dyDescent="0.25">
      <c r="A975" s="6"/>
      <c r="B975" s="12"/>
      <c r="C975" s="15">
        <v>10</v>
      </c>
      <c r="D975" s="6" t="s">
        <v>272</v>
      </c>
      <c r="E975" s="6">
        <v>4</v>
      </c>
      <c r="F975" s="3">
        <f>(3.14*C975^2*0.25)*E975</f>
        <v>314</v>
      </c>
    </row>
    <row r="976" spans="1:9" x14ac:dyDescent="0.25">
      <c r="A976" s="6"/>
      <c r="B976" s="12" t="str">
        <f>CONCATENATE("Provide ",C975, "mm-",E975,"legged stirrup")</f>
        <v>Provide 10mm-4legged stirrup</v>
      </c>
      <c r="D976" s="6"/>
      <c r="E976" s="6"/>
    </row>
    <row r="977" spans="1:8" ht="29.25" customHeight="1" x14ac:dyDescent="0.25">
      <c r="A977" s="6"/>
      <c r="B977" s="9" t="s">
        <v>215</v>
      </c>
      <c r="C977" s="5" t="s">
        <v>216</v>
      </c>
      <c r="D977" s="6"/>
      <c r="E977" s="19" t="str">
        <f>"("&amp;ROUND(F971,3)&amp;"-("&amp;ROUND(F974,3)&amp;"* (22/7)*"&amp;Calculation!E96&amp;"*9.5/180))"</f>
        <v>(0.751-(0.249* (22/7)*3.55*9.5/180))</v>
      </c>
      <c r="F977" s="127">
        <f>Calculation!F47*4*F975/((Calculation!F971-Calculation!F974)*Calculation!G161)</f>
        <v>2504.5101533469306</v>
      </c>
      <c r="G977" s="3" t="s">
        <v>202</v>
      </c>
    </row>
    <row r="978" spans="1:8" x14ac:dyDescent="0.25">
      <c r="A978" s="6"/>
      <c r="B978" s="12"/>
      <c r="D978" s="6"/>
      <c r="E978" s="6"/>
    </row>
    <row r="979" spans="1:8" ht="18.75" x14ac:dyDescent="0.3">
      <c r="A979" s="6"/>
      <c r="B979" s="24" t="s">
        <v>320</v>
      </c>
      <c r="C979" s="6"/>
      <c r="D979" s="6"/>
      <c r="E979" s="6"/>
      <c r="F979" s="43">
        <f>$F$766</f>
        <v>21.433991040000002</v>
      </c>
    </row>
    <row r="980" spans="1:8" x14ac:dyDescent="0.25">
      <c r="A980" s="6"/>
      <c r="B980" s="11"/>
      <c r="D980" s="6"/>
      <c r="E980" s="6"/>
    </row>
    <row r="981" spans="1:8" x14ac:dyDescent="0.25">
      <c r="A981" s="6"/>
      <c r="B981" s="474" t="s">
        <v>1162</v>
      </c>
      <c r="C981" s="482"/>
      <c r="D981" s="484"/>
      <c r="E981" s="508"/>
      <c r="F981" s="482"/>
    </row>
    <row r="982" spans="1:8" x14ac:dyDescent="0.25">
      <c r="A982" s="6"/>
      <c r="B982" s="476" t="s">
        <v>895</v>
      </c>
      <c r="C982" s="482"/>
      <c r="D982" s="484" t="s">
        <v>442</v>
      </c>
      <c r="E982" s="508">
        <f>'cont ana'!E519/1000</f>
        <v>-47.635400000000004</v>
      </c>
      <c r="F982" s="482" t="s">
        <v>1163</v>
      </c>
    </row>
    <row r="983" spans="1:8" x14ac:dyDescent="0.25">
      <c r="A983" s="6"/>
      <c r="B983" s="476" t="s">
        <v>310</v>
      </c>
      <c r="C983" s="482"/>
      <c r="D983" s="484" t="s">
        <v>442</v>
      </c>
      <c r="E983" s="508">
        <f>'cont ana'!D519/1000</f>
        <v>17.264919999999996</v>
      </c>
      <c r="F983" s="482" t="s">
        <v>1164</v>
      </c>
    </row>
    <row r="984" spans="1:8" x14ac:dyDescent="0.25">
      <c r="A984" s="6"/>
      <c r="B984" s="476" t="s">
        <v>1165</v>
      </c>
      <c r="C984" s="482"/>
      <c r="D984" s="484" t="s">
        <v>442</v>
      </c>
      <c r="E984" s="508">
        <f>ROUNDUP((E982*(D97/1000))/2,2)</f>
        <v>-21.44</v>
      </c>
      <c r="F984" s="515" t="s">
        <v>1166</v>
      </c>
    </row>
    <row r="985" spans="1:8" x14ac:dyDescent="0.25">
      <c r="A985" s="6"/>
      <c r="B985" s="476" t="str">
        <f>CONCATENATE("Hence net moment  = ",E983,"+",E984)</f>
        <v>Hence net moment  = 17.26492+-21.44</v>
      </c>
      <c r="C985" s="482"/>
      <c r="D985" s="484" t="s">
        <v>442</v>
      </c>
      <c r="E985" s="508">
        <f>E983+E984</f>
        <v>-4.1750800000000048</v>
      </c>
      <c r="F985" s="515" t="s">
        <v>1164</v>
      </c>
    </row>
    <row r="986" spans="1:8" x14ac:dyDescent="0.25">
      <c r="A986" s="6"/>
      <c r="B986" s="496" t="s">
        <v>1167</v>
      </c>
      <c r="C986" s="482"/>
      <c r="D986" s="484"/>
      <c r="E986" s="508"/>
      <c r="F986" s="482"/>
    </row>
    <row r="987" spans="1:8" x14ac:dyDescent="0.25">
      <c r="A987" s="6"/>
      <c r="B987" s="476"/>
      <c r="C987" s="483" t="str">
        <f>CONCATENATE(E985,"*(",F61,"/)")</f>
        <v>-4.17508*(7.1/)</v>
      </c>
      <c r="D987" s="484" t="s">
        <v>442</v>
      </c>
      <c r="E987" s="508">
        <f>E985*(F61/2)</f>
        <v>-14.821534000000016</v>
      </c>
      <c r="F987" s="482" t="s">
        <v>1164</v>
      </c>
    </row>
    <row r="988" spans="1:8" x14ac:dyDescent="0.25">
      <c r="A988" s="6"/>
      <c r="B988" s="11"/>
      <c r="D988" s="6"/>
      <c r="E988" s="6"/>
    </row>
    <row r="989" spans="1:8" ht="26.25" x14ac:dyDescent="0.25">
      <c r="A989" s="6"/>
      <c r="B989" s="39" t="s">
        <v>2102</v>
      </c>
      <c r="D989" s="19" t="str">
        <f>CONCATENATE("SQRT(",E983,"/10*10*1000/",intro!J109,")")</f>
        <v>SQRT(17.26492/10*10*1000/0.33)</v>
      </c>
      <c r="E989" s="1041">
        <f>(SQRT(E983/10*10*1000/intro!J109))</f>
        <v>228.73115090415513</v>
      </c>
      <c r="F989" s="1042" t="str">
        <f>IF(E989&lt;F929,"OK","not ok")</f>
        <v>OK</v>
      </c>
    </row>
    <row r="990" spans="1:8" x14ac:dyDescent="0.25">
      <c r="A990" s="6"/>
      <c r="B990" s="12"/>
      <c r="D990" s="6"/>
      <c r="E990" s="6"/>
    </row>
    <row r="991" spans="1:8" x14ac:dyDescent="0.25">
      <c r="A991" s="248"/>
      <c r="B991" s="208"/>
      <c r="C991" s="208"/>
      <c r="D991" s="248"/>
      <c r="E991" s="208"/>
      <c r="F991" s="208"/>
      <c r="G991" s="208"/>
      <c r="H991" s="208"/>
    </row>
    <row r="992" spans="1:8" x14ac:dyDescent="0.25">
      <c r="A992" s="36" t="s">
        <v>42</v>
      </c>
      <c r="B992" s="37" t="s">
        <v>1413</v>
      </c>
      <c r="C992" s="36"/>
      <c r="D992" s="23"/>
      <c r="E992" s="208"/>
      <c r="F992" s="935"/>
      <c r="G992" s="208"/>
      <c r="H992" s="208"/>
    </row>
    <row r="993" spans="1:12" x14ac:dyDescent="0.25">
      <c r="A993" s="248"/>
      <c r="B993" s="284"/>
      <c r="C993" s="286"/>
      <c r="D993" s="286"/>
      <c r="E993" s="248"/>
      <c r="F993" s="935"/>
      <c r="G993" s="208"/>
      <c r="H993" s="208"/>
    </row>
    <row r="994" spans="1:12" x14ac:dyDescent="0.25">
      <c r="A994" s="248"/>
      <c r="B994" s="284"/>
      <c r="C994" s="286"/>
      <c r="D994" s="57"/>
      <c r="E994" s="57"/>
      <c r="F994" s="935"/>
      <c r="G994" s="57"/>
      <c r="H994" s="57"/>
      <c r="I994" s="57"/>
      <c r="J994" s="57"/>
    </row>
    <row r="995" spans="1:12" x14ac:dyDescent="0.25">
      <c r="A995" s="57"/>
      <c r="B995" s="1114" t="s">
        <v>1384</v>
      </c>
      <c r="C995" s="1115"/>
      <c r="D995" s="1116"/>
      <c r="E995" s="57"/>
      <c r="F995" s="57">
        <f>F998*1000</f>
        <v>400</v>
      </c>
      <c r="G995" s="57">
        <f>G998*1000</f>
        <v>600</v>
      </c>
      <c r="J995" s="57"/>
    </row>
    <row r="996" spans="1:12" x14ac:dyDescent="0.25">
      <c r="A996" s="57"/>
      <c r="B996" s="1114" t="str">
        <f>CONCATENATE("Provided cantilever beam of length  ", F996,"m")</f>
        <v>Provided cantilever beam of length  2.45m</v>
      </c>
      <c r="C996" s="1115"/>
      <c r="D996" s="1116"/>
      <c r="E996" s="57"/>
      <c r="F996" s="47">
        <v>2.4500000000000002</v>
      </c>
      <c r="G996" s="57"/>
      <c r="I996" s="96"/>
      <c r="J996" s="57"/>
      <c r="K996" s="182"/>
    </row>
    <row r="997" spans="1:12" x14ac:dyDescent="0.25">
      <c r="A997" s="57"/>
      <c r="B997" s="1114" t="s">
        <v>1408</v>
      </c>
      <c r="C997" s="1115"/>
      <c r="D997" s="1116"/>
      <c r="E997" s="57"/>
      <c r="F997" s="940">
        <v>2</v>
      </c>
      <c r="G997" s="57"/>
      <c r="J997" s="57"/>
    </row>
    <row r="998" spans="1:12" x14ac:dyDescent="0.25">
      <c r="A998" s="57"/>
      <c r="B998" s="1114" t="s">
        <v>1385</v>
      </c>
      <c r="C998" s="1115"/>
      <c r="D998" s="1116"/>
      <c r="E998" s="57"/>
      <c r="F998" s="940">
        <v>0.4</v>
      </c>
      <c r="G998" s="940">
        <v>0.6</v>
      </c>
      <c r="J998" s="935"/>
    </row>
    <row r="999" spans="1:12" x14ac:dyDescent="0.25">
      <c r="A999" s="57"/>
      <c r="B999" s="57" t="s">
        <v>1386</v>
      </c>
      <c r="C999" s="57"/>
      <c r="D999" s="57"/>
      <c r="E999" s="57"/>
      <c r="F999" s="940">
        <v>50</v>
      </c>
      <c r="G999" s="57" t="s">
        <v>202</v>
      </c>
      <c r="J999" s="57"/>
    </row>
    <row r="1000" spans="1:12" x14ac:dyDescent="0.25">
      <c r="A1000" s="57"/>
      <c r="B1000" s="941" t="s">
        <v>1409</v>
      </c>
      <c r="C1000" s="941"/>
      <c r="D1000" s="941"/>
      <c r="E1000" s="57"/>
      <c r="F1000" s="940">
        <v>0.15</v>
      </c>
      <c r="G1000" s="57" t="s">
        <v>74</v>
      </c>
      <c r="J1000" s="57"/>
    </row>
    <row r="1001" spans="1:12" x14ac:dyDescent="0.25">
      <c r="A1001" s="57"/>
      <c r="B1001" s="941" t="s">
        <v>1387</v>
      </c>
      <c r="C1001" s="941"/>
      <c r="D1001" s="941"/>
      <c r="E1001" s="57"/>
      <c r="F1001" s="57"/>
      <c r="G1001" s="57"/>
      <c r="H1001" s="57"/>
      <c r="I1001" s="57"/>
      <c r="J1001" s="57"/>
    </row>
    <row r="1002" spans="1:12" x14ac:dyDescent="0.25">
      <c r="A1002" s="57"/>
      <c r="B1002" s="941"/>
      <c r="C1002" s="941" t="s">
        <v>327</v>
      </c>
      <c r="D1002" s="1126" t="str">
        <f>CONCATENATE(F998,"*",G998,"*2.5")</f>
        <v>0.4*0.6*2.5</v>
      </c>
      <c r="E1002" s="1127"/>
      <c r="F1002" s="57">
        <f>F998*G998*2.5</f>
        <v>0.6</v>
      </c>
      <c r="G1002" s="57" t="s">
        <v>1388</v>
      </c>
      <c r="J1002" s="57"/>
    </row>
    <row r="1003" spans="1:12" x14ac:dyDescent="0.25">
      <c r="A1003" s="57"/>
      <c r="B1003" s="941"/>
      <c r="C1003" s="941" t="s">
        <v>1389</v>
      </c>
      <c r="D1003" s="1126" t="str">
        <f>CONCATENATE(F997,"/2*",F1000,"*2.5")</f>
        <v>2/2*0.15*2.5</v>
      </c>
      <c r="E1003" s="1127"/>
      <c r="F1003" s="57">
        <f>F997/2*F1000*2.5</f>
        <v>0.375</v>
      </c>
      <c r="G1003" s="57" t="s">
        <v>1388</v>
      </c>
      <c r="J1003" s="57"/>
    </row>
    <row r="1004" spans="1:12" x14ac:dyDescent="0.25">
      <c r="A1004" s="57"/>
      <c r="B1004" s="1114" t="s">
        <v>362</v>
      </c>
      <c r="C1004" s="1115"/>
      <c r="D1004" s="1116"/>
      <c r="E1004" s="966"/>
      <c r="F1004" s="940">
        <v>0.5</v>
      </c>
      <c r="G1004" s="57" t="s">
        <v>254</v>
      </c>
      <c r="J1004" s="57"/>
      <c r="K1004" s="10">
        <v>3</v>
      </c>
      <c r="L1004" s="10">
        <v>16</v>
      </c>
    </row>
    <row r="1005" spans="1:12" x14ac:dyDescent="0.25">
      <c r="A1005" s="57"/>
      <c r="B1005" s="941"/>
      <c r="C1005" s="941"/>
      <c r="D1005" s="1126" t="str">
        <f>CONCATENATE(F1004,"*",F997,"/2")</f>
        <v>0.5*2/2</v>
      </c>
      <c r="E1005" s="1127"/>
      <c r="F1005" s="57">
        <f>F1004*F997/2</f>
        <v>0.5</v>
      </c>
      <c r="G1005" s="57" t="s">
        <v>91</v>
      </c>
      <c r="J1005" s="57"/>
      <c r="K1005" s="10">
        <v>4</v>
      </c>
      <c r="L1005" s="10">
        <v>20</v>
      </c>
    </row>
    <row r="1006" spans="1:12" x14ac:dyDescent="0.25">
      <c r="A1006" s="57"/>
      <c r="B1006" s="939" t="s">
        <v>1390</v>
      </c>
      <c r="C1006" s="946"/>
      <c r="D1006" s="1126" t="str">
        <f>CONCATENATE(F1005,"+",F1002,"+",F1003)</f>
        <v>0.5+0.6+0.375</v>
      </c>
      <c r="E1006" s="1127"/>
      <c r="F1006" s="57">
        <f>F1005+F1002+F1003</f>
        <v>1.4750000000000001</v>
      </c>
      <c r="G1006" s="57" t="s">
        <v>91</v>
      </c>
      <c r="J1006" s="57"/>
      <c r="K1006" s="10">
        <v>5</v>
      </c>
      <c r="L1006" s="10">
        <v>25</v>
      </c>
    </row>
    <row r="1007" spans="1:12" x14ac:dyDescent="0.25">
      <c r="A1007" s="57"/>
      <c r="B1007" s="941"/>
      <c r="C1007" s="941"/>
      <c r="D1007" s="966"/>
      <c r="F1007" s="57"/>
      <c r="G1007" s="57"/>
      <c r="J1007" s="57"/>
      <c r="K1007" s="10">
        <v>6</v>
      </c>
      <c r="L1007" s="10">
        <v>32</v>
      </c>
    </row>
    <row r="1008" spans="1:12" ht="15.75" customHeight="1" x14ac:dyDescent="0.25">
      <c r="A1008" s="57"/>
      <c r="B1008" s="970" t="s">
        <v>1391</v>
      </c>
      <c r="C1008" s="946"/>
      <c r="D1008" s="1126" t="str">
        <f>CONCATENATE(F1006,"*",F996,"*",F996,"/2")</f>
        <v>1.475*2.45*2.45/2</v>
      </c>
      <c r="E1008" s="1127"/>
      <c r="F1008" s="945">
        <f>F1006*F996*F996/2</f>
        <v>4.4268437500000006</v>
      </c>
      <c r="G1008" s="57" t="s">
        <v>210</v>
      </c>
      <c r="J1008" s="57"/>
    </row>
    <row r="1009" spans="1:10" x14ac:dyDescent="0.25">
      <c r="A1009" s="57"/>
      <c r="B1009" s="941" t="s">
        <v>1392</v>
      </c>
      <c r="C1009" s="941"/>
      <c r="D1009" s="941"/>
      <c r="E1009" s="966"/>
      <c r="F1009" s="57">
        <f>0.55*500</f>
        <v>275</v>
      </c>
      <c r="G1009" s="57" t="s">
        <v>741</v>
      </c>
      <c r="J1009" s="57"/>
    </row>
    <row r="1010" spans="1:10" x14ac:dyDescent="0.25">
      <c r="A1010" s="57"/>
      <c r="B1010" s="939"/>
      <c r="C1010" s="946"/>
      <c r="D1010" s="947"/>
      <c r="E1010" s="1126"/>
      <c r="F1010" s="1132"/>
      <c r="G1010" s="1127"/>
      <c r="H1010" s="57"/>
      <c r="I1010" s="57"/>
      <c r="J1010" s="57"/>
    </row>
    <row r="1011" spans="1:10" ht="29.25" customHeight="1" x14ac:dyDescent="0.25">
      <c r="A1011" s="57"/>
      <c r="B1011" s="939" t="s">
        <v>1393</v>
      </c>
      <c r="C1011" s="946"/>
      <c r="D1011" s="1112" t="str">
        <f>CONCATENATE(F1008,"*10^7/((",F1009,"*((",G998,"*1000-",F999,")-",G998,"*1000/10)))")</f>
        <v>4.42684375*10^7/((275*((0.6*1000-50)-0.6*1000/10)))</v>
      </c>
      <c r="E1011" s="1113"/>
      <c r="F1011" s="58">
        <f>F1008*10^7/((F1009*((G998*1000-F999)-G998*1000/10)))</f>
        <v>328.52272727272731</v>
      </c>
      <c r="G1011" s="57" t="s">
        <v>564</v>
      </c>
      <c r="J1011" s="935"/>
    </row>
    <row r="1012" spans="1:10" x14ac:dyDescent="0.25">
      <c r="A1012" s="57"/>
      <c r="B1012" s="939"/>
      <c r="C1012" s="946"/>
      <c r="D1012" s="966"/>
      <c r="F1012" s="57"/>
      <c r="G1012" s="57"/>
      <c r="J1012" s="57"/>
    </row>
    <row r="1013" spans="1:10" x14ac:dyDescent="0.25">
      <c r="A1013" s="57"/>
      <c r="B1013" s="939" t="s">
        <v>1394</v>
      </c>
      <c r="C1013" s="946"/>
      <c r="D1013" s="1126" t="str">
        <f>CONCATENATE("3.14*",F1013,"^2/4*",G1013)</f>
        <v>3.14*20^2/4*3</v>
      </c>
      <c r="E1013" s="1127"/>
      <c r="F1013" s="948">
        <v>20</v>
      </c>
      <c r="G1013" s="949">
        <v>3</v>
      </c>
      <c r="H1013" s="950">
        <f>3.14*F1013^2/4*G1013</f>
        <v>942</v>
      </c>
    </row>
    <row r="1014" spans="1:10" ht="16.5" customHeight="1" x14ac:dyDescent="0.25">
      <c r="A1014" s="57"/>
      <c r="B1014" s="939" t="s">
        <v>455</v>
      </c>
      <c r="C1014" s="946"/>
      <c r="D1014" s="1112" t="str">
        <f>CONCATENATE(H1013,"/",F998,"/(",G998,"*1000-",F999,")/10^3*100")</f>
        <v>942/0.4/(0.6*1000-50)/10^3*100</v>
      </c>
      <c r="E1014" s="1113"/>
      <c r="F1014" s="57">
        <f>H1013/F998/(G998*1000-F999)/10^3*100</f>
        <v>0.42818181818181816</v>
      </c>
      <c r="G1014" s="967"/>
      <c r="I1014" s="57"/>
    </row>
    <row r="1015" spans="1:10" x14ac:dyDescent="0.25">
      <c r="A1015" s="57"/>
      <c r="B1015" s="939"/>
      <c r="C1015" s="946"/>
      <c r="D1015" s="947"/>
      <c r="E1015" s="942"/>
      <c r="F1015" s="943"/>
      <c r="G1015" s="944"/>
      <c r="H1015" s="57"/>
      <c r="I1015" s="57"/>
      <c r="J1015" s="57"/>
    </row>
    <row r="1016" spans="1:10" x14ac:dyDescent="0.25">
      <c r="A1016" s="951"/>
      <c r="B1016" s="1121" t="s">
        <v>1395</v>
      </c>
      <c r="C1016" s="1122"/>
      <c r="D1016" s="1123"/>
      <c r="E1016" s="952"/>
      <c r="F1016" s="953"/>
      <c r="G1016" s="953"/>
      <c r="H1016" s="953"/>
      <c r="I1016" s="954"/>
      <c r="J1016" s="57"/>
    </row>
    <row r="1017" spans="1:10" x14ac:dyDescent="0.25">
      <c r="A1017" s="951"/>
      <c r="B1017" s="952" t="s">
        <v>1396</v>
      </c>
      <c r="C1017" s="952"/>
      <c r="D1017" s="1124" t="s">
        <v>1397</v>
      </c>
      <c r="E1017" s="1124"/>
      <c r="F1017" s="953"/>
      <c r="G1017" s="953"/>
      <c r="H1017" s="955"/>
      <c r="I1017" s="955"/>
      <c r="J1017" s="955"/>
    </row>
    <row r="1018" spans="1:10" x14ac:dyDescent="0.25">
      <c r="A1018" s="951"/>
      <c r="B1018" s="952"/>
      <c r="C1018" s="952"/>
      <c r="D1018" s="952"/>
      <c r="E1018" s="952" t="s">
        <v>1398</v>
      </c>
      <c r="F1018" s="956">
        <v>7</v>
      </c>
      <c r="G1018" s="953"/>
      <c r="H1018" s="953"/>
      <c r="I1018" s="954"/>
      <c r="J1018" s="57"/>
    </row>
    <row r="1019" spans="1:10" x14ac:dyDescent="0.25">
      <c r="A1019" s="951"/>
      <c r="B1019" s="952"/>
      <c r="C1019" s="952"/>
      <c r="D1019" s="952"/>
      <c r="E1019" s="952" t="s">
        <v>1399</v>
      </c>
      <c r="F1019" s="956">
        <v>20</v>
      </c>
      <c r="G1019" s="953"/>
      <c r="H1019" s="953"/>
      <c r="I1019" s="954"/>
      <c r="J1019" s="57"/>
    </row>
    <row r="1020" spans="1:10" x14ac:dyDescent="0.25">
      <c r="A1020" s="951"/>
      <c r="B1020" s="952"/>
      <c r="C1020" s="952"/>
      <c r="D1020" s="952"/>
      <c r="E1020" s="952" t="s">
        <v>1400</v>
      </c>
      <c r="F1020" s="956">
        <v>26</v>
      </c>
      <c r="G1020" s="953"/>
      <c r="H1020" s="953"/>
      <c r="I1020" s="954"/>
      <c r="J1020" s="57"/>
    </row>
    <row r="1021" spans="1:10" ht="33.75" customHeight="1" x14ac:dyDescent="0.25">
      <c r="A1021" s="951"/>
      <c r="B1021" s="952" t="s">
        <v>1401</v>
      </c>
      <c r="C1021" s="952"/>
      <c r="D1021" s="952"/>
      <c r="E1021" s="952"/>
      <c r="F1021" s="957">
        <f>ROUND(0.58*500*(F1011/H1013),3)</f>
        <v>101.13800000000001</v>
      </c>
      <c r="G1021" s="1128" t="str">
        <f>CONCATENATE("0.58*500*(",F1011,"/",H1013,")")</f>
        <v>0.58*500*(328.522727272727/942)</v>
      </c>
      <c r="H1021" s="1129"/>
      <c r="I1021" s="954"/>
      <c r="J1021" s="57"/>
    </row>
    <row r="1022" spans="1:10" x14ac:dyDescent="0.25">
      <c r="A1022" s="951"/>
      <c r="B1022" s="1125" t="str">
        <f>"Multiplication factor corresponding to steel service stress of   "&amp;ROUND(K1012,3)&amp;"% steel from Fig. 4, Pg. 38; IS:456"</f>
        <v>Multiplication factor corresponding to steel service stress of   0% steel from Fig. 4, Pg. 38; IS:456</v>
      </c>
      <c r="C1022" s="1125"/>
      <c r="D1022" s="1125"/>
      <c r="E1022" s="1125"/>
      <c r="F1022" s="958">
        <v>1.6</v>
      </c>
      <c r="G1022" s="953"/>
      <c r="H1022" s="953"/>
      <c r="I1022" s="954"/>
      <c r="J1022" s="57"/>
    </row>
    <row r="1023" spans="1:10" x14ac:dyDescent="0.25">
      <c r="A1023" s="951"/>
      <c r="B1023" s="1118" t="s">
        <v>1402</v>
      </c>
      <c r="C1023" s="1118"/>
      <c r="D1023" s="1118"/>
      <c r="E1023" s="959" t="str">
        <f>"= "&amp;ROUND((F1018 ),2)&amp;"*"&amp;ROUND(F1022,2)&amp;" ="</f>
        <v>= 7*1.6 =</v>
      </c>
      <c r="F1023" s="960">
        <f>F1018*F1022</f>
        <v>11.200000000000001</v>
      </c>
      <c r="G1023" s="953"/>
      <c r="H1023" s="953"/>
      <c r="I1023" s="954"/>
      <c r="J1023" s="57"/>
    </row>
    <row r="1024" spans="1:10" x14ac:dyDescent="0.25">
      <c r="A1024" s="951"/>
      <c r="B1024" s="1119" t="s">
        <v>1403</v>
      </c>
      <c r="C1024" s="1120"/>
      <c r="D1024" s="1120"/>
      <c r="E1024" s="959" t="str">
        <f>CONCATENATE(F996,"*1000/(",G998,"*1000-",F999,")")</f>
        <v>2.45*1000/(0.6*1000-50)</v>
      </c>
      <c r="F1024" s="961">
        <f>F996*1000/(G998*1000-F999)</f>
        <v>4.4545454545454541</v>
      </c>
      <c r="G1024" s="953"/>
      <c r="H1024" s="953"/>
      <c r="I1024" s="954"/>
      <c r="J1024" s="57"/>
    </row>
    <row r="1025" spans="1:10" ht="15.6" customHeight="1" x14ac:dyDescent="0.25">
      <c r="A1025" s="951"/>
      <c r="B1025" s="952"/>
      <c r="C1025" s="1027" t="str">
        <f>IF(F1024&lt;F1023,"OK from deflection considerations.","Not OK from deflection considerations.")</f>
        <v>OK from deflection considerations.</v>
      </c>
      <c r="D1025" s="1028"/>
      <c r="E1025" s="1028"/>
      <c r="F1025" s="1029"/>
      <c r="G1025" s="963"/>
      <c r="H1025" s="963"/>
      <c r="I1025" s="954"/>
      <c r="J1025" s="57"/>
    </row>
    <row r="1026" spans="1:10" x14ac:dyDescent="0.25">
      <c r="A1026" s="951"/>
      <c r="B1026" s="952"/>
      <c r="C1026" s="962"/>
      <c r="D1026" s="962"/>
      <c r="E1026" s="962"/>
      <c r="F1026" s="962"/>
      <c r="G1026" s="963"/>
      <c r="H1026" s="963"/>
      <c r="I1026" s="954"/>
      <c r="J1026" s="57"/>
    </row>
    <row r="1027" spans="1:10" x14ac:dyDescent="0.25">
      <c r="A1027" s="57"/>
      <c r="B1027" s="1121" t="s">
        <v>1404</v>
      </c>
      <c r="C1027" s="1122"/>
      <c r="D1027" s="1123"/>
      <c r="E1027" s="57"/>
      <c r="F1027" s="57"/>
      <c r="G1027" s="57"/>
      <c r="H1027" s="57"/>
      <c r="I1027" s="57"/>
      <c r="J1027" s="57"/>
    </row>
    <row r="1028" spans="1:10" x14ac:dyDescent="0.25">
      <c r="A1028" s="57"/>
      <c r="B1028" s="941"/>
      <c r="C1028" s="941"/>
      <c r="D1028" s="941"/>
      <c r="E1028" s="57"/>
      <c r="F1028" s="57"/>
      <c r="G1028" s="57"/>
      <c r="H1028" s="57"/>
      <c r="I1028" s="57"/>
      <c r="J1028" s="57"/>
    </row>
    <row r="1029" spans="1:10" x14ac:dyDescent="0.25">
      <c r="A1029" s="57"/>
      <c r="B1029" s="939" t="s">
        <v>1405</v>
      </c>
      <c r="C1029" s="946"/>
      <c r="F1029" s="937">
        <f>F996*F1006</f>
        <v>3.6137500000000005</v>
      </c>
      <c r="G1029" s="57" t="s">
        <v>103</v>
      </c>
      <c r="J1029" s="57"/>
    </row>
    <row r="1030" spans="1:10" x14ac:dyDescent="0.25">
      <c r="A1030" s="57"/>
      <c r="B1030" s="941"/>
      <c r="C1030" s="941"/>
      <c r="E1030" s="57"/>
      <c r="F1030" s="57"/>
      <c r="G1030" s="57"/>
      <c r="H1030" s="937"/>
      <c r="I1030" s="57"/>
      <c r="J1030" s="57"/>
    </row>
    <row r="1031" spans="1:10" x14ac:dyDescent="0.25">
      <c r="A1031" s="57"/>
      <c r="B1031" s="939" t="s">
        <v>1406</v>
      </c>
      <c r="C1031" s="946"/>
      <c r="D1031" s="966" t="str">
        <f>CONCATENATE(F1029,"*10000/(",F998,"*1000*(",G998,"*1000-",F999,"))")</f>
        <v>3.61375*10000/(0.4*1000*(0.6*1000-50))</v>
      </c>
      <c r="E1031" s="57"/>
      <c r="F1031" s="938">
        <f>F1029*10000/(F998*1000*(G998*1000-F999))</f>
        <v>0.16426136363636368</v>
      </c>
      <c r="I1031" s="57"/>
      <c r="J1031" s="57"/>
    </row>
    <row r="1032" spans="1:10" x14ac:dyDescent="0.25">
      <c r="A1032" s="57"/>
      <c r="B1032" s="1114" t="s">
        <v>1407</v>
      </c>
      <c r="C1032" s="1115"/>
      <c r="D1032" s="1116"/>
      <c r="E1032" s="57"/>
      <c r="F1032" s="57">
        <f>LOOKUP(F1014,tc!$C$6:$C$42,tc!$E$6:$E$42)</f>
        <v>0.28439999999999999</v>
      </c>
      <c r="G1032" s="57"/>
      <c r="I1032" s="57"/>
      <c r="J1032" s="57"/>
    </row>
    <row r="1033" spans="1:10" x14ac:dyDescent="0.25">
      <c r="A1033" s="57"/>
      <c r="B1033" s="941"/>
      <c r="C1033" s="941"/>
      <c r="D1033" s="941"/>
      <c r="E1033" s="57"/>
      <c r="F1033" s="964" t="str">
        <f>IF(F1032&gt;F1031,"OK","not ok")</f>
        <v>OK</v>
      </c>
      <c r="G1033" s="57"/>
      <c r="I1033" s="57"/>
      <c r="J1033" s="57"/>
    </row>
    <row r="1034" spans="1:10" x14ac:dyDescent="0.25">
      <c r="A1034" s="57"/>
      <c r="B1034" s="57"/>
      <c r="C1034" s="57"/>
      <c r="D1034" s="57"/>
      <c r="E1034" s="57"/>
      <c r="F1034" s="57"/>
      <c r="G1034" s="57"/>
      <c r="H1034" s="57"/>
      <c r="I1034" s="57"/>
      <c r="J1034" s="57"/>
    </row>
    <row r="1035" spans="1:10" x14ac:dyDescent="0.25">
      <c r="A1035" s="57"/>
      <c r="B1035" s="57"/>
      <c r="C1035" s="57"/>
      <c r="D1035" s="57"/>
      <c r="E1035" s="57"/>
      <c r="F1035" s="57"/>
      <c r="G1035" s="57"/>
      <c r="H1035" s="57"/>
      <c r="I1035" s="57"/>
      <c r="J1035" s="57"/>
    </row>
    <row r="1036" spans="1:10" x14ac:dyDescent="0.25">
      <c r="A1036" s="57"/>
      <c r="B1036" s="57"/>
      <c r="C1036" s="57"/>
      <c r="D1036" s="57"/>
      <c r="E1036" s="57"/>
      <c r="F1036" s="57"/>
      <c r="G1036" s="57"/>
      <c r="H1036" s="57"/>
      <c r="I1036" s="57"/>
      <c r="J1036" s="57"/>
    </row>
    <row r="1037" spans="1:10" x14ac:dyDescent="0.25">
      <c r="A1037" s="1130"/>
      <c r="B1037" s="1131"/>
      <c r="C1037" s="1131"/>
      <c r="D1037" s="965"/>
      <c r="E1037" s="57"/>
      <c r="F1037" s="57"/>
      <c r="G1037" s="57"/>
      <c r="H1037" s="935"/>
      <c r="I1037" s="57"/>
      <c r="J1037" s="57"/>
    </row>
    <row r="1038" spans="1:10" x14ac:dyDescent="0.25">
      <c r="A1038" s="57"/>
      <c r="B1038" s="941"/>
      <c r="C1038" s="941"/>
      <c r="D1038" s="941"/>
      <c r="E1038" s="57"/>
      <c r="F1038" s="57"/>
      <c r="G1038" s="57"/>
      <c r="H1038" s="57"/>
      <c r="I1038" s="57"/>
      <c r="J1038" s="57"/>
    </row>
    <row r="1039" spans="1:10" x14ac:dyDescent="0.25">
      <c r="A1039" s="57"/>
      <c r="B1039" s="939"/>
      <c r="C1039" s="946"/>
      <c r="D1039" s="947"/>
      <c r="E1039" s="57"/>
      <c r="F1039" s="57"/>
      <c r="G1039" s="57"/>
      <c r="H1039" s="57"/>
      <c r="I1039" s="57"/>
      <c r="J1039" s="57"/>
    </row>
    <row r="1040" spans="1:10" x14ac:dyDescent="0.25">
      <c r="A1040" s="57"/>
      <c r="B1040" s="1114"/>
      <c r="C1040" s="1115"/>
      <c r="D1040" s="1116"/>
      <c r="E1040" s="57"/>
      <c r="F1040" s="57"/>
      <c r="G1040" s="57"/>
      <c r="H1040" s="57"/>
      <c r="I1040" s="57"/>
      <c r="J1040" s="57"/>
    </row>
    <row r="1041" spans="1:10" x14ac:dyDescent="0.25">
      <c r="A1041" s="57"/>
      <c r="B1041" s="1114"/>
      <c r="C1041" s="1115"/>
      <c r="D1041" s="1116"/>
      <c r="E1041" s="57"/>
      <c r="F1041" s="57"/>
      <c r="G1041" s="935"/>
      <c r="H1041" s="57"/>
      <c r="I1041" s="57"/>
      <c r="J1041" s="57"/>
    </row>
    <row r="1042" spans="1:10" x14ac:dyDescent="0.25">
      <c r="A1042" s="57"/>
      <c r="B1042" s="966"/>
      <c r="C1042" s="967"/>
      <c r="D1042" s="57"/>
      <c r="E1042" s="57"/>
      <c r="F1042" s="57"/>
      <c r="G1042" s="57"/>
      <c r="H1042" s="57"/>
      <c r="I1042" s="57"/>
      <c r="J1042" s="57"/>
    </row>
    <row r="1043" spans="1:10" x14ac:dyDescent="0.25">
      <c r="A1043" s="57"/>
      <c r="B1043" s="57"/>
      <c r="C1043" s="57"/>
      <c r="D1043" s="57"/>
      <c r="E1043" s="57"/>
      <c r="F1043" s="57"/>
      <c r="G1043" s="57"/>
      <c r="H1043" s="57"/>
      <c r="I1043" s="57"/>
      <c r="J1043" s="57"/>
    </row>
    <row r="1044" spans="1:10" x14ac:dyDescent="0.25">
      <c r="A1044" s="57"/>
      <c r="B1044" s="57"/>
      <c r="C1044" s="57"/>
      <c r="D1044" s="57"/>
      <c r="E1044" s="57"/>
      <c r="F1044" s="57"/>
      <c r="G1044" s="57"/>
      <c r="H1044" s="57"/>
      <c r="I1044" s="57"/>
      <c r="J1044" s="57"/>
    </row>
    <row r="1045" spans="1:10" x14ac:dyDescent="0.25">
      <c r="A1045" s="57"/>
      <c r="B1045" s="57"/>
      <c r="C1045" s="57"/>
      <c r="D1045" s="57"/>
      <c r="E1045" s="57"/>
      <c r="F1045" s="57"/>
      <c r="G1045" s="164"/>
      <c r="H1045" s="57"/>
      <c r="I1045" s="57"/>
      <c r="J1045" s="57"/>
    </row>
    <row r="1046" spans="1:10" x14ac:dyDescent="0.25">
      <c r="A1046" s="941"/>
      <c r="B1046" s="941"/>
      <c r="C1046" s="941"/>
      <c r="D1046" s="941"/>
      <c r="E1046" s="941"/>
      <c r="F1046" s="968"/>
      <c r="G1046" s="941"/>
      <c r="H1046" s="941"/>
      <c r="I1046" s="941"/>
      <c r="J1046" s="57"/>
    </row>
    <row r="1047" spans="1:10" x14ac:dyDescent="0.25">
      <c r="A1047" s="57"/>
      <c r="B1047" s="57"/>
      <c r="C1047" s="57"/>
      <c r="D1047" s="57"/>
      <c r="E1047" s="57"/>
      <c r="F1047" s="57"/>
      <c r="G1047" s="57"/>
      <c r="H1047" s="57"/>
      <c r="I1047" s="57"/>
      <c r="J1047" s="57"/>
    </row>
    <row r="1048" spans="1:10" x14ac:dyDescent="0.25">
      <c r="A1048" s="57"/>
      <c r="B1048" s="940"/>
      <c r="C1048" s="940"/>
      <c r="D1048" s="940"/>
      <c r="E1048" s="57"/>
      <c r="F1048" s="57"/>
      <c r="G1048" s="57"/>
      <c r="H1048" s="57"/>
      <c r="I1048" s="57"/>
      <c r="J1048" s="57"/>
    </row>
    <row r="1049" spans="1:10" x14ac:dyDescent="0.25">
      <c r="A1049" s="57"/>
      <c r="B1049" s="57"/>
      <c r="C1049" s="57"/>
      <c r="D1049" s="57"/>
      <c r="E1049" s="57"/>
      <c r="F1049" s="57"/>
      <c r="G1049" s="57"/>
      <c r="H1049" s="57"/>
      <c r="I1049" s="57"/>
      <c r="J1049" s="57"/>
    </row>
    <row r="1050" spans="1:10" x14ac:dyDescent="0.25">
      <c r="A1050" s="57"/>
      <c r="B1050" s="57"/>
      <c r="C1050" s="57"/>
      <c r="D1050" s="57"/>
      <c r="E1050" s="57"/>
      <c r="F1050" s="57"/>
      <c r="G1050" s="57"/>
      <c r="H1050" s="57"/>
      <c r="I1050" s="57"/>
      <c r="J1050" s="57"/>
    </row>
    <row r="1051" spans="1:10" x14ac:dyDescent="0.25">
      <c r="A1051" s="57"/>
      <c r="B1051" s="57"/>
      <c r="C1051" s="57"/>
      <c r="D1051" s="57"/>
      <c r="E1051" s="57"/>
      <c r="F1051" s="57"/>
      <c r="G1051" s="57"/>
      <c r="H1051" s="57"/>
      <c r="I1051" s="57"/>
      <c r="J1051" s="57"/>
    </row>
    <row r="1052" spans="1:10" x14ac:dyDescent="0.25">
      <c r="A1052" s="57"/>
      <c r="B1052" s="57"/>
      <c r="C1052" s="57"/>
      <c r="D1052" s="57"/>
      <c r="E1052" s="1112"/>
      <c r="F1052" s="1117"/>
      <c r="G1052" s="1113"/>
      <c r="H1052" s="57"/>
      <c r="I1052" s="64"/>
      <c r="J1052" s="57"/>
    </row>
    <row r="1053" spans="1:10" x14ac:dyDescent="0.25">
      <c r="A1053" s="939"/>
      <c r="B1053" s="946"/>
      <c r="C1053" s="947"/>
      <c r="D1053" s="966"/>
      <c r="E1053" s="946"/>
      <c r="F1053" s="947"/>
      <c r="G1053" s="939"/>
      <c r="H1053" s="946"/>
      <c r="I1053" s="947"/>
      <c r="J1053" s="939"/>
    </row>
    <row r="1054" spans="1:10" x14ac:dyDescent="0.25">
      <c r="A1054" s="57"/>
      <c r="B1054" s="57"/>
      <c r="C1054" s="57"/>
      <c r="D1054" s="57"/>
      <c r="E1054" s="57"/>
      <c r="F1054" s="57"/>
      <c r="G1054" s="57"/>
      <c r="H1054" s="57"/>
      <c r="I1054" s="57"/>
      <c r="J1054" s="57"/>
    </row>
    <row r="1055" spans="1:10" x14ac:dyDescent="0.25">
      <c r="A1055" s="57"/>
      <c r="B1055" s="936"/>
      <c r="C1055" s="57"/>
      <c r="D1055" s="57"/>
      <c r="E1055" s="57"/>
      <c r="F1055" s="57"/>
      <c r="G1055" s="57"/>
      <c r="H1055" s="57"/>
      <c r="I1055" s="57"/>
      <c r="J1055" s="57"/>
    </row>
    <row r="1056" spans="1:10" x14ac:dyDescent="0.25">
      <c r="A1056" s="57"/>
      <c r="B1056" s="57"/>
      <c r="C1056" s="57"/>
      <c r="D1056" s="57"/>
      <c r="E1056" s="57"/>
      <c r="F1056" s="57"/>
      <c r="G1056" s="935"/>
      <c r="H1056" s="935"/>
      <c r="I1056" s="57"/>
      <c r="J1056" s="57"/>
    </row>
    <row r="1057" spans="1:10" x14ac:dyDescent="0.25">
      <c r="A1057" s="57"/>
      <c r="B1057" s="57"/>
      <c r="C1057" s="57"/>
      <c r="D1057" s="57"/>
      <c r="E1057" s="57"/>
      <c r="F1057" s="57"/>
      <c r="G1057" s="935"/>
      <c r="H1057" s="935"/>
      <c r="I1057" s="57"/>
      <c r="J1057" s="57"/>
    </row>
    <row r="1058" spans="1:10" x14ac:dyDescent="0.25">
      <c r="A1058" s="934"/>
      <c r="B1058" s="936"/>
      <c r="C1058" s="57"/>
      <c r="D1058" s="57"/>
      <c r="E1058" s="57"/>
      <c r="F1058" s="57"/>
      <c r="G1058" s="57"/>
      <c r="H1058" s="935"/>
      <c r="I1058" s="57"/>
      <c r="J1058" s="57"/>
    </row>
    <row r="1059" spans="1:10" x14ac:dyDescent="0.25">
      <c r="A1059" s="57"/>
      <c r="B1059" s="57"/>
      <c r="C1059" s="57"/>
      <c r="D1059" s="57"/>
      <c r="E1059" s="57"/>
      <c r="F1059" s="57"/>
      <c r="G1059" s="57"/>
      <c r="H1059" s="57"/>
      <c r="I1059" s="57"/>
      <c r="J1059" s="57"/>
    </row>
    <row r="1060" spans="1:10" x14ac:dyDescent="0.25">
      <c r="A1060" s="57"/>
      <c r="B1060" s="57"/>
      <c r="C1060" s="57"/>
      <c r="D1060" s="57"/>
      <c r="E1060" s="1112"/>
      <c r="F1060" s="1117"/>
      <c r="G1060" s="1113"/>
      <c r="H1060" s="57"/>
      <c r="I1060" s="57"/>
      <c r="J1060" s="57"/>
    </row>
    <row r="1061" spans="1:10" x14ac:dyDescent="0.25">
      <c r="A1061" s="57"/>
      <c r="B1061" s="57"/>
      <c r="C1061" s="57"/>
      <c r="D1061" s="57"/>
      <c r="E1061" s="1112"/>
      <c r="F1061" s="1117"/>
      <c r="G1061" s="1113"/>
      <c r="H1061" s="57"/>
      <c r="I1061" s="57"/>
      <c r="J1061" s="57"/>
    </row>
    <row r="1062" spans="1:10" x14ac:dyDescent="0.25">
      <c r="A1062" s="57"/>
      <c r="B1062" s="57"/>
      <c r="C1062" s="57"/>
      <c r="D1062" s="57"/>
      <c r="E1062" s="1112"/>
      <c r="F1062" s="1117"/>
      <c r="G1062" s="1113"/>
      <c r="H1062" s="57"/>
      <c r="I1062" s="57"/>
      <c r="J1062" s="57"/>
    </row>
    <row r="1063" spans="1:10" x14ac:dyDescent="0.25">
      <c r="A1063" s="57"/>
      <c r="B1063" s="57"/>
      <c r="C1063" s="57"/>
      <c r="D1063" s="57"/>
      <c r="E1063" s="1112"/>
      <c r="F1063" s="1117"/>
      <c r="G1063" s="1113"/>
      <c r="H1063" s="57"/>
      <c r="I1063" s="57"/>
      <c r="J1063" s="57"/>
    </row>
    <row r="1064" spans="1:10" x14ac:dyDescent="0.25">
      <c r="A1064" s="57"/>
      <c r="B1064" s="57"/>
      <c r="C1064" s="57"/>
      <c r="D1064" s="57"/>
      <c r="E1064" s="57"/>
      <c r="F1064" s="57"/>
      <c r="G1064" s="57"/>
      <c r="H1064" s="57"/>
      <c r="I1064" s="57"/>
      <c r="J1064" s="57"/>
    </row>
    <row r="1065" spans="1:10" x14ac:dyDescent="0.25">
      <c r="A1065" s="57"/>
      <c r="B1065" s="57"/>
      <c r="C1065" s="57"/>
      <c r="D1065" s="57"/>
      <c r="E1065" s="57"/>
      <c r="F1065" s="57"/>
      <c r="G1065" s="57"/>
      <c r="H1065" s="57"/>
      <c r="I1065" s="57"/>
      <c r="J1065" s="57"/>
    </row>
    <row r="1066" spans="1:10" x14ac:dyDescent="0.25">
      <c r="A1066" s="57"/>
      <c r="B1066" s="57"/>
      <c r="C1066" s="57"/>
      <c r="D1066" s="57"/>
      <c r="E1066" s="57"/>
      <c r="F1066" s="57"/>
      <c r="G1066" s="57"/>
      <c r="H1066" s="945"/>
      <c r="I1066" s="57"/>
      <c r="J1066" s="57"/>
    </row>
    <row r="1067" spans="1:10" x14ac:dyDescent="0.25">
      <c r="A1067" s="57"/>
      <c r="B1067" s="57"/>
      <c r="C1067" s="57"/>
      <c r="D1067" s="57"/>
      <c r="E1067" s="57"/>
      <c r="F1067" s="57"/>
      <c r="G1067" s="57"/>
      <c r="H1067" s="57"/>
      <c r="I1067" s="57"/>
      <c r="J1067" s="57"/>
    </row>
    <row r="1068" spans="1:10" x14ac:dyDescent="0.25">
      <c r="A1068" s="57"/>
      <c r="B1068" s="57"/>
      <c r="C1068" s="57"/>
      <c r="D1068" s="57"/>
      <c r="E1068" s="57"/>
      <c r="F1068" s="57"/>
      <c r="G1068" s="57"/>
      <c r="H1068" s="57"/>
      <c r="I1068" s="57"/>
      <c r="J1068" s="57"/>
    </row>
    <row r="1069" spans="1:10" x14ac:dyDescent="0.25">
      <c r="A1069" s="57"/>
      <c r="B1069" s="57"/>
      <c r="C1069" s="57"/>
      <c r="D1069" s="57"/>
      <c r="E1069" s="57"/>
      <c r="F1069" s="57"/>
      <c r="G1069" s="57"/>
      <c r="H1069" s="57"/>
      <c r="I1069" s="57"/>
      <c r="J1069" s="57"/>
    </row>
    <row r="1070" spans="1:10" x14ac:dyDescent="0.25">
      <c r="A1070" s="57"/>
      <c r="B1070" s="57"/>
      <c r="C1070" s="57"/>
      <c r="D1070" s="57"/>
      <c r="E1070" s="57"/>
      <c r="F1070" s="57"/>
      <c r="G1070" s="57"/>
      <c r="H1070" s="57"/>
      <c r="I1070" s="57"/>
      <c r="J1070" s="57"/>
    </row>
    <row r="1071" spans="1:10" x14ac:dyDescent="0.25">
      <c r="A1071" s="57"/>
      <c r="B1071" s="57"/>
      <c r="C1071" s="57"/>
      <c r="D1071" s="57"/>
      <c r="E1071" s="57"/>
      <c r="F1071" s="57"/>
      <c r="G1071" s="57"/>
      <c r="H1071" s="57"/>
      <c r="I1071" s="57"/>
      <c r="J1071" s="57"/>
    </row>
    <row r="1072" spans="1:10" x14ac:dyDescent="0.25">
      <c r="A1072" s="57"/>
      <c r="B1072" s="57"/>
      <c r="C1072" s="969"/>
      <c r="D1072" s="969"/>
      <c r="E1072" s="57"/>
      <c r="F1072" s="57"/>
      <c r="G1072" s="57"/>
      <c r="H1072" s="58"/>
      <c r="I1072" s="57"/>
      <c r="J1072" s="57"/>
    </row>
    <row r="1073" spans="1:10" x14ac:dyDescent="0.25">
      <c r="A1073" s="57"/>
      <c r="B1073" s="57"/>
      <c r="C1073" s="57"/>
      <c r="D1073" s="57"/>
      <c r="E1073" s="57"/>
      <c r="F1073" s="57"/>
      <c r="G1073" s="57"/>
      <c r="H1073" s="64"/>
      <c r="I1073" s="57"/>
      <c r="J1073" s="57"/>
    </row>
    <row r="1074" spans="1:10" x14ac:dyDescent="0.25">
      <c r="A1074" s="57"/>
      <c r="B1074" s="57"/>
      <c r="C1074" s="57"/>
      <c r="D1074" s="57"/>
      <c r="E1074" s="57"/>
      <c r="F1074" s="57"/>
      <c r="G1074" s="57"/>
      <c r="H1074" s="57"/>
      <c r="I1074" s="57"/>
      <c r="J1074" s="57"/>
    </row>
  </sheetData>
  <mergeCells count="169">
    <mergeCell ref="X43:Y43"/>
    <mergeCell ref="X45:Y45"/>
    <mergeCell ref="X53:Y53"/>
    <mergeCell ref="X63:Y63"/>
    <mergeCell ref="X64:Y64"/>
    <mergeCell ref="Z75:AA75"/>
    <mergeCell ref="Z4:AA4"/>
    <mergeCell ref="X7:Y7"/>
    <mergeCell ref="X21:Y21"/>
    <mergeCell ref="X24:Y24"/>
    <mergeCell ref="X27:Y27"/>
    <mergeCell ref="X42:Y42"/>
    <mergeCell ref="S5:V5"/>
    <mergeCell ref="S6:V6"/>
    <mergeCell ref="S13:V13"/>
    <mergeCell ref="T14:V14"/>
    <mergeCell ref="T15:V15"/>
    <mergeCell ref="S32:V32"/>
    <mergeCell ref="S33:S34"/>
    <mergeCell ref="T33:V34"/>
    <mergeCell ref="G552:H552"/>
    <mergeCell ref="G511:H511"/>
    <mergeCell ref="S21:V21"/>
    <mergeCell ref="T22:V22"/>
    <mergeCell ref="T23:V23"/>
    <mergeCell ref="T24:V24"/>
    <mergeCell ref="S29:V29"/>
    <mergeCell ref="S30:S31"/>
    <mergeCell ref="T30:V31"/>
    <mergeCell ref="T16:V16"/>
    <mergeCell ref="S17:V17"/>
    <mergeCell ref="T18:V18"/>
    <mergeCell ref="T19:V19"/>
    <mergeCell ref="T20:V20"/>
    <mergeCell ref="D542:E542"/>
    <mergeCell ref="D543:E543"/>
    <mergeCell ref="D544:E544"/>
    <mergeCell ref="D545:E545"/>
    <mergeCell ref="D546:E546"/>
    <mergeCell ref="J203:L203"/>
    <mergeCell ref="G212:H212"/>
    <mergeCell ref="B488:G488"/>
    <mergeCell ref="B513:H513"/>
    <mergeCell ref="D538:E538"/>
    <mergeCell ref="L536:M536"/>
    <mergeCell ref="D474:E474"/>
    <mergeCell ref="D475:E475"/>
    <mergeCell ref="C484:D484"/>
    <mergeCell ref="L464:M464"/>
    <mergeCell ref="D466:E466"/>
    <mergeCell ref="B441:H441"/>
    <mergeCell ref="G414:H414"/>
    <mergeCell ref="G409:H409"/>
    <mergeCell ref="B379:D379"/>
    <mergeCell ref="D391:E391"/>
    <mergeCell ref="D393:E393"/>
    <mergeCell ref="D383:E383"/>
    <mergeCell ref="D395:E395"/>
    <mergeCell ref="B821:H822"/>
    <mergeCell ref="B818:C818"/>
    <mergeCell ref="B819:C819"/>
    <mergeCell ref="B794:C794"/>
    <mergeCell ref="B797:C797"/>
    <mergeCell ref="B801:C801"/>
    <mergeCell ref="B803:C803"/>
    <mergeCell ref="B925:G925"/>
    <mergeCell ref="D606:E606"/>
    <mergeCell ref="C865:D865"/>
    <mergeCell ref="B897:G897"/>
    <mergeCell ref="B820:C820"/>
    <mergeCell ref="D605:E605"/>
    <mergeCell ref="C482:D482"/>
    <mergeCell ref="B712:G712"/>
    <mergeCell ref="B335:G335"/>
    <mergeCell ref="B416:G416"/>
    <mergeCell ref="D539:E539"/>
    <mergeCell ref="D540:E540"/>
    <mergeCell ref="D541:E541"/>
    <mergeCell ref="G486:H486"/>
    <mergeCell ref="G480:H480"/>
    <mergeCell ref="D603:E603"/>
    <mergeCell ref="B685:G685"/>
    <mergeCell ref="D604:E604"/>
    <mergeCell ref="D560:E560"/>
    <mergeCell ref="D547:E547"/>
    <mergeCell ref="D469:E469"/>
    <mergeCell ref="D562:E562"/>
    <mergeCell ref="D558:E558"/>
    <mergeCell ref="D556:E556"/>
    <mergeCell ref="D472:E472"/>
    <mergeCell ref="D473:E473"/>
    <mergeCell ref="D471:E471"/>
    <mergeCell ref="D470:E470"/>
    <mergeCell ref="D403:E403"/>
    <mergeCell ref="D467:E467"/>
    <mergeCell ref="D468:E468"/>
    <mergeCell ref="D399:E399"/>
    <mergeCell ref="E378:F378"/>
    <mergeCell ref="D404:E404"/>
    <mergeCell ref="B222:C222"/>
    <mergeCell ref="B223:C223"/>
    <mergeCell ref="B240:C240"/>
    <mergeCell ref="D402:E402"/>
    <mergeCell ref="D397:E397"/>
    <mergeCell ref="D401:E401"/>
    <mergeCell ref="D400:E400"/>
    <mergeCell ref="D398:E398"/>
    <mergeCell ref="D313:E313"/>
    <mergeCell ref="B304:D304"/>
    <mergeCell ref="D396:E396"/>
    <mergeCell ref="C331:D331"/>
    <mergeCell ref="B367:G367"/>
    <mergeCell ref="F368:G368"/>
    <mergeCell ref="D384:E384"/>
    <mergeCell ref="D385:E385"/>
    <mergeCell ref="D306:E306"/>
    <mergeCell ref="D387:E387"/>
    <mergeCell ref="D308:E308"/>
    <mergeCell ref="G1:H1"/>
    <mergeCell ref="C1:F1"/>
    <mergeCell ref="A4:B5"/>
    <mergeCell ref="D85:F85"/>
    <mergeCell ref="B8:E8"/>
    <mergeCell ref="B9:E9"/>
    <mergeCell ref="B117:C117"/>
    <mergeCell ref="C259:D259"/>
    <mergeCell ref="B116:C116"/>
    <mergeCell ref="C101:D101"/>
    <mergeCell ref="C4:E5"/>
    <mergeCell ref="A2:B3"/>
    <mergeCell ref="D214:E214"/>
    <mergeCell ref="B229:H229"/>
    <mergeCell ref="B247:H247"/>
    <mergeCell ref="B220:C220"/>
    <mergeCell ref="A1:B1"/>
    <mergeCell ref="C2:E3"/>
    <mergeCell ref="F2:G2"/>
    <mergeCell ref="F3:G3"/>
    <mergeCell ref="G245:H245"/>
    <mergeCell ref="E1010:G1010"/>
    <mergeCell ref="B1004:D1004"/>
    <mergeCell ref="B995:D995"/>
    <mergeCell ref="B996:D996"/>
    <mergeCell ref="B997:D997"/>
    <mergeCell ref="B998:D998"/>
    <mergeCell ref="D1002:E1002"/>
    <mergeCell ref="D1003:E1003"/>
    <mergeCell ref="D1005:E1005"/>
    <mergeCell ref="D1006:E1006"/>
    <mergeCell ref="D1008:E1008"/>
    <mergeCell ref="E1063:G1063"/>
    <mergeCell ref="B1016:D1016"/>
    <mergeCell ref="D1017:E1017"/>
    <mergeCell ref="B1022:E1022"/>
    <mergeCell ref="D1013:E1013"/>
    <mergeCell ref="D1014:E1014"/>
    <mergeCell ref="G1021:H1021"/>
    <mergeCell ref="B1032:D1032"/>
    <mergeCell ref="A1037:C1037"/>
    <mergeCell ref="B1040:D1040"/>
    <mergeCell ref="D1011:E1011"/>
    <mergeCell ref="B1041:D1041"/>
    <mergeCell ref="E1052:G1052"/>
    <mergeCell ref="B1023:D1023"/>
    <mergeCell ref="B1024:D1024"/>
    <mergeCell ref="B1027:D1027"/>
    <mergeCell ref="E1060:G1060"/>
    <mergeCell ref="E1061:G1061"/>
    <mergeCell ref="E1062:G1062"/>
  </mergeCells>
  <phoneticPr fontId="1" type="noConversion"/>
  <conditionalFormatting sqref="B810:B811">
    <cfRule type="containsText" dxfId="7" priority="3" operator="containsText" text="Failed- Either increase the depth of balcony">
      <formula>NOT(ISERROR(SEARCH("Failed- Either increase the depth of balcony",B810)))</formula>
    </cfRule>
  </conditionalFormatting>
  <conditionalFormatting sqref="B810:B811">
    <cfRule type="containsText" dxfId="6" priority="8" operator="containsText" text="Unsafe">
      <formula>NOT(ISERROR(SEARCH("Unsafe",B810)))</formula>
    </cfRule>
  </conditionalFormatting>
  <conditionalFormatting sqref="B810:B811">
    <cfRule type="containsText" dxfId="5" priority="7" operator="containsText" text="Either increase the dia or decrease the spacing of outer R/F of wall or provide extra R/F">
      <formula>NOT(ISERROR(SEARCH("Either increase the dia or decrease the spacing of outer R/F of wall or provide extra R/F",B810)))</formula>
    </cfRule>
  </conditionalFormatting>
  <conditionalFormatting sqref="B810:B811">
    <cfRule type="containsText" dxfId="4" priority="6" operator="containsText" text="Failed- Either increase the thickness of dome">
      <formula>NOT(ISERROR(SEARCH("Failed- Either increase the thickness of dome",B810)))</formula>
    </cfRule>
  </conditionalFormatting>
  <conditionalFormatting sqref="B810:B811">
    <cfRule type="containsText" dxfId="3" priority="5" operator="containsText" text="Unsafe-Increase thickness of wall">
      <formula>NOT(ISERROR(SEARCH("Unsafe-Increase thickness of wall",B810)))</formula>
    </cfRule>
  </conditionalFormatting>
  <conditionalFormatting sqref="B810:B811">
    <cfRule type="containsText" dxfId="2" priority="4" operator="containsText" text="Failed- Either increase the thickness of wall">
      <formula>NOT(ISERROR(SEARCH("Failed- Either increase the thickness of wall",B810)))</formula>
    </cfRule>
  </conditionalFormatting>
  <dataValidations disablePrompts="1" count="6">
    <dataValidation type="list" allowBlank="1" showInputMessage="1" showErrorMessage="1" sqref="E947 E919:E920" xr:uid="{00000000-0002-0000-0300-000000000000}">
      <formula1>$N$945:$N$948</formula1>
    </dataValidation>
    <dataValidation type="list" allowBlank="1" showInputMessage="1" showErrorMessage="1" sqref="C295" xr:uid="{00000000-0002-0000-0300-000001000000}">
      <formula1>$N$284:$N$289</formula1>
    </dataValidation>
    <dataValidation type="list" allowBlank="1" showInputMessage="1" showErrorMessage="1" sqref="D295" xr:uid="{00000000-0002-0000-0300-000002000000}">
      <formula1>$K$284:$K$293</formula1>
    </dataValidation>
    <dataValidation type="list" allowBlank="1" showInputMessage="1" showErrorMessage="1" sqref="D920" xr:uid="{00000000-0002-0000-0300-000003000000}">
      <formula1>$K$945:$K$948</formula1>
    </dataValidation>
    <dataValidation type="list" allowBlank="1" showInputMessage="1" showErrorMessage="1" sqref="C598" xr:uid="{00000000-0002-0000-0300-000004000000}">
      <formula1>$K$587:$K$594</formula1>
    </dataValidation>
    <dataValidation type="list" allowBlank="1" showInputMessage="1" showErrorMessage="1" sqref="D598" xr:uid="{00000000-0002-0000-0300-000005000000}">
      <formula1>$N$587:$N$591</formula1>
    </dataValidation>
  </dataValidations>
  <printOptions horizontalCentered="1" verticalCentered="1"/>
  <pageMargins left="0.19685039370078741" right="0.19685039370078741" top="0.23622047244094488" bottom="0.23622047244094488" header="0.31496062992125984" footer="0.31496062992125984"/>
  <pageSetup paperSize="9" scale="80" orientation="portrait" r:id="rId1"/>
  <headerFooter alignWithMargins="0"/>
  <rowBreaks count="3" manualBreakCount="3">
    <brk id="51" max="7" man="1"/>
    <brk id="434" max="7" man="1"/>
    <brk id="988" max="7" man="1"/>
  </rowBreaks>
  <ignoredErrors>
    <ignoredError sqref="F580" evalError="1"/>
    <ignoredError sqref="C2" unlockedFormula="1"/>
    <ignoredError sqref="F781:F782 F207" 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58996" r:id="rId4">
          <objectPr defaultSize="0" autoPict="0" r:id="rId5">
            <anchor moveWithCells="1" sizeWithCells="1">
              <from>
                <xdr:col>2</xdr:col>
                <xdr:colOff>904875</xdr:colOff>
                <xdr:row>0</xdr:row>
                <xdr:rowOff>266700</xdr:rowOff>
              </from>
              <to>
                <xdr:col>3</xdr:col>
                <xdr:colOff>323850</xdr:colOff>
                <xdr:row>0</xdr:row>
                <xdr:rowOff>628650</xdr:rowOff>
              </to>
            </anchor>
          </objectPr>
        </oleObject>
      </mc:Choice>
      <mc:Fallback>
        <oleObject progId="StaticMetafile" shapeId="145899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8995" r:id="rId6" name="Button 254771">
              <controlPr defaultSize="0" print="0" autoFill="0" autoPict="0" macro="[0]!siz">
                <anchor moveWithCells="1" sizeWithCells="1">
                  <from>
                    <xdr:col>9</xdr:col>
                    <xdr:colOff>85725</xdr:colOff>
                    <xdr:row>46</xdr:row>
                    <xdr:rowOff>38100</xdr:rowOff>
                  </from>
                  <to>
                    <xdr:col>12</xdr:col>
                    <xdr:colOff>466725</xdr:colOff>
                    <xdr:row>51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522"/>
  <sheetViews>
    <sheetView view="pageBreakPreview" topLeftCell="A503" zoomScaleNormal="70" zoomScaleSheetLayoutView="100" workbookViewId="0">
      <selection activeCell="E259" sqref="E259:G259"/>
    </sheetView>
  </sheetViews>
  <sheetFormatPr defaultRowHeight="12.75" x14ac:dyDescent="0.2"/>
  <cols>
    <col min="3" max="3" width="10.5703125" customWidth="1"/>
    <col min="4" max="4" width="11.5703125" customWidth="1"/>
    <col min="5" max="5" width="12.28515625" customWidth="1"/>
    <col min="7" max="7" width="9.7109375" customWidth="1"/>
    <col min="8" max="8" width="14.140625" customWidth="1"/>
    <col min="9" max="9" width="10.28515625" customWidth="1"/>
  </cols>
  <sheetData>
    <row r="1" spans="1:9" x14ac:dyDescent="0.2">
      <c r="A1" s="1255"/>
      <c r="B1" s="1261" t="str">
        <f>'cover page'!B1:F1</f>
        <v xml:space="preserve">              JMC – SPML JOINT VENTURE</v>
      </c>
      <c r="C1" s="1261"/>
      <c r="D1" s="1261"/>
      <c r="E1" s="1261"/>
      <c r="F1" s="1261"/>
      <c r="G1" s="1261"/>
      <c r="H1" s="1261"/>
      <c r="I1" s="1252"/>
    </row>
    <row r="2" spans="1:9" ht="29.25" customHeight="1" x14ac:dyDescent="0.2">
      <c r="A2" s="1256"/>
      <c r="B2" s="1261"/>
      <c r="C2" s="1261"/>
      <c r="D2" s="1261"/>
      <c r="E2" s="1261"/>
      <c r="F2" s="1261"/>
      <c r="G2" s="1261"/>
      <c r="H2" s="1261"/>
      <c r="I2" s="1252"/>
    </row>
    <row r="3" spans="1:9" ht="15" x14ac:dyDescent="0.2">
      <c r="A3" s="1257" t="s">
        <v>751</v>
      </c>
      <c r="B3" s="1262" t="str">
        <f>'cover page'!B2</f>
        <v>EXECUTION OF MEGA PWS TO MOHANA, DARINGABADI, GUMMA, R.UDAYGIRI AND NUAGADA BLOCK IN GAJAPATI &amp; KANDHAMAL DISTRICT INCLUDING FIVE YEARS OPERATION &amp; MAINTENANCE</v>
      </c>
      <c r="C3" s="1262"/>
      <c r="D3" s="1262"/>
      <c r="E3" s="1262"/>
      <c r="F3" s="1262"/>
      <c r="G3" s="1260" t="s">
        <v>752</v>
      </c>
      <c r="H3" s="1260"/>
      <c r="I3" s="330" t="s">
        <v>753</v>
      </c>
    </row>
    <row r="4" spans="1:9" ht="104.25" customHeight="1" x14ac:dyDescent="0.2">
      <c r="A4" s="1258"/>
      <c r="B4" s="1262"/>
      <c r="C4" s="1262"/>
      <c r="D4" s="1262"/>
      <c r="E4" s="1262"/>
      <c r="F4" s="1262"/>
      <c r="G4" s="1253" t="str">
        <f>'cover page'!E3</f>
        <v>32129-MB-WSE-ESR-CV-DD-</v>
      </c>
      <c r="H4" s="1254"/>
      <c r="I4" s="659" t="str">
        <f>'cover page'!G3</f>
        <v>R0</v>
      </c>
    </row>
    <row r="5" spans="1:9" ht="15" customHeight="1" x14ac:dyDescent="0.2">
      <c r="A5" s="1259" t="s">
        <v>754</v>
      </c>
      <c r="B5" s="1262" t="str">
        <f>'cover page'!B4</f>
        <v xml:space="preserve">Structural Design Report of 250 KL ESR with 10 m Staging at  MOHANA A PRO ESR </v>
      </c>
      <c r="C5" s="1262"/>
      <c r="D5" s="1262"/>
      <c r="E5" s="1262"/>
      <c r="F5" s="1262"/>
      <c r="G5" s="330" t="s">
        <v>689</v>
      </c>
      <c r="H5" s="330" t="s">
        <v>690</v>
      </c>
      <c r="I5" s="330" t="s">
        <v>691</v>
      </c>
    </row>
    <row r="6" spans="1:9" ht="15" x14ac:dyDescent="0.2">
      <c r="A6" s="1259"/>
      <c r="B6" s="1262"/>
      <c r="C6" s="1262"/>
      <c r="D6" s="1262"/>
      <c r="E6" s="1262"/>
      <c r="F6" s="1262"/>
      <c r="G6" s="332" t="str">
        <f>'cover page'!E5</f>
        <v>SKS</v>
      </c>
      <c r="H6" s="332" t="str">
        <f>'cover page'!F5</f>
        <v>JKS</v>
      </c>
      <c r="I6" s="332">
        <f>'cover page'!G5</f>
        <v>45055</v>
      </c>
    </row>
    <row r="7" spans="1:9" x14ac:dyDescent="0.2">
      <c r="A7" s="766"/>
      <c r="B7" s="767"/>
      <c r="C7" s="767"/>
      <c r="D7" s="767"/>
      <c r="E7" s="767"/>
      <c r="F7" s="767"/>
      <c r="G7" s="767"/>
      <c r="H7" s="767"/>
      <c r="I7" s="768"/>
    </row>
    <row r="8" spans="1:9" x14ac:dyDescent="0.2">
      <c r="A8" s="769"/>
      <c r="I8" s="770"/>
    </row>
    <row r="9" spans="1:9" ht="15" x14ac:dyDescent="0.25">
      <c r="A9" s="771" t="s">
        <v>755</v>
      </c>
      <c r="B9" s="347"/>
      <c r="C9" s="347"/>
      <c r="D9" s="347"/>
      <c r="E9" s="347"/>
      <c r="F9" s="347"/>
      <c r="G9" s="1226"/>
      <c r="H9" s="1226"/>
      <c r="I9" s="1227"/>
    </row>
    <row r="10" spans="1:9" ht="15" x14ac:dyDescent="0.25">
      <c r="A10" s="771"/>
      <c r="B10" s="326"/>
      <c r="C10" s="326"/>
      <c r="D10" s="326"/>
      <c r="E10" s="772"/>
      <c r="F10" s="326"/>
      <c r="G10" s="773"/>
      <c r="H10" s="326"/>
      <c r="I10" s="774"/>
    </row>
    <row r="11" spans="1:9" ht="15" hidden="1" x14ac:dyDescent="0.25">
      <c r="A11" s="775"/>
      <c r="B11" s="776"/>
      <c r="C11" s="776"/>
      <c r="D11" s="776"/>
      <c r="E11" s="776"/>
      <c r="F11" s="776"/>
      <c r="G11" s="777"/>
      <c r="H11" s="468"/>
      <c r="I11" s="778"/>
    </row>
    <row r="12" spans="1:9" ht="15" hidden="1" x14ac:dyDescent="0.25">
      <c r="A12" s="775"/>
      <c r="B12" s="776"/>
      <c r="C12" s="776"/>
      <c r="D12" s="776"/>
      <c r="E12" s="776"/>
      <c r="F12" s="776"/>
      <c r="G12" s="777"/>
      <c r="H12" s="468"/>
      <c r="I12" s="778"/>
    </row>
    <row r="13" spans="1:9" ht="15" hidden="1" x14ac:dyDescent="0.25">
      <c r="A13" s="775"/>
      <c r="B13" s="779"/>
      <c r="C13" s="776"/>
      <c r="D13" s="776"/>
      <c r="E13" s="776"/>
      <c r="F13" s="776"/>
      <c r="G13" s="777"/>
      <c r="H13" s="468"/>
      <c r="I13" s="778"/>
    </row>
    <row r="14" spans="1:9" ht="15" hidden="1" x14ac:dyDescent="0.25">
      <c r="A14" s="775"/>
      <c r="B14" s="776"/>
      <c r="C14" s="779"/>
      <c r="D14" s="780"/>
      <c r="E14" s="776"/>
      <c r="F14" s="776"/>
      <c r="G14" s="777"/>
      <c r="H14" s="468"/>
      <c r="I14" s="778"/>
    </row>
    <row r="15" spans="1:9" ht="15" hidden="1" x14ac:dyDescent="0.25">
      <c r="A15" s="781"/>
      <c r="B15" s="776"/>
      <c r="C15" s="782"/>
      <c r="D15" s="468"/>
      <c r="E15" s="776"/>
      <c r="F15" s="468"/>
      <c r="G15" s="782"/>
      <c r="H15" s="468"/>
      <c r="I15" s="778"/>
    </row>
    <row r="16" spans="1:9" ht="15" hidden="1" x14ac:dyDescent="0.25">
      <c r="A16" s="775"/>
      <c r="B16" s="776"/>
      <c r="C16" s="782"/>
      <c r="D16" s="468"/>
      <c r="E16" s="776"/>
      <c r="F16" s="776"/>
      <c r="G16" s="777"/>
      <c r="H16" s="468"/>
      <c r="I16" s="778"/>
    </row>
    <row r="17" spans="1:18" ht="15" hidden="1" x14ac:dyDescent="0.25">
      <c r="A17" s="783"/>
      <c r="B17" s="776"/>
      <c r="C17" s="776"/>
      <c r="D17" s="468"/>
      <c r="E17" s="776"/>
      <c r="F17" s="776"/>
      <c r="G17" s="777"/>
      <c r="H17" s="468"/>
      <c r="I17" s="778"/>
    </row>
    <row r="18" spans="1:18" ht="15" hidden="1" x14ac:dyDescent="0.25">
      <c r="A18" s="775"/>
      <c r="B18" s="776"/>
      <c r="C18" s="776"/>
      <c r="D18" s="784"/>
      <c r="E18" s="779"/>
      <c r="F18" s="776"/>
      <c r="G18" s="777"/>
      <c r="H18" s="468"/>
      <c r="I18" s="778"/>
    </row>
    <row r="19" spans="1:18" ht="15" hidden="1" x14ac:dyDescent="0.25">
      <c r="A19" s="775"/>
      <c r="B19" s="776"/>
      <c r="C19" s="776"/>
      <c r="D19" s="468"/>
      <c r="E19" s="776"/>
      <c r="F19" s="776"/>
      <c r="G19" s="777"/>
      <c r="H19" s="468"/>
      <c r="I19" s="778"/>
    </row>
    <row r="20" spans="1:18" ht="15" hidden="1" x14ac:dyDescent="0.25">
      <c r="A20" s="785"/>
      <c r="B20" s="776"/>
      <c r="C20" s="776"/>
      <c r="D20" s="468"/>
      <c r="E20" s="776"/>
      <c r="F20" s="786"/>
      <c r="G20" s="777"/>
      <c r="H20" s="468"/>
      <c r="I20" s="778"/>
    </row>
    <row r="21" spans="1:18" ht="15" hidden="1" x14ac:dyDescent="0.25">
      <c r="A21" s="775"/>
      <c r="B21" s="776"/>
      <c r="C21" s="776"/>
      <c r="D21" s="468"/>
      <c r="E21" s="776"/>
      <c r="F21" s="776"/>
      <c r="G21" s="777"/>
      <c r="H21" s="468"/>
      <c r="I21" s="778"/>
    </row>
    <row r="22" spans="1:18" ht="15" hidden="1" x14ac:dyDescent="0.25">
      <c r="A22" s="787"/>
      <c r="B22" s="776"/>
      <c r="C22" s="776"/>
      <c r="D22" s="468"/>
      <c r="E22" s="776"/>
      <c r="F22" s="776"/>
      <c r="G22" s="777"/>
      <c r="H22" s="468"/>
      <c r="I22" s="778"/>
    </row>
    <row r="23" spans="1:18" ht="15" hidden="1" x14ac:dyDescent="0.25">
      <c r="A23" s="788"/>
      <c r="B23" s="776"/>
      <c r="C23" s="776"/>
      <c r="D23" s="468"/>
      <c r="E23" s="776"/>
      <c r="F23" s="776"/>
      <c r="G23" s="777"/>
      <c r="H23" s="468"/>
      <c r="I23" s="778"/>
    </row>
    <row r="24" spans="1:18" ht="15" hidden="1" x14ac:dyDescent="0.25">
      <c r="A24" s="785"/>
      <c r="B24" s="776"/>
      <c r="C24" s="776"/>
      <c r="D24" s="468"/>
      <c r="E24" s="776"/>
      <c r="F24" s="776"/>
      <c r="G24" s="777"/>
      <c r="H24" s="468"/>
      <c r="I24" s="778"/>
    </row>
    <row r="25" spans="1:18" ht="15" hidden="1" x14ac:dyDescent="0.25">
      <c r="A25" s="775"/>
      <c r="B25" s="784"/>
      <c r="C25" s="779"/>
      <c r="D25" s="789"/>
      <c r="E25" s="782"/>
      <c r="F25" s="776"/>
      <c r="G25" s="777"/>
      <c r="H25" s="468"/>
      <c r="I25" s="778"/>
    </row>
    <row r="26" spans="1:18" ht="15" hidden="1" x14ac:dyDescent="0.25">
      <c r="A26" s="775"/>
      <c r="B26" s="782"/>
      <c r="C26" s="776"/>
      <c r="D26" s="789"/>
      <c r="E26" s="782"/>
      <c r="F26" s="776"/>
      <c r="G26" s="468"/>
      <c r="H26" s="468"/>
      <c r="I26" s="778"/>
    </row>
    <row r="27" spans="1:18" ht="15" hidden="1" x14ac:dyDescent="0.25">
      <c r="A27" s="783"/>
      <c r="B27" s="776"/>
      <c r="C27" s="782"/>
      <c r="D27" s="468"/>
      <c r="E27" s="776"/>
      <c r="F27" s="468"/>
      <c r="G27" s="468"/>
      <c r="H27" s="468"/>
      <c r="I27" s="778"/>
    </row>
    <row r="28" spans="1:18" ht="15" hidden="1" x14ac:dyDescent="0.25">
      <c r="A28" s="775"/>
      <c r="B28" s="776"/>
      <c r="C28" s="782"/>
      <c r="D28" s="468"/>
      <c r="E28" s="776"/>
      <c r="F28" s="776"/>
      <c r="G28" s="777"/>
      <c r="H28" s="468"/>
      <c r="I28" s="778"/>
    </row>
    <row r="29" spans="1:18" ht="15" hidden="1" x14ac:dyDescent="0.25">
      <c r="A29" s="790"/>
      <c r="B29" s="468"/>
      <c r="C29" s="782"/>
      <c r="D29" s="468"/>
      <c r="E29" s="776"/>
      <c r="F29" s="776"/>
      <c r="G29" s="777"/>
      <c r="H29" s="468"/>
      <c r="I29" s="778"/>
    </row>
    <row r="30" spans="1:18" ht="15" hidden="1" x14ac:dyDescent="0.25">
      <c r="A30" s="791"/>
      <c r="B30" s="776"/>
      <c r="C30" s="468"/>
      <c r="D30" s="779"/>
      <c r="E30" s="776"/>
      <c r="F30" s="776"/>
      <c r="G30" s="777"/>
      <c r="H30" s="789"/>
      <c r="I30" s="792"/>
    </row>
    <row r="31" spans="1:18" ht="15" hidden="1" x14ac:dyDescent="0.25">
      <c r="A31" s="775"/>
      <c r="B31" s="782"/>
      <c r="C31" s="776"/>
      <c r="D31" s="782"/>
      <c r="E31" s="776"/>
      <c r="F31" s="776"/>
      <c r="G31" s="777"/>
      <c r="H31" s="468"/>
      <c r="I31" s="778"/>
    </row>
    <row r="32" spans="1:18" ht="15" hidden="1" x14ac:dyDescent="0.25">
      <c r="A32" s="775"/>
      <c r="B32" s="793"/>
      <c r="C32" s="776"/>
      <c r="D32" s="776"/>
      <c r="E32" s="468"/>
      <c r="F32" s="776"/>
      <c r="G32" s="777"/>
      <c r="H32" s="468"/>
      <c r="I32" s="778"/>
      <c r="J32" s="468"/>
      <c r="K32" s="468"/>
      <c r="L32" s="468"/>
      <c r="M32" s="468"/>
      <c r="N32" s="468"/>
      <c r="O32" s="468"/>
      <c r="P32" s="468"/>
      <c r="Q32" s="468"/>
      <c r="R32" s="468"/>
    </row>
    <row r="33" spans="1:18" ht="15" x14ac:dyDescent="0.25">
      <c r="A33" s="785"/>
      <c r="B33" s="776"/>
      <c r="C33" s="776"/>
      <c r="D33" s="793"/>
      <c r="E33" s="468"/>
      <c r="F33" s="794"/>
      <c r="G33" s="776"/>
      <c r="H33" s="795"/>
      <c r="I33" s="778"/>
      <c r="J33" s="468"/>
      <c r="K33" s="468"/>
      <c r="L33" s="468"/>
      <c r="M33" s="468"/>
      <c r="N33" s="468"/>
      <c r="O33" s="468"/>
      <c r="P33" s="468"/>
      <c r="Q33" s="468"/>
      <c r="R33" s="468"/>
    </row>
    <row r="34" spans="1:18" ht="15" x14ac:dyDescent="0.25">
      <c r="A34" s="796"/>
      <c r="B34" s="347"/>
      <c r="C34" s="347"/>
      <c r="D34" s="797"/>
      <c r="E34" s="326"/>
      <c r="F34" s="798"/>
      <c r="G34" s="347"/>
      <c r="H34" s="799"/>
      <c r="I34" s="774"/>
      <c r="J34" s="326"/>
      <c r="K34" s="326"/>
      <c r="L34" s="326"/>
      <c r="M34" s="326"/>
      <c r="N34" s="326"/>
      <c r="O34" s="326"/>
      <c r="P34" s="326"/>
      <c r="Q34" s="326"/>
      <c r="R34" s="326"/>
    </row>
    <row r="35" spans="1:18" ht="37.5" customHeight="1" x14ac:dyDescent="0.25">
      <c r="A35" s="1228" t="s">
        <v>756</v>
      </c>
      <c r="B35" s="1229"/>
      <c r="C35" s="1229"/>
      <c r="D35" s="1229"/>
      <c r="E35" s="1229"/>
      <c r="F35" s="1229"/>
      <c r="G35" s="1229"/>
      <c r="H35" s="1229"/>
      <c r="I35" s="1230"/>
      <c r="J35" s="326"/>
      <c r="K35" s="326"/>
      <c r="L35" s="326"/>
      <c r="M35" s="326"/>
      <c r="N35" s="326"/>
      <c r="O35" s="326"/>
      <c r="P35" s="326"/>
      <c r="Q35" s="326"/>
      <c r="R35" s="326"/>
    </row>
    <row r="36" spans="1:18" ht="15" x14ac:dyDescent="0.25">
      <c r="A36" s="771"/>
      <c r="B36" s="326"/>
      <c r="C36" s="326"/>
      <c r="D36" s="326"/>
      <c r="E36" s="326"/>
      <c r="F36" s="326"/>
      <c r="G36" s="773"/>
      <c r="H36" s="326"/>
      <c r="I36" s="774"/>
      <c r="J36" s="326"/>
      <c r="K36" s="326"/>
      <c r="L36" s="326"/>
      <c r="M36" s="326"/>
      <c r="N36" s="326"/>
      <c r="O36" s="326"/>
      <c r="P36" s="326"/>
      <c r="Q36" s="326"/>
      <c r="R36" s="326"/>
    </row>
    <row r="37" spans="1:18" ht="15.75" x14ac:dyDescent="0.25">
      <c r="A37" s="771"/>
      <c r="B37" s="326"/>
      <c r="C37" s="326"/>
      <c r="D37" s="347"/>
      <c r="E37" s="347"/>
      <c r="F37" s="347"/>
      <c r="G37" s="347"/>
      <c r="H37" s="349"/>
      <c r="I37" s="800"/>
      <c r="J37" s="339"/>
      <c r="K37" s="326"/>
      <c r="L37" s="326"/>
      <c r="M37" s="326"/>
      <c r="N37" s="326"/>
      <c r="O37" s="326"/>
      <c r="P37" s="326"/>
      <c r="Q37" s="326"/>
      <c r="R37" s="326"/>
    </row>
    <row r="38" spans="1:18" ht="15.75" x14ac:dyDescent="0.25">
      <c r="A38" s="771"/>
      <c r="B38" s="326"/>
      <c r="C38" s="326"/>
      <c r="D38" s="347"/>
      <c r="E38" s="347"/>
      <c r="F38" s="347"/>
      <c r="G38" s="347"/>
      <c r="H38" s="801"/>
      <c r="I38" s="800"/>
      <c r="J38" s="350"/>
      <c r="K38" s="326"/>
      <c r="L38" s="326"/>
      <c r="M38" s="326"/>
      <c r="N38" s="326"/>
      <c r="O38" s="326"/>
      <c r="P38" s="326"/>
      <c r="Q38" s="326"/>
      <c r="R38" s="326"/>
    </row>
    <row r="39" spans="1:18" ht="15.75" x14ac:dyDescent="0.25">
      <c r="A39" s="771"/>
      <c r="B39" s="326"/>
      <c r="C39" s="1238">
        <f>ABS(D180)</f>
        <v>4124.9273000000003</v>
      </c>
      <c r="D39" s="1238"/>
      <c r="E39" s="347"/>
      <c r="F39" s="347"/>
      <c r="G39" s="347"/>
      <c r="H39" s="329"/>
      <c r="I39" s="800"/>
      <c r="J39" s="350"/>
      <c r="K39" s="326"/>
      <c r="L39" s="326"/>
      <c r="M39" s="326"/>
      <c r="N39" s="326"/>
      <c r="O39" s="326"/>
      <c r="P39" s="326"/>
      <c r="Q39" s="326"/>
      <c r="R39" s="326"/>
    </row>
    <row r="40" spans="1:18" ht="15.75" x14ac:dyDescent="0.25">
      <c r="A40" s="771"/>
      <c r="B40" s="326"/>
      <c r="C40" s="326"/>
      <c r="D40" s="802"/>
      <c r="E40" s="347"/>
      <c r="F40" s="1239">
        <f>ABS(F180)</f>
        <v>73025.518599999996</v>
      </c>
      <c r="G40" s="1239"/>
      <c r="H40" s="326"/>
      <c r="I40" s="800"/>
      <c r="J40" s="350"/>
      <c r="K40" s="326"/>
      <c r="L40" s="326"/>
      <c r="M40" s="326"/>
      <c r="N40" s="326"/>
      <c r="O40" s="326"/>
      <c r="P40" s="326"/>
      <c r="Q40" s="326"/>
      <c r="R40" s="326"/>
    </row>
    <row r="41" spans="1:18" ht="15.75" x14ac:dyDescent="0.25">
      <c r="A41" s="803"/>
      <c r="B41" s="326"/>
      <c r="C41" s="326"/>
      <c r="D41" s="347"/>
      <c r="E41" s="347"/>
      <c r="F41" s="331"/>
      <c r="G41" s="347"/>
      <c r="H41" s="326"/>
      <c r="I41" s="800"/>
      <c r="J41" s="350"/>
      <c r="K41" s="348"/>
      <c r="L41" s="338"/>
      <c r="M41" s="348"/>
      <c r="N41" s="326"/>
      <c r="O41" s="326"/>
      <c r="P41" s="326"/>
      <c r="Q41" s="326"/>
      <c r="R41" s="326"/>
    </row>
    <row r="42" spans="1:18" ht="15.75" x14ac:dyDescent="0.25">
      <c r="A42" s="447"/>
      <c r="B42" s="326"/>
      <c r="C42" s="1251">
        <f>D181</f>
        <v>8.5193237091094289</v>
      </c>
      <c r="D42" s="1251"/>
      <c r="E42" s="326"/>
      <c r="F42" s="326"/>
      <c r="G42" s="347"/>
      <c r="H42" s="339"/>
      <c r="I42" s="800"/>
      <c r="J42" s="350"/>
      <c r="K42" s="348"/>
      <c r="L42" s="338"/>
      <c r="M42" s="348"/>
      <c r="N42" s="326"/>
      <c r="O42" s="326"/>
      <c r="P42" s="326"/>
      <c r="Q42" s="326"/>
      <c r="R42" s="326"/>
    </row>
    <row r="43" spans="1:18" ht="15.75" x14ac:dyDescent="0.25">
      <c r="A43" s="804"/>
      <c r="B43" s="326"/>
      <c r="C43" s="326"/>
      <c r="D43" s="347"/>
      <c r="E43" s="347"/>
      <c r="F43" s="1239">
        <f>F181</f>
        <v>43815.311188027452</v>
      </c>
      <c r="G43" s="1239"/>
      <c r="H43" s="805"/>
      <c r="I43" s="774"/>
      <c r="J43" s="350"/>
      <c r="K43" s="348"/>
      <c r="L43" s="338"/>
      <c r="M43" s="348"/>
      <c r="N43" s="326"/>
      <c r="O43" s="326"/>
      <c r="P43" s="326"/>
      <c r="Q43" s="326"/>
      <c r="R43" s="348"/>
    </row>
    <row r="44" spans="1:18" ht="15.75" x14ac:dyDescent="0.25">
      <c r="A44" s="771"/>
      <c r="B44" s="326"/>
      <c r="C44" s="326"/>
      <c r="D44" s="339"/>
      <c r="E44" s="326"/>
      <c r="F44" s="326"/>
      <c r="G44" s="338"/>
      <c r="H44" s="349"/>
      <c r="I44" s="800"/>
      <c r="J44" s="350"/>
      <c r="K44" s="326"/>
      <c r="L44" s="338"/>
      <c r="M44" s="348"/>
      <c r="N44" s="326"/>
      <c r="O44" s="326"/>
      <c r="P44" s="326"/>
      <c r="Q44" s="326"/>
      <c r="R44" s="348"/>
    </row>
    <row r="45" spans="1:18" ht="15.75" x14ac:dyDescent="0.25">
      <c r="A45" s="771"/>
      <c r="B45" s="326"/>
      <c r="C45" s="326"/>
      <c r="D45" s="347"/>
      <c r="E45" s="347"/>
      <c r="F45" s="1239">
        <f>F182</f>
        <v>97367.357999999993</v>
      </c>
      <c r="G45" s="1239"/>
      <c r="H45" s="349"/>
      <c r="I45" s="800"/>
      <c r="J45" s="326"/>
      <c r="K45" s="348"/>
      <c r="L45" s="338"/>
      <c r="M45" s="348"/>
      <c r="N45" s="326"/>
      <c r="O45" s="326"/>
      <c r="P45" s="326"/>
      <c r="Q45" s="326"/>
      <c r="R45" s="348"/>
    </row>
    <row r="46" spans="1:18" ht="15.75" x14ac:dyDescent="0.25">
      <c r="A46" s="771"/>
      <c r="B46" s="326"/>
      <c r="C46" s="1251">
        <f>D182</f>
        <v>4116.4079841828616</v>
      </c>
      <c r="D46" s="1251"/>
      <c r="E46" s="347"/>
      <c r="F46" s="347"/>
      <c r="G46" s="347"/>
      <c r="H46" s="349"/>
      <c r="I46" s="800"/>
      <c r="J46" s="350"/>
      <c r="K46" s="329"/>
      <c r="L46" s="338"/>
      <c r="M46" s="348"/>
      <c r="N46" s="326"/>
      <c r="O46" s="326"/>
      <c r="P46" s="326"/>
      <c r="Q46" s="326"/>
      <c r="R46" s="348"/>
    </row>
    <row r="47" spans="1:18" ht="15.75" x14ac:dyDescent="0.25">
      <c r="A47" s="771"/>
      <c r="B47" s="326"/>
      <c r="C47" s="326"/>
      <c r="D47" s="347"/>
      <c r="E47" s="347"/>
      <c r="F47" s="347"/>
      <c r="G47" s="347"/>
      <c r="H47" s="349"/>
      <c r="I47" s="800"/>
      <c r="J47" s="350"/>
      <c r="K47" s="348"/>
      <c r="L47" s="338"/>
      <c r="M47" s="348"/>
      <c r="N47" s="349"/>
      <c r="O47" s="350"/>
      <c r="P47" s="329"/>
      <c r="Q47" s="338"/>
      <c r="R47" s="348"/>
    </row>
    <row r="48" spans="1:18" ht="15" x14ac:dyDescent="0.25">
      <c r="A48" s="771"/>
      <c r="B48" s="326"/>
      <c r="C48" s="326"/>
      <c r="D48" s="326"/>
      <c r="E48" s="326"/>
      <c r="F48" s="326"/>
      <c r="G48" s="338"/>
      <c r="H48" s="326"/>
      <c r="I48" s="774"/>
      <c r="J48" s="326"/>
      <c r="K48" s="326"/>
      <c r="L48" s="326"/>
      <c r="M48" s="326"/>
      <c r="N48" s="326"/>
      <c r="O48" s="326"/>
      <c r="P48" s="326"/>
      <c r="Q48" s="326"/>
      <c r="R48" s="326"/>
    </row>
    <row r="49" spans="1:9" ht="15" x14ac:dyDescent="0.25">
      <c r="A49" s="771"/>
      <c r="B49" s="326"/>
      <c r="C49" s="326"/>
      <c r="D49" s="326"/>
      <c r="E49" s="806" t="s">
        <v>757</v>
      </c>
      <c r="F49" s="326"/>
      <c r="G49" s="773"/>
      <c r="H49" s="326"/>
      <c r="I49" s="774"/>
    </row>
    <row r="50" spans="1:9" ht="15" x14ac:dyDescent="0.25">
      <c r="A50" s="771" t="s">
        <v>758</v>
      </c>
      <c r="B50" s="347"/>
      <c r="C50" s="338"/>
      <c r="D50" s="338"/>
      <c r="E50" s="338"/>
      <c r="F50" s="326"/>
      <c r="G50" s="773"/>
      <c r="H50" s="338"/>
      <c r="I50" s="774"/>
    </row>
    <row r="51" spans="1:9" ht="15" x14ac:dyDescent="0.25">
      <c r="A51" s="807" t="s">
        <v>759</v>
      </c>
      <c r="B51" s="331"/>
      <c r="C51" s="331"/>
      <c r="D51" s="331"/>
      <c r="E51" s="331"/>
      <c r="F51" s="338" t="s">
        <v>760</v>
      </c>
      <c r="G51" s="773" t="s">
        <v>442</v>
      </c>
      <c r="H51" s="808">
        <f>Calculation!G117</f>
        <v>7.5819999999999999</v>
      </c>
      <c r="I51" s="809" t="s">
        <v>74</v>
      </c>
    </row>
    <row r="52" spans="1:9" ht="15" x14ac:dyDescent="0.25">
      <c r="A52" s="807" t="s">
        <v>761</v>
      </c>
      <c r="B52" s="331"/>
      <c r="C52" s="331"/>
      <c r="D52" s="331"/>
      <c r="E52" s="331"/>
      <c r="F52" s="338" t="s">
        <v>762</v>
      </c>
      <c r="G52" s="773" t="s">
        <v>442</v>
      </c>
      <c r="H52" s="333">
        <f>Calculation!C79</f>
        <v>0.15</v>
      </c>
      <c r="I52" s="809" t="s">
        <v>74</v>
      </c>
    </row>
    <row r="53" spans="1:9" ht="15" x14ac:dyDescent="0.25">
      <c r="A53" s="807" t="s">
        <v>763</v>
      </c>
      <c r="B53" s="331"/>
      <c r="C53" s="331"/>
      <c r="D53" s="331"/>
      <c r="E53" s="331"/>
      <c r="F53" s="338" t="s">
        <v>764</v>
      </c>
      <c r="G53" s="773" t="s">
        <v>442</v>
      </c>
      <c r="H53" s="333">
        <f>Calculation!H119</f>
        <v>35.259059075342932</v>
      </c>
      <c r="I53" s="810" t="s">
        <v>765</v>
      </c>
    </row>
    <row r="54" spans="1:9" ht="15" x14ac:dyDescent="0.25">
      <c r="A54" s="807"/>
      <c r="B54" s="331"/>
      <c r="C54" s="331"/>
      <c r="D54" s="331"/>
      <c r="E54" s="331"/>
      <c r="F54" s="338" t="s">
        <v>766</v>
      </c>
      <c r="G54" s="338" t="s">
        <v>442</v>
      </c>
      <c r="H54" s="331">
        <f>ROUND(SIN(H53*3.142/180),5)</f>
        <v>0.57733999999999996</v>
      </c>
      <c r="I54" s="810"/>
    </row>
    <row r="55" spans="1:9" ht="15" x14ac:dyDescent="0.25">
      <c r="A55" s="807"/>
      <c r="B55" s="331"/>
      <c r="C55" s="331"/>
      <c r="D55" s="331"/>
      <c r="E55" s="331"/>
      <c r="F55" s="338" t="s">
        <v>767</v>
      </c>
      <c r="G55" s="338"/>
      <c r="H55" s="331">
        <f>ROUND(COS(H53*3.142/180),6)</f>
        <v>0.81650400000000001</v>
      </c>
      <c r="I55" s="810"/>
    </row>
    <row r="56" spans="1:9" ht="15" x14ac:dyDescent="0.25">
      <c r="A56" s="807" t="s">
        <v>768</v>
      </c>
      <c r="B56" s="331"/>
      <c r="C56" s="331"/>
      <c r="D56" s="331"/>
      <c r="E56" s="331"/>
      <c r="F56" s="338" t="s">
        <v>769</v>
      </c>
      <c r="G56" s="773" t="s">
        <v>442</v>
      </c>
      <c r="H56" s="334">
        <f>Calculation!F80</f>
        <v>1.5169999999999999</v>
      </c>
      <c r="I56" s="809" t="s">
        <v>74</v>
      </c>
    </row>
    <row r="57" spans="1:9" ht="15" x14ac:dyDescent="0.25">
      <c r="A57" s="807" t="s">
        <v>770</v>
      </c>
      <c r="B57" s="331"/>
      <c r="C57" s="331"/>
      <c r="D57" s="331"/>
      <c r="E57" s="331"/>
      <c r="F57" s="338" t="s">
        <v>771</v>
      </c>
      <c r="G57" s="773" t="s">
        <v>442</v>
      </c>
      <c r="H57" s="327">
        <f>Calculation!F200*10000</f>
        <v>4950</v>
      </c>
      <c r="I57" s="809" t="s">
        <v>772</v>
      </c>
    </row>
    <row r="58" spans="1:9" ht="15" x14ac:dyDescent="0.25">
      <c r="A58" s="807" t="s">
        <v>773</v>
      </c>
      <c r="B58" s="331"/>
      <c r="C58" s="331"/>
      <c r="D58" s="331"/>
      <c r="E58" s="331"/>
      <c r="F58" s="326"/>
      <c r="G58" s="773" t="s">
        <v>442</v>
      </c>
      <c r="H58" s="331">
        <v>10000</v>
      </c>
      <c r="I58" s="809" t="s">
        <v>774</v>
      </c>
    </row>
    <row r="59" spans="1:9" ht="15" x14ac:dyDescent="0.25">
      <c r="A59" s="771" t="s">
        <v>775</v>
      </c>
      <c r="B59" s="347"/>
      <c r="C59" s="338"/>
      <c r="D59" s="338"/>
      <c r="E59" s="338"/>
      <c r="F59" s="326"/>
      <c r="G59" s="773"/>
      <c r="H59" s="338"/>
      <c r="I59" s="774"/>
    </row>
    <row r="60" spans="1:9" ht="15" x14ac:dyDescent="0.25">
      <c r="A60" s="807" t="s">
        <v>776</v>
      </c>
      <c r="B60" s="331"/>
      <c r="C60" s="331"/>
      <c r="D60" s="331"/>
      <c r="E60" s="331"/>
      <c r="F60" s="338" t="s">
        <v>777</v>
      </c>
      <c r="G60" s="773" t="s">
        <v>442</v>
      </c>
      <c r="H60" s="333">
        <f>Calculation!C82/1000</f>
        <v>0.3</v>
      </c>
      <c r="I60" s="809" t="s">
        <v>74</v>
      </c>
    </row>
    <row r="61" spans="1:9" ht="15" x14ac:dyDescent="0.25">
      <c r="A61" s="807" t="s">
        <v>778</v>
      </c>
      <c r="B61" s="331"/>
      <c r="C61" s="331"/>
      <c r="D61" s="348"/>
      <c r="E61" s="348"/>
      <c r="F61" s="338" t="s">
        <v>779</v>
      </c>
      <c r="G61" s="773" t="s">
        <v>442</v>
      </c>
      <c r="H61" s="333">
        <f>Calculation!C81/1000</f>
        <v>0.3</v>
      </c>
      <c r="I61" s="809" t="s">
        <v>74</v>
      </c>
    </row>
    <row r="62" spans="1:9" ht="15" x14ac:dyDescent="0.25">
      <c r="A62" s="807" t="s">
        <v>780</v>
      </c>
      <c r="B62" s="331"/>
      <c r="C62" s="331"/>
      <c r="D62" s="348"/>
      <c r="E62" s="348"/>
      <c r="F62" s="338" t="s">
        <v>781</v>
      </c>
      <c r="G62" s="773" t="s">
        <v>442</v>
      </c>
      <c r="H62" s="811">
        <f>Calculation!F86/2</f>
        <v>4.55</v>
      </c>
      <c r="I62" s="809" t="s">
        <v>74</v>
      </c>
    </row>
    <row r="63" spans="1:9" ht="15" x14ac:dyDescent="0.25">
      <c r="A63" s="771" t="s">
        <v>782</v>
      </c>
      <c r="B63" s="347"/>
      <c r="C63" s="338"/>
      <c r="D63" s="338"/>
      <c r="E63" s="338"/>
      <c r="F63" s="326"/>
      <c r="G63" s="773"/>
      <c r="H63" s="333"/>
      <c r="I63" s="774"/>
    </row>
    <row r="64" spans="1:9" ht="15" x14ac:dyDescent="0.25">
      <c r="A64" s="807" t="s">
        <v>783</v>
      </c>
      <c r="B64" s="331"/>
      <c r="C64" s="331"/>
      <c r="D64" s="331"/>
      <c r="E64" s="331"/>
      <c r="F64" s="338" t="s">
        <v>19</v>
      </c>
      <c r="G64" s="773" t="s">
        <v>442</v>
      </c>
      <c r="H64" s="333">
        <f>Calculation!F86+Calculation!B86</f>
        <v>9.2999999999999989</v>
      </c>
      <c r="I64" s="809" t="s">
        <v>74</v>
      </c>
    </row>
    <row r="65" spans="1:13" ht="15" x14ac:dyDescent="0.25">
      <c r="A65" s="807" t="s">
        <v>761</v>
      </c>
      <c r="B65" s="331"/>
      <c r="C65" s="331"/>
      <c r="D65" s="331"/>
      <c r="E65" s="331"/>
      <c r="F65" s="338" t="s">
        <v>784</v>
      </c>
      <c r="G65" s="773" t="s">
        <v>442</v>
      </c>
      <c r="H65" s="334">
        <f>Calculation!B86</f>
        <v>0.2</v>
      </c>
      <c r="I65" s="809" t="s">
        <v>74</v>
      </c>
      <c r="J65" s="326"/>
      <c r="K65" s="326"/>
      <c r="L65" s="326"/>
      <c r="M65" s="326"/>
    </row>
    <row r="66" spans="1:13" ht="15" x14ac:dyDescent="0.25">
      <c r="A66" s="807" t="s">
        <v>785</v>
      </c>
      <c r="B66" s="331"/>
      <c r="C66" s="331"/>
      <c r="D66" s="331"/>
      <c r="E66" s="331"/>
      <c r="F66" s="338" t="s">
        <v>33</v>
      </c>
      <c r="G66" s="773" t="s">
        <v>442</v>
      </c>
      <c r="H66" s="333">
        <f>Calculation!D85</f>
        <v>4</v>
      </c>
      <c r="I66" s="809" t="s">
        <v>74</v>
      </c>
      <c r="J66" s="326"/>
      <c r="K66" s="326"/>
      <c r="L66" s="326"/>
      <c r="M66" s="326"/>
    </row>
    <row r="67" spans="1:13" ht="15" x14ac:dyDescent="0.25">
      <c r="A67" s="812" t="s">
        <v>786</v>
      </c>
      <c r="B67" s="364"/>
      <c r="C67" s="364"/>
      <c r="D67" s="364"/>
      <c r="E67" s="364"/>
      <c r="F67" s="364"/>
      <c r="G67" s="813"/>
      <c r="H67" s="814"/>
      <c r="I67" s="815"/>
      <c r="J67" s="326"/>
      <c r="K67" s="326"/>
      <c r="L67" s="326"/>
      <c r="M67" s="326"/>
    </row>
    <row r="68" spans="1:13" ht="15" x14ac:dyDescent="0.25">
      <c r="A68" s="901" t="s">
        <v>787</v>
      </c>
      <c r="B68" s="342"/>
      <c r="C68" s="410"/>
      <c r="D68" s="410"/>
      <c r="E68" s="410"/>
      <c r="F68" s="818"/>
      <c r="G68" s="886"/>
      <c r="H68" s="410"/>
      <c r="I68" s="833"/>
      <c r="J68" s="326"/>
      <c r="K68" s="326"/>
      <c r="L68" s="326"/>
      <c r="M68" s="326"/>
    </row>
    <row r="69" spans="1:13" ht="18.75" x14ac:dyDescent="0.35">
      <c r="A69" s="851" t="s">
        <v>788</v>
      </c>
      <c r="B69" s="902" t="s">
        <v>789</v>
      </c>
      <c r="C69" s="329"/>
      <c r="D69" s="328" t="s">
        <v>790</v>
      </c>
      <c r="E69" s="329"/>
      <c r="F69" s="326"/>
      <c r="G69" s="773" t="s">
        <v>442</v>
      </c>
      <c r="H69" s="331">
        <f>ROUND(3*(H51/H52)^2,3)</f>
        <v>7664.8969999999999</v>
      </c>
      <c r="I69" s="774"/>
      <c r="J69" s="326"/>
      <c r="K69" s="339"/>
      <c r="L69" s="326"/>
      <c r="M69" s="351"/>
    </row>
    <row r="70" spans="1:13" ht="15" x14ac:dyDescent="0.25">
      <c r="A70" s="796"/>
      <c r="B70" s="329"/>
      <c r="C70" s="329"/>
      <c r="D70" s="329"/>
      <c r="E70" s="329"/>
      <c r="F70" s="857" t="s">
        <v>791</v>
      </c>
      <c r="G70" s="773" t="s">
        <v>442</v>
      </c>
      <c r="H70" s="334">
        <f>ROUND(H69^0.25,3)</f>
        <v>9.3569999999999993</v>
      </c>
      <c r="I70" s="774"/>
      <c r="J70" s="326"/>
      <c r="K70" s="334"/>
      <c r="L70" s="326"/>
      <c r="M70" s="326"/>
    </row>
    <row r="71" spans="1:13" ht="15" x14ac:dyDescent="0.25">
      <c r="A71" s="851" t="s">
        <v>792</v>
      </c>
      <c r="B71" s="329" t="s">
        <v>793</v>
      </c>
      <c r="C71" s="329"/>
      <c r="D71" s="328" t="s">
        <v>794</v>
      </c>
      <c r="E71" s="329"/>
      <c r="F71" s="338" t="s">
        <v>792</v>
      </c>
      <c r="G71" s="773" t="s">
        <v>442</v>
      </c>
      <c r="H71" s="331">
        <f>ROUND(1-(1/(2*H70)*(H55/H54)),3)</f>
        <v>0.92400000000000004</v>
      </c>
      <c r="I71" s="774"/>
      <c r="J71" s="339"/>
      <c r="K71" s="326"/>
      <c r="L71" s="334"/>
      <c r="M71" s="326"/>
    </row>
    <row r="72" spans="1:13" ht="15" x14ac:dyDescent="0.25">
      <c r="A72" s="807" t="s">
        <v>795</v>
      </c>
      <c r="B72" s="326"/>
      <c r="C72" s="326"/>
      <c r="D72" s="326"/>
      <c r="E72" s="326"/>
      <c r="F72" s="326"/>
      <c r="G72" s="326"/>
      <c r="H72" s="326"/>
      <c r="I72" s="774"/>
      <c r="J72" s="326"/>
      <c r="K72" s="326"/>
      <c r="L72" s="326"/>
      <c r="M72" s="326"/>
    </row>
    <row r="73" spans="1:13" ht="15" x14ac:dyDescent="0.25">
      <c r="A73" s="796"/>
      <c r="B73" s="326"/>
      <c r="C73" s="326"/>
      <c r="D73" s="326"/>
      <c r="E73" s="331" t="s">
        <v>796</v>
      </c>
      <c r="F73" s="326"/>
      <c r="G73" s="331" t="s">
        <v>442</v>
      </c>
      <c r="H73" s="331">
        <f>H54</f>
        <v>0.57733999999999996</v>
      </c>
      <c r="I73" s="774"/>
      <c r="J73" s="326"/>
      <c r="K73" s="326"/>
      <c r="L73" s="326"/>
      <c r="M73" s="326"/>
    </row>
    <row r="74" spans="1:13" ht="15" x14ac:dyDescent="0.25">
      <c r="A74" s="796"/>
      <c r="B74" s="352" t="s">
        <v>797</v>
      </c>
      <c r="C74" s="326"/>
      <c r="D74" s="352"/>
      <c r="E74" s="326"/>
      <c r="F74" s="338" t="s">
        <v>798</v>
      </c>
      <c r="G74" s="773" t="s">
        <v>442</v>
      </c>
      <c r="H74" s="331">
        <f>ROUND(2*H57*H51*H73/H52,4)</f>
        <v>288907.86410000001</v>
      </c>
      <c r="I74" s="823" t="s">
        <v>799</v>
      </c>
      <c r="J74" s="326"/>
      <c r="K74" s="326"/>
      <c r="L74" s="326"/>
      <c r="M74" s="326"/>
    </row>
    <row r="75" spans="1:13" ht="15" x14ac:dyDescent="0.25">
      <c r="A75" s="447"/>
      <c r="B75" s="328" t="s">
        <v>800</v>
      </c>
      <c r="C75" s="338"/>
      <c r="D75" s="338"/>
      <c r="E75" s="338"/>
      <c r="F75" s="326"/>
      <c r="G75" s="773"/>
      <c r="H75" s="338" t="s">
        <v>801</v>
      </c>
      <c r="I75" s="810" t="s">
        <v>802</v>
      </c>
      <c r="J75" s="326"/>
      <c r="K75" s="328"/>
      <c r="L75" s="326"/>
      <c r="M75" s="326"/>
    </row>
    <row r="76" spans="1:13" ht="15" x14ac:dyDescent="0.25">
      <c r="A76" s="807" t="s">
        <v>803</v>
      </c>
      <c r="B76" s="331"/>
      <c r="C76" s="331"/>
      <c r="D76" s="331"/>
      <c r="E76" s="331"/>
      <c r="F76" s="331"/>
      <c r="G76" s="326"/>
      <c r="H76" s="326"/>
      <c r="I76" s="774"/>
      <c r="J76" s="326"/>
      <c r="K76" s="326"/>
      <c r="L76" s="326"/>
      <c r="M76" s="326"/>
    </row>
    <row r="77" spans="1:13" ht="15" x14ac:dyDescent="0.25">
      <c r="A77" s="807"/>
      <c r="B77" s="328" t="s">
        <v>804</v>
      </c>
      <c r="C77" s="331"/>
      <c r="D77" s="331"/>
      <c r="E77" s="331"/>
      <c r="F77" s="857" t="s">
        <v>805</v>
      </c>
      <c r="G77" s="773" t="s">
        <v>442</v>
      </c>
      <c r="H77" s="331">
        <f>ROUND((H57*H51^2*H54)/(H52)*((1/(1+H55))-H55),4)</f>
        <v>-291332.033</v>
      </c>
      <c r="I77" s="823" t="s">
        <v>799</v>
      </c>
      <c r="J77" s="326"/>
      <c r="K77" s="326"/>
      <c r="L77" s="327"/>
      <c r="M77" s="326"/>
    </row>
    <row r="78" spans="1:13" ht="15" x14ac:dyDescent="0.25">
      <c r="A78" s="796"/>
      <c r="B78" s="328" t="s">
        <v>806</v>
      </c>
      <c r="C78" s="326"/>
      <c r="D78" s="326"/>
      <c r="E78" s="326"/>
      <c r="F78" s="326"/>
      <c r="G78" s="773"/>
      <c r="H78" s="338" t="s">
        <v>74</v>
      </c>
      <c r="I78" s="820" t="s">
        <v>807</v>
      </c>
      <c r="J78" s="326"/>
      <c r="K78" s="328"/>
      <c r="L78" s="326"/>
      <c r="M78" s="326"/>
    </row>
    <row r="79" spans="1:13" ht="15" x14ac:dyDescent="0.25">
      <c r="A79" s="807" t="s">
        <v>808</v>
      </c>
      <c r="B79" s="331"/>
      <c r="C79" s="338"/>
      <c r="D79" s="338"/>
      <c r="E79" s="338"/>
      <c r="F79" s="326"/>
      <c r="G79" s="326"/>
      <c r="H79" s="326"/>
      <c r="I79" s="774"/>
      <c r="J79" s="326"/>
      <c r="K79" s="326"/>
      <c r="L79" s="326"/>
      <c r="M79" s="326"/>
    </row>
    <row r="80" spans="1:13" ht="15" x14ac:dyDescent="0.25">
      <c r="A80" s="807"/>
      <c r="B80" s="331" t="s">
        <v>809</v>
      </c>
      <c r="C80" s="338"/>
      <c r="D80" s="338"/>
      <c r="E80" s="338"/>
      <c r="F80" s="338" t="s">
        <v>110</v>
      </c>
      <c r="G80" s="773" t="s">
        <v>442</v>
      </c>
      <c r="H80" s="353">
        <f>ROUND(H51*H52/(4*H70^3)*(H71+1/H71),6)</f>
        <v>6.96E-4</v>
      </c>
      <c r="I80" s="809" t="s">
        <v>810</v>
      </c>
      <c r="J80" s="326"/>
      <c r="K80" s="354"/>
      <c r="L80" s="326"/>
      <c r="M80" s="326"/>
    </row>
    <row r="81" spans="1:12" ht="15" x14ac:dyDescent="0.25">
      <c r="A81" s="447"/>
      <c r="B81" s="328" t="s">
        <v>811</v>
      </c>
      <c r="C81" s="338"/>
      <c r="D81" s="338"/>
      <c r="E81" s="338"/>
      <c r="F81" s="326"/>
      <c r="G81" s="1231" t="s">
        <v>812</v>
      </c>
      <c r="H81" s="1231"/>
      <c r="I81" s="810" t="s">
        <v>802</v>
      </c>
      <c r="J81" s="326"/>
      <c r="K81" s="339"/>
      <c r="L81" s="326"/>
    </row>
    <row r="82" spans="1:12" ht="15" x14ac:dyDescent="0.25">
      <c r="A82" s="807" t="s">
        <v>813</v>
      </c>
      <c r="B82" s="339"/>
      <c r="C82" s="338"/>
      <c r="D82" s="338"/>
      <c r="E82" s="338"/>
      <c r="F82" s="326"/>
      <c r="G82" s="801"/>
      <c r="H82" s="801"/>
      <c r="I82" s="810"/>
      <c r="J82" s="326"/>
      <c r="K82" s="326"/>
      <c r="L82" s="326"/>
    </row>
    <row r="83" spans="1:12" ht="15" x14ac:dyDescent="0.25">
      <c r="A83" s="796"/>
      <c r="B83" s="331" t="s">
        <v>814</v>
      </c>
      <c r="C83" s="331"/>
      <c r="D83" s="331"/>
      <c r="E83" s="338"/>
      <c r="F83" s="338" t="s">
        <v>815</v>
      </c>
      <c r="G83" s="773" t="s">
        <v>442</v>
      </c>
      <c r="H83" s="331">
        <f>ROUND(H52/(2*H70^2*H71*H54),6)</f>
        <v>1.606E-3</v>
      </c>
      <c r="I83" s="903" t="s">
        <v>810</v>
      </c>
      <c r="J83" s="326"/>
      <c r="K83" s="354"/>
      <c r="L83" s="326"/>
    </row>
    <row r="84" spans="1:12" ht="15" x14ac:dyDescent="0.25">
      <c r="A84" s="447"/>
      <c r="B84" s="328" t="s">
        <v>816</v>
      </c>
      <c r="C84" s="338"/>
      <c r="D84" s="338"/>
      <c r="E84" s="338"/>
      <c r="F84" s="326"/>
      <c r="G84" s="1231" t="s">
        <v>817</v>
      </c>
      <c r="H84" s="1231"/>
      <c r="I84" s="820" t="s">
        <v>818</v>
      </c>
      <c r="J84" s="326"/>
      <c r="K84" s="339"/>
      <c r="L84" s="326"/>
    </row>
    <row r="85" spans="1:12" ht="15" x14ac:dyDescent="0.25">
      <c r="A85" s="807" t="s">
        <v>819</v>
      </c>
      <c r="B85" s="339"/>
      <c r="C85" s="338"/>
      <c r="D85" s="338"/>
      <c r="E85" s="338"/>
      <c r="F85" s="326"/>
      <c r="G85" s="801"/>
      <c r="H85" s="801"/>
      <c r="I85" s="820"/>
      <c r="J85" s="326"/>
      <c r="K85" s="326"/>
      <c r="L85" s="326"/>
    </row>
    <row r="86" spans="1:12" ht="15" x14ac:dyDescent="0.25">
      <c r="A86" s="796"/>
      <c r="B86" s="331" t="s">
        <v>820</v>
      </c>
      <c r="C86" s="326"/>
      <c r="D86" s="326"/>
      <c r="E86" s="326"/>
      <c r="F86" s="338" t="s">
        <v>815</v>
      </c>
      <c r="G86" s="773" t="s">
        <v>442</v>
      </c>
      <c r="H86" s="331">
        <f>ROUND(H52/(H70*H51*H71*H54^2),4)</f>
        <v>6.8999999999999999E-3</v>
      </c>
      <c r="I86" s="809" t="s">
        <v>810</v>
      </c>
      <c r="J86" s="326"/>
      <c r="K86" s="344"/>
      <c r="L86" s="326"/>
    </row>
    <row r="87" spans="1:12" ht="15" x14ac:dyDescent="0.25">
      <c r="A87" s="447"/>
      <c r="B87" s="328" t="s">
        <v>821</v>
      </c>
      <c r="C87" s="338"/>
      <c r="D87" s="338"/>
      <c r="E87" s="338"/>
      <c r="F87" s="326"/>
      <c r="G87" s="1231" t="s">
        <v>822</v>
      </c>
      <c r="H87" s="1231"/>
      <c r="I87" s="820" t="s">
        <v>823</v>
      </c>
      <c r="J87" s="326"/>
      <c r="K87" s="339"/>
      <c r="L87" s="326"/>
    </row>
    <row r="88" spans="1:12" ht="15" x14ac:dyDescent="0.25">
      <c r="A88" s="807" t="s">
        <v>824</v>
      </c>
      <c r="B88" s="339"/>
      <c r="C88" s="338"/>
      <c r="D88" s="338"/>
      <c r="E88" s="338"/>
      <c r="F88" s="326"/>
      <c r="G88" s="801"/>
      <c r="H88" s="801"/>
      <c r="I88" s="820"/>
      <c r="J88" s="326"/>
      <c r="K88" s="326"/>
      <c r="L88" s="326"/>
    </row>
    <row r="89" spans="1:12" ht="15" x14ac:dyDescent="0.25">
      <c r="A89" s="796"/>
      <c r="B89" s="328" t="s">
        <v>825</v>
      </c>
      <c r="C89" s="331"/>
      <c r="D89" s="331"/>
      <c r="E89" s="331"/>
      <c r="F89" s="338" t="s">
        <v>826</v>
      </c>
      <c r="G89" s="773" t="s">
        <v>442</v>
      </c>
      <c r="H89" s="331">
        <f>ROUND(H52/(2*H70^2*H71*H54),5)</f>
        <v>1.6100000000000001E-3</v>
      </c>
      <c r="I89" s="809" t="s">
        <v>810</v>
      </c>
      <c r="J89" s="326"/>
      <c r="K89" s="354"/>
      <c r="L89" s="326"/>
    </row>
    <row r="90" spans="1:12" ht="15" x14ac:dyDescent="0.25">
      <c r="A90" s="796"/>
      <c r="B90" s="328" t="s">
        <v>816</v>
      </c>
      <c r="C90" s="326"/>
      <c r="D90" s="326"/>
      <c r="E90" s="326"/>
      <c r="F90" s="326"/>
      <c r="G90" s="1231" t="s">
        <v>827</v>
      </c>
      <c r="H90" s="1231"/>
      <c r="I90" s="810" t="s">
        <v>802</v>
      </c>
      <c r="J90" s="326"/>
      <c r="K90" s="328"/>
      <c r="L90" s="326"/>
    </row>
    <row r="91" spans="1:12" ht="15" x14ac:dyDescent="0.25">
      <c r="A91" s="447"/>
      <c r="B91" s="338"/>
      <c r="C91" s="338"/>
      <c r="D91" s="338"/>
      <c r="E91" s="338"/>
      <c r="F91" s="326"/>
      <c r="G91" s="338"/>
      <c r="H91" s="338"/>
      <c r="I91" s="774"/>
      <c r="J91" s="326"/>
      <c r="K91" s="326"/>
      <c r="L91" s="326"/>
    </row>
    <row r="92" spans="1:12" ht="15" x14ac:dyDescent="0.25">
      <c r="A92" s="771" t="s">
        <v>828</v>
      </c>
      <c r="B92" s="331"/>
      <c r="C92" s="338"/>
      <c r="D92" s="338"/>
      <c r="E92" s="338"/>
      <c r="F92" s="326"/>
      <c r="G92" s="338"/>
      <c r="H92" s="338"/>
      <c r="I92" s="774"/>
      <c r="J92" s="326"/>
      <c r="K92" s="326"/>
      <c r="L92" s="326"/>
    </row>
    <row r="93" spans="1:12" ht="15" x14ac:dyDescent="0.25">
      <c r="A93" s="807" t="s">
        <v>829</v>
      </c>
      <c r="B93" s="331"/>
      <c r="C93" s="338"/>
      <c r="D93" s="338"/>
      <c r="E93" s="338"/>
      <c r="F93" s="326"/>
      <c r="G93" s="338"/>
      <c r="H93" s="338"/>
      <c r="I93" s="774"/>
      <c r="J93" s="326"/>
      <c r="K93" s="326"/>
      <c r="L93" s="326"/>
    </row>
    <row r="94" spans="1:12" ht="15" x14ac:dyDescent="0.25">
      <c r="A94" s="796"/>
      <c r="B94" s="328" t="s">
        <v>830</v>
      </c>
      <c r="C94" s="326"/>
      <c r="D94" s="326"/>
      <c r="E94" s="326"/>
      <c r="F94" s="338" t="s">
        <v>22</v>
      </c>
      <c r="G94" s="773" t="s">
        <v>442</v>
      </c>
      <c r="H94" s="331">
        <f>ROUND(H60*H61/H62^2,5)</f>
        <v>4.3499999999999997E-3</v>
      </c>
      <c r="I94" s="809" t="s">
        <v>810</v>
      </c>
      <c r="J94" s="326"/>
      <c r="K94" s="326"/>
      <c r="L94" s="344"/>
    </row>
    <row r="95" spans="1:12" ht="15" x14ac:dyDescent="0.25">
      <c r="A95" s="447"/>
      <c r="B95" s="328" t="s">
        <v>831</v>
      </c>
      <c r="C95" s="338"/>
      <c r="D95" s="338"/>
      <c r="E95" s="338"/>
      <c r="F95" s="326"/>
      <c r="G95" s="773"/>
      <c r="H95" s="338" t="s">
        <v>832</v>
      </c>
      <c r="I95" s="820" t="s">
        <v>833</v>
      </c>
      <c r="J95" s="326"/>
      <c r="K95" s="326"/>
      <c r="L95" s="339"/>
    </row>
    <row r="96" spans="1:12" ht="15" x14ac:dyDescent="0.25">
      <c r="A96" s="807" t="s">
        <v>834</v>
      </c>
      <c r="B96" s="339"/>
      <c r="C96" s="338"/>
      <c r="D96" s="338"/>
      <c r="E96" s="338"/>
      <c r="F96" s="326"/>
      <c r="G96" s="773"/>
      <c r="H96" s="338"/>
      <c r="I96" s="820"/>
      <c r="J96" s="326"/>
      <c r="K96" s="326"/>
      <c r="L96" s="326"/>
    </row>
    <row r="97" spans="1:14" ht="15" x14ac:dyDescent="0.25">
      <c r="A97" s="796"/>
      <c r="B97" s="328" t="s">
        <v>835</v>
      </c>
      <c r="C97" s="331"/>
      <c r="D97" s="331"/>
      <c r="E97" s="331"/>
      <c r="F97" s="338" t="s">
        <v>110</v>
      </c>
      <c r="G97" s="773" t="s">
        <v>442</v>
      </c>
      <c r="H97" s="331">
        <f>ROUND(H60*H61^3/(12*H62^2),6)</f>
        <v>3.3000000000000003E-5</v>
      </c>
      <c r="I97" s="809" t="s">
        <v>810</v>
      </c>
      <c r="J97" s="326"/>
      <c r="K97" s="326"/>
      <c r="L97" s="354"/>
      <c r="M97" s="326"/>
      <c r="N97" s="326"/>
    </row>
    <row r="98" spans="1:14" ht="15" x14ac:dyDescent="0.25">
      <c r="A98" s="796"/>
      <c r="B98" s="328" t="s">
        <v>836</v>
      </c>
      <c r="C98" s="326"/>
      <c r="D98" s="326"/>
      <c r="E98" s="326"/>
      <c r="F98" s="326"/>
      <c r="G98" s="326"/>
      <c r="H98" s="338" t="s">
        <v>837</v>
      </c>
      <c r="I98" s="810" t="s">
        <v>802</v>
      </c>
      <c r="J98" s="326"/>
      <c r="K98" s="326"/>
      <c r="L98" s="328"/>
      <c r="M98" s="326"/>
      <c r="N98" s="326"/>
    </row>
    <row r="99" spans="1:14" ht="15" x14ac:dyDescent="0.25">
      <c r="A99" s="447"/>
      <c r="B99" s="338"/>
      <c r="C99" s="338"/>
      <c r="D99" s="338"/>
      <c r="E99" s="338"/>
      <c r="F99" s="326"/>
      <c r="G99" s="338"/>
      <c r="H99" s="338"/>
      <c r="I99" s="774"/>
      <c r="J99" s="326"/>
      <c r="K99" s="326"/>
      <c r="L99" s="326"/>
      <c r="M99" s="326"/>
      <c r="N99" s="326"/>
    </row>
    <row r="100" spans="1:14" ht="15" x14ac:dyDescent="0.25">
      <c r="A100" s="771" t="s">
        <v>838</v>
      </c>
      <c r="B100" s="331"/>
      <c r="C100" s="331"/>
      <c r="D100" s="331"/>
      <c r="E100" s="338"/>
      <c r="F100" s="326"/>
      <c r="G100" s="338"/>
      <c r="H100" s="338"/>
      <c r="I100" s="774"/>
      <c r="J100" s="326"/>
      <c r="K100" s="326"/>
      <c r="L100" s="326"/>
      <c r="M100" s="326"/>
      <c r="N100" s="326"/>
    </row>
    <row r="101" spans="1:14" ht="15" x14ac:dyDescent="0.25">
      <c r="A101" s="771"/>
      <c r="B101" s="331"/>
      <c r="C101" s="331"/>
      <c r="D101" s="331"/>
      <c r="E101" s="338"/>
      <c r="F101" s="326"/>
      <c r="G101" s="338"/>
      <c r="H101" s="338"/>
      <c r="I101" s="774"/>
      <c r="J101" s="326"/>
      <c r="K101" s="326"/>
      <c r="L101" s="326"/>
      <c r="M101" s="326"/>
      <c r="N101" s="326"/>
    </row>
    <row r="102" spans="1:14" ht="15" x14ac:dyDescent="0.25">
      <c r="A102" s="807" t="s">
        <v>839</v>
      </c>
      <c r="B102" s="331"/>
      <c r="C102" s="331"/>
      <c r="D102" s="331"/>
      <c r="E102" s="338"/>
      <c r="F102" s="326"/>
      <c r="G102" s="338"/>
      <c r="H102" s="338"/>
      <c r="I102" s="774"/>
      <c r="J102" s="326"/>
      <c r="K102" s="326"/>
      <c r="L102" s="326"/>
      <c r="M102" s="326"/>
      <c r="N102" s="326"/>
    </row>
    <row r="103" spans="1:14" ht="15" x14ac:dyDescent="0.25">
      <c r="A103" s="796"/>
      <c r="B103" s="328" t="s">
        <v>1052</v>
      </c>
      <c r="C103" s="326"/>
      <c r="D103" s="328" t="str">
        <f>CONCATENATE("=",H58,"*","(",H66,"",,")","*",H64,"/",2)</f>
        <v>=10000*(4)*9.3/2</v>
      </c>
      <c r="E103" s="326"/>
      <c r="F103" s="338" t="s">
        <v>384</v>
      </c>
      <c r="G103" s="773" t="s">
        <v>442</v>
      </c>
      <c r="H103" s="904">
        <f>ROUND(H58*(H66)*H202/2,3)</f>
        <v>186000</v>
      </c>
      <c r="I103" s="809" t="s">
        <v>832</v>
      </c>
      <c r="J103" s="326"/>
      <c r="K103" s="326"/>
      <c r="L103" s="340"/>
      <c r="M103" s="326"/>
      <c r="N103" s="326"/>
    </row>
    <row r="104" spans="1:14" ht="15" x14ac:dyDescent="0.25">
      <c r="A104" s="851" t="s">
        <v>57</v>
      </c>
      <c r="B104" s="328" t="s">
        <v>840</v>
      </c>
      <c r="C104" s="326"/>
      <c r="D104" s="328" t="str">
        <f>CONCATENATE("(",12,"/","(",H64,"^",2,"*",H65,"^",2,")",")","^",0.25)</f>
        <v>(12/(9.3^2*0.2^2))^0.25</v>
      </c>
      <c r="E104" s="326"/>
      <c r="F104" s="857" t="s">
        <v>57</v>
      </c>
      <c r="G104" s="773" t="s">
        <v>442</v>
      </c>
      <c r="H104" s="331">
        <f>ROUND((12/(H64^2*H65^2))^0.25,3)</f>
        <v>1.365</v>
      </c>
      <c r="I104" s="774"/>
      <c r="J104" s="326"/>
      <c r="K104" s="326"/>
      <c r="L104" s="351"/>
      <c r="M104" s="326"/>
      <c r="N104" s="326"/>
    </row>
    <row r="105" spans="1:14" ht="15" x14ac:dyDescent="0.25">
      <c r="A105" s="447" t="s">
        <v>351</v>
      </c>
      <c r="B105" s="331" t="s">
        <v>841</v>
      </c>
      <c r="C105" s="326"/>
      <c r="D105" s="328" t="str">
        <f>CONCATENATE("=","E","*",H65,"^",3,"/",12)</f>
        <v>=E*0.2^3/12</v>
      </c>
      <c r="E105" s="338"/>
      <c r="F105" s="338" t="s">
        <v>351</v>
      </c>
      <c r="G105" s="773" t="s">
        <v>442</v>
      </c>
      <c r="H105" s="353">
        <f>ROUND((H65^3/12),7)</f>
        <v>6.667E-4</v>
      </c>
      <c r="I105" s="809" t="s">
        <v>810</v>
      </c>
      <c r="J105" s="326"/>
      <c r="K105" s="326"/>
      <c r="L105" s="328"/>
      <c r="M105" s="326"/>
      <c r="N105" s="334"/>
    </row>
    <row r="106" spans="1:14" ht="15" x14ac:dyDescent="0.25">
      <c r="A106" s="807" t="s">
        <v>808</v>
      </c>
      <c r="B106" s="326"/>
      <c r="C106" s="326"/>
      <c r="D106" s="339"/>
      <c r="E106" s="338"/>
      <c r="F106" s="326"/>
      <c r="G106" s="773"/>
      <c r="H106" s="354"/>
      <c r="I106" s="774"/>
      <c r="J106" s="326"/>
      <c r="K106" s="326"/>
      <c r="L106" s="339"/>
      <c r="M106" s="326"/>
      <c r="N106" s="354"/>
    </row>
    <row r="107" spans="1:14" ht="15" x14ac:dyDescent="0.25">
      <c r="A107" s="796"/>
      <c r="B107" s="331" t="s">
        <v>842</v>
      </c>
      <c r="C107" s="338"/>
      <c r="D107" s="338"/>
      <c r="E107" s="338"/>
      <c r="F107" s="338" t="s">
        <v>110</v>
      </c>
      <c r="G107" s="773" t="s">
        <v>442</v>
      </c>
      <c r="H107" s="331">
        <f>ROUND(2*H104*H105,5)</f>
        <v>1.82E-3</v>
      </c>
      <c r="I107" s="809" t="s">
        <v>810</v>
      </c>
      <c r="J107" s="326"/>
      <c r="K107" s="326"/>
      <c r="L107" s="326"/>
      <c r="M107" s="326"/>
      <c r="N107" s="326"/>
    </row>
    <row r="108" spans="1:14" ht="15" x14ac:dyDescent="0.25">
      <c r="A108" s="852"/>
      <c r="B108" s="383" t="str">
        <f>CONCATENATE("=",2,"*",H104,"*",H105,"*","E")</f>
        <v>=2*1.365*0.0006667*E</v>
      </c>
      <c r="C108" s="842"/>
      <c r="D108" s="842"/>
      <c r="E108" s="842"/>
      <c r="F108" s="842"/>
      <c r="G108" s="842"/>
      <c r="H108" s="814" t="s">
        <v>837</v>
      </c>
      <c r="I108" s="905" t="s">
        <v>802</v>
      </c>
      <c r="J108" s="326"/>
      <c r="K108" s="326"/>
      <c r="L108" s="328"/>
      <c r="M108" s="326"/>
      <c r="N108" s="326"/>
    </row>
    <row r="109" spans="1:14" ht="15" x14ac:dyDescent="0.25">
      <c r="A109" s="816" t="s">
        <v>843</v>
      </c>
      <c r="B109" s="817"/>
      <c r="C109" s="818"/>
      <c r="D109" s="818"/>
      <c r="E109" s="818"/>
      <c r="F109" s="818"/>
      <c r="G109" s="818"/>
      <c r="H109" s="410"/>
      <c r="I109" s="819"/>
      <c r="J109" s="326"/>
      <c r="K109" s="326"/>
      <c r="L109" s="354"/>
      <c r="M109" s="326"/>
      <c r="N109" s="326"/>
    </row>
    <row r="110" spans="1:14" ht="15" x14ac:dyDescent="0.25">
      <c r="A110" s="796"/>
      <c r="B110" s="331" t="s">
        <v>844</v>
      </c>
      <c r="C110" s="331"/>
      <c r="D110" s="338"/>
      <c r="E110" s="338"/>
      <c r="F110" s="338" t="s">
        <v>815</v>
      </c>
      <c r="G110" s="773" t="s">
        <v>442</v>
      </c>
      <c r="H110" s="331">
        <f>ROUND(2*H104^2*H105,5)</f>
        <v>2.48E-3</v>
      </c>
      <c r="I110" s="809" t="s">
        <v>810</v>
      </c>
      <c r="J110" s="326"/>
      <c r="K110" s="326"/>
      <c r="L110" s="354"/>
      <c r="M110" s="326"/>
      <c r="N110" s="326"/>
    </row>
    <row r="111" spans="1:14" ht="15" x14ac:dyDescent="0.25">
      <c r="A111" s="447"/>
      <c r="B111" s="331" t="str">
        <f>CONCATENATE("=",2,"*",H104,"^",2,"*",H105,"")</f>
        <v>=2*1.365^2*0.0006667</v>
      </c>
      <c r="C111" s="338"/>
      <c r="D111" s="338"/>
      <c r="E111" s="338"/>
      <c r="F111" s="326"/>
      <c r="G111" s="338"/>
      <c r="H111" s="801" t="s">
        <v>817</v>
      </c>
      <c r="I111" s="820" t="s">
        <v>833</v>
      </c>
      <c r="J111" s="326"/>
      <c r="K111" s="326"/>
      <c r="L111" s="339"/>
      <c r="M111" s="326"/>
      <c r="N111" s="326"/>
    </row>
    <row r="112" spans="1:14" ht="15" x14ac:dyDescent="0.25">
      <c r="A112" s="807" t="s">
        <v>819</v>
      </c>
      <c r="B112" s="339"/>
      <c r="C112" s="338"/>
      <c r="D112" s="338"/>
      <c r="E112" s="338"/>
      <c r="F112" s="326"/>
      <c r="G112" s="338"/>
      <c r="H112" s="801"/>
      <c r="I112" s="820"/>
      <c r="J112" s="326"/>
      <c r="K112" s="326"/>
      <c r="L112" s="326"/>
      <c r="M112" s="326"/>
      <c r="N112" s="326"/>
    </row>
    <row r="113" spans="1:12" ht="15" x14ac:dyDescent="0.25">
      <c r="A113" s="796"/>
      <c r="B113" s="331" t="s">
        <v>845</v>
      </c>
      <c r="C113" s="326"/>
      <c r="D113" s="326"/>
      <c r="E113" s="326"/>
      <c r="F113" s="338" t="s">
        <v>22</v>
      </c>
      <c r="G113" s="773" t="s">
        <v>442</v>
      </c>
      <c r="H113" s="331">
        <f>ROUND(4*H104^3*H105,4)</f>
        <v>6.7999999999999996E-3</v>
      </c>
      <c r="I113" s="809" t="s">
        <v>810</v>
      </c>
      <c r="J113" s="326"/>
      <c r="K113" s="344"/>
      <c r="L113" s="326"/>
    </row>
    <row r="114" spans="1:12" ht="15" x14ac:dyDescent="0.25">
      <c r="A114" s="447"/>
      <c r="B114" s="328" t="str">
        <f>CONCATENATE(4,"*",H104,"^",3,"*",H105)</f>
        <v>4*1.365^3*0.0006667</v>
      </c>
      <c r="C114" s="338"/>
      <c r="D114" s="338"/>
      <c r="E114" s="338"/>
      <c r="F114" s="326"/>
      <c r="G114" s="338"/>
      <c r="H114" s="338" t="s">
        <v>832</v>
      </c>
      <c r="I114" s="820" t="s">
        <v>818</v>
      </c>
      <c r="J114" s="326"/>
      <c r="K114" s="326"/>
      <c r="L114" s="339"/>
    </row>
    <row r="115" spans="1:12" ht="15" x14ac:dyDescent="0.25">
      <c r="A115" s="807" t="s">
        <v>846</v>
      </c>
      <c r="B115" s="339"/>
      <c r="C115" s="338"/>
      <c r="D115" s="338"/>
      <c r="E115" s="338"/>
      <c r="F115" s="326"/>
      <c r="G115" s="338"/>
      <c r="H115" s="338"/>
      <c r="I115" s="820"/>
      <c r="J115" s="326"/>
      <c r="K115" s="326"/>
      <c r="L115" s="326"/>
    </row>
    <row r="116" spans="1:12" ht="15" x14ac:dyDescent="0.25">
      <c r="A116" s="796"/>
      <c r="B116" s="331" t="s">
        <v>844</v>
      </c>
      <c r="C116" s="331"/>
      <c r="D116" s="331"/>
      <c r="E116" s="331"/>
      <c r="F116" s="338" t="s">
        <v>826</v>
      </c>
      <c r="G116" s="773" t="s">
        <v>442</v>
      </c>
      <c r="H116" s="821">
        <f>ROUND((2*H104^2*H105),5)</f>
        <v>2.48E-3</v>
      </c>
      <c r="I116" s="809" t="s">
        <v>810</v>
      </c>
      <c r="J116" s="326"/>
      <c r="K116" s="326"/>
      <c r="L116" s="354"/>
    </row>
    <row r="117" spans="1:12" ht="15" x14ac:dyDescent="0.25">
      <c r="A117" s="796"/>
      <c r="B117" s="331" t="str">
        <f>CONCATENATE("=",2,"*",H104,"^",2,"*",H105)</f>
        <v>=2*1.365^2*0.0006667</v>
      </c>
      <c r="C117" s="326"/>
      <c r="D117" s="326"/>
      <c r="E117" s="326"/>
      <c r="F117" s="326"/>
      <c r="G117" s="326"/>
      <c r="H117" s="822" t="s">
        <v>847</v>
      </c>
      <c r="I117" s="810" t="s">
        <v>848</v>
      </c>
      <c r="J117" s="326"/>
      <c r="K117" s="326"/>
      <c r="L117" s="328"/>
    </row>
    <row r="118" spans="1:12" ht="15" x14ac:dyDescent="0.25">
      <c r="A118" s="807" t="s">
        <v>849</v>
      </c>
      <c r="B118" s="328"/>
      <c r="C118" s="326"/>
      <c r="D118" s="326"/>
      <c r="E118" s="326"/>
      <c r="F118" s="326"/>
      <c r="G118" s="326"/>
      <c r="H118" s="822"/>
      <c r="I118" s="810"/>
      <c r="J118" s="326"/>
      <c r="K118" s="326"/>
      <c r="L118" s="326"/>
    </row>
    <row r="119" spans="1:12" ht="15" x14ac:dyDescent="0.25">
      <c r="A119" s="796"/>
      <c r="B119" s="331" t="s">
        <v>850</v>
      </c>
      <c r="C119" s="331"/>
      <c r="D119" s="331"/>
      <c r="E119" s="331"/>
      <c r="F119" s="331"/>
      <c r="G119" s="773" t="s">
        <v>442</v>
      </c>
      <c r="H119" s="327">
        <f>(H103*H64/2)/(H65)</f>
        <v>4324499.9999999991</v>
      </c>
      <c r="I119" s="823" t="s">
        <v>799</v>
      </c>
      <c r="J119" s="326"/>
      <c r="K119" s="326"/>
      <c r="L119" s="326"/>
    </row>
    <row r="120" spans="1:12" ht="15" x14ac:dyDescent="0.25">
      <c r="A120" s="824"/>
      <c r="B120" s="328" t="str">
        <f>CONCATENATE("(",H103,"*","*",H64,"/",2,")","/","(",H65,"*","E",")")</f>
        <v>(186000**9.3/2)/(0.2*E)</v>
      </c>
      <c r="C120" s="329"/>
      <c r="D120" s="329"/>
      <c r="E120" s="329"/>
      <c r="F120" s="329"/>
      <c r="G120" s="773"/>
      <c r="H120" s="327" t="s">
        <v>74</v>
      </c>
      <c r="I120" s="820" t="s">
        <v>833</v>
      </c>
      <c r="J120" s="326"/>
      <c r="K120" s="326"/>
      <c r="L120" s="339"/>
    </row>
    <row r="121" spans="1:12" ht="15" x14ac:dyDescent="0.25">
      <c r="A121" s="807" t="s">
        <v>851</v>
      </c>
      <c r="B121" s="339"/>
      <c r="C121" s="329"/>
      <c r="D121" s="329"/>
      <c r="E121" s="329"/>
      <c r="F121" s="329"/>
      <c r="G121" s="773"/>
      <c r="H121" s="327"/>
      <c r="I121" s="820"/>
      <c r="J121" s="326"/>
      <c r="K121" s="326"/>
      <c r="L121" s="326"/>
    </row>
    <row r="122" spans="1:12" ht="15" x14ac:dyDescent="0.25">
      <c r="A122" s="796"/>
      <c r="B122" s="825" t="s">
        <v>852</v>
      </c>
      <c r="C122" s="331"/>
      <c r="D122" s="338"/>
      <c r="E122" s="338"/>
      <c r="F122" s="326"/>
      <c r="G122" s="773" t="s">
        <v>442</v>
      </c>
      <c r="H122" s="327">
        <f>H119/1/H66</f>
        <v>1081124.9999999998</v>
      </c>
      <c r="I122" s="823" t="s">
        <v>799</v>
      </c>
      <c r="J122" s="326"/>
      <c r="K122" s="326"/>
      <c r="L122" s="326"/>
    </row>
    <row r="123" spans="1:12" ht="15" x14ac:dyDescent="0.25">
      <c r="A123" s="796"/>
      <c r="B123" s="331" t="str">
        <f>CONCATENATE(H119,"/","E","*",1,"/",H66)</f>
        <v>4324500/E*1/4</v>
      </c>
      <c r="C123" s="326"/>
      <c r="D123" s="326"/>
      <c r="E123" s="326"/>
      <c r="F123" s="326"/>
      <c r="G123" s="326"/>
      <c r="H123" s="822" t="s">
        <v>801</v>
      </c>
      <c r="I123" s="810" t="s">
        <v>802</v>
      </c>
      <c r="J123" s="326"/>
      <c r="K123" s="326"/>
      <c r="L123" s="328"/>
    </row>
    <row r="124" spans="1:12" ht="15" x14ac:dyDescent="0.25">
      <c r="A124" s="796"/>
      <c r="B124" s="326"/>
      <c r="C124" s="326"/>
      <c r="D124" s="326"/>
      <c r="E124" s="326"/>
      <c r="F124" s="326"/>
      <c r="G124" s="326"/>
      <c r="H124" s="826"/>
      <c r="I124" s="827"/>
      <c r="J124" s="326"/>
      <c r="K124" s="326"/>
      <c r="L124" s="326"/>
    </row>
    <row r="125" spans="1:12" ht="15" x14ac:dyDescent="0.25">
      <c r="A125" s="807" t="s">
        <v>853</v>
      </c>
      <c r="B125" s="326"/>
      <c r="C125" s="326"/>
      <c r="D125" s="326"/>
      <c r="E125" s="326"/>
      <c r="F125" s="326"/>
      <c r="G125" s="326"/>
      <c r="H125" s="826"/>
      <c r="I125" s="827"/>
      <c r="J125" s="326"/>
      <c r="K125" s="326"/>
      <c r="L125" s="326"/>
    </row>
    <row r="126" spans="1:12" ht="15" x14ac:dyDescent="0.2">
      <c r="A126" s="355" t="s">
        <v>854</v>
      </c>
      <c r="B126" s="1240" t="s">
        <v>855</v>
      </c>
      <c r="C126" s="1240"/>
      <c r="D126" s="1240" t="s">
        <v>248</v>
      </c>
      <c r="E126" s="1240"/>
      <c r="F126" s="1240" t="s">
        <v>856</v>
      </c>
      <c r="G126" s="1240"/>
      <c r="H126" s="1240" t="s">
        <v>857</v>
      </c>
      <c r="I126" s="1240"/>
      <c r="J126" s="356"/>
      <c r="K126" s="356"/>
      <c r="L126" s="356"/>
    </row>
    <row r="127" spans="1:12" ht="15" x14ac:dyDescent="0.25">
      <c r="A127" s="357" t="s">
        <v>858</v>
      </c>
      <c r="B127" s="1250" t="s">
        <v>859</v>
      </c>
      <c r="C127" s="1250"/>
      <c r="D127" s="358">
        <f>H74</f>
        <v>288907.86410000001</v>
      </c>
      <c r="E127" s="359" t="s">
        <v>799</v>
      </c>
      <c r="F127" s="358"/>
      <c r="G127" s="360"/>
      <c r="H127" s="361">
        <f>H122</f>
        <v>1081124.9999999998</v>
      </c>
      <c r="I127" s="359" t="s">
        <v>799</v>
      </c>
      <c r="J127" s="326"/>
      <c r="K127" s="326"/>
      <c r="L127" s="326"/>
    </row>
    <row r="128" spans="1:12" ht="15" x14ac:dyDescent="0.25">
      <c r="A128" s="357" t="s">
        <v>860</v>
      </c>
      <c r="B128" s="1250" t="s">
        <v>74</v>
      </c>
      <c r="C128" s="1250"/>
      <c r="D128" s="361">
        <f>H77</f>
        <v>-291332.033</v>
      </c>
      <c r="E128" s="359" t="s">
        <v>799</v>
      </c>
      <c r="F128" s="358"/>
      <c r="G128" s="360"/>
      <c r="H128" s="361"/>
      <c r="I128" s="359"/>
      <c r="J128" s="326"/>
      <c r="K128" s="326"/>
      <c r="L128" s="326"/>
    </row>
    <row r="129" spans="1:14" ht="24.75" x14ac:dyDescent="0.25">
      <c r="A129" s="357" t="s">
        <v>808</v>
      </c>
      <c r="B129" s="1250" t="s">
        <v>861</v>
      </c>
      <c r="C129" s="1250"/>
      <c r="D129" s="362">
        <f>H80</f>
        <v>6.96E-4</v>
      </c>
      <c r="E129" s="360" t="s">
        <v>810</v>
      </c>
      <c r="F129" s="363">
        <f>H97</f>
        <v>3.3000000000000003E-5</v>
      </c>
      <c r="G129" s="360" t="s">
        <v>810</v>
      </c>
      <c r="H129" s="363">
        <f>H107</f>
        <v>1.82E-3</v>
      </c>
      <c r="I129" s="360" t="s">
        <v>810</v>
      </c>
      <c r="J129" s="326"/>
      <c r="K129" s="326"/>
      <c r="L129" s="326"/>
      <c r="M129" s="326"/>
      <c r="N129" s="326"/>
    </row>
    <row r="130" spans="1:14" ht="36.75" x14ac:dyDescent="0.25">
      <c r="A130" s="357" t="s">
        <v>813</v>
      </c>
      <c r="B130" s="1250" t="s">
        <v>817</v>
      </c>
      <c r="C130" s="1250"/>
      <c r="D130" s="362">
        <f>H83</f>
        <v>1.606E-3</v>
      </c>
      <c r="E130" s="360" t="s">
        <v>810</v>
      </c>
      <c r="F130" s="358"/>
      <c r="G130" s="360"/>
      <c r="H130" s="363">
        <f>-H110</f>
        <v>-2.48E-3</v>
      </c>
      <c r="I130" s="360" t="s">
        <v>810</v>
      </c>
      <c r="J130" s="326"/>
      <c r="K130" s="326"/>
      <c r="L130" s="326"/>
      <c r="M130" s="326"/>
      <c r="N130" s="326"/>
    </row>
    <row r="131" spans="1:14" ht="24.75" x14ac:dyDescent="0.25">
      <c r="A131" s="357" t="s">
        <v>819</v>
      </c>
      <c r="B131" s="1250" t="s">
        <v>862</v>
      </c>
      <c r="C131" s="1250"/>
      <c r="D131" s="362">
        <f>H86</f>
        <v>6.8999999999999999E-3</v>
      </c>
      <c r="E131" s="360" t="s">
        <v>810</v>
      </c>
      <c r="F131" s="363">
        <f>H94</f>
        <v>4.3499999999999997E-3</v>
      </c>
      <c r="G131" s="360" t="s">
        <v>810</v>
      </c>
      <c r="H131" s="363">
        <f>H113</f>
        <v>6.7999999999999996E-3</v>
      </c>
      <c r="I131" s="360" t="s">
        <v>810</v>
      </c>
      <c r="J131" s="326"/>
      <c r="K131" s="326"/>
      <c r="L131" s="326"/>
      <c r="M131" s="326"/>
      <c r="N131" s="326"/>
    </row>
    <row r="132" spans="1:14" ht="36.75" x14ac:dyDescent="0.25">
      <c r="A132" s="357" t="s">
        <v>863</v>
      </c>
      <c r="B132" s="1250" t="s">
        <v>864</v>
      </c>
      <c r="C132" s="1250"/>
      <c r="D132" s="362">
        <f>H89</f>
        <v>1.6100000000000001E-3</v>
      </c>
      <c r="E132" s="360" t="s">
        <v>810</v>
      </c>
      <c r="F132" s="358"/>
      <c r="G132" s="360"/>
      <c r="H132" s="363">
        <f>-H116</f>
        <v>-2.48E-3</v>
      </c>
      <c r="I132" s="360" t="s">
        <v>810</v>
      </c>
      <c r="J132" s="326"/>
      <c r="K132" s="326"/>
      <c r="L132" s="326"/>
      <c r="M132" s="326"/>
      <c r="N132" s="326"/>
    </row>
    <row r="133" spans="1:14" ht="15" x14ac:dyDescent="0.25">
      <c r="A133" s="447"/>
      <c r="B133" s="338"/>
      <c r="C133" s="338"/>
      <c r="D133" s="338"/>
      <c r="E133" s="338"/>
      <c r="F133" s="326"/>
      <c r="G133" s="338"/>
      <c r="H133" s="338"/>
      <c r="I133" s="774"/>
      <c r="J133" s="326"/>
      <c r="K133" s="326"/>
      <c r="L133" s="326"/>
      <c r="M133" s="326"/>
      <c r="N133" s="326"/>
    </row>
    <row r="134" spans="1:14" ht="15" x14ac:dyDescent="0.25">
      <c r="A134" s="812" t="s">
        <v>865</v>
      </c>
      <c r="B134" s="364"/>
      <c r="C134" s="364"/>
      <c r="D134" s="364"/>
      <c r="E134" s="338"/>
      <c r="F134" s="326"/>
      <c r="G134" s="338"/>
      <c r="H134" s="338"/>
      <c r="I134" s="774"/>
      <c r="J134" s="326"/>
      <c r="K134" s="326"/>
      <c r="L134" s="326"/>
      <c r="M134" s="326"/>
      <c r="N134" s="326"/>
    </row>
    <row r="135" spans="1:14" ht="15" x14ac:dyDescent="0.25">
      <c r="A135" s="365" t="s">
        <v>866</v>
      </c>
      <c r="B135" s="1228" t="s">
        <v>867</v>
      </c>
      <c r="C135" s="1229"/>
      <c r="D135" s="1230"/>
      <c r="E135" s="1228" t="s">
        <v>868</v>
      </c>
      <c r="F135" s="1229"/>
      <c r="G135" s="1230"/>
      <c r="H135" s="326"/>
      <c r="I135" s="774"/>
      <c r="J135" s="326"/>
      <c r="K135" s="326"/>
      <c r="L135" s="326"/>
      <c r="M135" s="326"/>
      <c r="N135" s="326"/>
    </row>
    <row r="136" spans="1:14" ht="15" x14ac:dyDescent="0.25">
      <c r="A136" s="366" t="s">
        <v>248</v>
      </c>
      <c r="B136" s="367" t="s">
        <v>869</v>
      </c>
      <c r="C136" s="368">
        <f>-D127</f>
        <v>-288907.86410000001</v>
      </c>
      <c r="D136" s="368" t="s">
        <v>799</v>
      </c>
      <c r="E136" s="358" t="s">
        <v>870</v>
      </c>
      <c r="F136" s="369">
        <f>D128</f>
        <v>-291332.033</v>
      </c>
      <c r="G136" s="370" t="s">
        <v>799</v>
      </c>
      <c r="H136" s="338"/>
      <c r="I136" s="828"/>
      <c r="J136" s="326"/>
      <c r="K136" s="326"/>
      <c r="L136" s="326"/>
      <c r="M136" s="326"/>
      <c r="N136" s="326"/>
    </row>
    <row r="137" spans="1:14" ht="15" x14ac:dyDescent="0.25">
      <c r="A137" s="371" t="s">
        <v>856</v>
      </c>
      <c r="B137" s="358" t="s">
        <v>869</v>
      </c>
      <c r="C137" s="372"/>
      <c r="D137" s="360"/>
      <c r="E137" s="358" t="s">
        <v>870</v>
      </c>
      <c r="F137" s="326"/>
      <c r="G137" s="360"/>
      <c r="H137" s="338"/>
      <c r="I137" s="774"/>
      <c r="J137" s="326"/>
      <c r="K137" s="326"/>
      <c r="L137" s="326"/>
      <c r="M137" s="326"/>
      <c r="N137" s="326"/>
    </row>
    <row r="138" spans="1:14" ht="15" x14ac:dyDescent="0.25">
      <c r="A138" s="346" t="s">
        <v>871</v>
      </c>
      <c r="B138" s="373" t="s">
        <v>869</v>
      </c>
      <c r="C138" s="369">
        <f>-H127</f>
        <v>-1081124.9999999998</v>
      </c>
      <c r="D138" s="360" t="s">
        <v>799</v>
      </c>
      <c r="E138" s="358" t="s">
        <v>870</v>
      </c>
      <c r="F138" s="369"/>
      <c r="G138" s="360"/>
      <c r="H138" s="326"/>
      <c r="I138" s="774"/>
      <c r="J138" s="326"/>
      <c r="K138" s="326"/>
      <c r="L138" s="326"/>
      <c r="M138" s="326"/>
      <c r="N138" s="326"/>
    </row>
    <row r="139" spans="1:14" ht="15" x14ac:dyDescent="0.25">
      <c r="A139" s="447"/>
      <c r="B139" s="326"/>
      <c r="C139" s="326"/>
      <c r="D139" s="338"/>
      <c r="E139" s="338"/>
      <c r="F139" s="326"/>
      <c r="G139" s="338"/>
      <c r="H139" s="338"/>
      <c r="I139" s="774"/>
      <c r="J139" s="326"/>
      <c r="K139" s="326"/>
      <c r="L139" s="326"/>
      <c r="M139" s="326"/>
      <c r="N139" s="326"/>
    </row>
    <row r="140" spans="1:14" ht="15.75" x14ac:dyDescent="0.25">
      <c r="A140" s="1232" t="s">
        <v>866</v>
      </c>
      <c r="B140" s="1233"/>
      <c r="C140" s="1234"/>
      <c r="D140" s="1235" t="s">
        <v>872</v>
      </c>
      <c r="E140" s="1236"/>
      <c r="F140" s="1236"/>
      <c r="G140" s="1236"/>
      <c r="H140" s="1237"/>
      <c r="I140" s="809"/>
      <c r="J140" s="326"/>
      <c r="K140" s="326"/>
      <c r="L140" s="326"/>
      <c r="M140" s="326"/>
      <c r="N140" s="326"/>
    </row>
    <row r="141" spans="1:14" ht="15" x14ac:dyDescent="0.25">
      <c r="A141" s="1241" t="s">
        <v>873</v>
      </c>
      <c r="B141" s="1244" t="s">
        <v>874</v>
      </c>
      <c r="C141" s="1245"/>
      <c r="D141" s="374" t="s">
        <v>875</v>
      </c>
      <c r="E141" s="368">
        <f>C136</f>
        <v>-288907.86410000001</v>
      </c>
      <c r="F141" s="368" t="s">
        <v>876</v>
      </c>
      <c r="G141" s="375">
        <f>D129</f>
        <v>6.96E-4</v>
      </c>
      <c r="H141" s="376" t="s">
        <v>810</v>
      </c>
      <c r="I141" s="829"/>
      <c r="J141" s="331" t="s">
        <v>877</v>
      </c>
      <c r="K141" s="326"/>
      <c r="L141" s="326"/>
      <c r="M141" s="326"/>
      <c r="N141" s="326"/>
    </row>
    <row r="142" spans="1:14" ht="15" x14ac:dyDescent="0.25">
      <c r="A142" s="1242"/>
      <c r="B142" s="1246"/>
      <c r="C142" s="1247"/>
      <c r="D142" s="377" t="s">
        <v>442</v>
      </c>
      <c r="E142" s="344">
        <f>G141</f>
        <v>6.96E-4</v>
      </c>
      <c r="F142" s="331" t="s">
        <v>878</v>
      </c>
      <c r="G142" s="345">
        <f>E141*G141</f>
        <v>-201.07987341360001</v>
      </c>
      <c r="H142" s="378"/>
      <c r="I142" s="774"/>
      <c r="J142" s="331" t="str">
        <f>CONCATENATE(E141,"*",G141)</f>
        <v>-288907.8641*0.000696</v>
      </c>
      <c r="K142" s="326"/>
      <c r="L142" s="326"/>
      <c r="M142" s="326"/>
      <c r="N142" s="331">
        <f>E141*G141</f>
        <v>-201.07987341360001</v>
      </c>
    </row>
    <row r="143" spans="1:14" ht="15" x14ac:dyDescent="0.25">
      <c r="A143" s="1242"/>
      <c r="B143" s="1244" t="s">
        <v>879</v>
      </c>
      <c r="C143" s="1245"/>
      <c r="D143" s="374" t="s">
        <v>880</v>
      </c>
      <c r="E143" s="341">
        <f>F136</f>
        <v>-291332.033</v>
      </c>
      <c r="F143" s="342" t="s">
        <v>876</v>
      </c>
      <c r="G143" s="343">
        <f>D130</f>
        <v>1.606E-3</v>
      </c>
      <c r="H143" s="376" t="s">
        <v>810</v>
      </c>
      <c r="I143" s="774"/>
      <c r="J143" s="326"/>
      <c r="K143" s="326"/>
      <c r="L143" s="326"/>
      <c r="M143" s="326"/>
      <c r="N143" s="326"/>
    </row>
    <row r="144" spans="1:14" ht="15" x14ac:dyDescent="0.25">
      <c r="A144" s="1243"/>
      <c r="B144" s="1248"/>
      <c r="C144" s="1249"/>
      <c r="D144" s="377" t="s">
        <v>442</v>
      </c>
      <c r="E144" s="344">
        <f>G143</f>
        <v>1.606E-3</v>
      </c>
      <c r="F144" s="331" t="s">
        <v>881</v>
      </c>
      <c r="G144" s="345">
        <f>E143*G143</f>
        <v>-467.87924499799999</v>
      </c>
      <c r="H144" s="378"/>
      <c r="I144" s="774"/>
      <c r="J144" s="326"/>
      <c r="K144" s="326"/>
      <c r="L144" s="326"/>
      <c r="M144" s="326"/>
      <c r="N144" s="326"/>
    </row>
    <row r="145" spans="1:18" ht="15" x14ac:dyDescent="0.25">
      <c r="A145" s="830" t="s">
        <v>327</v>
      </c>
      <c r="B145" s="1263"/>
      <c r="C145" s="1264"/>
      <c r="D145" s="387" t="s">
        <v>869</v>
      </c>
      <c r="E145" s="372"/>
      <c r="F145" s="372" t="s">
        <v>13</v>
      </c>
      <c r="G145" s="831">
        <f>F129</f>
        <v>3.3000000000000003E-5</v>
      </c>
      <c r="H145" s="370" t="s">
        <v>810</v>
      </c>
      <c r="I145" s="815"/>
      <c r="J145" s="380">
        <f>G142*B176</f>
        <v>-51911046.454460755</v>
      </c>
      <c r="K145" s="326"/>
      <c r="L145" s="326"/>
      <c r="M145" s="326"/>
      <c r="N145" s="326"/>
      <c r="O145" s="326"/>
      <c r="P145" s="326"/>
      <c r="Q145" s="326"/>
      <c r="R145" s="326"/>
    </row>
    <row r="146" spans="1:18" ht="15" x14ac:dyDescent="0.25">
      <c r="A146" s="830"/>
      <c r="B146" s="1263"/>
      <c r="C146" s="1264"/>
      <c r="D146" s="832" t="s">
        <v>442</v>
      </c>
      <c r="E146" s="429">
        <f>F129</f>
        <v>3.3000000000000003E-5</v>
      </c>
      <c r="F146" s="372" t="s">
        <v>878</v>
      </c>
      <c r="G146" s="428"/>
      <c r="H146" s="389"/>
      <c r="I146" s="833"/>
      <c r="J146" s="326"/>
      <c r="K146" s="326"/>
      <c r="L146" s="326"/>
      <c r="M146" s="326"/>
      <c r="N146" s="326"/>
      <c r="O146" s="326"/>
      <c r="P146" s="326"/>
      <c r="Q146" s="326"/>
      <c r="R146" s="326"/>
    </row>
    <row r="147" spans="1:18" ht="15" x14ac:dyDescent="0.25">
      <c r="A147" s="1241" t="s">
        <v>882</v>
      </c>
      <c r="B147" s="1248" t="s">
        <v>874</v>
      </c>
      <c r="C147" s="1249"/>
      <c r="D147" s="374" t="s">
        <v>875</v>
      </c>
      <c r="E147" s="341">
        <f>-H127</f>
        <v>-1081124.9999999998</v>
      </c>
      <c r="F147" s="342" t="s">
        <v>876</v>
      </c>
      <c r="G147" s="379">
        <f>H129</f>
        <v>1.82E-3</v>
      </c>
      <c r="H147" s="376" t="s">
        <v>810</v>
      </c>
      <c r="I147" s="774"/>
      <c r="J147" s="326"/>
      <c r="K147" s="326"/>
      <c r="L147" s="326"/>
      <c r="M147" s="326"/>
      <c r="N147" s="326"/>
      <c r="O147" s="326"/>
      <c r="P147" s="326"/>
      <c r="Q147" s="326"/>
      <c r="R147" s="326"/>
    </row>
    <row r="148" spans="1:18" ht="15" x14ac:dyDescent="0.25">
      <c r="A148" s="1242"/>
      <c r="B148" s="1246"/>
      <c r="C148" s="1247"/>
      <c r="D148" s="381" t="s">
        <v>442</v>
      </c>
      <c r="E148" s="386">
        <f>G147</f>
        <v>1.82E-3</v>
      </c>
      <c r="F148" s="383" t="s">
        <v>878</v>
      </c>
      <c r="G148" s="384">
        <f>E147*G147</f>
        <v>-1967.6474999999996</v>
      </c>
      <c r="H148" s="385"/>
      <c r="I148" s="774"/>
      <c r="J148" s="326"/>
      <c r="K148" s="326"/>
      <c r="L148" s="326"/>
      <c r="M148" s="326"/>
      <c r="N148" s="326"/>
      <c r="O148" s="326"/>
      <c r="P148" s="326"/>
      <c r="Q148" s="326"/>
      <c r="R148" s="326"/>
    </row>
    <row r="149" spans="1:18" ht="15" x14ac:dyDescent="0.25">
      <c r="A149" s="1242"/>
      <c r="B149" s="1244" t="s">
        <v>879</v>
      </c>
      <c r="C149" s="1245"/>
      <c r="D149" s="374" t="s">
        <v>870</v>
      </c>
      <c r="E149" s="341"/>
      <c r="F149" s="342" t="s">
        <v>13</v>
      </c>
      <c r="G149" s="379">
        <f>-H116</f>
        <v>-2.48E-3</v>
      </c>
      <c r="H149" s="376" t="s">
        <v>810</v>
      </c>
      <c r="I149" s="774"/>
      <c r="J149" s="326"/>
      <c r="K149" s="326"/>
      <c r="L149" s="326"/>
      <c r="M149" s="326"/>
      <c r="N149" s="326"/>
      <c r="O149" s="326"/>
      <c r="P149" s="326"/>
      <c r="Q149" s="326"/>
      <c r="R149" s="326"/>
    </row>
    <row r="150" spans="1:18" ht="15" x14ac:dyDescent="0.25">
      <c r="A150" s="1243"/>
      <c r="B150" s="1246"/>
      <c r="C150" s="1247"/>
      <c r="D150" s="381" t="s">
        <v>442</v>
      </c>
      <c r="E150" s="382">
        <f>G149</f>
        <v>-2.48E-3</v>
      </c>
      <c r="F150" s="383" t="s">
        <v>881</v>
      </c>
      <c r="G150" s="384"/>
      <c r="H150" s="385"/>
      <c r="I150" s="774"/>
      <c r="J150" s="326"/>
      <c r="K150" s="326"/>
      <c r="L150" s="326"/>
      <c r="M150" s="326"/>
      <c r="N150" s="326"/>
      <c r="O150" s="326"/>
      <c r="P150" s="326"/>
      <c r="Q150" s="326"/>
      <c r="R150" s="326"/>
    </row>
    <row r="151" spans="1:18" ht="15" x14ac:dyDescent="0.25">
      <c r="A151" s="1265" t="s">
        <v>883</v>
      </c>
      <c r="B151" s="1266"/>
      <c r="C151" s="1267"/>
      <c r="D151" s="387"/>
      <c r="E151" s="388">
        <v>0</v>
      </c>
      <c r="F151" s="388"/>
      <c r="G151" s="388">
        <v>0</v>
      </c>
      <c r="H151" s="389"/>
      <c r="I151" s="774"/>
      <c r="J151" s="326"/>
      <c r="K151" s="326"/>
      <c r="L151" s="326"/>
      <c r="M151" s="326"/>
      <c r="N151" s="326"/>
      <c r="O151" s="326"/>
      <c r="P151" s="326"/>
      <c r="Q151" s="326"/>
      <c r="R151" s="326"/>
    </row>
    <row r="152" spans="1:18" ht="15" x14ac:dyDescent="0.25">
      <c r="A152" s="1268" t="s">
        <v>235</v>
      </c>
      <c r="B152" s="1269"/>
      <c r="C152" s="1270"/>
      <c r="D152" s="390">
        <f>E142+E146+E148</f>
        <v>2.5490000000000001E-3</v>
      </c>
      <c r="E152" s="391" t="s">
        <v>878</v>
      </c>
      <c r="F152" s="392">
        <f>E150+E144</f>
        <v>-8.7399999999999999E-4</v>
      </c>
      <c r="G152" s="391" t="s">
        <v>881</v>
      </c>
      <c r="H152" s="393">
        <f>G142+G144+G148</f>
        <v>-2636.6066184115998</v>
      </c>
      <c r="I152" s="774"/>
      <c r="J152" s="326"/>
      <c r="K152" s="326"/>
      <c r="L152" s="326"/>
      <c r="M152" s="326"/>
      <c r="N152" s="326"/>
      <c r="O152" s="326"/>
      <c r="P152" s="326"/>
      <c r="Q152" s="326"/>
      <c r="R152" s="326"/>
    </row>
    <row r="153" spans="1:18" ht="15" x14ac:dyDescent="0.25">
      <c r="A153" s="796"/>
      <c r="B153" s="773"/>
      <c r="C153" s="338"/>
      <c r="D153" s="338"/>
      <c r="E153" s="338"/>
      <c r="F153" s="326"/>
      <c r="G153" s="338"/>
      <c r="H153" s="338"/>
      <c r="I153" s="774"/>
      <c r="J153" s="326"/>
      <c r="K153" s="326"/>
      <c r="L153" s="326"/>
      <c r="M153" s="326"/>
      <c r="N153" s="326"/>
      <c r="O153" s="326"/>
      <c r="P153" s="326"/>
      <c r="Q153" s="326"/>
      <c r="R153" s="326"/>
    </row>
    <row r="154" spans="1:18" ht="15.75" x14ac:dyDescent="0.25">
      <c r="A154" s="1232" t="s">
        <v>866</v>
      </c>
      <c r="B154" s="1233"/>
      <c r="C154" s="1234"/>
      <c r="D154" s="1235" t="s">
        <v>884</v>
      </c>
      <c r="E154" s="1236"/>
      <c r="F154" s="1236"/>
      <c r="G154" s="1236"/>
      <c r="H154" s="1237"/>
      <c r="I154" s="809"/>
      <c r="J154" s="326"/>
      <c r="K154" s="326"/>
      <c r="L154" s="326"/>
      <c r="M154" s="326"/>
      <c r="N154" s="326"/>
      <c r="O154" s="326"/>
      <c r="P154" s="326"/>
      <c r="Q154" s="326"/>
      <c r="R154" s="326"/>
    </row>
    <row r="155" spans="1:18" ht="15" x14ac:dyDescent="0.25">
      <c r="A155" s="1241" t="s">
        <v>873</v>
      </c>
      <c r="B155" s="1244" t="s">
        <v>874</v>
      </c>
      <c r="C155" s="1245"/>
      <c r="D155" s="374" t="s">
        <v>875</v>
      </c>
      <c r="E155" s="368">
        <f>-D127</f>
        <v>-288907.86410000001</v>
      </c>
      <c r="F155" s="368" t="s">
        <v>876</v>
      </c>
      <c r="G155" s="394">
        <f>D132</f>
        <v>1.6100000000000001E-3</v>
      </c>
      <c r="H155" s="376" t="s">
        <v>810</v>
      </c>
      <c r="I155" s="829"/>
      <c r="J155" s="326"/>
      <c r="K155" s="326"/>
      <c r="L155" s="326"/>
      <c r="M155" s="326"/>
      <c r="N155" s="326"/>
      <c r="O155" s="326"/>
      <c r="P155" s="326"/>
      <c r="Q155" s="326"/>
      <c r="R155" s="326"/>
    </row>
    <row r="156" spans="1:18" ht="15" x14ac:dyDescent="0.25">
      <c r="A156" s="1242"/>
      <c r="B156" s="1246"/>
      <c r="C156" s="1247"/>
      <c r="D156" s="377" t="s">
        <v>442</v>
      </c>
      <c r="E156" s="344">
        <f>G155</f>
        <v>1.6100000000000001E-3</v>
      </c>
      <c r="F156" s="331" t="s">
        <v>878</v>
      </c>
      <c r="G156" s="345">
        <f>E155*G155</f>
        <v>-465.14166120100003</v>
      </c>
      <c r="H156" s="378"/>
      <c r="I156" s="774"/>
      <c r="J156" s="326"/>
      <c r="K156" s="395" t="s">
        <v>885</v>
      </c>
      <c r="L156" s="395"/>
      <c r="M156" s="396">
        <f>C168</f>
        <v>2.5490000000000001E-3</v>
      </c>
      <c r="N156" s="347" t="s">
        <v>878</v>
      </c>
      <c r="O156" s="397">
        <f>E168</f>
        <v>-8.7399999999999999E-4</v>
      </c>
      <c r="P156" s="347" t="s">
        <v>881</v>
      </c>
      <c r="Q156" s="352" t="s">
        <v>442</v>
      </c>
      <c r="R156" s="398">
        <f>H168</f>
        <v>2636.6066184115998</v>
      </c>
    </row>
    <row r="157" spans="1:18" ht="15" x14ac:dyDescent="0.25">
      <c r="A157" s="1242"/>
      <c r="B157" s="1244" t="s">
        <v>879</v>
      </c>
      <c r="C157" s="1245"/>
      <c r="D157" s="374" t="s">
        <v>880</v>
      </c>
      <c r="E157" s="399">
        <f>D128</f>
        <v>-291332.033</v>
      </c>
      <c r="F157" s="342" t="s">
        <v>876</v>
      </c>
      <c r="G157" s="343">
        <f>D131</f>
        <v>6.8999999999999999E-3</v>
      </c>
      <c r="H157" s="376" t="s">
        <v>810</v>
      </c>
      <c r="I157" s="774"/>
      <c r="J157" s="326"/>
      <c r="K157" s="326"/>
      <c r="L157" s="326"/>
      <c r="M157" s="347" t="s">
        <v>878</v>
      </c>
      <c r="N157" s="331" t="s">
        <v>442</v>
      </c>
      <c r="O157" s="351">
        <f>R156</f>
        <v>2636.6066184115998</v>
      </c>
      <c r="P157" s="331" t="s">
        <v>886</v>
      </c>
      <c r="Q157" s="353">
        <f>O156</f>
        <v>-8.7399999999999999E-4</v>
      </c>
      <c r="R157" s="331" t="str">
        <f>P156</f>
        <v>δE</v>
      </c>
    </row>
    <row r="158" spans="1:18" ht="15" x14ac:dyDescent="0.25">
      <c r="A158" s="1243"/>
      <c r="B158" s="1248"/>
      <c r="C158" s="1249"/>
      <c r="D158" s="377" t="s">
        <v>442</v>
      </c>
      <c r="E158" s="344">
        <f>G157</f>
        <v>6.8999999999999999E-3</v>
      </c>
      <c r="F158" s="331" t="s">
        <v>881</v>
      </c>
      <c r="G158" s="345">
        <f>E157*G157</f>
        <v>-2010.1910276999999</v>
      </c>
      <c r="H158" s="378"/>
      <c r="I158" s="774"/>
      <c r="J158" s="326"/>
      <c r="K158" s="326"/>
      <c r="L158" s="326"/>
      <c r="M158" s="326"/>
      <c r="N158" s="326"/>
      <c r="O158" s="342"/>
      <c r="P158" s="400">
        <f>M156</f>
        <v>2.5490000000000001E-3</v>
      </c>
      <c r="Q158" s="342"/>
      <c r="R158" s="342"/>
    </row>
    <row r="159" spans="1:18" ht="15" x14ac:dyDescent="0.25">
      <c r="A159" s="1244" t="s">
        <v>327</v>
      </c>
      <c r="B159" s="1244"/>
      <c r="C159" s="1245"/>
      <c r="D159" s="374" t="s">
        <v>870</v>
      </c>
      <c r="E159" s="342"/>
      <c r="F159" s="342" t="s">
        <v>13</v>
      </c>
      <c r="G159" s="401">
        <f>F131</f>
        <v>4.3499999999999997E-3</v>
      </c>
      <c r="H159" s="376" t="s">
        <v>810</v>
      </c>
      <c r="I159" s="774"/>
      <c r="J159" s="326"/>
      <c r="K159" s="326"/>
      <c r="L159" s="326"/>
      <c r="M159" s="347" t="s">
        <v>878</v>
      </c>
      <c r="N159" s="331" t="s">
        <v>442</v>
      </c>
      <c r="O159" s="331">
        <f>O157/P158</f>
        <v>1034369.0146769712</v>
      </c>
      <c r="P159" s="331" t="s">
        <v>887</v>
      </c>
      <c r="Q159" s="331">
        <f>-Q157/P158</f>
        <v>0.3428795606120047</v>
      </c>
      <c r="R159" s="331" t="str">
        <f>R157</f>
        <v>δE</v>
      </c>
    </row>
    <row r="160" spans="1:18" ht="15" x14ac:dyDescent="0.25">
      <c r="A160" s="1246"/>
      <c r="B160" s="1246"/>
      <c r="C160" s="1247"/>
      <c r="D160" s="381" t="s">
        <v>442</v>
      </c>
      <c r="E160" s="382">
        <f>F131</f>
        <v>4.3499999999999997E-3</v>
      </c>
      <c r="F160" s="383" t="s">
        <v>881</v>
      </c>
      <c r="G160" s="384"/>
      <c r="H160" s="385"/>
      <c r="I160" s="774"/>
      <c r="J160" s="326"/>
      <c r="K160" s="326"/>
      <c r="L160" s="326"/>
      <c r="M160" s="347"/>
      <c r="N160" s="326"/>
      <c r="O160" s="326"/>
      <c r="P160" s="326"/>
      <c r="Q160" s="326"/>
      <c r="R160" s="326"/>
    </row>
    <row r="161" spans="1:21" ht="15" x14ac:dyDescent="0.25">
      <c r="A161" s="1241" t="s">
        <v>882</v>
      </c>
      <c r="B161" s="1248" t="s">
        <v>874</v>
      </c>
      <c r="C161" s="1249"/>
      <c r="D161" s="402" t="s">
        <v>875</v>
      </c>
      <c r="E161" s="341">
        <f>C138</f>
        <v>-1081124.9999999998</v>
      </c>
      <c r="F161" s="342" t="s">
        <v>876</v>
      </c>
      <c r="G161" s="401">
        <f>H132</f>
        <v>-2.48E-3</v>
      </c>
      <c r="H161" s="376" t="s">
        <v>810</v>
      </c>
      <c r="I161" s="774"/>
      <c r="J161" s="326"/>
      <c r="K161" s="326"/>
      <c r="L161" s="326"/>
      <c r="M161" s="347"/>
      <c r="N161" s="326"/>
      <c r="O161" s="326"/>
      <c r="P161" s="326"/>
      <c r="Q161" s="326"/>
      <c r="R161" s="326"/>
      <c r="S161" s="326"/>
      <c r="T161" s="326"/>
      <c r="U161" s="326"/>
    </row>
    <row r="162" spans="1:21" ht="15" x14ac:dyDescent="0.25">
      <c r="A162" s="1242"/>
      <c r="B162" s="1246"/>
      <c r="C162" s="1247"/>
      <c r="D162" s="381" t="s">
        <v>442</v>
      </c>
      <c r="E162" s="382">
        <f>G161</f>
        <v>-2.48E-3</v>
      </c>
      <c r="F162" s="383" t="s">
        <v>888</v>
      </c>
      <c r="G162" s="384">
        <f>E161*G161</f>
        <v>2681.1899999999996</v>
      </c>
      <c r="H162" s="385"/>
      <c r="I162" s="774"/>
      <c r="J162" s="326"/>
      <c r="K162" s="403" t="s">
        <v>889</v>
      </c>
      <c r="L162" s="403"/>
      <c r="M162" s="396">
        <f>C169</f>
        <v>-8.699999999999999E-4</v>
      </c>
      <c r="N162" s="347" t="s">
        <v>890</v>
      </c>
      <c r="O162" s="397">
        <f>E169</f>
        <v>1.805E-2</v>
      </c>
      <c r="P162" s="347" t="s">
        <v>881</v>
      </c>
      <c r="Q162" s="352" t="s">
        <v>442</v>
      </c>
      <c r="R162" s="398">
        <f>H169</f>
        <v>-41086.029311098995</v>
      </c>
      <c r="S162" s="326"/>
      <c r="T162" s="326"/>
      <c r="U162" s="326"/>
    </row>
    <row r="163" spans="1:21" ht="15" x14ac:dyDescent="0.25">
      <c r="A163" s="1242"/>
      <c r="B163" s="1244" t="s">
        <v>879</v>
      </c>
      <c r="C163" s="1245"/>
      <c r="D163" s="402" t="s">
        <v>870</v>
      </c>
      <c r="E163" s="341"/>
      <c r="F163" s="342" t="s">
        <v>13</v>
      </c>
      <c r="G163" s="401">
        <f>H131</f>
        <v>6.7999999999999996E-3</v>
      </c>
      <c r="H163" s="376" t="s">
        <v>810</v>
      </c>
      <c r="I163" s="774"/>
      <c r="J163" s="326"/>
      <c r="K163" s="326"/>
      <c r="L163" s="326"/>
      <c r="M163" s="331">
        <f>(M162*O159)</f>
        <v>-899.90104276896488</v>
      </c>
      <c r="N163" s="331" t="s">
        <v>887</v>
      </c>
      <c r="O163" s="331">
        <f>(M162*Q159)</f>
        <v>-2.9830521773244406E-4</v>
      </c>
      <c r="P163" s="331" t="s">
        <v>870</v>
      </c>
      <c r="Q163" s="331" t="s">
        <v>887</v>
      </c>
      <c r="R163" s="404">
        <f>O162</f>
        <v>1.805E-2</v>
      </c>
      <c r="S163" s="331" t="s">
        <v>870</v>
      </c>
      <c r="T163" s="331" t="s">
        <v>442</v>
      </c>
      <c r="U163" s="351">
        <f>R162</f>
        <v>-41086.029311098995</v>
      </c>
    </row>
    <row r="164" spans="1:21" ht="15" x14ac:dyDescent="0.25">
      <c r="A164" s="1243"/>
      <c r="B164" s="1246"/>
      <c r="C164" s="1247"/>
      <c r="D164" s="381" t="s">
        <v>442</v>
      </c>
      <c r="E164" s="386">
        <f>G163</f>
        <v>6.7999999999999996E-3</v>
      </c>
      <c r="F164" s="383" t="s">
        <v>881</v>
      </c>
      <c r="G164" s="384"/>
      <c r="H164" s="385"/>
      <c r="I164" s="774"/>
      <c r="J164" s="326"/>
      <c r="K164" s="326"/>
      <c r="L164" s="326"/>
      <c r="M164" s="326"/>
      <c r="N164" s="326"/>
      <c r="O164" s="405">
        <f>O163+R163</f>
        <v>1.7751694782267555E-2</v>
      </c>
      <c r="P164" s="331" t="str">
        <f>P163</f>
        <v>δ</v>
      </c>
      <c r="Q164" s="326"/>
      <c r="R164" s="326"/>
      <c r="S164" s="326"/>
      <c r="T164" s="331" t="s">
        <v>442</v>
      </c>
      <c r="U164" s="351">
        <f>U163-M163</f>
        <v>-40186.128268330031</v>
      </c>
    </row>
    <row r="165" spans="1:21" ht="15" x14ac:dyDescent="0.25">
      <c r="A165" s="1265" t="s">
        <v>883</v>
      </c>
      <c r="B165" s="1266"/>
      <c r="C165" s="1267"/>
      <c r="D165" s="387"/>
      <c r="E165" s="388">
        <v>0</v>
      </c>
      <c r="F165" s="388"/>
      <c r="G165" s="406">
        <f>'[1]Design - 1'!H196</f>
        <v>40880.171999999999</v>
      </c>
      <c r="H165" s="389"/>
      <c r="I165" s="774"/>
      <c r="J165" s="326"/>
      <c r="K165" s="326"/>
      <c r="L165" s="326"/>
      <c r="M165" s="326"/>
      <c r="N165" s="326"/>
      <c r="O165" s="353"/>
      <c r="P165" s="331" t="str">
        <f>P164</f>
        <v>δ</v>
      </c>
      <c r="Q165" s="326"/>
      <c r="R165" s="326"/>
      <c r="S165" s="326"/>
      <c r="T165" s="331" t="s">
        <v>442</v>
      </c>
      <c r="U165" s="334">
        <f>U164/O164</f>
        <v>-2263791.0780480849</v>
      </c>
    </row>
    <row r="166" spans="1:21" ht="15" x14ac:dyDescent="0.25">
      <c r="A166" s="1268" t="s">
        <v>235</v>
      </c>
      <c r="B166" s="1269"/>
      <c r="C166" s="1270"/>
      <c r="D166" s="407">
        <f>E156+E162</f>
        <v>-8.699999999999999E-4</v>
      </c>
      <c r="E166" s="391" t="s">
        <v>878</v>
      </c>
      <c r="F166" s="408">
        <f>E158+E164+E160</f>
        <v>1.805E-2</v>
      </c>
      <c r="G166" s="391" t="s">
        <v>881</v>
      </c>
      <c r="H166" s="409">
        <f>G156+G158+G162+G165</f>
        <v>41086.029311098995</v>
      </c>
      <c r="I166" s="774"/>
      <c r="J166" s="326"/>
      <c r="K166" s="326"/>
      <c r="L166" s="326"/>
      <c r="M166" s="326"/>
      <c r="N166" s="326"/>
      <c r="O166" s="326"/>
      <c r="P166" s="331" t="s">
        <v>869</v>
      </c>
      <c r="Q166" s="331">
        <f>O159</f>
        <v>1034369.0146769712</v>
      </c>
      <c r="R166" s="331" t="str">
        <f>P159</f>
        <v>+</v>
      </c>
      <c r="S166" s="331">
        <f>Q159*U165</f>
        <v>-776207.69015850371</v>
      </c>
      <c r="T166" s="331" t="s">
        <v>442</v>
      </c>
      <c r="U166" s="331">
        <f>Q166+S166</f>
        <v>258161.32451846753</v>
      </c>
    </row>
    <row r="167" spans="1:21" ht="15" x14ac:dyDescent="0.25">
      <c r="A167" s="834"/>
      <c r="B167" s="395"/>
      <c r="C167" s="395"/>
      <c r="D167" s="398"/>
      <c r="E167" s="347"/>
      <c r="F167" s="398"/>
      <c r="G167" s="347"/>
      <c r="H167" s="398"/>
      <c r="I167" s="774"/>
      <c r="J167" s="326"/>
      <c r="K167" s="326"/>
      <c r="L167" s="326"/>
      <c r="M167" s="326"/>
      <c r="N167" s="326"/>
      <c r="O167" s="326"/>
      <c r="P167" s="326"/>
      <c r="Q167" s="326"/>
      <c r="R167" s="326"/>
      <c r="S167" s="326"/>
      <c r="T167" s="326"/>
      <c r="U167" s="326"/>
    </row>
    <row r="168" spans="1:21" ht="15" x14ac:dyDescent="0.25">
      <c r="A168" s="834" t="s">
        <v>885</v>
      </c>
      <c r="B168" s="395"/>
      <c r="C168" s="396">
        <f>D152</f>
        <v>2.5490000000000001E-3</v>
      </c>
      <c r="D168" s="347" t="s">
        <v>890</v>
      </c>
      <c r="E168" s="397">
        <f>F152</f>
        <v>-8.7399999999999999E-4</v>
      </c>
      <c r="F168" s="347" t="s">
        <v>881</v>
      </c>
      <c r="G168" s="352" t="s">
        <v>442</v>
      </c>
      <c r="H168" s="398">
        <f>-H152</f>
        <v>2636.6066184115998</v>
      </c>
      <c r="I168" s="774"/>
      <c r="J168" s="326"/>
      <c r="K168" s="326"/>
      <c r="L168" s="326"/>
      <c r="M168" s="326"/>
      <c r="N168" s="326"/>
      <c r="O168" s="326"/>
      <c r="P168" s="326"/>
      <c r="Q168" s="326"/>
      <c r="R168" s="326"/>
      <c r="S168" s="326"/>
      <c r="T168" s="326"/>
      <c r="U168" s="326"/>
    </row>
    <row r="169" spans="1:21" ht="15" x14ac:dyDescent="0.25">
      <c r="A169" s="1276" t="s">
        <v>889</v>
      </c>
      <c r="B169" s="1226"/>
      <c r="C169" s="397">
        <f>D166</f>
        <v>-8.699999999999999E-4</v>
      </c>
      <c r="D169" s="347" t="s">
        <v>890</v>
      </c>
      <c r="E169" s="397">
        <f>F166</f>
        <v>1.805E-2</v>
      </c>
      <c r="F169" s="347" t="s">
        <v>881</v>
      </c>
      <c r="G169" s="352" t="s">
        <v>442</v>
      </c>
      <c r="H169" s="398">
        <f>-H166</f>
        <v>-41086.029311098995</v>
      </c>
      <c r="I169" s="774"/>
      <c r="J169" s="326"/>
      <c r="K169" s="326"/>
      <c r="L169" s="326"/>
      <c r="M169" s="326"/>
      <c r="N169" s="326"/>
      <c r="O169" s="326"/>
      <c r="P169" s="326"/>
      <c r="Q169" s="326"/>
      <c r="R169" s="326"/>
      <c r="S169" s="326"/>
      <c r="T169" s="326"/>
      <c r="U169" s="326"/>
    </row>
    <row r="170" spans="1:21" ht="15" x14ac:dyDescent="0.25">
      <c r="A170" s="796"/>
      <c r="B170" s="326"/>
      <c r="C170" s="326"/>
      <c r="D170" s="338"/>
      <c r="E170" s="773"/>
      <c r="F170" s="326"/>
      <c r="G170" s="338"/>
      <c r="H170" s="327"/>
      <c r="I170" s="774"/>
      <c r="J170" s="326"/>
      <c r="K170" s="326"/>
      <c r="L170" s="326"/>
      <c r="M170" s="326"/>
      <c r="N170" s="326"/>
      <c r="O170" s="326"/>
      <c r="P170" s="326"/>
      <c r="Q170" s="326"/>
      <c r="R170" s="326"/>
      <c r="S170" s="326"/>
      <c r="T170" s="326"/>
      <c r="U170" s="326"/>
    </row>
    <row r="171" spans="1:21" ht="15" x14ac:dyDescent="0.25">
      <c r="A171" s="796"/>
      <c r="B171" s="326"/>
      <c r="C171" s="331">
        <f>C168*C169</f>
        <v>-2.2176299999999997E-6</v>
      </c>
      <c r="D171" s="821" t="str">
        <f>D168</f>
        <v>ψE         +</v>
      </c>
      <c r="E171" s="331">
        <f>E168*C169</f>
        <v>7.6037999999999993E-7</v>
      </c>
      <c r="F171" s="338" t="str">
        <f>F168</f>
        <v>δE</v>
      </c>
      <c r="G171" s="327" t="s">
        <v>442</v>
      </c>
      <c r="H171" s="811">
        <f>H168*C169</f>
        <v>-2.2938477580180914</v>
      </c>
      <c r="I171" s="774"/>
      <c r="J171" s="326"/>
      <c r="K171" s="326"/>
      <c r="L171" s="326"/>
      <c r="M171" s="326"/>
      <c r="N171" s="326"/>
      <c r="O171" s="326"/>
      <c r="P171" s="326"/>
      <c r="Q171" s="326"/>
      <c r="R171" s="326"/>
      <c r="S171" s="326"/>
      <c r="T171" s="326"/>
      <c r="U171" s="326"/>
    </row>
    <row r="172" spans="1:21" ht="15" x14ac:dyDescent="0.25">
      <c r="A172" s="447"/>
      <c r="B172" s="351"/>
      <c r="C172" s="331">
        <f>C169*C168</f>
        <v>-2.2176299999999997E-6</v>
      </c>
      <c r="D172" s="821" t="str">
        <f>D169</f>
        <v>ψE         +</v>
      </c>
      <c r="E172" s="331">
        <f>E169*C168</f>
        <v>4.6009450000000004E-5</v>
      </c>
      <c r="F172" s="338" t="str">
        <f>F169</f>
        <v>δE</v>
      </c>
      <c r="G172" s="327" t="s">
        <v>442</v>
      </c>
      <c r="H172" s="333">
        <f>H169*C168</f>
        <v>-104.72828871399135</v>
      </c>
      <c r="I172" s="774"/>
      <c r="J172" s="326"/>
      <c r="K172" s="326"/>
      <c r="L172" s="326"/>
      <c r="M172" s="326"/>
      <c r="N172" s="326"/>
      <c r="O172" s="326"/>
      <c r="P172" s="326"/>
      <c r="Q172" s="326"/>
      <c r="R172" s="326"/>
      <c r="S172" s="326"/>
      <c r="T172" s="326"/>
      <c r="U172" s="326"/>
    </row>
    <row r="173" spans="1:21" ht="15" x14ac:dyDescent="0.25">
      <c r="A173" s="447"/>
      <c r="B173" s="351"/>
      <c r="C173" s="342">
        <f>C171-C172</f>
        <v>0</v>
      </c>
      <c r="D173" s="400" t="str">
        <f>D172</f>
        <v>ψE         +</v>
      </c>
      <c r="E173" s="342">
        <f>E171-E172</f>
        <v>-4.5249070000000005E-5</v>
      </c>
      <c r="F173" s="410" t="str">
        <f>F172</f>
        <v>δE</v>
      </c>
      <c r="G173" s="411" t="s">
        <v>442</v>
      </c>
      <c r="H173" s="412">
        <f>H171-H172</f>
        <v>102.43444095597326</v>
      </c>
      <c r="I173" s="774"/>
      <c r="J173" s="326"/>
      <c r="K173" s="326"/>
      <c r="L173" s="326"/>
      <c r="M173" s="326"/>
      <c r="N173" s="326"/>
      <c r="O173" s="326"/>
      <c r="P173" s="326"/>
      <c r="Q173" s="326"/>
      <c r="R173" s="326"/>
      <c r="S173" s="326"/>
      <c r="T173" s="326"/>
      <c r="U173" s="326"/>
    </row>
    <row r="174" spans="1:21" ht="15" x14ac:dyDescent="0.25">
      <c r="A174" s="447"/>
      <c r="B174" s="351"/>
      <c r="C174" s="326"/>
      <c r="D174" s="821"/>
      <c r="E174" s="326"/>
      <c r="F174" s="395" t="str">
        <f>F173</f>
        <v>δE</v>
      </c>
      <c r="G174" s="835" t="s">
        <v>442</v>
      </c>
      <c r="H174" s="835">
        <f>H173/E173</f>
        <v>-2263791.0780480849</v>
      </c>
      <c r="I174" s="774"/>
      <c r="J174" s="326"/>
      <c r="K174" s="326"/>
      <c r="L174" s="326"/>
      <c r="M174" s="326"/>
      <c r="N174" s="326"/>
      <c r="O174" s="326"/>
      <c r="P174" s="326"/>
      <c r="Q174" s="326"/>
      <c r="R174" s="326"/>
      <c r="S174" s="326"/>
      <c r="T174" s="326"/>
      <c r="U174" s="326"/>
    </row>
    <row r="175" spans="1:21" ht="15" x14ac:dyDescent="0.25">
      <c r="A175" s="447"/>
      <c r="B175" s="351"/>
      <c r="C175" s="326"/>
      <c r="D175" s="821"/>
      <c r="E175" s="326"/>
      <c r="F175" s="395" t="s">
        <v>878</v>
      </c>
      <c r="G175" s="835" t="s">
        <v>442</v>
      </c>
      <c r="H175" s="835">
        <f>(H168-E168*H174)/C168</f>
        <v>258161.3245184675</v>
      </c>
      <c r="I175" s="774"/>
      <c r="J175" s="326"/>
      <c r="K175" s="326"/>
      <c r="L175" s="326"/>
      <c r="M175" s="326"/>
      <c r="N175" s="326"/>
      <c r="O175" s="326"/>
      <c r="P175" s="326"/>
      <c r="Q175" s="326"/>
      <c r="R175" s="326"/>
      <c r="S175" s="326"/>
      <c r="T175" s="326"/>
      <c r="U175" s="326"/>
    </row>
    <row r="176" spans="1:21" ht="15" x14ac:dyDescent="0.25">
      <c r="A176" s="447" t="s">
        <v>891</v>
      </c>
      <c r="B176" s="327">
        <f>H175</f>
        <v>258161.3245184675</v>
      </c>
      <c r="C176" s="331" t="s">
        <v>799</v>
      </c>
      <c r="D176" s="338" t="s">
        <v>892</v>
      </c>
      <c r="E176" s="351">
        <f>H174</f>
        <v>-2263791.0780480849</v>
      </c>
      <c r="F176" s="331" t="s">
        <v>799</v>
      </c>
      <c r="G176" s="327"/>
      <c r="H176" s="327"/>
      <c r="I176" s="774"/>
      <c r="J176" s="326"/>
      <c r="K176" s="326"/>
      <c r="L176" s="326"/>
      <c r="M176" s="326"/>
      <c r="N176" s="326"/>
      <c r="O176" s="326"/>
      <c r="P176" s="326"/>
      <c r="Q176" s="326"/>
      <c r="R176" s="326"/>
      <c r="S176" s="326"/>
      <c r="T176" s="326"/>
      <c r="U176" s="326"/>
    </row>
    <row r="177" spans="1:15" ht="15" x14ac:dyDescent="0.25">
      <c r="A177" s="836" t="s">
        <v>893</v>
      </c>
      <c r="B177" s="398"/>
      <c r="C177" s="327"/>
      <c r="D177" s="338"/>
      <c r="E177" s="338"/>
      <c r="F177" s="326"/>
      <c r="G177" s="338"/>
      <c r="H177" s="338"/>
      <c r="I177" s="774"/>
      <c r="J177" s="326"/>
      <c r="K177" s="326"/>
      <c r="L177" s="326"/>
      <c r="M177" s="326"/>
      <c r="N177" s="326"/>
      <c r="O177" s="326"/>
    </row>
    <row r="178" spans="1:15" ht="30" x14ac:dyDescent="0.25">
      <c r="A178" s="1271" t="s">
        <v>866</v>
      </c>
      <c r="B178" s="1271"/>
      <c r="C178" s="413" t="s">
        <v>894</v>
      </c>
      <c r="D178" s="414" t="s">
        <v>310</v>
      </c>
      <c r="E178" s="414" t="s">
        <v>895</v>
      </c>
      <c r="F178" s="1272" t="s">
        <v>896</v>
      </c>
      <c r="G178" s="1273"/>
      <c r="H178" s="326"/>
      <c r="I178" s="774"/>
      <c r="J178" s="326"/>
      <c r="K178" s="326"/>
      <c r="L178" s="326"/>
      <c r="M178" s="326"/>
      <c r="N178" s="326"/>
      <c r="O178" s="326"/>
    </row>
    <row r="179" spans="1:15" ht="15" x14ac:dyDescent="0.25">
      <c r="A179" s="1271"/>
      <c r="B179" s="1271"/>
      <c r="C179" s="415" t="s">
        <v>897</v>
      </c>
      <c r="D179" s="416" t="s">
        <v>898</v>
      </c>
      <c r="E179" s="416" t="s">
        <v>899</v>
      </c>
      <c r="F179" s="326"/>
      <c r="G179" s="417"/>
      <c r="H179" s="326"/>
      <c r="I179" s="837"/>
      <c r="J179" s="326"/>
      <c r="K179" s="326"/>
      <c r="L179" s="326"/>
      <c r="M179" s="326"/>
      <c r="N179" s="326"/>
      <c r="O179" s="326"/>
    </row>
    <row r="180" spans="1:15" ht="15" x14ac:dyDescent="0.25">
      <c r="A180" s="1274" t="s">
        <v>248</v>
      </c>
      <c r="B180" s="1274"/>
      <c r="C180" s="418">
        <f>1*H52</f>
        <v>0.15</v>
      </c>
      <c r="D180" s="335">
        <f>ROUND((E142*B176)+(G142)+(E144*E176)+(G144),4)</f>
        <v>-4124.9273000000003</v>
      </c>
      <c r="E180" s="419">
        <f>(E156*B176)+(G156)+(E158*E176)+(G158)</f>
        <v>-17679.851394958052</v>
      </c>
      <c r="F180" s="336">
        <f>ROUND(-(E176*2/H202)*C180,4)</f>
        <v>73025.518599999996</v>
      </c>
      <c r="G180" s="420" t="s">
        <v>832</v>
      </c>
      <c r="H180" s="326"/>
      <c r="I180" s="838"/>
      <c r="J180" s="326"/>
      <c r="K180" s="326"/>
      <c r="L180" s="326"/>
      <c r="M180" s="326"/>
      <c r="N180" s="326"/>
      <c r="O180" s="326"/>
    </row>
    <row r="181" spans="1:15" ht="15" x14ac:dyDescent="0.25">
      <c r="A181" s="1274" t="s">
        <v>900</v>
      </c>
      <c r="B181" s="1274"/>
      <c r="C181" s="418">
        <f>H60*H61</f>
        <v>0.09</v>
      </c>
      <c r="D181" s="336">
        <f>E146*B176</f>
        <v>8.5193237091094289</v>
      </c>
      <c r="E181" s="419">
        <f>E160*E176</f>
        <v>-9847.4911895091682</v>
      </c>
      <c r="F181" s="336">
        <f>-(E176*2/H202)*C181</f>
        <v>43815.311188027452</v>
      </c>
      <c r="G181" s="420" t="s">
        <v>899</v>
      </c>
      <c r="H181" s="326"/>
      <c r="I181" s="774"/>
      <c r="J181" s="326"/>
      <c r="K181" s="326"/>
      <c r="L181" s="326"/>
      <c r="M181" s="326"/>
      <c r="N181" s="326"/>
      <c r="O181" s="326"/>
    </row>
    <row r="182" spans="1:15" ht="15" x14ac:dyDescent="0.25">
      <c r="A182" s="1275" t="s">
        <v>882</v>
      </c>
      <c r="B182" s="1275"/>
      <c r="C182" s="418">
        <f>H65*1</f>
        <v>0.2</v>
      </c>
      <c r="D182" s="336">
        <f>(E148*B176)+(G148)+(E150*E176)</f>
        <v>4116.4079841828616</v>
      </c>
      <c r="E182" s="419">
        <f>(E162*B176)+(G162)+(E164*E176)</f>
        <v>-13352.829415532777</v>
      </c>
      <c r="F182" s="336">
        <f>ROUND(-(E176*2/H202)*C182,3)</f>
        <v>97367.357999999993</v>
      </c>
      <c r="G182" s="420" t="s">
        <v>832</v>
      </c>
      <c r="H182" s="326"/>
      <c r="I182" s="774"/>
      <c r="J182" s="326"/>
      <c r="K182" s="326"/>
      <c r="L182" s="326"/>
      <c r="M182" s="326"/>
      <c r="N182" s="326"/>
      <c r="O182" s="326"/>
    </row>
    <row r="183" spans="1:15" ht="15" x14ac:dyDescent="0.25">
      <c r="A183" s="1275" t="s">
        <v>235</v>
      </c>
      <c r="B183" s="1275"/>
      <c r="C183" s="336"/>
      <c r="D183" s="336">
        <f>D180+D181+D182</f>
        <v>7.891971108620055E-6</v>
      </c>
      <c r="E183" s="419">
        <f>E180+E181+E182</f>
        <v>-40880.171999999999</v>
      </c>
      <c r="F183" s="419"/>
      <c r="G183" s="389"/>
      <c r="H183" s="326"/>
      <c r="I183" s="774"/>
      <c r="J183" s="326"/>
      <c r="K183" s="327"/>
      <c r="L183" s="326"/>
      <c r="M183" s="326"/>
      <c r="N183" s="326"/>
      <c r="O183" s="326"/>
    </row>
    <row r="184" spans="1:15" ht="15" x14ac:dyDescent="0.25">
      <c r="A184" s="839"/>
      <c r="B184" s="840"/>
      <c r="C184" s="841"/>
      <c r="D184" s="841"/>
      <c r="E184" s="841"/>
      <c r="F184" s="841"/>
      <c r="G184" s="814"/>
      <c r="H184" s="842"/>
      <c r="I184" s="815"/>
      <c r="J184" s="326"/>
      <c r="K184" s="326"/>
      <c r="L184" s="326"/>
      <c r="M184" s="326"/>
      <c r="N184" s="326"/>
      <c r="O184" s="326"/>
    </row>
    <row r="185" spans="1:15" ht="51" customHeight="1" x14ac:dyDescent="0.25">
      <c r="A185" s="1228" t="s">
        <v>901</v>
      </c>
      <c r="B185" s="1229"/>
      <c r="C185" s="1229"/>
      <c r="D185" s="1229"/>
      <c r="E185" s="1229"/>
      <c r="F185" s="1229"/>
      <c r="G185" s="1229"/>
      <c r="H185" s="1229"/>
      <c r="I185" s="1230"/>
      <c r="J185" s="326"/>
      <c r="K185" s="326"/>
      <c r="L185" s="326"/>
      <c r="M185" s="326"/>
      <c r="N185" s="326"/>
      <c r="O185" s="353"/>
    </row>
    <row r="186" spans="1:15" ht="15" x14ac:dyDescent="0.25">
      <c r="A186" s="843"/>
      <c r="B186" s="818"/>
      <c r="C186" s="844"/>
      <c r="D186" s="845"/>
      <c r="E186" s="845"/>
      <c r="F186" s="342"/>
      <c r="G186" s="845"/>
      <c r="H186" s="845"/>
      <c r="I186" s="833"/>
      <c r="J186" s="326"/>
      <c r="K186" s="326"/>
      <c r="L186" s="326"/>
      <c r="M186" s="326"/>
      <c r="N186" s="326"/>
      <c r="O186" s="326"/>
    </row>
    <row r="187" spans="1:15" ht="15" x14ac:dyDescent="0.25">
      <c r="A187" s="796"/>
      <c r="B187" s="326"/>
      <c r="C187" s="326"/>
      <c r="D187" s="347"/>
      <c r="E187" s="347"/>
      <c r="F187" s="331"/>
      <c r="G187" s="347"/>
      <c r="H187" s="347"/>
      <c r="I187" s="774"/>
      <c r="J187" s="326"/>
      <c r="K187" s="326"/>
      <c r="L187" s="326"/>
      <c r="M187" s="326"/>
      <c r="N187" s="326"/>
      <c r="O187" s="326"/>
    </row>
    <row r="188" spans="1:15" ht="15" x14ac:dyDescent="0.25">
      <c r="A188" s="796"/>
      <c r="B188" s="326"/>
      <c r="C188" s="347"/>
      <c r="D188" s="347"/>
      <c r="E188" s="1238">
        <f>ABS(D340)</f>
        <v>4272.4349076907311</v>
      </c>
      <c r="F188" s="1238"/>
      <c r="G188" s="347"/>
      <c r="H188" s="347"/>
      <c r="I188" s="774"/>
      <c r="J188" s="326"/>
      <c r="K188" s="326"/>
      <c r="L188" s="326"/>
      <c r="M188" s="326"/>
      <c r="N188" s="326"/>
      <c r="O188" s="326"/>
    </row>
    <row r="189" spans="1:15" ht="15" x14ac:dyDescent="0.25">
      <c r="A189" s="796"/>
      <c r="B189" s="326"/>
      <c r="C189" s="347"/>
      <c r="D189" s="347"/>
      <c r="E189" s="326"/>
      <c r="F189" s="326"/>
      <c r="G189" s="347"/>
      <c r="H189" s="347"/>
      <c r="I189" s="774"/>
      <c r="J189" s="326"/>
      <c r="K189" s="326"/>
      <c r="L189" s="326"/>
      <c r="M189" s="326"/>
      <c r="N189" s="326"/>
      <c r="O189" s="326"/>
    </row>
    <row r="190" spans="1:15" ht="15" x14ac:dyDescent="0.25">
      <c r="A190" s="796"/>
      <c r="B190" s="326"/>
      <c r="C190" s="347"/>
      <c r="D190" s="328"/>
      <c r="E190" s="328"/>
      <c r="F190" s="331"/>
      <c r="G190" s="347"/>
      <c r="H190" s="347"/>
      <c r="I190" s="774"/>
      <c r="J190" s="326"/>
      <c r="K190" s="326"/>
      <c r="L190" s="326"/>
      <c r="M190" s="326"/>
      <c r="N190" s="326"/>
      <c r="O190" s="326"/>
    </row>
    <row r="191" spans="1:15" ht="15" x14ac:dyDescent="0.25">
      <c r="A191" s="796"/>
      <c r="B191" s="326"/>
      <c r="C191" s="347"/>
      <c r="D191" s="347"/>
      <c r="E191" s="326"/>
      <c r="F191" s="1278">
        <f>F340</f>
        <v>174740.647</v>
      </c>
      <c r="G191" s="1278"/>
      <c r="H191" s="347"/>
      <c r="I191" s="774"/>
      <c r="J191" s="326"/>
      <c r="K191" s="326"/>
      <c r="L191" s="326"/>
      <c r="M191" s="326"/>
      <c r="N191" s="326"/>
      <c r="O191" s="326"/>
    </row>
    <row r="192" spans="1:15" ht="15" x14ac:dyDescent="0.25">
      <c r="A192" s="796"/>
      <c r="B192" s="326"/>
      <c r="C192" s="347"/>
      <c r="D192" s="347"/>
      <c r="E192" s="347"/>
      <c r="F192" s="331"/>
      <c r="G192" s="347"/>
      <c r="H192" s="347"/>
      <c r="I192" s="774"/>
      <c r="J192" s="326"/>
      <c r="K192" s="326"/>
      <c r="L192" s="326"/>
      <c r="M192" s="326"/>
      <c r="N192" s="326"/>
      <c r="O192" s="326"/>
    </row>
    <row r="193" spans="1:11" ht="15" x14ac:dyDescent="0.25">
      <c r="A193" s="796"/>
      <c r="B193" s="326"/>
      <c r="C193" s="1279">
        <f>ABS(D341)</f>
        <v>163.19003183805518</v>
      </c>
      <c r="D193" s="1279"/>
      <c r="E193" s="347"/>
      <c r="F193" s="1278">
        <f>F341</f>
        <v>174740.647</v>
      </c>
      <c r="G193" s="1278"/>
      <c r="H193" s="347"/>
      <c r="I193" s="774"/>
      <c r="J193" s="326"/>
      <c r="K193" s="326"/>
    </row>
    <row r="194" spans="1:11" ht="15" x14ac:dyDescent="0.25">
      <c r="A194" s="796"/>
      <c r="B194" s="326"/>
      <c r="C194" s="347"/>
      <c r="D194" s="347"/>
      <c r="E194" s="347"/>
      <c r="F194" s="331"/>
      <c r="G194" s="347"/>
      <c r="H194" s="347"/>
      <c r="I194" s="774"/>
      <c r="J194" s="326"/>
      <c r="K194" s="326"/>
    </row>
    <row r="195" spans="1:11" ht="15" x14ac:dyDescent="0.25">
      <c r="A195" s="796"/>
      <c r="B195" s="326"/>
      <c r="C195" s="347"/>
      <c r="D195" s="347"/>
      <c r="E195" s="347"/>
      <c r="F195" s="347"/>
      <c r="G195" s="1239">
        <f>F342</f>
        <v>305796.1323</v>
      </c>
      <c r="H195" s="1239"/>
      <c r="I195" s="846"/>
      <c r="J195" s="326"/>
      <c r="K195" s="326"/>
    </row>
    <row r="196" spans="1:11" ht="15" x14ac:dyDescent="0.25">
      <c r="A196" s="796"/>
      <c r="B196" s="326"/>
      <c r="C196" s="1238">
        <f>D342</f>
        <v>3095.62</v>
      </c>
      <c r="D196" s="1238"/>
      <c r="E196" s="347"/>
      <c r="F196" s="347"/>
      <c r="G196" s="347"/>
      <c r="H196" s="347"/>
      <c r="I196" s="774"/>
      <c r="J196" s="326"/>
      <c r="K196" s="326"/>
    </row>
    <row r="197" spans="1:11" ht="15" x14ac:dyDescent="0.25">
      <c r="A197" s="796"/>
      <c r="B197" s="326"/>
      <c r="C197" s="347"/>
      <c r="D197" s="847"/>
      <c r="E197" s="347"/>
      <c r="F197" s="347"/>
      <c r="G197" s="347"/>
      <c r="H197" s="347"/>
      <c r="I197" s="774"/>
      <c r="J197" s="326"/>
      <c r="K197" s="326"/>
    </row>
    <row r="198" spans="1:11" ht="15" x14ac:dyDescent="0.25">
      <c r="A198" s="796"/>
      <c r="B198" s="326"/>
      <c r="C198" s="347"/>
      <c r="D198" s="347"/>
      <c r="E198" s="347"/>
      <c r="F198" s="347"/>
      <c r="G198" s="347"/>
      <c r="H198" s="347"/>
      <c r="I198" s="774"/>
      <c r="J198" s="326"/>
      <c r="K198" s="326"/>
    </row>
    <row r="199" spans="1:11" ht="15" x14ac:dyDescent="0.25">
      <c r="A199" s="796"/>
      <c r="B199" s="347"/>
      <c r="C199" s="347"/>
      <c r="D199" s="806" t="s">
        <v>902</v>
      </c>
      <c r="E199" s="326"/>
      <c r="F199" s="347"/>
      <c r="G199" s="347"/>
      <c r="H199" s="348"/>
      <c r="I199" s="848"/>
      <c r="J199" s="326"/>
      <c r="K199" s="326"/>
    </row>
    <row r="200" spans="1:11" ht="15" x14ac:dyDescent="0.25">
      <c r="A200" s="849"/>
      <c r="B200" s="327"/>
      <c r="C200" s="327"/>
      <c r="D200" s="326"/>
      <c r="E200" s="338"/>
      <c r="F200" s="326"/>
      <c r="G200" s="338"/>
      <c r="H200" s="338"/>
      <c r="I200" s="774"/>
      <c r="J200" s="326"/>
      <c r="K200" s="326"/>
    </row>
    <row r="201" spans="1:11" ht="15" x14ac:dyDescent="0.25">
      <c r="A201" s="771" t="s">
        <v>903</v>
      </c>
      <c r="B201" s="347"/>
      <c r="C201" s="338"/>
      <c r="D201" s="338"/>
      <c r="E201" s="338"/>
      <c r="F201" s="326"/>
      <c r="G201" s="773"/>
      <c r="H201" s="338"/>
      <c r="I201" s="774"/>
      <c r="J201" s="326"/>
      <c r="K201" s="326"/>
    </row>
    <row r="202" spans="1:11" ht="15" x14ac:dyDescent="0.25">
      <c r="A202" s="807" t="s">
        <v>783</v>
      </c>
      <c r="B202" s="331"/>
      <c r="C202" s="331"/>
      <c r="D202" s="331"/>
      <c r="E202" s="331"/>
      <c r="F202" s="338" t="s">
        <v>19</v>
      </c>
      <c r="G202" s="773" t="s">
        <v>442</v>
      </c>
      <c r="H202" s="333">
        <f>H64</f>
        <v>9.2999999999999989</v>
      </c>
      <c r="I202" s="809" t="s">
        <v>74</v>
      </c>
      <c r="J202" s="326"/>
      <c r="K202" s="326"/>
    </row>
    <row r="203" spans="1:11" ht="15" x14ac:dyDescent="0.25">
      <c r="A203" s="807" t="s">
        <v>761</v>
      </c>
      <c r="B203" s="331"/>
      <c r="C203" s="331"/>
      <c r="D203" s="331"/>
      <c r="E203" s="331"/>
      <c r="F203" s="338" t="s">
        <v>904</v>
      </c>
      <c r="G203" s="773" t="s">
        <v>442</v>
      </c>
      <c r="H203" s="333">
        <f>H65</f>
        <v>0.2</v>
      </c>
      <c r="I203" s="809" t="s">
        <v>202</v>
      </c>
      <c r="J203" s="326"/>
      <c r="K203" s="326"/>
    </row>
    <row r="204" spans="1:11" ht="15" x14ac:dyDescent="0.25">
      <c r="A204" s="807" t="s">
        <v>785</v>
      </c>
      <c r="B204" s="331"/>
      <c r="C204" s="331"/>
      <c r="D204" s="331"/>
      <c r="E204" s="331"/>
      <c r="F204" s="338" t="s">
        <v>33</v>
      </c>
      <c r="G204" s="773" t="s">
        <v>442</v>
      </c>
      <c r="H204" s="333">
        <f>H66</f>
        <v>4</v>
      </c>
      <c r="I204" s="809" t="s">
        <v>74</v>
      </c>
      <c r="J204" s="326"/>
      <c r="K204" s="326"/>
    </row>
    <row r="205" spans="1:11" ht="15" x14ac:dyDescent="0.25">
      <c r="A205" s="771" t="s">
        <v>905</v>
      </c>
      <c r="B205" s="347"/>
      <c r="C205" s="338"/>
      <c r="D205" s="338"/>
      <c r="E205" s="338"/>
      <c r="F205" s="326"/>
      <c r="G205" s="773"/>
      <c r="H205" s="333"/>
      <c r="I205" s="774"/>
      <c r="J205" s="326"/>
      <c r="K205" s="326"/>
    </row>
    <row r="206" spans="1:11" ht="15" x14ac:dyDescent="0.25">
      <c r="A206" s="807" t="s">
        <v>776</v>
      </c>
      <c r="B206" s="331"/>
      <c r="C206" s="331"/>
      <c r="D206" s="331"/>
      <c r="E206" s="331"/>
      <c r="F206" s="338" t="s">
        <v>906</v>
      </c>
      <c r="G206" s="773" t="s">
        <v>442</v>
      </c>
      <c r="H206" s="333">
        <f>Calculation!D91/1000</f>
        <v>0.5</v>
      </c>
      <c r="I206" s="809" t="s">
        <v>74</v>
      </c>
      <c r="J206" s="326"/>
      <c r="K206" s="326"/>
    </row>
    <row r="207" spans="1:11" ht="15" x14ac:dyDescent="0.25">
      <c r="A207" s="807" t="s">
        <v>778</v>
      </c>
      <c r="B207" s="331"/>
      <c r="C207" s="331"/>
      <c r="D207" s="331"/>
      <c r="E207" s="331"/>
      <c r="F207" s="338" t="s">
        <v>907</v>
      </c>
      <c r="G207" s="773" t="s">
        <v>442</v>
      </c>
      <c r="H207" s="333">
        <f>Calculation!D90/1000</f>
        <v>0.4</v>
      </c>
      <c r="I207" s="809" t="s">
        <v>74</v>
      </c>
      <c r="J207" s="326"/>
      <c r="K207" s="334"/>
    </row>
    <row r="208" spans="1:11" ht="15" x14ac:dyDescent="0.25">
      <c r="A208" s="824" t="s">
        <v>908</v>
      </c>
      <c r="B208" s="329"/>
      <c r="C208" s="329"/>
      <c r="D208" s="329"/>
      <c r="E208" s="329"/>
      <c r="F208" s="338" t="s">
        <v>909</v>
      </c>
      <c r="G208" s="773" t="s">
        <v>442</v>
      </c>
      <c r="H208" s="808">
        <f>H202/2+Calculation!F310/2</f>
        <v>5.1499999999999995</v>
      </c>
      <c r="I208" s="809" t="s">
        <v>74</v>
      </c>
      <c r="J208" s="347"/>
      <c r="K208" s="326"/>
    </row>
    <row r="209" spans="1:10" ht="15" x14ac:dyDescent="0.25">
      <c r="A209" s="771" t="s">
        <v>910</v>
      </c>
      <c r="B209" s="347"/>
      <c r="C209" s="338"/>
      <c r="D209" s="338"/>
      <c r="E209" s="338"/>
      <c r="F209" s="326"/>
      <c r="G209" s="773"/>
      <c r="H209" s="333"/>
      <c r="I209" s="774"/>
      <c r="J209" s="326"/>
    </row>
    <row r="210" spans="1:10" ht="15" x14ac:dyDescent="0.25">
      <c r="A210" s="824" t="s">
        <v>911</v>
      </c>
      <c r="B210" s="329"/>
      <c r="C210" s="329"/>
      <c r="D210" s="329"/>
      <c r="E210" s="338"/>
      <c r="F210" s="338" t="s">
        <v>912</v>
      </c>
      <c r="G210" s="773" t="s">
        <v>442</v>
      </c>
      <c r="H210" s="811">
        <f>Calculation!C94</f>
        <v>0.35</v>
      </c>
      <c r="I210" s="809" t="s">
        <v>74</v>
      </c>
      <c r="J210" s="326"/>
    </row>
    <row r="211" spans="1:10" ht="15" x14ac:dyDescent="0.25">
      <c r="A211" s="824" t="s">
        <v>913</v>
      </c>
      <c r="B211" s="329"/>
      <c r="C211" s="329"/>
      <c r="D211" s="329"/>
      <c r="E211" s="338"/>
      <c r="F211" s="338" t="s">
        <v>914</v>
      </c>
      <c r="G211" s="773" t="s">
        <v>442</v>
      </c>
      <c r="H211" s="811">
        <f>H210</f>
        <v>0.35</v>
      </c>
      <c r="I211" s="809" t="s">
        <v>74</v>
      </c>
      <c r="J211" s="326"/>
    </row>
    <row r="212" spans="1:10" ht="15" x14ac:dyDescent="0.25">
      <c r="A212" s="824" t="s">
        <v>915</v>
      </c>
      <c r="B212" s="329"/>
      <c r="C212" s="329"/>
      <c r="D212" s="329"/>
      <c r="E212" s="338"/>
      <c r="F212" s="338" t="s">
        <v>916</v>
      </c>
      <c r="G212" s="773" t="s">
        <v>442</v>
      </c>
      <c r="H212" s="811">
        <f>Calculation!F86/2</f>
        <v>4.55</v>
      </c>
      <c r="I212" s="809" t="s">
        <v>74</v>
      </c>
      <c r="J212" s="326"/>
    </row>
    <row r="213" spans="1:10" ht="15" x14ac:dyDescent="0.25">
      <c r="A213" s="824" t="s">
        <v>917</v>
      </c>
      <c r="B213" s="329"/>
      <c r="C213" s="329"/>
      <c r="D213" s="329"/>
      <c r="E213" s="338"/>
      <c r="F213" s="338" t="s">
        <v>918</v>
      </c>
      <c r="G213" s="773" t="s">
        <v>442</v>
      </c>
      <c r="H213" s="811">
        <f>Calculation!F61/2</f>
        <v>3.55</v>
      </c>
      <c r="I213" s="809" t="s">
        <v>74</v>
      </c>
      <c r="J213" s="326"/>
    </row>
    <row r="214" spans="1:10" ht="15" x14ac:dyDescent="0.25">
      <c r="A214" s="807" t="s">
        <v>919</v>
      </c>
      <c r="B214" s="331"/>
      <c r="C214" s="331"/>
      <c r="D214" s="331"/>
      <c r="E214" s="338"/>
      <c r="F214" s="338" t="s">
        <v>920</v>
      </c>
      <c r="G214" s="773" t="s">
        <v>442</v>
      </c>
      <c r="H214" s="850">
        <f>ROUND(Calculation!F135,1)</f>
        <v>45</v>
      </c>
      <c r="I214" s="810" t="s">
        <v>765</v>
      </c>
      <c r="J214" s="326"/>
    </row>
    <row r="215" spans="1:10" ht="15" x14ac:dyDescent="0.25">
      <c r="A215" s="824" t="s">
        <v>921</v>
      </c>
      <c r="B215" s="329"/>
      <c r="C215" s="329"/>
      <c r="D215" s="329"/>
      <c r="E215" s="338"/>
      <c r="F215" s="338" t="s">
        <v>922</v>
      </c>
      <c r="G215" s="773" t="s">
        <v>442</v>
      </c>
      <c r="H215" s="811">
        <f>Calculation!B95</f>
        <v>1.4142135623730951</v>
      </c>
      <c r="I215" s="809" t="s">
        <v>74</v>
      </c>
      <c r="J215" s="326"/>
    </row>
    <row r="216" spans="1:10" ht="15" x14ac:dyDescent="0.25">
      <c r="A216" s="771" t="s">
        <v>786</v>
      </c>
      <c r="B216" s="347"/>
      <c r="C216" s="347"/>
      <c r="D216" s="347"/>
      <c r="E216" s="347"/>
      <c r="F216" s="347"/>
      <c r="G216" s="773"/>
      <c r="H216" s="338"/>
      <c r="I216" s="774"/>
      <c r="J216" s="326"/>
    </row>
    <row r="217" spans="1:10" ht="15" x14ac:dyDescent="0.25">
      <c r="A217" s="771" t="s">
        <v>923</v>
      </c>
      <c r="B217" s="331"/>
      <c r="C217" s="331"/>
      <c r="D217" s="331"/>
      <c r="E217" s="338"/>
      <c r="F217" s="326"/>
      <c r="G217" s="338"/>
      <c r="H217" s="338"/>
      <c r="I217" s="774"/>
      <c r="J217" s="326"/>
    </row>
    <row r="218" spans="1:10" ht="15" x14ac:dyDescent="0.25">
      <c r="A218" s="807" t="s">
        <v>839</v>
      </c>
      <c r="B218" s="326"/>
      <c r="C218" s="326"/>
      <c r="D218" s="326"/>
      <c r="E218" s="326"/>
      <c r="F218" s="338" t="s">
        <v>384</v>
      </c>
      <c r="G218" s="773" t="s">
        <v>442</v>
      </c>
      <c r="H218" s="351">
        <f>H103</f>
        <v>186000</v>
      </c>
      <c r="I218" s="809" t="s">
        <v>832</v>
      </c>
      <c r="J218" s="326"/>
    </row>
    <row r="219" spans="1:10" ht="15" x14ac:dyDescent="0.25">
      <c r="A219" s="851" t="s">
        <v>57</v>
      </c>
      <c r="B219" s="352" t="s">
        <v>924</v>
      </c>
      <c r="C219" s="326"/>
      <c r="D219" s="340" t="str">
        <f>CONCATENATE("E","*","(",12,"∕","(",H202,"^",2,"*",H203,"^",2,")",")","^",0.25)</f>
        <v>E*(12∕(9.3^2*0.2^2))^0.25</v>
      </c>
      <c r="E219" s="326"/>
      <c r="F219" s="338" t="s">
        <v>57</v>
      </c>
      <c r="G219" s="773" t="s">
        <v>442</v>
      </c>
      <c r="H219" s="334">
        <f>H104</f>
        <v>1.365</v>
      </c>
      <c r="I219" s="774"/>
      <c r="J219" s="339"/>
    </row>
    <row r="220" spans="1:10" ht="15" x14ac:dyDescent="0.25">
      <c r="A220" s="447" t="s">
        <v>351</v>
      </c>
      <c r="B220" s="331" t="s">
        <v>925</v>
      </c>
      <c r="C220" s="338"/>
      <c r="D220" s="339" t="str">
        <f>D105</f>
        <v>=E*0.2^3/12</v>
      </c>
      <c r="E220" s="338"/>
      <c r="F220" s="338" t="s">
        <v>351</v>
      </c>
      <c r="G220" s="773" t="s">
        <v>442</v>
      </c>
      <c r="H220" s="354">
        <f>H105</f>
        <v>6.667E-4</v>
      </c>
      <c r="I220" s="809" t="s">
        <v>810</v>
      </c>
      <c r="J220" s="326"/>
    </row>
    <row r="221" spans="1:10" ht="15" x14ac:dyDescent="0.25">
      <c r="A221" s="807" t="s">
        <v>808</v>
      </c>
      <c r="B221" s="326"/>
      <c r="C221" s="338"/>
      <c r="D221" s="339"/>
      <c r="E221" s="338"/>
      <c r="F221" s="326"/>
      <c r="G221" s="773"/>
      <c r="H221" s="354"/>
      <c r="I221" s="774"/>
      <c r="J221" s="326"/>
    </row>
    <row r="222" spans="1:10" ht="15" x14ac:dyDescent="0.25">
      <c r="A222" s="852"/>
      <c r="B222" s="383" t="s">
        <v>842</v>
      </c>
      <c r="C222" s="814"/>
      <c r="D222" s="814"/>
      <c r="E222" s="814"/>
      <c r="F222" s="814" t="s">
        <v>110</v>
      </c>
      <c r="G222" s="813" t="s">
        <v>442</v>
      </c>
      <c r="H222" s="853">
        <f>H107</f>
        <v>1.82E-3</v>
      </c>
      <c r="I222" s="854" t="s">
        <v>810</v>
      </c>
      <c r="J222" s="326"/>
    </row>
    <row r="223" spans="1:10" ht="15" x14ac:dyDescent="0.25">
      <c r="A223" s="843"/>
      <c r="B223" s="817" t="str">
        <f>B108</f>
        <v>=2*1.365*0.0006667*E</v>
      </c>
      <c r="C223" s="818"/>
      <c r="D223" s="818"/>
      <c r="E223" s="818"/>
      <c r="F223" s="818"/>
      <c r="G223" s="818"/>
      <c r="H223" s="410" t="s">
        <v>837</v>
      </c>
      <c r="I223" s="819" t="s">
        <v>802</v>
      </c>
      <c r="J223" s="326"/>
    </row>
    <row r="224" spans="1:10" ht="15" x14ac:dyDescent="0.25">
      <c r="A224" s="807" t="s">
        <v>843</v>
      </c>
      <c r="B224" s="328"/>
      <c r="C224" s="326"/>
      <c r="D224" s="326"/>
      <c r="E224" s="326"/>
      <c r="F224" s="326"/>
      <c r="G224" s="326"/>
      <c r="H224" s="338"/>
      <c r="I224" s="810"/>
      <c r="J224" s="326"/>
    </row>
    <row r="225" spans="1:9" ht="15" x14ac:dyDescent="0.25">
      <c r="A225" s="796"/>
      <c r="B225" s="331" t="s">
        <v>844</v>
      </c>
      <c r="C225" s="331"/>
      <c r="D225" s="338"/>
      <c r="E225" s="338"/>
      <c r="F225" s="338" t="s">
        <v>815</v>
      </c>
      <c r="G225" s="773" t="s">
        <v>442</v>
      </c>
      <c r="H225" s="354">
        <f>H110</f>
        <v>2.48E-3</v>
      </c>
      <c r="I225" s="809" t="s">
        <v>810</v>
      </c>
    </row>
    <row r="226" spans="1:9" ht="15" x14ac:dyDescent="0.25">
      <c r="A226" s="447"/>
      <c r="B226" s="339" t="str">
        <f>B111</f>
        <v>=2*1.365^2*0.0006667</v>
      </c>
      <c r="C226" s="338"/>
      <c r="D226" s="338"/>
      <c r="E226" s="338"/>
      <c r="F226" s="326"/>
      <c r="G226" s="338"/>
      <c r="H226" s="801" t="s">
        <v>817</v>
      </c>
      <c r="I226" s="820" t="s">
        <v>818</v>
      </c>
    </row>
    <row r="227" spans="1:9" ht="15" x14ac:dyDescent="0.25">
      <c r="A227" s="807" t="s">
        <v>819</v>
      </c>
      <c r="B227" s="339"/>
      <c r="C227" s="338"/>
      <c r="D227" s="338"/>
      <c r="E227" s="338"/>
      <c r="F227" s="326"/>
      <c r="G227" s="338"/>
      <c r="H227" s="801"/>
      <c r="I227" s="820"/>
    </row>
    <row r="228" spans="1:9" ht="15" x14ac:dyDescent="0.25">
      <c r="A228" s="796"/>
      <c r="B228" s="331" t="s">
        <v>845</v>
      </c>
      <c r="C228" s="326"/>
      <c r="D228" s="326"/>
      <c r="E228" s="326"/>
      <c r="F228" s="338" t="s">
        <v>22</v>
      </c>
      <c r="G228" s="773" t="s">
        <v>442</v>
      </c>
      <c r="H228" s="344">
        <f>H113</f>
        <v>6.7999999999999996E-3</v>
      </c>
      <c r="I228" s="809" t="s">
        <v>810</v>
      </c>
    </row>
    <row r="229" spans="1:9" ht="15" x14ac:dyDescent="0.25">
      <c r="A229" s="447"/>
      <c r="B229" s="339" t="str">
        <f>B114</f>
        <v>4*1.365^3*0.0006667</v>
      </c>
      <c r="C229" s="338"/>
      <c r="D229" s="338"/>
      <c r="E229" s="338"/>
      <c r="F229" s="326"/>
      <c r="G229" s="338"/>
      <c r="H229" s="338" t="s">
        <v>832</v>
      </c>
      <c r="I229" s="820" t="s">
        <v>818</v>
      </c>
    </row>
    <row r="230" spans="1:9" ht="15" x14ac:dyDescent="0.25">
      <c r="A230" s="807" t="s">
        <v>846</v>
      </c>
      <c r="B230" s="339"/>
      <c r="C230" s="338"/>
      <c r="D230" s="338"/>
      <c r="E230" s="338"/>
      <c r="F230" s="326"/>
      <c r="G230" s="338"/>
      <c r="H230" s="338"/>
      <c r="I230" s="820"/>
    </row>
    <row r="231" spans="1:9" ht="15" x14ac:dyDescent="0.25">
      <c r="A231" s="796"/>
      <c r="B231" s="331" t="s">
        <v>844</v>
      </c>
      <c r="C231" s="331"/>
      <c r="D231" s="338"/>
      <c r="E231" s="338"/>
      <c r="F231" s="338" t="s">
        <v>826</v>
      </c>
      <c r="G231" s="773" t="s">
        <v>442</v>
      </c>
      <c r="H231" s="354">
        <f>H116</f>
        <v>2.48E-3</v>
      </c>
      <c r="I231" s="809" t="s">
        <v>810</v>
      </c>
    </row>
    <row r="232" spans="1:9" ht="15" x14ac:dyDescent="0.25">
      <c r="A232" s="796"/>
      <c r="B232" s="328" t="str">
        <f>B117</f>
        <v>=2*1.365^2*0.0006667</v>
      </c>
      <c r="C232" s="326"/>
      <c r="D232" s="326"/>
      <c r="E232" s="326"/>
      <c r="F232" s="326"/>
      <c r="G232" s="326"/>
      <c r="H232" s="338" t="s">
        <v>837</v>
      </c>
      <c r="I232" s="810" t="s">
        <v>802</v>
      </c>
    </row>
    <row r="233" spans="1:9" ht="15" x14ac:dyDescent="0.25">
      <c r="A233" s="807" t="s">
        <v>849</v>
      </c>
      <c r="B233" s="328"/>
      <c r="C233" s="326"/>
      <c r="D233" s="326"/>
      <c r="E233" s="326"/>
      <c r="F233" s="326"/>
      <c r="G233" s="326"/>
      <c r="H233" s="338"/>
      <c r="I233" s="810"/>
    </row>
    <row r="234" spans="1:9" ht="15" x14ac:dyDescent="0.25">
      <c r="A234" s="796"/>
      <c r="B234" s="331" t="s">
        <v>926</v>
      </c>
      <c r="C234" s="331"/>
      <c r="D234" s="331"/>
      <c r="E234" s="331"/>
      <c r="F234" s="331"/>
      <c r="G234" s="773" t="s">
        <v>442</v>
      </c>
      <c r="H234" s="327">
        <f>H119</f>
        <v>4324499.9999999991</v>
      </c>
      <c r="I234" s="823" t="s">
        <v>799</v>
      </c>
    </row>
    <row r="235" spans="1:9" ht="15" x14ac:dyDescent="0.25">
      <c r="A235" s="824"/>
      <c r="B235" s="339" t="str">
        <f>B120</f>
        <v>(186000**9.3/2)/(0.2*E)</v>
      </c>
      <c r="C235" s="329"/>
      <c r="D235" s="329"/>
      <c r="E235" s="329"/>
      <c r="F235" s="329"/>
      <c r="G235" s="773"/>
      <c r="H235" s="327" t="s">
        <v>74</v>
      </c>
      <c r="I235" s="820" t="s">
        <v>833</v>
      </c>
    </row>
    <row r="236" spans="1:9" ht="15" x14ac:dyDescent="0.25">
      <c r="A236" s="807" t="s">
        <v>851</v>
      </c>
      <c r="B236" s="339"/>
      <c r="C236" s="329"/>
      <c r="D236" s="329"/>
      <c r="E236" s="329"/>
      <c r="F236" s="329"/>
      <c r="G236" s="773"/>
      <c r="H236" s="327"/>
      <c r="I236" s="820"/>
    </row>
    <row r="237" spans="1:9" ht="15" x14ac:dyDescent="0.25">
      <c r="A237" s="796"/>
      <c r="B237" s="825" t="s">
        <v>852</v>
      </c>
      <c r="C237" s="331"/>
      <c r="D237" s="338"/>
      <c r="E237" s="338"/>
      <c r="F237" s="326"/>
      <c r="G237" s="773" t="s">
        <v>442</v>
      </c>
      <c r="H237" s="327">
        <f>H122</f>
        <v>1081124.9999999998</v>
      </c>
      <c r="I237" s="809" t="s">
        <v>799</v>
      </c>
    </row>
    <row r="238" spans="1:9" ht="15" x14ac:dyDescent="0.25">
      <c r="A238" s="796"/>
      <c r="B238" s="328" t="str">
        <f>B123</f>
        <v>4324500/E*1/4</v>
      </c>
      <c r="C238" s="326"/>
      <c r="D238" s="326"/>
      <c r="E238" s="326"/>
      <c r="F238" s="326"/>
      <c r="G238" s="326"/>
      <c r="H238" s="338" t="s">
        <v>801</v>
      </c>
      <c r="I238" s="810" t="s">
        <v>802</v>
      </c>
    </row>
    <row r="239" spans="1:9" ht="15" x14ac:dyDescent="0.25">
      <c r="A239" s="771" t="s">
        <v>927</v>
      </c>
      <c r="B239" s="331"/>
      <c r="C239" s="338"/>
      <c r="D239" s="338"/>
      <c r="E239" s="338"/>
      <c r="F239" s="326"/>
      <c r="G239" s="338"/>
      <c r="H239" s="338"/>
      <c r="I239" s="774"/>
    </row>
    <row r="240" spans="1:9" ht="15" x14ac:dyDescent="0.25">
      <c r="A240" s="807" t="s">
        <v>928</v>
      </c>
      <c r="B240" s="331"/>
      <c r="C240" s="338"/>
      <c r="D240" s="338"/>
      <c r="E240" s="338"/>
      <c r="F240" s="326"/>
      <c r="G240" s="338"/>
      <c r="H240" s="338"/>
      <c r="I240" s="774"/>
    </row>
    <row r="241" spans="1:13" ht="15" x14ac:dyDescent="0.25">
      <c r="A241" s="796"/>
      <c r="B241" s="331" t="s">
        <v>929</v>
      </c>
      <c r="C241" s="326"/>
      <c r="D241" s="328" t="str">
        <f>CONCATENATE("E","*",H206,"*",H207,"/",H208,"^",2)</f>
        <v>E*0.5*0.4/5.15^2</v>
      </c>
      <c r="E241" s="326"/>
      <c r="F241" s="338" t="s">
        <v>22</v>
      </c>
      <c r="G241" s="773" t="s">
        <v>442</v>
      </c>
      <c r="H241" s="344">
        <f>H206*H207/H208^2</f>
        <v>7.5407672730700374E-3</v>
      </c>
      <c r="I241" s="809" t="s">
        <v>810</v>
      </c>
      <c r="J241" s="326"/>
      <c r="K241" s="326"/>
      <c r="L241" s="326"/>
      <c r="M241" s="326"/>
    </row>
    <row r="242" spans="1:13" ht="15" x14ac:dyDescent="0.25">
      <c r="A242" s="447"/>
      <c r="B242" s="326"/>
      <c r="C242" s="338"/>
      <c r="D242" s="338"/>
      <c r="E242" s="338"/>
      <c r="F242" s="326"/>
      <c r="G242" s="773"/>
      <c r="H242" s="338" t="s">
        <v>832</v>
      </c>
      <c r="I242" s="820" t="s">
        <v>833</v>
      </c>
      <c r="J242" s="326"/>
      <c r="K242" s="326"/>
      <c r="L242" s="339"/>
      <c r="M242" s="326"/>
    </row>
    <row r="243" spans="1:13" ht="15" x14ac:dyDescent="0.25">
      <c r="A243" s="807" t="s">
        <v>930</v>
      </c>
      <c r="B243" s="339"/>
      <c r="C243" s="338"/>
      <c r="D243" s="338"/>
      <c r="E243" s="338"/>
      <c r="F243" s="326"/>
      <c r="G243" s="773"/>
      <c r="H243" s="338"/>
      <c r="I243" s="820"/>
      <c r="J243" s="326"/>
      <c r="K243" s="326"/>
      <c r="L243" s="326"/>
      <c r="M243" s="326"/>
    </row>
    <row r="244" spans="1:13" ht="15" x14ac:dyDescent="0.25">
      <c r="A244" s="796"/>
      <c r="B244" s="328" t="s">
        <v>931</v>
      </c>
      <c r="C244" s="331"/>
      <c r="D244" s="331"/>
      <c r="E244" s="331"/>
      <c r="F244" s="338" t="s">
        <v>110</v>
      </c>
      <c r="G244" s="773" t="s">
        <v>442</v>
      </c>
      <c r="H244" s="331">
        <f>H206*H207^3/(12*H208^2)</f>
        <v>1.0054356364093384E-4</v>
      </c>
      <c r="I244" s="809" t="s">
        <v>810</v>
      </c>
      <c r="J244" s="326"/>
      <c r="K244" s="354"/>
      <c r="L244" s="326"/>
      <c r="M244" s="326"/>
    </row>
    <row r="245" spans="1:13" ht="15" x14ac:dyDescent="0.25">
      <c r="A245" s="796"/>
      <c r="B245" s="328" t="str">
        <f>CONCATENATE("E","*",H206,"*",H207,"^",3,"/","(",12,"*",H208,"^",2,")")</f>
        <v>E*0.5*0.4^3/(12*5.15^2)</v>
      </c>
      <c r="C245" s="326"/>
      <c r="D245" s="326"/>
      <c r="E245" s="326"/>
      <c r="F245" s="326"/>
      <c r="G245" s="326"/>
      <c r="H245" s="338" t="s">
        <v>837</v>
      </c>
      <c r="I245" s="810" t="s">
        <v>802</v>
      </c>
      <c r="J245" s="326"/>
      <c r="K245" s="339"/>
      <c r="L245" s="326"/>
      <c r="M245" s="326"/>
    </row>
    <row r="246" spans="1:13" ht="15" x14ac:dyDescent="0.25">
      <c r="A246" s="771" t="s">
        <v>932</v>
      </c>
      <c r="B246" s="331"/>
      <c r="C246" s="331"/>
      <c r="D246" s="331"/>
      <c r="E246" s="338"/>
      <c r="F246" s="326"/>
      <c r="G246" s="773"/>
      <c r="H246" s="338"/>
      <c r="I246" s="774"/>
      <c r="J246" s="326"/>
      <c r="K246" s="326"/>
      <c r="L246" s="326"/>
      <c r="M246" s="326"/>
    </row>
    <row r="247" spans="1:13" ht="15" x14ac:dyDescent="0.25">
      <c r="A247" s="824" t="s">
        <v>933</v>
      </c>
      <c r="B247" s="329"/>
      <c r="C247" s="329"/>
      <c r="D247" s="329"/>
      <c r="E247" s="338"/>
      <c r="F247" s="338" t="s">
        <v>934</v>
      </c>
      <c r="G247" s="773" t="s">
        <v>442</v>
      </c>
      <c r="H247" s="327">
        <f>Calculation!F634*10000</f>
        <v>272961.57204415044</v>
      </c>
      <c r="I247" s="809" t="s">
        <v>832</v>
      </c>
      <c r="J247" s="326"/>
      <c r="K247" s="326"/>
      <c r="L247" s="326"/>
      <c r="M247" s="326"/>
    </row>
    <row r="248" spans="1:13" ht="15" x14ac:dyDescent="0.25">
      <c r="A248" s="824" t="s">
        <v>935</v>
      </c>
      <c r="B248" s="329"/>
      <c r="C248" s="329"/>
      <c r="D248" s="329"/>
      <c r="E248" s="338"/>
      <c r="F248" s="338" t="s">
        <v>936</v>
      </c>
      <c r="G248" s="773" t="s">
        <v>442</v>
      </c>
      <c r="H248" s="327">
        <f>H247</f>
        <v>272961.57204415044</v>
      </c>
      <c r="I248" s="809" t="s">
        <v>832</v>
      </c>
      <c r="J248" s="326"/>
      <c r="K248" s="326"/>
      <c r="L248" s="326"/>
      <c r="M248" s="326"/>
    </row>
    <row r="249" spans="1:13" ht="15" x14ac:dyDescent="0.25">
      <c r="A249" s="824" t="s">
        <v>937</v>
      </c>
      <c r="B249" s="329"/>
      <c r="C249" s="329"/>
      <c r="D249" s="329"/>
      <c r="E249" s="338"/>
      <c r="F249" s="326"/>
      <c r="G249" s="773"/>
      <c r="H249" s="327"/>
      <c r="I249" s="774"/>
      <c r="J249" s="326"/>
      <c r="K249" s="326"/>
      <c r="L249" s="326"/>
      <c r="M249" s="326"/>
    </row>
    <row r="250" spans="1:13" ht="15" x14ac:dyDescent="0.25">
      <c r="A250" s="796"/>
      <c r="B250" s="329" t="s">
        <v>938</v>
      </c>
      <c r="C250" s="329"/>
      <c r="D250" s="338"/>
      <c r="E250" s="338"/>
      <c r="F250" s="338" t="s">
        <v>870</v>
      </c>
      <c r="G250" s="773" t="s">
        <v>442</v>
      </c>
      <c r="H250" s="331">
        <f>H247*H212/H210</f>
        <v>3548500.4365739552</v>
      </c>
      <c r="I250" s="809" t="s">
        <v>799</v>
      </c>
      <c r="J250" s="326"/>
      <c r="K250" s="327"/>
      <c r="L250" s="326"/>
      <c r="M250" s="326"/>
    </row>
    <row r="251" spans="1:13" ht="15" x14ac:dyDescent="0.25">
      <c r="A251" s="796"/>
      <c r="B251" s="328" t="str">
        <f>CONCATENATE(H247,"*",H212,"/","(","E","*",H210,")")</f>
        <v>272961.57204415*4.55/(E*0.35)</v>
      </c>
      <c r="C251" s="326"/>
      <c r="D251" s="326"/>
      <c r="E251" s="326"/>
      <c r="F251" s="326"/>
      <c r="G251" s="326"/>
      <c r="H251" s="338" t="s">
        <v>74</v>
      </c>
      <c r="I251" s="820" t="s">
        <v>833</v>
      </c>
      <c r="J251" s="326"/>
      <c r="K251" s="328"/>
      <c r="L251" s="326"/>
      <c r="M251" s="326"/>
    </row>
    <row r="252" spans="1:13" ht="15" x14ac:dyDescent="0.25">
      <c r="A252" s="807" t="s">
        <v>939</v>
      </c>
      <c r="B252" s="347"/>
      <c r="C252" s="347"/>
      <c r="D252" s="338"/>
      <c r="E252" s="338"/>
      <c r="F252" s="326"/>
      <c r="G252" s="773"/>
      <c r="H252" s="354"/>
      <c r="I252" s="774"/>
      <c r="J252" s="326"/>
      <c r="K252" s="326"/>
      <c r="L252" s="326"/>
      <c r="M252" s="326"/>
    </row>
    <row r="253" spans="1:13" ht="15" x14ac:dyDescent="0.25">
      <c r="A253" s="807"/>
      <c r="B253" s="331" t="s">
        <v>940</v>
      </c>
      <c r="C253" s="347"/>
      <c r="D253" s="338"/>
      <c r="E253" s="338"/>
      <c r="F253" s="326"/>
      <c r="G253" s="773"/>
      <c r="H253" s="354"/>
      <c r="I253" s="774"/>
      <c r="J253" s="326"/>
      <c r="K253" s="326"/>
      <c r="L253" s="326"/>
      <c r="M253" s="326"/>
    </row>
    <row r="254" spans="1:13" ht="15" x14ac:dyDescent="0.25">
      <c r="A254" s="807" t="s">
        <v>941</v>
      </c>
      <c r="B254" s="331"/>
      <c r="C254" s="331"/>
      <c r="D254" s="338"/>
      <c r="E254" s="338"/>
      <c r="F254" s="338" t="s">
        <v>1011</v>
      </c>
      <c r="G254" s="773" t="s">
        <v>442</v>
      </c>
      <c r="H254" s="327">
        <f>H247</f>
        <v>272961.57204415044</v>
      </c>
      <c r="I254" s="809" t="s">
        <v>832</v>
      </c>
      <c r="J254" s="326"/>
      <c r="K254" s="326"/>
      <c r="L254" s="326"/>
      <c r="M254" s="326"/>
    </row>
    <row r="255" spans="1:13" ht="15" x14ac:dyDescent="0.25">
      <c r="A255" s="824" t="s">
        <v>942</v>
      </c>
      <c r="B255" s="329"/>
      <c r="C255" s="329"/>
      <c r="D255" s="329"/>
      <c r="E255" s="329"/>
      <c r="F255" s="338" t="s">
        <v>170</v>
      </c>
      <c r="G255" s="773" t="s">
        <v>442</v>
      </c>
      <c r="H255" s="327">
        <f>Calculation!F564*3.14*(Calculation!F86+Calculation!B86)*10000</f>
        <v>1346866.4964001135</v>
      </c>
      <c r="I255" s="809" t="s">
        <v>899</v>
      </c>
      <c r="J255" s="326"/>
      <c r="K255" s="326"/>
      <c r="L255" s="326"/>
      <c r="M255" s="326"/>
    </row>
    <row r="256" spans="1:13" ht="15" x14ac:dyDescent="0.25">
      <c r="A256" s="824"/>
      <c r="B256" s="329" t="s">
        <v>943</v>
      </c>
      <c r="C256" s="329"/>
      <c r="D256" s="328" t="str">
        <f>CONCATENATE(H255,"/","(",2,"*",3.142,"*",H212,")")</f>
        <v>1346866.49640011/(2*3.142*4.55)</v>
      </c>
      <c r="E256" s="329"/>
      <c r="F256" s="326"/>
      <c r="G256" s="773" t="s">
        <v>442</v>
      </c>
      <c r="H256" s="331">
        <f>ROUND(H255/(2*3.142*H212),3)</f>
        <v>47106.080999999998</v>
      </c>
      <c r="I256" s="809" t="s">
        <v>832</v>
      </c>
      <c r="J256" s="326"/>
      <c r="K256" s="339"/>
      <c r="L256" s="326"/>
      <c r="M256" s="327"/>
    </row>
    <row r="257" spans="1:15" ht="15" x14ac:dyDescent="0.25">
      <c r="A257" s="824" t="s">
        <v>944</v>
      </c>
      <c r="B257" s="329"/>
      <c r="C257" s="331" t="str">
        <f>CONCATENATE(H256,"/","cos",H214)</f>
        <v>47106.081/cos45</v>
      </c>
      <c r="D257" s="326"/>
      <c r="E257" s="338"/>
      <c r="F257" s="338" t="s">
        <v>1013</v>
      </c>
      <c r="G257" s="773" t="s">
        <v>442</v>
      </c>
      <c r="H257" s="331">
        <f>H256/K257</f>
        <v>66618.058620445561</v>
      </c>
      <c r="I257" s="809" t="s">
        <v>832</v>
      </c>
      <c r="J257" s="338" t="str">
        <f>CONCATENATE("Cos",H214," = ")</f>
        <v xml:space="preserve">Cos45 = </v>
      </c>
      <c r="K257" s="339">
        <f>COS(RADIANS(H214))</f>
        <v>0.70710678118654757</v>
      </c>
      <c r="L257" s="326"/>
      <c r="M257" s="327"/>
      <c r="N257" s="326"/>
      <c r="O257" s="326"/>
    </row>
    <row r="258" spans="1:15" ht="15" x14ac:dyDescent="0.25">
      <c r="A258" s="807" t="s">
        <v>945</v>
      </c>
      <c r="B258" s="328" t="str">
        <f>CONCATENATE("-","tan",H214,"*","(",2,"*",H254,"+",H257,")","∕","(","E","*",H210,")")</f>
        <v>-tan45*(2*272961.57204415+66618.0586204456)∕(E*0.35)</v>
      </c>
      <c r="C258" s="326"/>
      <c r="D258" s="338"/>
      <c r="E258" s="338"/>
      <c r="F258" s="326"/>
      <c r="G258" s="773" t="s">
        <v>442</v>
      </c>
      <c r="H258" s="331">
        <f>-(2*H254+H257)/H210*K258</f>
        <v>-1750117.7220249895</v>
      </c>
      <c r="I258" s="809" t="s">
        <v>799</v>
      </c>
      <c r="J258" s="338" t="str">
        <f>CONCATENATE("Tan",H214," = ")</f>
        <v xml:space="preserve">Tan45 = </v>
      </c>
      <c r="K258" s="328">
        <f>TAN(RADIANS(H214))</f>
        <v>0.99999999999999989</v>
      </c>
      <c r="L258" s="326"/>
      <c r="M258" s="326"/>
      <c r="N258" s="326"/>
      <c r="O258" s="327"/>
    </row>
    <row r="259" spans="1:15" ht="15" x14ac:dyDescent="0.25">
      <c r="A259" s="824"/>
      <c r="B259" s="329"/>
      <c r="C259" s="329"/>
      <c r="D259" s="338"/>
      <c r="E259" s="338"/>
      <c r="F259" s="326"/>
      <c r="G259" s="773"/>
      <c r="H259" s="855" t="s">
        <v>801</v>
      </c>
      <c r="I259" s="810" t="s">
        <v>848</v>
      </c>
      <c r="J259" s="338" t="str">
        <f>CONCATENATE("Sin",H214," = ")</f>
        <v xml:space="preserve">Sin45 = </v>
      </c>
      <c r="K259" s="331">
        <f>SIN(RADIANS(H214))</f>
        <v>0.70710678118654746</v>
      </c>
      <c r="L259" s="326"/>
      <c r="M259" s="326"/>
      <c r="N259" s="326"/>
      <c r="O259" s="326"/>
    </row>
    <row r="260" spans="1:15" ht="15" x14ac:dyDescent="0.25">
      <c r="A260" s="856" t="s">
        <v>946</v>
      </c>
      <c r="B260" s="339" t="s">
        <v>947</v>
      </c>
      <c r="C260" s="326"/>
      <c r="D260" s="826" t="str">
        <f>CONCATENATE("(",12,"*","cot","^",2,H214,"/",H210,"^",2,")","^",0.25)</f>
        <v>(12*cot^245/0.35^2)^0.25</v>
      </c>
      <c r="E260" s="338"/>
      <c r="F260" s="857" t="s">
        <v>946</v>
      </c>
      <c r="G260" s="858" t="s">
        <v>442</v>
      </c>
      <c r="H260" s="331">
        <f>ROUND(((12*(1/K258)^2)/H210^2)^0.25,2)</f>
        <v>3.15</v>
      </c>
      <c r="I260" s="859"/>
      <c r="J260" s="326"/>
      <c r="K260" s="339"/>
      <c r="L260" s="326"/>
      <c r="M260" s="326"/>
      <c r="N260" s="333"/>
      <c r="O260" s="326"/>
    </row>
    <row r="261" spans="1:15" ht="15" x14ac:dyDescent="0.25">
      <c r="A261" s="824" t="s">
        <v>922</v>
      </c>
      <c r="B261" s="329"/>
      <c r="C261" s="329"/>
      <c r="D261" s="338"/>
      <c r="E261" s="338"/>
      <c r="F261" s="338" t="s">
        <v>922</v>
      </c>
      <c r="G261" s="858" t="s">
        <v>442</v>
      </c>
      <c r="H261" s="811">
        <f>H215</f>
        <v>1.4142135623730951</v>
      </c>
      <c r="I261" s="860" t="s">
        <v>74</v>
      </c>
      <c r="J261" s="326"/>
      <c r="K261" s="326"/>
      <c r="L261" s="326"/>
      <c r="M261" s="326"/>
      <c r="N261" s="326"/>
      <c r="O261" s="326"/>
    </row>
    <row r="262" spans="1:15" ht="15" x14ac:dyDescent="0.25">
      <c r="A262" s="824" t="s">
        <v>948</v>
      </c>
      <c r="B262" s="339" t="s">
        <v>949</v>
      </c>
      <c r="C262" s="326"/>
      <c r="D262" s="328" t="str">
        <f>CONCATENATE(H213,"*","cosec",H214)</f>
        <v>3.55*cosec45</v>
      </c>
      <c r="E262" s="338"/>
      <c r="F262" s="338" t="s">
        <v>948</v>
      </c>
      <c r="G262" s="858" t="s">
        <v>442</v>
      </c>
      <c r="H262" s="331">
        <f>ROUND(H213*1/K257,2)</f>
        <v>5.0199999999999996</v>
      </c>
      <c r="I262" s="860" t="s">
        <v>74</v>
      </c>
      <c r="J262" s="326"/>
      <c r="K262" s="339"/>
      <c r="L262" s="326"/>
      <c r="M262" s="333"/>
      <c r="N262" s="326"/>
      <c r="O262" s="326"/>
    </row>
    <row r="263" spans="1:15" ht="15" x14ac:dyDescent="0.25">
      <c r="A263" s="839" t="s">
        <v>950</v>
      </c>
      <c r="B263" s="840" t="s">
        <v>951</v>
      </c>
      <c r="C263" s="842"/>
      <c r="D263" s="861" t="str">
        <f>CONCATENATE(H261,"+",H262)</f>
        <v>1.4142135623731+5.02</v>
      </c>
      <c r="E263" s="814"/>
      <c r="F263" s="814" t="s">
        <v>950</v>
      </c>
      <c r="G263" s="862" t="s">
        <v>442</v>
      </c>
      <c r="H263" s="863">
        <f>ROUND(H261+H262,3)</f>
        <v>6.4340000000000002</v>
      </c>
      <c r="I263" s="864" t="s">
        <v>74</v>
      </c>
      <c r="J263" s="326"/>
      <c r="K263" s="326"/>
      <c r="L263" s="326"/>
      <c r="M263" s="326"/>
      <c r="N263" s="326"/>
      <c r="O263" s="326"/>
    </row>
    <row r="264" spans="1:15" ht="15" x14ac:dyDescent="0.25">
      <c r="A264" s="367" t="s">
        <v>351</v>
      </c>
      <c r="B264" s="817" t="s">
        <v>952</v>
      </c>
      <c r="C264" s="818"/>
      <c r="D264" s="817" t="str">
        <f>CONCATENATE(2,"*",H260,"*","sqrt","(",H263,")")</f>
        <v>2*3.15*sqrt(6.434)</v>
      </c>
      <c r="E264" s="410"/>
      <c r="F264" s="410" t="s">
        <v>351</v>
      </c>
      <c r="G264" s="868" t="s">
        <v>442</v>
      </c>
      <c r="H264" s="342">
        <f>ROUND(2*H260*SQRT(H263),4)</f>
        <v>15.9802</v>
      </c>
      <c r="I264" s="869"/>
      <c r="J264" s="326"/>
      <c r="K264" s="339"/>
      <c r="L264" s="326"/>
      <c r="M264" s="333"/>
      <c r="N264" s="326"/>
      <c r="O264" s="326"/>
    </row>
    <row r="265" spans="1:15" ht="15" x14ac:dyDescent="0.25">
      <c r="A265" s="447" t="s">
        <v>13</v>
      </c>
      <c r="B265" s="1277" t="s">
        <v>953</v>
      </c>
      <c r="C265" s="1277"/>
      <c r="D265" s="1277"/>
      <c r="E265" s="338"/>
      <c r="F265" s="326"/>
      <c r="G265" s="858"/>
      <c r="H265" s="333"/>
      <c r="I265" s="860"/>
      <c r="J265" s="326"/>
      <c r="K265" s="326"/>
      <c r="L265" s="326"/>
      <c r="M265" s="326"/>
      <c r="N265" s="326"/>
      <c r="O265" s="326"/>
    </row>
    <row r="266" spans="1:15" ht="15" x14ac:dyDescent="0.25">
      <c r="A266" s="796"/>
      <c r="B266" s="329" t="s">
        <v>954</v>
      </c>
      <c r="C266" s="329"/>
      <c r="D266" s="338"/>
      <c r="E266" s="338"/>
      <c r="F266" s="338" t="s">
        <v>1053</v>
      </c>
      <c r="G266" s="858" t="s">
        <v>442</v>
      </c>
      <c r="H266" s="333">
        <f>K270</f>
        <v>2689.1590000000001</v>
      </c>
      <c r="I266" s="860"/>
      <c r="J266" s="867" t="s">
        <v>351</v>
      </c>
      <c r="K266" s="421">
        <f>H264</f>
        <v>15.9802</v>
      </c>
      <c r="L266" s="421"/>
      <c r="M266" s="421"/>
      <c r="N266" s="421"/>
      <c r="O266" s="326"/>
    </row>
    <row r="267" spans="1:15" ht="15" x14ac:dyDescent="0.25">
      <c r="A267" s="796"/>
      <c r="B267" s="329" t="s">
        <v>955</v>
      </c>
      <c r="C267" s="329"/>
      <c r="D267" s="338"/>
      <c r="E267" s="338"/>
      <c r="F267" s="338" t="s">
        <v>1054</v>
      </c>
      <c r="G267" s="858" t="s">
        <v>442</v>
      </c>
      <c r="H267" s="333">
        <f>L270</f>
        <v>174.31</v>
      </c>
      <c r="I267" s="860"/>
      <c r="J267" s="867"/>
      <c r="K267" s="421" t="s">
        <v>956</v>
      </c>
      <c r="L267" s="421" t="s">
        <v>957</v>
      </c>
      <c r="M267" s="421" t="s">
        <v>958</v>
      </c>
      <c r="N267" s="421" t="s">
        <v>959</v>
      </c>
      <c r="O267" s="326"/>
    </row>
    <row r="268" spans="1:15" ht="15" x14ac:dyDescent="0.25">
      <c r="A268" s="796"/>
      <c r="B268" s="329"/>
      <c r="C268" s="329"/>
      <c r="D268" s="338"/>
      <c r="E268" s="338"/>
      <c r="F268" s="338" t="s">
        <v>1055</v>
      </c>
      <c r="G268" s="858" t="s">
        <v>442</v>
      </c>
      <c r="H268" s="334">
        <f>M270</f>
        <v>174.31</v>
      </c>
      <c r="I268" s="860"/>
      <c r="J268" s="867">
        <f>ROUNDDOWN(H264,)</f>
        <v>15</v>
      </c>
      <c r="K268" s="421">
        <v>2400</v>
      </c>
      <c r="L268" s="421">
        <v>139.9</v>
      </c>
      <c r="M268" s="421">
        <f>L268</f>
        <v>139.9</v>
      </c>
      <c r="N268" s="421">
        <v>16.45</v>
      </c>
      <c r="O268" s="326"/>
    </row>
    <row r="269" spans="1:15" ht="15" x14ac:dyDescent="0.25">
      <c r="A269" s="796"/>
      <c r="B269" s="329"/>
      <c r="C269" s="329"/>
      <c r="D269" s="338"/>
      <c r="E269" s="338"/>
      <c r="F269" s="338" t="s">
        <v>1056</v>
      </c>
      <c r="G269" s="858" t="s">
        <v>442</v>
      </c>
      <c r="H269" s="333">
        <f>N270</f>
        <v>17.22</v>
      </c>
      <c r="I269" s="860"/>
      <c r="J269" s="867">
        <f>ROUNDUP(H264,)</f>
        <v>16</v>
      </c>
      <c r="K269" s="421">
        <v>2695</v>
      </c>
      <c r="L269" s="421">
        <v>175</v>
      </c>
      <c r="M269" s="421">
        <f>L269</f>
        <v>175</v>
      </c>
      <c r="N269" s="421">
        <v>17.239999999999998</v>
      </c>
      <c r="O269" s="326"/>
    </row>
    <row r="270" spans="1:15" ht="15" x14ac:dyDescent="0.25">
      <c r="A270" s="824" t="s">
        <v>960</v>
      </c>
      <c r="B270" s="329"/>
      <c r="C270" s="329"/>
      <c r="D270" s="338"/>
      <c r="E270" s="338"/>
      <c r="F270" s="326"/>
      <c r="G270" s="858"/>
      <c r="H270" s="333"/>
      <c r="I270" s="860"/>
      <c r="J270" s="867"/>
      <c r="K270" s="421">
        <f>ROUND(K268+($K266-$J268)*(K269-K268)/($J269-$J268),3)</f>
        <v>2689.1590000000001</v>
      </c>
      <c r="L270" s="421">
        <f>ROUND(L268+($K266-$J268)*(L269-L268)/($J269-$J268),2)</f>
        <v>174.31</v>
      </c>
      <c r="M270" s="421">
        <f>ROUND(M268+($K266-$J268)*(M269-M268)/($J269-$J268),2)</f>
        <v>174.31</v>
      </c>
      <c r="N270" s="421">
        <f>ROUND(N268+($K266-$J268)*(N269-N268)/($J269-$J268),2)</f>
        <v>17.22</v>
      </c>
      <c r="O270" s="326"/>
    </row>
    <row r="271" spans="1:15" ht="15" x14ac:dyDescent="0.25">
      <c r="A271" s="796"/>
      <c r="B271" s="329" t="s">
        <v>961</v>
      </c>
      <c r="C271" s="329"/>
      <c r="D271" s="338"/>
      <c r="E271" s="338"/>
      <c r="F271" s="338" t="s">
        <v>110</v>
      </c>
      <c r="G271" s="858" t="s">
        <v>442</v>
      </c>
      <c r="H271" s="337">
        <f>H210*H269*H263/((H266*H269-H267*H268)*K258^2)</f>
        <v>2.435275100681315E-3</v>
      </c>
      <c r="I271" s="860" t="s">
        <v>810</v>
      </c>
      <c r="J271" s="326"/>
      <c r="K271" s="326"/>
      <c r="L271" s="326"/>
      <c r="M271" s="326"/>
      <c r="N271" s="326"/>
      <c r="O271" s="326"/>
    </row>
    <row r="272" spans="1:15" ht="15" x14ac:dyDescent="0.25">
      <c r="A272" s="824"/>
      <c r="B272" s="328" t="str">
        <f>CONCATENATE("E","*",H210,"*",H269,"*",H263,"/","(","(",H266,"*",H269,"-",H267,"*",H268,")","*","tan","^",2,H214,")")</f>
        <v>E*0.35*17.22*6.434/((2689.159*17.22-174.31*174.31)*tan^245)</v>
      </c>
      <c r="C272" s="329"/>
      <c r="D272" s="338"/>
      <c r="E272" s="338"/>
      <c r="F272" s="326"/>
      <c r="G272" s="858"/>
      <c r="H272" s="338" t="s">
        <v>837</v>
      </c>
      <c r="I272" s="810" t="s">
        <v>802</v>
      </c>
      <c r="J272" s="339"/>
      <c r="K272" s="326"/>
      <c r="L272" s="326"/>
      <c r="M272" s="326"/>
      <c r="N272" s="326"/>
      <c r="O272" s="337"/>
    </row>
    <row r="273" spans="1:10" ht="15" x14ac:dyDescent="0.25">
      <c r="A273" s="824" t="s">
        <v>843</v>
      </c>
      <c r="B273" s="339"/>
      <c r="C273" s="329"/>
      <c r="D273" s="338"/>
      <c r="E273" s="338"/>
      <c r="F273" s="326"/>
      <c r="G273" s="858"/>
      <c r="H273" s="338"/>
      <c r="I273" s="810"/>
      <c r="J273" s="326"/>
    </row>
    <row r="274" spans="1:10" ht="15" x14ac:dyDescent="0.25">
      <c r="A274" s="796"/>
      <c r="B274" s="339" t="s">
        <v>962</v>
      </c>
      <c r="C274" s="329"/>
      <c r="D274" s="338"/>
      <c r="E274" s="338"/>
      <c r="F274" s="338" t="s">
        <v>22</v>
      </c>
      <c r="G274" s="773" t="s">
        <v>442</v>
      </c>
      <c r="H274" s="337">
        <f>(H210*H267/((H266*H269-H267*H268)*K259*K258))</f>
        <v>5.4184007835947423E-3</v>
      </c>
      <c r="I274" s="860" t="s">
        <v>810</v>
      </c>
      <c r="J274" s="326"/>
    </row>
    <row r="275" spans="1:10" ht="15" x14ac:dyDescent="0.25">
      <c r="A275" s="824"/>
      <c r="B275" s="328" t="str">
        <f>CONCATENATE("E","*",H210,"*",H267,"/","(","(",H266,"*",H269,"-",H267,"*",H268,")","*","sin",H214,"*","tan",H214,")")</f>
        <v>E*0.35*174.31/((2689.159*17.22-174.31*174.31)*sin45*tan45)</v>
      </c>
      <c r="C275" s="329"/>
      <c r="D275" s="338"/>
      <c r="E275" s="338"/>
      <c r="F275" s="326"/>
      <c r="G275" s="773"/>
      <c r="H275" s="822" t="s">
        <v>817</v>
      </c>
      <c r="I275" s="820" t="s">
        <v>833</v>
      </c>
      <c r="J275" s="339"/>
    </row>
    <row r="276" spans="1:10" ht="15" x14ac:dyDescent="0.25">
      <c r="A276" s="807" t="s">
        <v>963</v>
      </c>
      <c r="B276" s="339"/>
      <c r="C276" s="329"/>
      <c r="D276" s="338"/>
      <c r="E276" s="338"/>
      <c r="F276" s="326"/>
      <c r="G276" s="773"/>
      <c r="H276" s="822"/>
      <c r="I276" s="820"/>
      <c r="J276" s="326"/>
    </row>
    <row r="277" spans="1:10" ht="15" x14ac:dyDescent="0.25">
      <c r="A277" s="796"/>
      <c r="B277" s="328" t="s">
        <v>964</v>
      </c>
      <c r="C277" s="326"/>
      <c r="D277" s="326"/>
      <c r="E277" s="326"/>
      <c r="F277" s="338" t="s">
        <v>815</v>
      </c>
      <c r="G277" s="773" t="s">
        <v>442</v>
      </c>
      <c r="H277" s="331">
        <f>H210*H266/((H266*H269-H267*H268)*H263*K259^2)</f>
        <v>1.8373811010266972E-2</v>
      </c>
      <c r="I277" s="809" t="s">
        <v>810</v>
      </c>
      <c r="J277" s="344"/>
    </row>
    <row r="278" spans="1:10" ht="15" x14ac:dyDescent="0.25">
      <c r="A278" s="447"/>
      <c r="B278" s="328" t="str">
        <f>CONCATENATE("E","*",H210,"*",H266,"/","(","(",H266,"*",H269,"-",H267,"*",H267,")","*",H263,"*","sin","^",2,    H214,")")</f>
        <v>E*0.35*2689.159/((2689.159*17.22-174.31*174.31)*6.434*sin^245)</v>
      </c>
      <c r="C278" s="338"/>
      <c r="D278" s="338"/>
      <c r="E278" s="338"/>
      <c r="F278" s="326"/>
      <c r="G278" s="338"/>
      <c r="H278" s="338" t="s">
        <v>832</v>
      </c>
      <c r="I278" s="820" t="s">
        <v>818</v>
      </c>
      <c r="J278" s="339"/>
    </row>
    <row r="279" spans="1:10" ht="15" x14ac:dyDescent="0.25">
      <c r="A279" s="807" t="s">
        <v>846</v>
      </c>
      <c r="B279" s="339"/>
      <c r="C279" s="338"/>
      <c r="D279" s="338"/>
      <c r="E279" s="338"/>
      <c r="F279" s="326"/>
      <c r="G279" s="338"/>
      <c r="H279" s="338"/>
      <c r="I279" s="820"/>
      <c r="J279" s="326"/>
    </row>
    <row r="280" spans="1:10" ht="15" x14ac:dyDescent="0.25">
      <c r="A280" s="796"/>
      <c r="B280" s="328" t="s">
        <v>965</v>
      </c>
      <c r="C280" s="331"/>
      <c r="D280" s="338"/>
      <c r="E280" s="338"/>
      <c r="F280" s="338" t="s">
        <v>826</v>
      </c>
      <c r="G280" s="773" t="s">
        <v>442</v>
      </c>
      <c r="H280" s="331">
        <f>(H210*H268)/((H266*H269-H267*H268)*(K259*K258))</f>
        <v>5.4184007835947423E-3</v>
      </c>
      <c r="I280" s="809" t="s">
        <v>810</v>
      </c>
      <c r="J280" s="354"/>
    </row>
    <row r="281" spans="1:10" ht="15" x14ac:dyDescent="0.25">
      <c r="A281" s="796"/>
      <c r="B281" s="328" t="str">
        <f>CONCATENATE("E","*",H210,"*",H268,"/","(","(",H266,"*",H269,"-",H267,"*",H268,")","*","sin",H214,"*","tan",H214,")")</f>
        <v>E*0.35*174.31/((2689.159*17.22-174.31*174.31)*sin45*tan45)</v>
      </c>
      <c r="C281" s="326"/>
      <c r="D281" s="326"/>
      <c r="E281" s="326"/>
      <c r="F281" s="326"/>
      <c r="G281" s="326"/>
      <c r="H281" s="338" t="s">
        <v>837</v>
      </c>
      <c r="I281" s="810" t="s">
        <v>848</v>
      </c>
      <c r="J281" s="422"/>
    </row>
    <row r="282" spans="1:10" ht="15" x14ac:dyDescent="0.25">
      <c r="A282" s="796"/>
      <c r="B282" s="326"/>
      <c r="C282" s="326"/>
      <c r="D282" s="326"/>
      <c r="E282" s="326"/>
      <c r="F282" s="326"/>
      <c r="G282" s="326"/>
      <c r="H282" s="870"/>
      <c r="I282" s="810"/>
      <c r="J282" s="326"/>
    </row>
    <row r="283" spans="1:10" ht="15" x14ac:dyDescent="0.25">
      <c r="A283" s="807" t="s">
        <v>853</v>
      </c>
      <c r="B283" s="326"/>
      <c r="C283" s="326"/>
      <c r="D283" s="326"/>
      <c r="E283" s="326"/>
      <c r="F283" s="326"/>
      <c r="G283" s="326"/>
      <c r="H283" s="826"/>
      <c r="I283" s="827"/>
      <c r="J283" s="326"/>
    </row>
    <row r="284" spans="1:10" ht="15" x14ac:dyDescent="0.2">
      <c r="A284" s="355" t="s">
        <v>854</v>
      </c>
      <c r="B284" s="1240" t="s">
        <v>855</v>
      </c>
      <c r="C284" s="1240"/>
      <c r="D284" s="1240" t="s">
        <v>857</v>
      </c>
      <c r="E284" s="1240"/>
      <c r="F284" s="1240" t="s">
        <v>966</v>
      </c>
      <c r="G284" s="1240"/>
      <c r="H284" s="1240" t="s">
        <v>967</v>
      </c>
      <c r="I284" s="1240"/>
      <c r="J284" s="356"/>
    </row>
    <row r="285" spans="1:10" ht="15" x14ac:dyDescent="0.25">
      <c r="A285" s="357" t="s">
        <v>858</v>
      </c>
      <c r="B285" s="1250" t="s">
        <v>859</v>
      </c>
      <c r="C285" s="1250"/>
      <c r="D285" s="361">
        <f>H237</f>
        <v>1081124.9999999998</v>
      </c>
      <c r="E285" s="359" t="s">
        <v>799</v>
      </c>
      <c r="F285" s="358"/>
      <c r="G285" s="360"/>
      <c r="H285" s="361">
        <f>H258</f>
        <v>-1750117.7220249895</v>
      </c>
      <c r="I285" s="359" t="s">
        <v>799</v>
      </c>
      <c r="J285" s="326"/>
    </row>
    <row r="286" spans="1:10" ht="15" x14ac:dyDescent="0.25">
      <c r="A286" s="357" t="s">
        <v>860</v>
      </c>
      <c r="B286" s="1250" t="s">
        <v>74</v>
      </c>
      <c r="C286" s="1250"/>
      <c r="D286" s="361">
        <f>H234</f>
        <v>4324499.9999999991</v>
      </c>
      <c r="E286" s="359" t="s">
        <v>799</v>
      </c>
      <c r="F286" s="358"/>
      <c r="G286" s="360"/>
      <c r="H286" s="361">
        <f>H250</f>
        <v>3548500.4365739552</v>
      </c>
      <c r="I286" s="359" t="s">
        <v>799</v>
      </c>
      <c r="J286" s="326"/>
    </row>
    <row r="287" spans="1:10" ht="24.75" x14ac:dyDescent="0.25">
      <c r="A287" s="357" t="s">
        <v>808</v>
      </c>
      <c r="B287" s="1250" t="s">
        <v>968</v>
      </c>
      <c r="C287" s="1250"/>
      <c r="D287" s="363">
        <f>H222</f>
        <v>1.82E-3</v>
      </c>
      <c r="E287" s="360" t="s">
        <v>810</v>
      </c>
      <c r="F287" s="363">
        <f>H244</f>
        <v>1.0054356364093384E-4</v>
      </c>
      <c r="G287" s="360" t="s">
        <v>810</v>
      </c>
      <c r="H287" s="363">
        <f>H271</f>
        <v>2.435275100681315E-3</v>
      </c>
      <c r="I287" s="360" t="s">
        <v>810</v>
      </c>
      <c r="J287" s="326"/>
    </row>
    <row r="288" spans="1:10" ht="36.75" x14ac:dyDescent="0.25">
      <c r="A288" s="357" t="s">
        <v>813</v>
      </c>
      <c r="B288" s="1250" t="s">
        <v>817</v>
      </c>
      <c r="C288" s="1250"/>
      <c r="D288" s="363">
        <f>H225</f>
        <v>2.48E-3</v>
      </c>
      <c r="E288" s="360" t="s">
        <v>810</v>
      </c>
      <c r="F288" s="358"/>
      <c r="G288" s="360"/>
      <c r="H288" s="363">
        <f>-H274</f>
        <v>-5.4184007835947423E-3</v>
      </c>
      <c r="I288" s="360" t="s">
        <v>810</v>
      </c>
      <c r="J288" s="326"/>
    </row>
    <row r="289" spans="1:9" ht="24.75" x14ac:dyDescent="0.25">
      <c r="A289" s="357" t="s">
        <v>819</v>
      </c>
      <c r="B289" s="1250" t="s">
        <v>862</v>
      </c>
      <c r="C289" s="1250"/>
      <c r="D289" s="363">
        <f>H228</f>
        <v>6.7999999999999996E-3</v>
      </c>
      <c r="E289" s="360" t="s">
        <v>810</v>
      </c>
      <c r="F289" s="363">
        <f>H241</f>
        <v>7.5407672730700374E-3</v>
      </c>
      <c r="G289" s="360" t="s">
        <v>810</v>
      </c>
      <c r="H289" s="363">
        <f>H277</f>
        <v>1.8373811010266972E-2</v>
      </c>
      <c r="I289" s="360" t="s">
        <v>810</v>
      </c>
    </row>
    <row r="290" spans="1:9" ht="36.75" x14ac:dyDescent="0.25">
      <c r="A290" s="357" t="s">
        <v>863</v>
      </c>
      <c r="B290" s="1250" t="s">
        <v>864</v>
      </c>
      <c r="C290" s="1250"/>
      <c r="D290" s="363">
        <f>H231</f>
        <v>2.48E-3</v>
      </c>
      <c r="E290" s="360" t="s">
        <v>810</v>
      </c>
      <c r="F290" s="358"/>
      <c r="G290" s="360"/>
      <c r="H290" s="363">
        <f>-H280</f>
        <v>-5.4184007835947423E-3</v>
      </c>
      <c r="I290" s="360" t="s">
        <v>810</v>
      </c>
    </row>
    <row r="291" spans="1:9" ht="15" x14ac:dyDescent="0.25">
      <c r="A291" s="447"/>
      <c r="B291" s="338"/>
      <c r="C291" s="338"/>
      <c r="D291" s="338"/>
      <c r="E291" s="338"/>
      <c r="F291" s="326"/>
      <c r="G291" s="338"/>
      <c r="H291" s="338"/>
      <c r="I291" s="774"/>
    </row>
    <row r="292" spans="1:9" ht="15" x14ac:dyDescent="0.25">
      <c r="A292" s="812" t="s">
        <v>865</v>
      </c>
      <c r="B292" s="364"/>
      <c r="C292" s="364"/>
      <c r="D292" s="364"/>
      <c r="E292" s="338"/>
      <c r="F292" s="326"/>
      <c r="G292" s="338"/>
      <c r="H292" s="338"/>
      <c r="I292" s="774"/>
    </row>
    <row r="293" spans="1:9" ht="15" x14ac:dyDescent="0.25">
      <c r="A293" s="365" t="s">
        <v>866</v>
      </c>
      <c r="B293" s="1228" t="s">
        <v>867</v>
      </c>
      <c r="C293" s="1229"/>
      <c r="D293" s="1230"/>
      <c r="E293" s="1228" t="s">
        <v>868</v>
      </c>
      <c r="F293" s="1229"/>
      <c r="G293" s="1230"/>
      <c r="H293" s="326"/>
      <c r="I293" s="774"/>
    </row>
    <row r="294" spans="1:9" ht="15" x14ac:dyDescent="0.25">
      <c r="A294" s="366" t="s">
        <v>882</v>
      </c>
      <c r="B294" s="367" t="s">
        <v>869</v>
      </c>
      <c r="C294" s="423">
        <f>-D285</f>
        <v>-1081124.9999999998</v>
      </c>
      <c r="D294" s="368" t="s">
        <v>799</v>
      </c>
      <c r="E294" s="358" t="s">
        <v>969</v>
      </c>
      <c r="F294" s="369">
        <f>D286</f>
        <v>4324499.9999999991</v>
      </c>
      <c r="G294" s="370" t="s">
        <v>799</v>
      </c>
      <c r="H294" s="338"/>
      <c r="I294" s="828"/>
    </row>
    <row r="295" spans="1:9" ht="15" x14ac:dyDescent="0.25">
      <c r="A295" s="371" t="s">
        <v>966</v>
      </c>
      <c r="B295" s="358" t="s">
        <v>869</v>
      </c>
      <c r="C295" s="372"/>
      <c r="D295" s="360"/>
      <c r="E295" s="358" t="s">
        <v>870</v>
      </c>
      <c r="F295" s="372"/>
      <c r="G295" s="360"/>
      <c r="H295" s="338"/>
      <c r="I295" s="774"/>
    </row>
    <row r="296" spans="1:9" ht="30" x14ac:dyDescent="0.25">
      <c r="A296" s="424" t="s">
        <v>970</v>
      </c>
      <c r="B296" s="373" t="s">
        <v>971</v>
      </c>
      <c r="C296" s="369">
        <f>-H285</f>
        <v>1750117.7220249895</v>
      </c>
      <c r="D296" s="360" t="s">
        <v>799</v>
      </c>
      <c r="E296" s="358" t="s">
        <v>969</v>
      </c>
      <c r="F296" s="369">
        <f>H286</f>
        <v>3548500.4365739552</v>
      </c>
      <c r="G296" s="360" t="s">
        <v>799</v>
      </c>
      <c r="H296" s="326"/>
      <c r="I296" s="774"/>
    </row>
    <row r="297" spans="1:9" ht="15" x14ac:dyDescent="0.25">
      <c r="A297" s="807"/>
      <c r="B297" s="348"/>
      <c r="C297" s="348"/>
      <c r="D297" s="348"/>
      <c r="E297" s="348"/>
      <c r="F297" s="348"/>
      <c r="G297" s="348"/>
      <c r="H297" s="326"/>
      <c r="I297" s="774"/>
    </row>
    <row r="298" spans="1:9" ht="15.75" x14ac:dyDescent="0.25">
      <c r="A298" s="1232" t="s">
        <v>866</v>
      </c>
      <c r="B298" s="1233"/>
      <c r="C298" s="1234"/>
      <c r="D298" s="1235" t="s">
        <v>872</v>
      </c>
      <c r="E298" s="1236"/>
      <c r="F298" s="1236"/>
      <c r="G298" s="1236"/>
      <c r="H298" s="1237"/>
      <c r="I298" s="809"/>
    </row>
    <row r="299" spans="1:9" ht="15" x14ac:dyDescent="0.25">
      <c r="A299" s="871" t="s">
        <v>882</v>
      </c>
      <c r="B299" s="872" t="s">
        <v>874</v>
      </c>
      <c r="C299" s="873"/>
      <c r="D299" s="387" t="s">
        <v>875</v>
      </c>
      <c r="E299" s="428">
        <f>C294</f>
        <v>-1081124.9999999998</v>
      </c>
      <c r="F299" s="874" t="s">
        <v>876</v>
      </c>
      <c r="G299" s="875">
        <f>D287</f>
        <v>1.82E-3</v>
      </c>
      <c r="H299" s="370" t="s">
        <v>810</v>
      </c>
      <c r="I299" s="876"/>
    </row>
    <row r="300" spans="1:9" ht="15" x14ac:dyDescent="0.25">
      <c r="A300" s="877"/>
      <c r="B300" s="872"/>
      <c r="C300" s="873"/>
      <c r="D300" s="402" t="s">
        <v>442</v>
      </c>
      <c r="E300" s="343">
        <f>G299</f>
        <v>1.82E-3</v>
      </c>
      <c r="F300" s="342" t="s">
        <v>878</v>
      </c>
      <c r="G300" s="423">
        <f>E299*G299</f>
        <v>-1967.6474999999996</v>
      </c>
      <c r="H300" s="878"/>
      <c r="I300" s="833"/>
    </row>
    <row r="301" spans="1:9" ht="15" x14ac:dyDescent="0.25">
      <c r="A301" s="865"/>
      <c r="B301" s="1244" t="s">
        <v>879</v>
      </c>
      <c r="C301" s="1245"/>
      <c r="D301" s="374" t="s">
        <v>972</v>
      </c>
      <c r="E301" s="341">
        <f>F294</f>
        <v>4324499.9999999991</v>
      </c>
      <c r="F301" s="342" t="s">
        <v>876</v>
      </c>
      <c r="G301" s="375">
        <f>D288</f>
        <v>2.48E-3</v>
      </c>
      <c r="H301" s="376" t="s">
        <v>810</v>
      </c>
      <c r="I301" s="774"/>
    </row>
    <row r="302" spans="1:9" ht="15" x14ac:dyDescent="0.25">
      <c r="A302" s="866"/>
      <c r="B302" s="1248"/>
      <c r="C302" s="1249"/>
      <c r="D302" s="377" t="s">
        <v>442</v>
      </c>
      <c r="E302" s="353">
        <f>G301</f>
        <v>2.48E-3</v>
      </c>
      <c r="F302" s="331" t="s">
        <v>973</v>
      </c>
      <c r="G302" s="345">
        <f>E301*G301</f>
        <v>10724.759999999998</v>
      </c>
      <c r="H302" s="378"/>
      <c r="I302" s="774"/>
    </row>
    <row r="303" spans="1:9" ht="15" x14ac:dyDescent="0.25">
      <c r="A303" s="1244" t="s">
        <v>327</v>
      </c>
      <c r="B303" s="1244"/>
      <c r="C303" s="1245"/>
      <c r="D303" s="374" t="s">
        <v>869</v>
      </c>
      <c r="E303" s="342"/>
      <c r="F303" s="342" t="s">
        <v>13</v>
      </c>
      <c r="G303" s="425">
        <f>F287</f>
        <v>1.0054356364093384E-4</v>
      </c>
      <c r="H303" s="376" t="s">
        <v>810</v>
      </c>
      <c r="I303" s="774"/>
    </row>
    <row r="304" spans="1:9" ht="15" x14ac:dyDescent="0.25">
      <c r="A304" s="1246"/>
      <c r="B304" s="1246"/>
      <c r="C304" s="1247"/>
      <c r="D304" s="381" t="s">
        <v>442</v>
      </c>
      <c r="E304" s="426">
        <f>G303</f>
        <v>1.0054356364093384E-4</v>
      </c>
      <c r="F304" s="383" t="s">
        <v>878</v>
      </c>
      <c r="G304" s="384"/>
      <c r="H304" s="385"/>
      <c r="I304" s="774"/>
    </row>
    <row r="305" spans="1:11" ht="15" x14ac:dyDescent="0.25">
      <c r="A305" s="1280" t="s">
        <v>970</v>
      </c>
      <c r="B305" s="1248" t="s">
        <v>874</v>
      </c>
      <c r="C305" s="1249"/>
      <c r="D305" s="374" t="s">
        <v>974</v>
      </c>
      <c r="E305" s="341">
        <f>C296</f>
        <v>1750117.7220249895</v>
      </c>
      <c r="F305" s="342" t="s">
        <v>876</v>
      </c>
      <c r="G305" s="379">
        <f>H287</f>
        <v>2.435275100681315E-3</v>
      </c>
      <c r="H305" s="376" t="s">
        <v>810</v>
      </c>
      <c r="I305" s="774"/>
      <c r="J305" s="326"/>
      <c r="K305" s="326"/>
    </row>
    <row r="306" spans="1:11" ht="15" x14ac:dyDescent="0.25">
      <c r="A306" s="1281"/>
      <c r="B306" s="1246"/>
      <c r="C306" s="1247"/>
      <c r="D306" s="381" t="s">
        <v>442</v>
      </c>
      <c r="E306" s="382">
        <f>G305</f>
        <v>2.435275100681315E-3</v>
      </c>
      <c r="F306" s="383" t="s">
        <v>890</v>
      </c>
      <c r="G306" s="384">
        <f>E305*G305</f>
        <v>4262.0181117085604</v>
      </c>
      <c r="H306" s="385"/>
      <c r="I306" s="774"/>
      <c r="J306" s="326"/>
      <c r="K306" s="326"/>
    </row>
    <row r="307" spans="1:11" ht="15" x14ac:dyDescent="0.25">
      <c r="A307" s="1281"/>
      <c r="B307" s="1244" t="s">
        <v>879</v>
      </c>
      <c r="C307" s="1245"/>
      <c r="D307" s="374" t="s">
        <v>972</v>
      </c>
      <c r="E307" s="341">
        <f>F296</f>
        <v>3548500.4365739552</v>
      </c>
      <c r="F307" s="342" t="s">
        <v>876</v>
      </c>
      <c r="G307" s="379">
        <f>H288</f>
        <v>-5.4184007835947423E-3</v>
      </c>
      <c r="H307" s="376" t="s">
        <v>810</v>
      </c>
      <c r="I307" s="774"/>
      <c r="J307" s="326"/>
      <c r="K307" s="326"/>
    </row>
    <row r="308" spans="1:11" ht="15" x14ac:dyDescent="0.25">
      <c r="A308" s="1282"/>
      <c r="B308" s="1246"/>
      <c r="C308" s="1247"/>
      <c r="D308" s="381" t="s">
        <v>442</v>
      </c>
      <c r="E308" s="382">
        <f>G307</f>
        <v>-5.4184007835947423E-3</v>
      </c>
      <c r="F308" s="383" t="s">
        <v>881</v>
      </c>
      <c r="G308" s="384">
        <f>E307*G307</f>
        <v>-19227.197546118605</v>
      </c>
      <c r="H308" s="385"/>
      <c r="I308" s="774"/>
      <c r="J308" s="326"/>
      <c r="K308" s="326"/>
    </row>
    <row r="309" spans="1:11" ht="15" x14ac:dyDescent="0.25">
      <c r="A309" s="1265" t="s">
        <v>975</v>
      </c>
      <c r="B309" s="1266"/>
      <c r="C309" s="1267"/>
      <c r="D309" s="387"/>
      <c r="E309" s="427">
        <v>0</v>
      </c>
      <c r="F309" s="388"/>
      <c r="G309" s="471">
        <v>1340</v>
      </c>
      <c r="H309" s="389"/>
      <c r="I309" s="774"/>
      <c r="J309" s="326"/>
      <c r="K309" s="326"/>
    </row>
    <row r="310" spans="1:11" ht="15" x14ac:dyDescent="0.25">
      <c r="A310" s="1265" t="s">
        <v>976</v>
      </c>
      <c r="B310" s="1266"/>
      <c r="C310" s="1267"/>
      <c r="D310" s="387"/>
      <c r="E310" s="388"/>
      <c r="F310" s="388"/>
      <c r="G310" s="388"/>
      <c r="H310" s="389"/>
      <c r="I310" s="774"/>
      <c r="J310" s="326"/>
      <c r="K310" s="344"/>
    </row>
    <row r="311" spans="1:11" ht="15" x14ac:dyDescent="0.25">
      <c r="A311" s="1265" t="s">
        <v>977</v>
      </c>
      <c r="B311" s="1266"/>
      <c r="C311" s="1267"/>
      <c r="D311" s="387"/>
      <c r="E311" s="388"/>
      <c r="F311" s="388"/>
      <c r="G311" s="388"/>
      <c r="H311" s="389"/>
      <c r="I311" s="774"/>
      <c r="J311" s="326"/>
      <c r="K311" s="326"/>
    </row>
    <row r="312" spans="1:11" ht="15" x14ac:dyDescent="0.25">
      <c r="A312" s="1268" t="s">
        <v>235</v>
      </c>
      <c r="B312" s="1269"/>
      <c r="C312" s="1270"/>
      <c r="D312" s="429">
        <f>E300+E304+E306</f>
        <v>4.3558186643222491E-3</v>
      </c>
      <c r="E312" s="391" t="s">
        <v>878</v>
      </c>
      <c r="F312" s="429">
        <f>E302+E308</f>
        <v>-2.9384007835947423E-3</v>
      </c>
      <c r="G312" s="391" t="s">
        <v>881</v>
      </c>
      <c r="H312" s="430">
        <f>G300+G302+G306+G308+G309</f>
        <v>-4868.0669344100461</v>
      </c>
      <c r="I312" s="774"/>
      <c r="J312" s="326"/>
      <c r="K312" s="344"/>
    </row>
    <row r="313" spans="1:11" ht="15" x14ac:dyDescent="0.25">
      <c r="A313" s="796"/>
      <c r="B313" s="773"/>
      <c r="C313" s="338"/>
      <c r="D313" s="338"/>
      <c r="E313" s="338"/>
      <c r="F313" s="326"/>
      <c r="G313" s="338"/>
      <c r="H313" s="338"/>
      <c r="I313" s="774"/>
      <c r="J313" s="326"/>
      <c r="K313" s="326"/>
    </row>
    <row r="314" spans="1:11" ht="15.75" x14ac:dyDescent="0.25">
      <c r="A314" s="1232" t="s">
        <v>866</v>
      </c>
      <c r="B314" s="1233"/>
      <c r="C314" s="1234"/>
      <c r="D314" s="1235" t="s">
        <v>884</v>
      </c>
      <c r="E314" s="1236"/>
      <c r="F314" s="1236"/>
      <c r="G314" s="1236"/>
      <c r="H314" s="1237"/>
      <c r="I314" s="809"/>
      <c r="J314" s="326"/>
      <c r="K314" s="326"/>
    </row>
    <row r="315" spans="1:11" ht="15" x14ac:dyDescent="0.25">
      <c r="A315" s="1241" t="s">
        <v>882</v>
      </c>
      <c r="B315" s="1244" t="s">
        <v>874</v>
      </c>
      <c r="C315" s="1245"/>
      <c r="D315" s="374" t="s">
        <v>875</v>
      </c>
      <c r="E315" s="423">
        <f>E299</f>
        <v>-1081124.9999999998</v>
      </c>
      <c r="F315" s="368" t="s">
        <v>876</v>
      </c>
      <c r="G315" s="375">
        <f>D288</f>
        <v>2.48E-3</v>
      </c>
      <c r="H315" s="376" t="s">
        <v>810</v>
      </c>
      <c r="I315" s="829"/>
      <c r="J315" s="326"/>
      <c r="K315" s="326"/>
    </row>
    <row r="316" spans="1:11" ht="15" x14ac:dyDescent="0.25">
      <c r="A316" s="1242"/>
      <c r="B316" s="1246"/>
      <c r="C316" s="1247"/>
      <c r="D316" s="377" t="s">
        <v>442</v>
      </c>
      <c r="E316" s="331" t="s">
        <v>978</v>
      </c>
      <c r="F316" s="331" t="s">
        <v>878</v>
      </c>
      <c r="G316" s="345">
        <f>E315*G315</f>
        <v>-2681.1899999999996</v>
      </c>
      <c r="H316" s="378"/>
      <c r="I316" s="774"/>
      <c r="J316" s="326"/>
      <c r="K316" s="326"/>
    </row>
    <row r="317" spans="1:11" ht="15" x14ac:dyDescent="0.25">
      <c r="A317" s="1242"/>
      <c r="B317" s="1244" t="s">
        <v>879</v>
      </c>
      <c r="C317" s="1245"/>
      <c r="D317" s="374" t="s">
        <v>972</v>
      </c>
      <c r="E317" s="341">
        <f>E301</f>
        <v>4324499.9999999991</v>
      </c>
      <c r="F317" s="342" t="s">
        <v>876</v>
      </c>
      <c r="G317" s="343">
        <f>D289</f>
        <v>6.7999999999999996E-3</v>
      </c>
      <c r="H317" s="376" t="s">
        <v>810</v>
      </c>
      <c r="I317" s="774"/>
      <c r="J317" s="326"/>
      <c r="K317" s="326"/>
    </row>
    <row r="318" spans="1:11" ht="15" x14ac:dyDescent="0.25">
      <c r="A318" s="1243"/>
      <c r="B318" s="1248"/>
      <c r="C318" s="1249"/>
      <c r="D318" s="377" t="s">
        <v>442</v>
      </c>
      <c r="E318" s="344">
        <f>G317</f>
        <v>6.7999999999999996E-3</v>
      </c>
      <c r="F318" s="331" t="s">
        <v>979</v>
      </c>
      <c r="G318" s="345">
        <f>E317*G317</f>
        <v>29406.599999999991</v>
      </c>
      <c r="H318" s="378"/>
      <c r="I318" s="774"/>
      <c r="J318" s="326"/>
      <c r="K318" s="326"/>
    </row>
    <row r="319" spans="1:11" ht="15" x14ac:dyDescent="0.25">
      <c r="A319" s="1244" t="s">
        <v>327</v>
      </c>
      <c r="B319" s="1244"/>
      <c r="C319" s="1245"/>
      <c r="D319" s="374" t="s">
        <v>870</v>
      </c>
      <c r="E319" s="342"/>
      <c r="F319" s="342" t="s">
        <v>13</v>
      </c>
      <c r="G319" s="379">
        <f>F289</f>
        <v>7.5407672730700374E-3</v>
      </c>
      <c r="H319" s="376" t="s">
        <v>810</v>
      </c>
      <c r="I319" s="774"/>
      <c r="J319" s="326"/>
      <c r="K319" s="326"/>
    </row>
    <row r="320" spans="1:11" ht="15" x14ac:dyDescent="0.25">
      <c r="A320" s="1246"/>
      <c r="B320" s="1246"/>
      <c r="C320" s="1247"/>
      <c r="D320" s="381" t="s">
        <v>442</v>
      </c>
      <c r="E320" s="382">
        <f>G319</f>
        <v>7.5407672730700374E-3</v>
      </c>
      <c r="F320" s="383" t="s">
        <v>881</v>
      </c>
      <c r="G320" s="384"/>
      <c r="H320" s="385"/>
      <c r="I320" s="774"/>
      <c r="J320" s="326"/>
      <c r="K320" s="326"/>
    </row>
    <row r="321" spans="1:20" ht="15" x14ac:dyDescent="0.25">
      <c r="A321" s="1280" t="s">
        <v>970</v>
      </c>
      <c r="B321" s="1248" t="s">
        <v>874</v>
      </c>
      <c r="C321" s="1249"/>
      <c r="D321" s="402" t="s">
        <v>974</v>
      </c>
      <c r="E321" s="341">
        <f>E305</f>
        <v>1750117.7220249895</v>
      </c>
      <c r="F321" s="342" t="s">
        <v>876</v>
      </c>
      <c r="G321" s="401">
        <f>H288</f>
        <v>-5.4184007835947423E-3</v>
      </c>
      <c r="H321" s="376" t="s">
        <v>810</v>
      </c>
      <c r="I321" s="774"/>
      <c r="J321" s="326"/>
      <c r="K321" s="326"/>
      <c r="L321" s="326"/>
      <c r="M321" s="326"/>
      <c r="N321" s="326"/>
      <c r="O321" s="326"/>
      <c r="P321" s="326"/>
      <c r="Q321" s="326"/>
      <c r="R321" s="326"/>
      <c r="S321" s="326"/>
      <c r="T321" s="326"/>
    </row>
    <row r="322" spans="1:20" ht="15" x14ac:dyDescent="0.25">
      <c r="A322" s="1281"/>
      <c r="B322" s="1246"/>
      <c r="C322" s="1247"/>
      <c r="D322" s="381" t="s">
        <v>442</v>
      </c>
      <c r="E322" s="382">
        <f>G321</f>
        <v>-5.4184007835947423E-3</v>
      </c>
      <c r="F322" s="342" t="s">
        <v>878</v>
      </c>
      <c r="G322" s="384">
        <f>E321*G321</f>
        <v>-9482.8392364032479</v>
      </c>
      <c r="H322" s="385"/>
      <c r="I322" s="774"/>
      <c r="J322" s="326"/>
      <c r="K322" s="326"/>
      <c r="L322" s="326"/>
      <c r="M322" s="326"/>
      <c r="N322" s="326"/>
      <c r="O322" s="326"/>
      <c r="P322" s="326"/>
      <c r="Q322" s="326"/>
      <c r="R322" s="326"/>
      <c r="S322" s="326"/>
      <c r="T322" s="326"/>
    </row>
    <row r="323" spans="1:20" ht="15" x14ac:dyDescent="0.25">
      <c r="A323" s="1281"/>
      <c r="B323" s="1244" t="s">
        <v>879</v>
      </c>
      <c r="C323" s="1245"/>
      <c r="D323" s="402" t="s">
        <v>972</v>
      </c>
      <c r="E323" s="341">
        <f>E307</f>
        <v>3548500.4365739552</v>
      </c>
      <c r="F323" s="342" t="s">
        <v>13</v>
      </c>
      <c r="G323" s="379">
        <f>H289</f>
        <v>1.8373811010266972E-2</v>
      </c>
      <c r="H323" s="376" t="s">
        <v>810</v>
      </c>
      <c r="I323" s="774"/>
      <c r="J323" s="326"/>
      <c r="K323" s="326"/>
      <c r="L323" s="326"/>
      <c r="M323" s="326"/>
      <c r="N323" s="326"/>
      <c r="O323" s="326"/>
      <c r="P323" s="326"/>
      <c r="Q323" s="326"/>
      <c r="R323" s="326"/>
      <c r="S323" s="326"/>
      <c r="T323" s="326"/>
    </row>
    <row r="324" spans="1:20" ht="15" x14ac:dyDescent="0.25">
      <c r="A324" s="1282"/>
      <c r="B324" s="1246"/>
      <c r="C324" s="1247"/>
      <c r="D324" s="381" t="s">
        <v>442</v>
      </c>
      <c r="E324" s="382">
        <f>G323</f>
        <v>1.8373811010266972E-2</v>
      </c>
      <c r="F324" s="383" t="s">
        <v>881</v>
      </c>
      <c r="G324" s="384">
        <f>E323*G323</f>
        <v>65199.476391459692</v>
      </c>
      <c r="H324" s="385"/>
      <c r="I324" s="774"/>
      <c r="J324" s="326"/>
      <c r="K324" s="326"/>
      <c r="L324" s="326"/>
      <c r="M324" s="326"/>
      <c r="N324" s="326"/>
      <c r="O324" s="326"/>
      <c r="P324" s="326"/>
      <c r="Q324" s="326"/>
      <c r="R324" s="326"/>
      <c r="S324" s="326"/>
      <c r="T324" s="326"/>
    </row>
    <row r="325" spans="1:20" ht="15" x14ac:dyDescent="0.25">
      <c r="A325" s="1265" t="s">
        <v>975</v>
      </c>
      <c r="B325" s="1266"/>
      <c r="C325" s="1267"/>
      <c r="D325" s="387"/>
      <c r="E325" s="388"/>
      <c r="F325" s="388"/>
      <c r="G325" s="428">
        <v>0</v>
      </c>
      <c r="H325" s="389"/>
      <c r="I325" s="774"/>
      <c r="J325" s="326"/>
      <c r="K325" s="326"/>
      <c r="L325" s="326"/>
      <c r="M325" s="326"/>
      <c r="N325" s="326"/>
      <c r="O325" s="326"/>
      <c r="P325" s="326"/>
      <c r="Q325" s="326"/>
      <c r="R325" s="326"/>
      <c r="S325" s="326"/>
      <c r="T325" s="326"/>
    </row>
    <row r="326" spans="1:20" ht="15" x14ac:dyDescent="0.25">
      <c r="A326" s="1265" t="s">
        <v>976</v>
      </c>
      <c r="B326" s="1266"/>
      <c r="C326" s="1267"/>
      <c r="D326" s="387"/>
      <c r="E326" s="388"/>
      <c r="F326" s="388"/>
      <c r="G326" s="406">
        <v>0</v>
      </c>
      <c r="H326" s="389"/>
      <c r="I326" s="774"/>
      <c r="J326" s="326"/>
      <c r="K326" s="326"/>
      <c r="L326" s="326"/>
      <c r="M326" s="326"/>
      <c r="N326" s="326"/>
      <c r="O326" s="326"/>
      <c r="P326" s="326"/>
      <c r="Q326" s="326"/>
      <c r="R326" s="326"/>
      <c r="S326" s="326"/>
      <c r="T326" s="326"/>
    </row>
    <row r="327" spans="1:20" ht="15" x14ac:dyDescent="0.25">
      <c r="A327" s="1265" t="s">
        <v>977</v>
      </c>
      <c r="B327" s="1266"/>
      <c r="C327" s="1267"/>
      <c r="D327" s="387"/>
      <c r="E327" s="388"/>
      <c r="F327" s="388"/>
      <c r="G327" s="406">
        <f>H256</f>
        <v>47106.080999999998</v>
      </c>
      <c r="H327" s="326"/>
      <c r="I327" s="774"/>
      <c r="J327" s="326"/>
      <c r="K327" s="326"/>
      <c r="L327" s="326"/>
      <c r="M327" s="326"/>
      <c r="N327" s="326"/>
      <c r="O327" s="326"/>
      <c r="P327" s="326"/>
      <c r="Q327" s="326"/>
      <c r="R327" s="326"/>
      <c r="S327" s="326"/>
      <c r="T327" s="326"/>
    </row>
    <row r="328" spans="1:20" ht="15" x14ac:dyDescent="0.25">
      <c r="A328" s="1268" t="s">
        <v>235</v>
      </c>
      <c r="B328" s="1269"/>
      <c r="C328" s="1270"/>
      <c r="D328" s="431">
        <f>E316+E322</f>
        <v>-2.0714007835947422E-3</v>
      </c>
      <c r="E328" s="391" t="s">
        <v>878</v>
      </c>
      <c r="F328" s="392">
        <f>E318+E320+E324</f>
        <v>3.2714578283337008E-2</v>
      </c>
      <c r="G328" s="391" t="s">
        <v>881</v>
      </c>
      <c r="H328" s="369">
        <f>G316+G318+G322+G324+G327</f>
        <v>129548.12815505645</v>
      </c>
      <c r="I328" s="774"/>
      <c r="J328" s="452" t="s">
        <v>885</v>
      </c>
      <c r="K328" s="432"/>
      <c r="L328" s="407">
        <f>C331</f>
        <v>4.3558186643222491E-3</v>
      </c>
      <c r="M328" s="433" t="s">
        <v>878</v>
      </c>
      <c r="N328" s="408">
        <f>E331</f>
        <v>-2.9384007835947423E-3</v>
      </c>
      <c r="O328" s="433" t="s">
        <v>881</v>
      </c>
      <c r="P328" s="434" t="s">
        <v>442</v>
      </c>
      <c r="Q328" s="409">
        <f>H331</f>
        <v>4868.0669344100461</v>
      </c>
      <c r="R328" s="346"/>
      <c r="S328" s="346"/>
      <c r="T328" s="346"/>
    </row>
    <row r="329" spans="1:20" ht="15" x14ac:dyDescent="0.25">
      <c r="A329" s="834"/>
      <c r="B329" s="395"/>
      <c r="C329" s="395"/>
      <c r="D329" s="398"/>
      <c r="E329" s="347"/>
      <c r="F329" s="398"/>
      <c r="G329" s="347"/>
      <c r="H329" s="398"/>
      <c r="I329" s="774"/>
      <c r="J329" s="360"/>
      <c r="K329" s="346"/>
      <c r="L329" s="433" t="s">
        <v>878</v>
      </c>
      <c r="M329" s="346" t="s">
        <v>442</v>
      </c>
      <c r="N329" s="435">
        <f>Q328</f>
        <v>4868.0669344100461</v>
      </c>
      <c r="O329" s="346" t="s">
        <v>886</v>
      </c>
      <c r="P329" s="436">
        <f>N328</f>
        <v>-2.9384007835947423E-3</v>
      </c>
      <c r="Q329" s="346" t="str">
        <f>O328</f>
        <v>δE</v>
      </c>
      <c r="R329" s="346"/>
      <c r="S329" s="346"/>
      <c r="T329" s="346"/>
    </row>
    <row r="330" spans="1:20" ht="15" x14ac:dyDescent="0.25">
      <c r="A330" s="834"/>
      <c r="B330" s="395"/>
      <c r="C330" s="395"/>
      <c r="D330" s="398"/>
      <c r="E330" s="347"/>
      <c r="F330" s="398"/>
      <c r="G330" s="347"/>
      <c r="H330" s="398"/>
      <c r="I330" s="774"/>
      <c r="J330" s="360"/>
      <c r="K330" s="346"/>
      <c r="L330" s="346"/>
      <c r="M330" s="346"/>
      <c r="N330" s="346"/>
      <c r="O330" s="437">
        <f>L328</f>
        <v>4.3558186643222491E-3</v>
      </c>
      <c r="P330" s="346"/>
      <c r="Q330" s="346"/>
      <c r="R330" s="346"/>
      <c r="S330" s="346"/>
      <c r="T330" s="346"/>
    </row>
    <row r="331" spans="1:20" ht="15" x14ac:dyDescent="0.25">
      <c r="A331" s="834" t="s">
        <v>885</v>
      </c>
      <c r="B331" s="395"/>
      <c r="C331" s="438">
        <f>D312</f>
        <v>4.3558186643222491E-3</v>
      </c>
      <c r="D331" s="347" t="s">
        <v>878</v>
      </c>
      <c r="E331" s="438">
        <f>F312</f>
        <v>-2.9384007835947423E-3</v>
      </c>
      <c r="F331" s="347" t="s">
        <v>881</v>
      </c>
      <c r="G331" s="352" t="s">
        <v>442</v>
      </c>
      <c r="H331" s="398">
        <f>-H312</f>
        <v>4868.0669344100461</v>
      </c>
      <c r="I331" s="774"/>
      <c r="J331" s="360"/>
      <c r="K331" s="346"/>
      <c r="L331" s="433" t="s">
        <v>878</v>
      </c>
      <c r="M331" s="346" t="s">
        <v>442</v>
      </c>
      <c r="N331" s="346">
        <f>N329/O330</f>
        <v>1117600.9172015202</v>
      </c>
      <c r="O331" s="346" t="s">
        <v>887</v>
      </c>
      <c r="P331" s="346">
        <f>-P329/O330</f>
        <v>0.67459208246263114</v>
      </c>
      <c r="Q331" s="346" t="str">
        <f>Q329</f>
        <v>δE</v>
      </c>
      <c r="R331" s="346"/>
      <c r="S331" s="346"/>
      <c r="T331" s="346"/>
    </row>
    <row r="332" spans="1:20" ht="15" x14ac:dyDescent="0.25">
      <c r="A332" s="1276" t="s">
        <v>889</v>
      </c>
      <c r="B332" s="1226"/>
      <c r="C332" s="438">
        <f>D328</f>
        <v>-2.0714007835947422E-3</v>
      </c>
      <c r="D332" s="347" t="s">
        <v>878</v>
      </c>
      <c r="E332" s="438">
        <f>F328</f>
        <v>3.2714578283337008E-2</v>
      </c>
      <c r="F332" s="347" t="s">
        <v>881</v>
      </c>
      <c r="G332" s="352" t="s">
        <v>442</v>
      </c>
      <c r="H332" s="398">
        <f>-H328</f>
        <v>-129548.12815505645</v>
      </c>
      <c r="I332" s="774"/>
      <c r="J332" s="360"/>
      <c r="K332" s="346"/>
      <c r="L332" s="346"/>
      <c r="M332" s="346"/>
      <c r="N332" s="346"/>
      <c r="O332" s="346"/>
      <c r="P332" s="346"/>
      <c r="Q332" s="346"/>
      <c r="R332" s="346"/>
      <c r="S332" s="346"/>
      <c r="T332" s="346"/>
    </row>
    <row r="333" spans="1:20" ht="15" x14ac:dyDescent="0.25">
      <c r="A333" s="447" t="s">
        <v>891</v>
      </c>
      <c r="B333" s="327">
        <f>T338</f>
        <v>-1623077.8572843063</v>
      </c>
      <c r="C333" s="331" t="s">
        <v>799</v>
      </c>
      <c r="D333" s="338"/>
      <c r="E333" s="773"/>
      <c r="F333" s="326"/>
      <c r="G333" s="338"/>
      <c r="H333" s="327"/>
      <c r="I333" s="774"/>
      <c r="J333" s="1270" t="s">
        <v>889</v>
      </c>
      <c r="K333" s="1283"/>
      <c r="L333" s="407">
        <f>C332</f>
        <v>-2.0714007835947422E-3</v>
      </c>
      <c r="M333" s="433" t="s">
        <v>890</v>
      </c>
      <c r="N333" s="408">
        <f>E332</f>
        <v>3.2714578283337008E-2</v>
      </c>
      <c r="O333" s="433" t="s">
        <v>881</v>
      </c>
      <c r="P333" s="434" t="s">
        <v>442</v>
      </c>
      <c r="Q333" s="409">
        <f>H332</f>
        <v>-129548.12815505645</v>
      </c>
      <c r="R333" s="346"/>
      <c r="S333" s="346"/>
      <c r="T333" s="346"/>
    </row>
    <row r="334" spans="1:20" ht="15" x14ac:dyDescent="0.25">
      <c r="A334" s="447" t="s">
        <v>892</v>
      </c>
      <c r="B334" s="327">
        <f>T337</f>
        <v>-4062720.0433198768</v>
      </c>
      <c r="C334" s="331" t="s">
        <v>799</v>
      </c>
      <c r="D334" s="338"/>
      <c r="E334" s="773"/>
      <c r="F334" s="326"/>
      <c r="G334" s="338"/>
      <c r="H334" s="327"/>
      <c r="I334" s="774"/>
      <c r="J334" s="360"/>
      <c r="K334" s="346"/>
      <c r="L334" s="346">
        <f>(L333*N331)</f>
        <v>-2314.9994156374314</v>
      </c>
      <c r="M334" s="346" t="s">
        <v>887</v>
      </c>
      <c r="N334" s="346">
        <f>(L333*P331)</f>
        <v>-1.3973505682199031E-3</v>
      </c>
      <c r="O334" s="346" t="s">
        <v>870</v>
      </c>
      <c r="P334" s="346" t="s">
        <v>887</v>
      </c>
      <c r="Q334" s="439">
        <f>N333</f>
        <v>3.2714578283337008E-2</v>
      </c>
      <c r="R334" s="346" t="s">
        <v>870</v>
      </c>
      <c r="S334" s="346" t="s">
        <v>442</v>
      </c>
      <c r="T334" s="435">
        <f>Q333</f>
        <v>-129548.12815505645</v>
      </c>
    </row>
    <row r="335" spans="1:20" ht="15" x14ac:dyDescent="0.25">
      <c r="A335" s="849"/>
      <c r="B335" s="327"/>
      <c r="C335" s="327"/>
      <c r="D335" s="338"/>
      <c r="E335" s="338"/>
      <c r="F335" s="326"/>
      <c r="G335" s="338"/>
      <c r="H335" s="338"/>
      <c r="I335" s="774"/>
      <c r="J335" s="360"/>
      <c r="K335" s="346"/>
      <c r="L335" s="346"/>
      <c r="M335" s="346"/>
      <c r="N335" s="440">
        <f>N334+Q334</f>
        <v>3.1317227715117107E-2</v>
      </c>
      <c r="O335" s="346" t="str">
        <f>O334</f>
        <v>δ</v>
      </c>
      <c r="P335" s="346"/>
      <c r="Q335" s="346"/>
      <c r="R335" s="346"/>
      <c r="S335" s="346" t="s">
        <v>442</v>
      </c>
      <c r="T335" s="435">
        <f>T334-L334</f>
        <v>-127233.12873941901</v>
      </c>
    </row>
    <row r="336" spans="1:20" ht="15" x14ac:dyDescent="0.25">
      <c r="A336" s="849"/>
      <c r="B336" s="327"/>
      <c r="C336" s="327"/>
      <c r="D336" s="338"/>
      <c r="E336" s="338"/>
      <c r="F336" s="326"/>
      <c r="G336" s="338"/>
      <c r="H336" s="338"/>
      <c r="I336" s="774"/>
      <c r="J336" s="360"/>
      <c r="K336" s="346"/>
      <c r="L336" s="346"/>
      <c r="M336" s="346"/>
      <c r="N336" s="440"/>
      <c r="O336" s="346"/>
      <c r="P336" s="346"/>
      <c r="Q336" s="346"/>
      <c r="R336" s="346"/>
      <c r="S336" s="346"/>
      <c r="T336" s="435"/>
    </row>
    <row r="337" spans="1:20" ht="15" x14ac:dyDescent="0.25">
      <c r="A337" s="879" t="s">
        <v>980</v>
      </c>
      <c r="B337" s="441"/>
      <c r="C337" s="327"/>
      <c r="D337" s="338"/>
      <c r="E337" s="338"/>
      <c r="F337" s="326"/>
      <c r="G337" s="338"/>
      <c r="H337" s="338"/>
      <c r="I337" s="774"/>
      <c r="J337" s="360"/>
      <c r="K337" s="346"/>
      <c r="L337" s="346"/>
      <c r="M337" s="346"/>
      <c r="N337" s="436"/>
      <c r="O337" s="346" t="str">
        <f>O335</f>
        <v>δ</v>
      </c>
      <c r="P337" s="346"/>
      <c r="Q337" s="346"/>
      <c r="R337" s="346"/>
      <c r="S337" s="346" t="s">
        <v>442</v>
      </c>
      <c r="T337" s="442">
        <f>T335/N335</f>
        <v>-4062720.0433198768</v>
      </c>
    </row>
    <row r="338" spans="1:20" ht="30" x14ac:dyDescent="0.25">
      <c r="A338" s="1271" t="s">
        <v>866</v>
      </c>
      <c r="B338" s="1271"/>
      <c r="C338" s="413" t="s">
        <v>894</v>
      </c>
      <c r="D338" s="414" t="s">
        <v>310</v>
      </c>
      <c r="E338" s="414" t="s">
        <v>895</v>
      </c>
      <c r="F338" s="1272" t="s">
        <v>896</v>
      </c>
      <c r="G338" s="1273"/>
      <c r="H338" s="326"/>
      <c r="I338" s="774"/>
      <c r="J338" s="360"/>
      <c r="K338" s="346"/>
      <c r="L338" s="346"/>
      <c r="M338" s="346"/>
      <c r="N338" s="346"/>
      <c r="O338" s="346" t="s">
        <v>869</v>
      </c>
      <c r="P338" s="346">
        <f>N331</f>
        <v>1117600.9172015202</v>
      </c>
      <c r="Q338" s="346" t="str">
        <f>O331</f>
        <v>+</v>
      </c>
      <c r="R338" s="346">
        <f>P331*T337</f>
        <v>-2740678.7744858265</v>
      </c>
      <c r="S338" s="346" t="s">
        <v>442</v>
      </c>
      <c r="T338" s="346">
        <f>P338+R338</f>
        <v>-1623077.8572843063</v>
      </c>
    </row>
    <row r="339" spans="1:20" ht="15" x14ac:dyDescent="0.25">
      <c r="A339" s="1271"/>
      <c r="B339" s="1271"/>
      <c r="C339" s="415" t="s">
        <v>897</v>
      </c>
      <c r="D339" s="416" t="s">
        <v>898</v>
      </c>
      <c r="E339" s="416" t="s">
        <v>899</v>
      </c>
      <c r="F339" s="443"/>
      <c r="G339" s="417"/>
      <c r="H339" s="842"/>
      <c r="I339" s="815"/>
      <c r="J339" s="326"/>
      <c r="K339" s="326"/>
      <c r="L339" s="326"/>
      <c r="M339" s="326"/>
      <c r="N339" s="326"/>
      <c r="O339" s="326"/>
      <c r="P339" s="326"/>
      <c r="Q339" s="326"/>
      <c r="R339" s="326"/>
      <c r="S339" s="326"/>
      <c r="T339" s="326"/>
    </row>
    <row r="340" spans="1:20" ht="15" x14ac:dyDescent="0.25">
      <c r="A340" s="1274" t="s">
        <v>882</v>
      </c>
      <c r="B340" s="1274"/>
      <c r="C340" s="418">
        <f>H203*1</f>
        <v>0.2</v>
      </c>
      <c r="D340" s="336">
        <f>(E300*B333+G300+E302*B334+G302)</f>
        <v>-4272.4349076907311</v>
      </c>
      <c r="E340" s="419">
        <f>(E316*B333+G316+E318*B334+G318)</f>
        <v>-6333.5278829057424</v>
      </c>
      <c r="F340" s="336">
        <f>ROUND(-(B334*2/H202)*C340,4)</f>
        <v>174740.647</v>
      </c>
      <c r="G340" s="420" t="s">
        <v>832</v>
      </c>
      <c r="H340" s="818"/>
      <c r="I340" s="833"/>
      <c r="J340" s="326"/>
      <c r="K340" s="327"/>
      <c r="L340" s="327"/>
      <c r="M340" s="327"/>
      <c r="N340" s="422"/>
      <c r="O340" s="326"/>
      <c r="P340" s="326"/>
      <c r="Q340" s="326"/>
      <c r="R340" s="326"/>
      <c r="S340" s="326"/>
      <c r="T340" s="326"/>
    </row>
    <row r="341" spans="1:20" ht="15" x14ac:dyDescent="0.25">
      <c r="A341" s="1274" t="s">
        <v>981</v>
      </c>
      <c r="B341" s="1274"/>
      <c r="C341" s="418">
        <f>H206*H207</f>
        <v>0.2</v>
      </c>
      <c r="D341" s="336">
        <f>E304*B333</f>
        <v>-163.19003183805518</v>
      </c>
      <c r="E341" s="419">
        <f>E320*B334</f>
        <v>-30636.026342312212</v>
      </c>
      <c r="F341" s="336">
        <f>ROUND(-(B334*2/H202)*C341,4)</f>
        <v>174740.647</v>
      </c>
      <c r="G341" s="420" t="s">
        <v>899</v>
      </c>
      <c r="H341" s="326"/>
      <c r="I341" s="774"/>
      <c r="J341" s="326"/>
      <c r="K341" s="327"/>
      <c r="L341" s="327"/>
      <c r="M341" s="327"/>
      <c r="N341" s="422"/>
      <c r="O341" s="326"/>
      <c r="P341" s="326"/>
      <c r="Q341" s="326"/>
      <c r="R341" s="326"/>
      <c r="S341" s="326"/>
      <c r="T341" s="326"/>
    </row>
    <row r="342" spans="1:20" ht="15" x14ac:dyDescent="0.25">
      <c r="A342" s="1275" t="s">
        <v>970</v>
      </c>
      <c r="B342" s="1275"/>
      <c r="C342" s="418">
        <f>H210*1</f>
        <v>0.35</v>
      </c>
      <c r="D342" s="336">
        <f>ROUND((E306*B333+G306+E308*B334+G308),2)</f>
        <v>3095.62</v>
      </c>
      <c r="E342" s="419">
        <f>E322*B333+G322+E324*B334+G324</f>
        <v>-10136.526774782054</v>
      </c>
      <c r="F342" s="336">
        <f>ROUND(-(B334*2/H202)*C342,4)</f>
        <v>305796.1323</v>
      </c>
      <c r="G342" s="420" t="s">
        <v>832</v>
      </c>
      <c r="H342" s="326"/>
      <c r="I342" s="774"/>
      <c r="J342" s="326"/>
      <c r="K342" s="327"/>
      <c r="L342" s="327"/>
      <c r="M342" s="327"/>
      <c r="N342" s="422"/>
      <c r="O342" s="326"/>
      <c r="P342" s="326"/>
      <c r="Q342" s="326"/>
      <c r="R342" s="326"/>
      <c r="S342" s="326"/>
      <c r="T342" s="326"/>
    </row>
    <row r="343" spans="1:20" ht="15" x14ac:dyDescent="0.25">
      <c r="A343" s="1275" t="s">
        <v>235</v>
      </c>
      <c r="B343" s="1275"/>
      <c r="C343" s="336"/>
      <c r="D343" s="336">
        <f>D340+D341+D342</f>
        <v>-1340.0049395287861</v>
      </c>
      <c r="E343" s="419">
        <f>SUM(E340:E342)</f>
        <v>-47106.081000000013</v>
      </c>
      <c r="F343" s="419"/>
      <c r="G343" s="389"/>
      <c r="H343" s="326"/>
      <c r="I343" s="774"/>
      <c r="J343" s="326"/>
      <c r="K343" s="327"/>
      <c r="L343" s="327"/>
      <c r="M343" s="327"/>
      <c r="N343" s="338"/>
      <c r="O343" s="326"/>
      <c r="P343" s="326"/>
      <c r="Q343" s="326"/>
      <c r="R343" s="326"/>
      <c r="S343" s="326"/>
      <c r="T343" s="326"/>
    </row>
    <row r="344" spans="1:20" ht="15" x14ac:dyDescent="0.25">
      <c r="A344" s="824"/>
      <c r="B344" s="329"/>
      <c r="C344" s="327"/>
      <c r="D344" s="327"/>
      <c r="E344" s="327"/>
      <c r="F344" s="327"/>
      <c r="G344" s="338"/>
      <c r="H344" s="326"/>
      <c r="I344" s="774"/>
      <c r="J344" s="326"/>
      <c r="K344" s="326"/>
      <c r="L344" s="326"/>
      <c r="M344" s="326"/>
      <c r="N344" s="326"/>
      <c r="O344" s="326"/>
      <c r="P344" s="326"/>
      <c r="Q344" s="326"/>
      <c r="R344" s="326"/>
      <c r="S344" s="326"/>
      <c r="T344" s="326"/>
    </row>
    <row r="345" spans="1:20" ht="15" x14ac:dyDescent="0.25">
      <c r="A345" s="824"/>
      <c r="B345" s="329"/>
      <c r="C345" s="327"/>
      <c r="D345" s="327"/>
      <c r="E345" s="327"/>
      <c r="F345" s="327"/>
      <c r="G345" s="338"/>
      <c r="H345" s="326"/>
      <c r="I345" s="774"/>
      <c r="J345" s="326"/>
      <c r="K345" s="326"/>
      <c r="L345" s="326"/>
      <c r="M345" s="326"/>
      <c r="N345" s="326"/>
      <c r="O345" s="326"/>
      <c r="P345" s="326"/>
      <c r="Q345" s="326"/>
      <c r="R345" s="326"/>
      <c r="S345" s="326"/>
      <c r="T345" s="326"/>
    </row>
    <row r="346" spans="1:20" ht="35.25" customHeight="1" x14ac:dyDescent="0.25">
      <c r="A346" s="1228" t="s">
        <v>982</v>
      </c>
      <c r="B346" s="1229"/>
      <c r="C346" s="1229"/>
      <c r="D346" s="1229"/>
      <c r="E346" s="1229"/>
      <c r="F346" s="1229"/>
      <c r="G346" s="1229"/>
      <c r="H346" s="1229"/>
      <c r="I346" s="1230"/>
      <c r="J346" s="326"/>
      <c r="K346" s="326"/>
      <c r="L346" s="326"/>
      <c r="M346" s="326"/>
      <c r="N346" s="326"/>
      <c r="O346" s="326"/>
      <c r="P346" s="326"/>
      <c r="Q346" s="326"/>
      <c r="R346" s="326"/>
      <c r="S346" s="326"/>
      <c r="T346" s="326"/>
    </row>
    <row r="347" spans="1:20" ht="15" x14ac:dyDescent="0.25">
      <c r="A347" s="771"/>
      <c r="B347" s="326"/>
      <c r="C347" s="326"/>
      <c r="D347" s="326"/>
      <c r="E347" s="326"/>
      <c r="F347" s="326"/>
      <c r="G347" s="773"/>
      <c r="H347" s="326"/>
      <c r="I347" s="774"/>
      <c r="J347" s="326"/>
      <c r="K347" s="326"/>
      <c r="L347" s="326"/>
      <c r="M347" s="326"/>
      <c r="N347" s="326"/>
      <c r="O347" s="326"/>
      <c r="P347" s="326"/>
      <c r="Q347" s="326"/>
      <c r="R347" s="326"/>
      <c r="S347" s="326"/>
      <c r="T347" s="326"/>
    </row>
    <row r="348" spans="1:20" ht="15" x14ac:dyDescent="0.25">
      <c r="A348" s="771"/>
      <c r="B348" s="326"/>
      <c r="C348" s="326"/>
      <c r="D348" s="326"/>
      <c r="E348" s="326"/>
      <c r="F348" s="326"/>
      <c r="G348" s="773"/>
      <c r="H348" s="326"/>
      <c r="I348" s="774"/>
      <c r="J348" s="326"/>
      <c r="K348" s="326"/>
      <c r="L348" s="326"/>
      <c r="M348" s="326"/>
      <c r="N348" s="326"/>
      <c r="O348" s="326"/>
      <c r="P348" s="326"/>
      <c r="Q348" s="326"/>
      <c r="R348" s="326"/>
      <c r="S348" s="326"/>
      <c r="T348" s="326"/>
    </row>
    <row r="349" spans="1:20" ht="15" x14ac:dyDescent="0.25">
      <c r="A349" s="771"/>
      <c r="B349" s="326"/>
      <c r="C349" s="326"/>
      <c r="D349" s="326"/>
      <c r="E349" s="326"/>
      <c r="F349" s="326"/>
      <c r="G349" s="773"/>
      <c r="H349" s="326"/>
      <c r="I349" s="774"/>
      <c r="J349" s="326"/>
      <c r="K349" s="326"/>
      <c r="L349" s="326"/>
      <c r="M349" s="326"/>
      <c r="N349" s="326"/>
      <c r="O349" s="326"/>
      <c r="P349" s="326"/>
      <c r="Q349" s="326"/>
      <c r="R349" s="326"/>
      <c r="S349" s="326"/>
      <c r="T349" s="326"/>
    </row>
    <row r="350" spans="1:20" ht="15" x14ac:dyDescent="0.25">
      <c r="A350" s="796"/>
      <c r="B350" s="326"/>
      <c r="C350" s="326"/>
      <c r="D350" s="1284">
        <f>ABS(D518)</f>
        <v>3130.36</v>
      </c>
      <c r="E350" s="1284"/>
      <c r="F350" s="331"/>
      <c r="G350" s="326"/>
      <c r="H350" s="326"/>
      <c r="I350" s="774"/>
      <c r="J350" s="326"/>
      <c r="K350" s="326"/>
      <c r="L350" s="326"/>
      <c r="M350" s="326"/>
      <c r="N350" s="326"/>
      <c r="O350" s="326"/>
      <c r="P350" s="326"/>
      <c r="Q350" s="326"/>
      <c r="R350" s="326"/>
      <c r="S350" s="326"/>
      <c r="T350" s="326"/>
    </row>
    <row r="351" spans="1:20" ht="15" x14ac:dyDescent="0.25">
      <c r="A351" s="796"/>
      <c r="B351" s="326"/>
      <c r="C351" s="326"/>
      <c r="D351" s="326"/>
      <c r="E351" s="326"/>
      <c r="F351" s="331"/>
      <c r="G351" s="1251">
        <f>ABS(D520)</f>
        <v>20395.28</v>
      </c>
      <c r="H351" s="1251"/>
      <c r="I351" s="774"/>
      <c r="J351" s="326"/>
      <c r="K351" s="326"/>
      <c r="L351" s="326"/>
      <c r="M351" s="326"/>
      <c r="N351" s="326"/>
      <c r="O351" s="326"/>
      <c r="P351" s="326"/>
      <c r="Q351" s="326"/>
      <c r="R351" s="326"/>
      <c r="S351" s="326"/>
      <c r="T351" s="326"/>
    </row>
    <row r="352" spans="1:20" ht="15" x14ac:dyDescent="0.25">
      <c r="A352" s="796"/>
      <c r="B352" s="326"/>
      <c r="C352" s="326"/>
      <c r="D352" s="1278">
        <f>F518</f>
        <v>208303.64</v>
      </c>
      <c r="E352" s="1278"/>
      <c r="F352" s="331"/>
      <c r="G352" s="1278">
        <f>F520</f>
        <v>119030.65</v>
      </c>
      <c r="H352" s="1278"/>
      <c r="I352" s="774"/>
      <c r="J352" s="326"/>
      <c r="K352" s="326"/>
      <c r="L352" s="326"/>
      <c r="M352" s="326"/>
      <c r="N352" s="326"/>
      <c r="O352" s="326"/>
      <c r="P352" s="326"/>
      <c r="Q352" s="326"/>
      <c r="R352" s="326"/>
      <c r="S352" s="326"/>
      <c r="T352" s="326"/>
    </row>
    <row r="353" spans="1:11" ht="15" x14ac:dyDescent="0.25">
      <c r="A353" s="796"/>
      <c r="B353" s="326"/>
      <c r="C353" s="326"/>
      <c r="D353" s="1285">
        <f xml:space="preserve"> E518+E519+E520</f>
        <v>-118269.77027621648</v>
      </c>
      <c r="E353" s="1285"/>
      <c r="F353" s="331"/>
      <c r="G353" s="326"/>
      <c r="H353" s="328"/>
      <c r="I353" s="774"/>
      <c r="J353" s="326"/>
      <c r="K353" s="326"/>
    </row>
    <row r="354" spans="1:11" ht="15" x14ac:dyDescent="0.25">
      <c r="A354" s="796"/>
      <c r="B354" s="326"/>
      <c r="C354" s="801"/>
      <c r="D354" s="326"/>
      <c r="E354" s="880"/>
      <c r="F354" s="801"/>
      <c r="G354" s="326"/>
      <c r="H354" s="326"/>
      <c r="I354" s="774"/>
      <c r="J354" s="326"/>
      <c r="K354" s="326"/>
    </row>
    <row r="355" spans="1:11" ht="15" x14ac:dyDescent="0.25">
      <c r="A355" s="796"/>
      <c r="B355" s="328"/>
      <c r="C355" s="326"/>
      <c r="D355" s="881"/>
      <c r="E355" s="326"/>
      <c r="F355" s="331"/>
      <c r="G355" s="328"/>
      <c r="H355" s="326"/>
      <c r="I355" s="774"/>
      <c r="J355" s="326"/>
      <c r="K355" s="326"/>
    </row>
    <row r="356" spans="1:11" ht="15" x14ac:dyDescent="0.25">
      <c r="A356" s="796"/>
      <c r="B356" s="326"/>
      <c r="C356" s="882"/>
      <c r="D356" s="1238">
        <f>ABS(D519)</f>
        <v>17264.919999999998</v>
      </c>
      <c r="E356" s="1238"/>
      <c r="F356" s="331"/>
      <c r="G356" s="326"/>
      <c r="H356" s="326"/>
      <c r="I356" s="774"/>
      <c r="J356" s="326"/>
      <c r="K356" s="326"/>
    </row>
    <row r="357" spans="1:11" ht="15" x14ac:dyDescent="0.25">
      <c r="A357" s="796"/>
      <c r="B357" s="326"/>
      <c r="C357" s="801"/>
      <c r="D357" s="348" t="s">
        <v>236</v>
      </c>
      <c r="E357" s="326"/>
      <c r="F357" s="328"/>
      <c r="G357" s="326"/>
      <c r="H357" s="326"/>
      <c r="I357" s="774"/>
      <c r="J357" s="326"/>
      <c r="K357" s="326"/>
    </row>
    <row r="358" spans="1:11" ht="15" x14ac:dyDescent="0.25">
      <c r="A358" s="796"/>
      <c r="B358" s="326"/>
      <c r="C358" s="347"/>
      <c r="D358" s="326"/>
      <c r="E358" s="326"/>
      <c r="F358" s="331"/>
      <c r="G358" s="326"/>
      <c r="H358" s="326"/>
      <c r="I358" s="774"/>
      <c r="J358" s="470"/>
      <c r="K358" s="326"/>
    </row>
    <row r="359" spans="1:11" ht="15" x14ac:dyDescent="0.25">
      <c r="A359" s="796"/>
      <c r="B359" s="326"/>
      <c r="C359" s="326"/>
      <c r="D359" s="326"/>
      <c r="E359" s="326"/>
      <c r="F359" s="326"/>
      <c r="G359" s="326"/>
      <c r="H359" s="338"/>
      <c r="I359" s="774"/>
      <c r="J359" s="326"/>
      <c r="K359" s="326"/>
    </row>
    <row r="360" spans="1:11" ht="15" x14ac:dyDescent="0.25">
      <c r="A360" s="796"/>
      <c r="B360" s="326"/>
      <c r="C360" s="326"/>
      <c r="D360" s="806" t="s">
        <v>983</v>
      </c>
      <c r="E360" s="326"/>
      <c r="F360" s="326"/>
      <c r="G360" s="326"/>
      <c r="H360" s="338"/>
      <c r="I360" s="774"/>
      <c r="J360" s="326"/>
      <c r="K360" s="326"/>
    </row>
    <row r="361" spans="1:11" ht="15" x14ac:dyDescent="0.25">
      <c r="A361" s="796"/>
      <c r="B361" s="326"/>
      <c r="C361" s="326"/>
      <c r="D361" s="326"/>
      <c r="E361" s="326"/>
      <c r="F361" s="326"/>
      <c r="G361" s="326"/>
      <c r="H361" s="338"/>
      <c r="I361" s="774"/>
      <c r="J361" s="326"/>
      <c r="K361" s="326"/>
    </row>
    <row r="362" spans="1:11" ht="15" x14ac:dyDescent="0.25">
      <c r="A362" s="771" t="s">
        <v>910</v>
      </c>
      <c r="B362" s="347"/>
      <c r="C362" s="338"/>
      <c r="D362" s="338"/>
      <c r="E362" s="338"/>
      <c r="F362" s="326"/>
      <c r="G362" s="773"/>
      <c r="H362" s="338"/>
      <c r="I362" s="774"/>
      <c r="J362" s="326"/>
      <c r="K362" s="326"/>
    </row>
    <row r="363" spans="1:11" ht="15" x14ac:dyDescent="0.25">
      <c r="A363" s="824" t="s">
        <v>911</v>
      </c>
      <c r="B363" s="329"/>
      <c r="C363" s="329"/>
      <c r="D363" s="329"/>
      <c r="E363" s="338"/>
      <c r="F363" s="338" t="s">
        <v>912</v>
      </c>
      <c r="G363" s="773" t="s">
        <v>442</v>
      </c>
      <c r="H363" s="333">
        <f>H210</f>
        <v>0.35</v>
      </c>
      <c r="I363" s="809" t="s">
        <v>74</v>
      </c>
      <c r="J363" s="326"/>
      <c r="K363" s="326"/>
    </row>
    <row r="364" spans="1:11" ht="15" x14ac:dyDescent="0.25">
      <c r="A364" s="824" t="s">
        <v>913</v>
      </c>
      <c r="B364" s="329"/>
      <c r="C364" s="329"/>
      <c r="D364" s="329"/>
      <c r="E364" s="338"/>
      <c r="F364" s="338" t="s">
        <v>914</v>
      </c>
      <c r="G364" s="773" t="s">
        <v>442</v>
      </c>
      <c r="H364" s="333">
        <f>H211</f>
        <v>0.35</v>
      </c>
      <c r="I364" s="809" t="s">
        <v>74</v>
      </c>
      <c r="J364" s="326"/>
      <c r="K364" s="326"/>
    </row>
    <row r="365" spans="1:11" ht="15" x14ac:dyDescent="0.25">
      <c r="A365" s="824" t="s">
        <v>915</v>
      </c>
      <c r="B365" s="329"/>
      <c r="C365" s="329"/>
      <c r="D365" s="329"/>
      <c r="E365" s="338"/>
      <c r="F365" s="338" t="s">
        <v>916</v>
      </c>
      <c r="G365" s="773" t="s">
        <v>442</v>
      </c>
      <c r="H365" s="811">
        <f>H212</f>
        <v>4.55</v>
      </c>
      <c r="I365" s="809" t="s">
        <v>74</v>
      </c>
      <c r="J365" s="326"/>
      <c r="K365" s="326"/>
    </row>
    <row r="366" spans="1:11" ht="15" x14ac:dyDescent="0.25">
      <c r="A366" s="824" t="s">
        <v>917</v>
      </c>
      <c r="B366" s="329"/>
      <c r="C366" s="329"/>
      <c r="D366" s="329"/>
      <c r="E366" s="338"/>
      <c r="F366" s="338" t="s">
        <v>918</v>
      </c>
      <c r="G366" s="773" t="s">
        <v>442</v>
      </c>
      <c r="H366" s="811">
        <f>H213</f>
        <v>3.55</v>
      </c>
      <c r="I366" s="809" t="s">
        <v>74</v>
      </c>
      <c r="J366" s="326"/>
      <c r="K366" s="326"/>
    </row>
    <row r="367" spans="1:11" ht="15" x14ac:dyDescent="0.25">
      <c r="A367" s="807" t="s">
        <v>919</v>
      </c>
      <c r="B367" s="331"/>
      <c r="C367" s="331"/>
      <c r="D367" s="331"/>
      <c r="E367" s="338"/>
      <c r="F367" s="338" t="s">
        <v>920</v>
      </c>
      <c r="G367" s="773" t="s">
        <v>442</v>
      </c>
      <c r="H367" s="850">
        <f>ROUND(H214,2)</f>
        <v>45</v>
      </c>
      <c r="I367" s="810" t="s">
        <v>765</v>
      </c>
      <c r="J367" s="331">
        <f>H367*3.142/180</f>
        <v>0.78549999999999998</v>
      </c>
      <c r="K367" s="331" t="s">
        <v>241</v>
      </c>
    </row>
    <row r="368" spans="1:11" ht="15" x14ac:dyDescent="0.25">
      <c r="A368" s="807"/>
      <c r="B368" s="331"/>
      <c r="C368" s="331"/>
      <c r="D368" s="331"/>
      <c r="E368" s="338"/>
      <c r="F368" s="338" t="s">
        <v>984</v>
      </c>
      <c r="G368" s="773" t="s">
        <v>442</v>
      </c>
      <c r="H368" s="331">
        <f>ROUND(COS(J367),3)</f>
        <v>0.70699999999999996</v>
      </c>
      <c r="I368" s="810"/>
      <c r="J368" s="326"/>
      <c r="K368" s="326"/>
    </row>
    <row r="369" spans="1:11" ht="15" x14ac:dyDescent="0.25">
      <c r="A369" s="807"/>
      <c r="B369" s="331"/>
      <c r="C369" s="331"/>
      <c r="D369" s="331"/>
      <c r="E369" s="338"/>
      <c r="F369" s="338" t="s">
        <v>985</v>
      </c>
      <c r="G369" s="773" t="s">
        <v>442</v>
      </c>
      <c r="H369" s="811">
        <f>ROUND(SIN(J367),3)</f>
        <v>0.70699999999999996</v>
      </c>
      <c r="I369" s="810"/>
      <c r="J369" s="326"/>
      <c r="K369" s="326"/>
    </row>
    <row r="370" spans="1:11" ht="15" x14ac:dyDescent="0.25">
      <c r="A370" s="807"/>
      <c r="B370" s="331"/>
      <c r="C370" s="331"/>
      <c r="D370" s="331"/>
      <c r="E370" s="338"/>
      <c r="F370" s="338" t="s">
        <v>986</v>
      </c>
      <c r="G370" s="773" t="s">
        <v>442</v>
      </c>
      <c r="H370" s="811">
        <f>ROUND(TAN(J367),3)</f>
        <v>1</v>
      </c>
      <c r="I370" s="810"/>
      <c r="J370" s="326"/>
      <c r="K370" s="326"/>
    </row>
    <row r="371" spans="1:11" ht="15" x14ac:dyDescent="0.25">
      <c r="A371" s="824" t="s">
        <v>921</v>
      </c>
      <c r="B371" s="329"/>
      <c r="C371" s="329"/>
      <c r="D371" s="329"/>
      <c r="E371" s="338"/>
      <c r="F371" s="338" t="s">
        <v>922</v>
      </c>
      <c r="G371" s="773" t="s">
        <v>442</v>
      </c>
      <c r="H371" s="333">
        <f>H215</f>
        <v>1.4142135623730951</v>
      </c>
      <c r="I371" s="809" t="s">
        <v>74</v>
      </c>
      <c r="J371" s="326"/>
      <c r="K371" s="326"/>
    </row>
    <row r="372" spans="1:11" ht="15" x14ac:dyDescent="0.25">
      <c r="A372" s="771" t="s">
        <v>987</v>
      </c>
      <c r="B372" s="347"/>
      <c r="C372" s="338"/>
      <c r="D372" s="338"/>
      <c r="E372" s="338"/>
      <c r="F372" s="326"/>
      <c r="G372" s="773"/>
      <c r="H372" s="338"/>
      <c r="I372" s="774"/>
      <c r="J372" s="326"/>
      <c r="K372" s="326"/>
    </row>
    <row r="373" spans="1:11" ht="15" x14ac:dyDescent="0.25">
      <c r="A373" s="807" t="s">
        <v>776</v>
      </c>
      <c r="B373" s="331"/>
      <c r="C373" s="331"/>
      <c r="D373" s="883"/>
      <c r="E373" s="331"/>
      <c r="F373" s="338" t="s">
        <v>988</v>
      </c>
      <c r="G373" s="773" t="s">
        <v>442</v>
      </c>
      <c r="H373" s="333">
        <f>Calculation!G161/1000</f>
        <v>0.5</v>
      </c>
      <c r="I373" s="809" t="s">
        <v>74</v>
      </c>
      <c r="J373" s="326"/>
      <c r="K373" s="326"/>
    </row>
    <row r="374" spans="1:11" ht="15" x14ac:dyDescent="0.25">
      <c r="A374" s="807" t="s">
        <v>778</v>
      </c>
      <c r="B374" s="331"/>
      <c r="C374" s="331"/>
      <c r="D374" s="331"/>
      <c r="E374" s="883"/>
      <c r="F374" s="338" t="s">
        <v>989</v>
      </c>
      <c r="G374" s="773" t="s">
        <v>442</v>
      </c>
      <c r="H374" s="333">
        <f>Calculation!D97/1000</f>
        <v>0.9</v>
      </c>
      <c r="I374" s="809" t="s">
        <v>74</v>
      </c>
      <c r="J374" s="326"/>
      <c r="K374" s="326"/>
    </row>
    <row r="375" spans="1:11" ht="15" x14ac:dyDescent="0.25">
      <c r="A375" s="824" t="s">
        <v>908</v>
      </c>
      <c r="B375" s="329"/>
      <c r="C375" s="329"/>
      <c r="D375" s="329"/>
      <c r="E375" s="329"/>
      <c r="F375" s="338" t="s">
        <v>990</v>
      </c>
      <c r="G375" s="773" t="s">
        <v>442</v>
      </c>
      <c r="H375" s="808">
        <f>H213</f>
        <v>3.55</v>
      </c>
      <c r="I375" s="809" t="s">
        <v>74</v>
      </c>
      <c r="J375" s="326"/>
      <c r="K375" s="326"/>
    </row>
    <row r="376" spans="1:11" ht="15" x14ac:dyDescent="0.25">
      <c r="A376" s="771" t="s">
        <v>991</v>
      </c>
      <c r="B376" s="347"/>
      <c r="C376" s="338"/>
      <c r="D376" s="338"/>
      <c r="E376" s="338"/>
      <c r="F376" s="326"/>
      <c r="G376" s="773"/>
      <c r="H376" s="338"/>
      <c r="I376" s="774"/>
      <c r="J376" s="326"/>
      <c r="K376" s="326"/>
    </row>
    <row r="377" spans="1:11" ht="15" x14ac:dyDescent="0.25">
      <c r="A377" s="807" t="s">
        <v>992</v>
      </c>
      <c r="B377" s="331"/>
      <c r="C377" s="331"/>
      <c r="D377" s="331"/>
      <c r="E377" s="331"/>
      <c r="F377" s="326"/>
      <c r="G377" s="773"/>
      <c r="H377" s="338"/>
      <c r="I377" s="774"/>
      <c r="J377" s="326"/>
      <c r="K377" s="326"/>
    </row>
    <row r="378" spans="1:11" ht="15" x14ac:dyDescent="0.25">
      <c r="A378" s="824"/>
      <c r="B378" s="329" t="s">
        <v>993</v>
      </c>
      <c r="C378" s="329"/>
      <c r="D378" s="329"/>
      <c r="E378" s="329"/>
      <c r="F378" s="326"/>
      <c r="G378" s="773" t="s">
        <v>442</v>
      </c>
      <c r="H378" s="333">
        <f>ROUND(Calculation!F766*10000,3)</f>
        <v>214339.91</v>
      </c>
      <c r="I378" s="809" t="s">
        <v>899</v>
      </c>
      <c r="J378" s="326"/>
      <c r="K378" s="326"/>
    </row>
    <row r="379" spans="1:11" ht="15" x14ac:dyDescent="0.25">
      <c r="A379" s="367"/>
      <c r="B379" s="885" t="str">
        <f>CONCATENATE("(",H378,"/",Calculation!F767,")")</f>
        <v>(214339.91/44.614)</v>
      </c>
      <c r="C379" s="368"/>
      <c r="D379" s="368"/>
      <c r="E379" s="368"/>
      <c r="F379" s="410" t="s">
        <v>129</v>
      </c>
      <c r="G379" s="886" t="s">
        <v>442</v>
      </c>
      <c r="H379" s="410">
        <f>H378/Calculation!F767</f>
        <v>4804.3194961222935</v>
      </c>
      <c r="I379" s="445" t="s">
        <v>994</v>
      </c>
      <c r="J379" s="326"/>
      <c r="K379" s="326"/>
    </row>
    <row r="380" spans="1:11" ht="15" x14ac:dyDescent="0.25">
      <c r="A380" s="824"/>
      <c r="B380" s="329" t="s">
        <v>995</v>
      </c>
      <c r="C380" s="329"/>
      <c r="D380" s="329"/>
      <c r="E380" s="329"/>
      <c r="F380" s="326"/>
      <c r="G380" s="773" t="s">
        <v>442</v>
      </c>
      <c r="H380" s="327">
        <f>Calculation!F772*10000</f>
        <v>1794540</v>
      </c>
      <c r="I380" s="809" t="s">
        <v>899</v>
      </c>
      <c r="J380" s="326"/>
      <c r="K380" s="326"/>
    </row>
    <row r="381" spans="1:11" ht="15" x14ac:dyDescent="0.25">
      <c r="A381" s="824"/>
      <c r="B381" s="339" t="str">
        <f>CONCATENATE("(",H380,"/",Calculation!F767,")")</f>
        <v>(1794540/44.614)</v>
      </c>
      <c r="C381" s="329"/>
      <c r="D381" s="329"/>
      <c r="E381" s="329"/>
      <c r="F381" s="338" t="s">
        <v>996</v>
      </c>
      <c r="G381" s="773" t="s">
        <v>442</v>
      </c>
      <c r="H381" s="327">
        <f>H380/Calculation!F767</f>
        <v>40223.696597480615</v>
      </c>
      <c r="I381" s="809" t="s">
        <v>994</v>
      </c>
      <c r="J381" s="326"/>
      <c r="K381" s="326"/>
    </row>
    <row r="382" spans="1:11" ht="15" x14ac:dyDescent="0.25">
      <c r="A382" s="807" t="s">
        <v>997</v>
      </c>
      <c r="B382" s="331"/>
      <c r="C382" s="331"/>
      <c r="D382" s="331"/>
      <c r="E382" s="331"/>
      <c r="F382" s="338" t="s">
        <v>998</v>
      </c>
      <c r="G382" s="773" t="s">
        <v>442</v>
      </c>
      <c r="H382" s="808">
        <f>Calculation!F763</f>
        <v>5.6070000000000002</v>
      </c>
      <c r="I382" s="809" t="s">
        <v>74</v>
      </c>
      <c r="J382" s="326"/>
      <c r="K382" s="326"/>
    </row>
    <row r="383" spans="1:11" ht="15" x14ac:dyDescent="0.25">
      <c r="A383" s="807" t="s">
        <v>999</v>
      </c>
      <c r="B383" s="331"/>
      <c r="C383" s="331"/>
      <c r="D383" s="331"/>
      <c r="E383" s="331"/>
      <c r="F383" s="338" t="s">
        <v>1000</v>
      </c>
      <c r="G383" s="773" t="s">
        <v>442</v>
      </c>
      <c r="H383" s="811">
        <f>Calculation!D92</f>
        <v>0.2</v>
      </c>
      <c r="I383" s="809" t="s">
        <v>74</v>
      </c>
      <c r="J383" s="326"/>
      <c r="K383" s="326"/>
    </row>
    <row r="384" spans="1:11" ht="15" x14ac:dyDescent="0.25">
      <c r="A384" s="807" t="s">
        <v>1001</v>
      </c>
      <c r="B384" s="331"/>
      <c r="C384" s="331"/>
      <c r="D384" s="331"/>
      <c r="E384" s="331"/>
      <c r="F384" s="857" t="s">
        <v>1002</v>
      </c>
      <c r="G384" s="773" t="s">
        <v>442</v>
      </c>
      <c r="H384" s="850">
        <f>ROUND(Calculation!F104,2)</f>
        <v>35.92</v>
      </c>
      <c r="I384" s="810" t="s">
        <v>765</v>
      </c>
      <c r="J384" s="331">
        <f>H384*3.142/180</f>
        <v>0.62700355555555554</v>
      </c>
      <c r="K384" s="331" t="s">
        <v>241</v>
      </c>
    </row>
    <row r="385" spans="1:14" ht="15" x14ac:dyDescent="0.25">
      <c r="A385" s="824"/>
      <c r="B385" s="326"/>
      <c r="C385" s="329"/>
      <c r="D385" s="329"/>
      <c r="E385" s="329"/>
      <c r="F385" s="338" t="s">
        <v>984</v>
      </c>
      <c r="G385" s="773" t="s">
        <v>442</v>
      </c>
      <c r="H385" s="331">
        <f>ROUND(COS(J384),3)</f>
        <v>0.81</v>
      </c>
      <c r="I385" s="774"/>
      <c r="J385" s="326"/>
      <c r="K385" s="326"/>
      <c r="L385" s="346" t="s">
        <v>1003</v>
      </c>
      <c r="M385" s="346"/>
      <c r="N385" s="346"/>
    </row>
    <row r="386" spans="1:14" ht="15" x14ac:dyDescent="0.25">
      <c r="A386" s="824"/>
      <c r="B386" s="326"/>
      <c r="C386" s="329"/>
      <c r="D386" s="329"/>
      <c r="E386" s="329"/>
      <c r="F386" s="338" t="s">
        <v>985</v>
      </c>
      <c r="G386" s="773" t="s">
        <v>442</v>
      </c>
      <c r="H386" s="811">
        <f>ROUND(SIN(J384),3)</f>
        <v>0.58699999999999997</v>
      </c>
      <c r="I386" s="774"/>
      <c r="J386" s="326"/>
      <c r="K386" s="326"/>
      <c r="L386" s="346">
        <f>2*H384</f>
        <v>71.84</v>
      </c>
      <c r="M386" s="346"/>
      <c r="N386" s="346">
        <f>L386*3.142/180</f>
        <v>1.2540071111111111</v>
      </c>
    </row>
    <row r="387" spans="1:14" ht="15" x14ac:dyDescent="0.25">
      <c r="A387" s="824"/>
      <c r="B387" s="326"/>
      <c r="C387" s="329"/>
      <c r="D387" s="329"/>
      <c r="E387" s="329"/>
      <c r="F387" s="338" t="s">
        <v>986</v>
      </c>
      <c r="G387" s="773" t="s">
        <v>442</v>
      </c>
      <c r="H387" s="811">
        <f>ROUND(TAN(J384),3)</f>
        <v>0.72499999999999998</v>
      </c>
      <c r="I387" s="774"/>
      <c r="J387" s="326"/>
      <c r="K387" s="326"/>
      <c r="L387" s="346">
        <f>ROUND(COS(N386),3)</f>
        <v>0.312</v>
      </c>
      <c r="M387" s="346"/>
      <c r="N387" s="346"/>
    </row>
    <row r="388" spans="1:14" ht="15" x14ac:dyDescent="0.25">
      <c r="A388" s="807" t="s">
        <v>1004</v>
      </c>
      <c r="B388" s="331"/>
      <c r="C388" s="331"/>
      <c r="D388" s="331"/>
      <c r="E388" s="331"/>
      <c r="F388" s="338" t="s">
        <v>1005</v>
      </c>
      <c r="G388" s="773" t="s">
        <v>442</v>
      </c>
      <c r="H388" s="334">
        <f>Calculation!E94</f>
        <v>1.2669999999999999</v>
      </c>
      <c r="I388" s="809" t="s">
        <v>74</v>
      </c>
      <c r="J388" s="326"/>
      <c r="K388" s="326"/>
      <c r="L388" s="326"/>
      <c r="M388" s="326"/>
      <c r="N388" s="326"/>
    </row>
    <row r="389" spans="1:14" ht="15" x14ac:dyDescent="0.25">
      <c r="A389" s="771" t="s">
        <v>786</v>
      </c>
      <c r="B389" s="347"/>
      <c r="C389" s="347"/>
      <c r="D389" s="347"/>
      <c r="E389" s="347"/>
      <c r="F389" s="347"/>
      <c r="G389" s="773"/>
      <c r="H389" s="338"/>
      <c r="I389" s="774"/>
      <c r="J389" s="326"/>
      <c r="K389" s="326"/>
      <c r="L389" s="326"/>
      <c r="M389" s="326"/>
      <c r="N389" s="326"/>
    </row>
    <row r="390" spans="1:14" ht="15" x14ac:dyDescent="0.25">
      <c r="A390" s="771" t="s">
        <v>1006</v>
      </c>
      <c r="B390" s="331"/>
      <c r="C390" s="331"/>
      <c r="D390" s="331"/>
      <c r="E390" s="338"/>
      <c r="F390" s="326"/>
      <c r="G390" s="773"/>
      <c r="H390" s="338"/>
      <c r="I390" s="774"/>
      <c r="J390" s="326"/>
      <c r="K390" s="326"/>
      <c r="L390" s="326"/>
      <c r="M390" s="326"/>
      <c r="N390" s="326"/>
    </row>
    <row r="391" spans="1:14" ht="15" x14ac:dyDescent="0.25">
      <c r="A391" s="824" t="s">
        <v>933</v>
      </c>
      <c r="B391" s="329"/>
      <c r="C391" s="329"/>
      <c r="D391" s="329"/>
      <c r="E391" s="338"/>
      <c r="F391" s="338" t="s">
        <v>771</v>
      </c>
      <c r="G391" s="773" t="s">
        <v>442</v>
      </c>
      <c r="H391" s="327">
        <f>H247</f>
        <v>272961.57204415044</v>
      </c>
      <c r="I391" s="860" t="s">
        <v>832</v>
      </c>
      <c r="J391" s="326"/>
      <c r="K391" s="326"/>
      <c r="L391" s="326"/>
      <c r="M391" s="326"/>
      <c r="N391" s="326"/>
    </row>
    <row r="392" spans="1:14" ht="15" x14ac:dyDescent="0.25">
      <c r="A392" s="824" t="s">
        <v>935</v>
      </c>
      <c r="B392" s="329"/>
      <c r="C392" s="329"/>
      <c r="D392" s="329"/>
      <c r="E392" s="338"/>
      <c r="F392" s="338" t="s">
        <v>1058</v>
      </c>
      <c r="G392" s="773" t="s">
        <v>442</v>
      </c>
      <c r="H392" s="327">
        <f>H248</f>
        <v>272961.57204415044</v>
      </c>
      <c r="I392" s="860" t="s">
        <v>832</v>
      </c>
      <c r="J392" s="326"/>
      <c r="K392" s="326"/>
      <c r="L392" s="326"/>
      <c r="M392" s="326"/>
      <c r="N392" s="326"/>
    </row>
    <row r="393" spans="1:14" ht="15" x14ac:dyDescent="0.25">
      <c r="A393" s="824" t="s">
        <v>1007</v>
      </c>
      <c r="B393" s="329"/>
      <c r="C393" s="329"/>
      <c r="D393" s="329"/>
      <c r="E393" s="338"/>
      <c r="F393" s="326"/>
      <c r="G393" s="773"/>
      <c r="H393" s="327"/>
      <c r="I393" s="860"/>
      <c r="J393" s="326"/>
      <c r="K393" s="326"/>
      <c r="L393" s="326"/>
      <c r="M393" s="326"/>
      <c r="N393" s="326"/>
    </row>
    <row r="394" spans="1:14" ht="15" x14ac:dyDescent="0.25">
      <c r="A394" s="796"/>
      <c r="B394" s="329" t="s">
        <v>1008</v>
      </c>
      <c r="C394" s="329"/>
      <c r="D394" s="338"/>
      <c r="E394" s="338"/>
      <c r="F394" s="338" t="s">
        <v>870</v>
      </c>
      <c r="G394" s="773" t="s">
        <v>442</v>
      </c>
      <c r="H394" s="331">
        <f>(H392*H366)/H363</f>
        <v>2768610.2307335259</v>
      </c>
      <c r="I394" s="860" t="s">
        <v>799</v>
      </c>
      <c r="J394" s="326"/>
      <c r="K394" s="327"/>
      <c r="L394" s="326"/>
      <c r="M394" s="326"/>
      <c r="N394" s="326"/>
    </row>
    <row r="395" spans="1:14" ht="15" x14ac:dyDescent="0.25">
      <c r="A395" s="796"/>
      <c r="B395" s="328" t="str">
        <f>CONCATENATE("(",H392,"*",H366,")","/",H363)</f>
        <v>(272961.57204415*3.55)/0.35</v>
      </c>
      <c r="C395" s="326"/>
      <c r="D395" s="326"/>
      <c r="E395" s="326"/>
      <c r="F395" s="326"/>
      <c r="G395" s="326"/>
      <c r="H395" s="327" t="s">
        <v>74</v>
      </c>
      <c r="I395" s="820" t="s">
        <v>833</v>
      </c>
      <c r="J395" s="326"/>
      <c r="K395" s="326"/>
      <c r="L395" s="326"/>
      <c r="M395" s="326"/>
      <c r="N395" s="326"/>
    </row>
    <row r="396" spans="1:14" ht="15" x14ac:dyDescent="0.25">
      <c r="A396" s="807" t="s">
        <v>1009</v>
      </c>
      <c r="B396" s="347"/>
      <c r="C396" s="347"/>
      <c r="D396" s="338"/>
      <c r="E396" s="338"/>
      <c r="F396" s="326"/>
      <c r="G396" s="773"/>
      <c r="H396" s="354"/>
      <c r="I396" s="774"/>
      <c r="J396" s="326"/>
      <c r="K396" s="326"/>
      <c r="L396" s="326"/>
      <c r="M396" s="326"/>
      <c r="N396" s="326"/>
    </row>
    <row r="397" spans="1:14" ht="15" x14ac:dyDescent="0.25">
      <c r="A397" s="807" t="s">
        <v>1010</v>
      </c>
      <c r="B397" s="347"/>
      <c r="C397" s="347"/>
      <c r="D397" s="338"/>
      <c r="E397" s="338"/>
      <c r="F397" s="326"/>
      <c r="G397" s="773"/>
      <c r="H397" s="354"/>
      <c r="I397" s="774"/>
      <c r="J397" s="326"/>
      <c r="K397" s="326"/>
      <c r="L397" s="326"/>
      <c r="M397" s="326"/>
      <c r="N397" s="326"/>
    </row>
    <row r="398" spans="1:14" ht="15" x14ac:dyDescent="0.25">
      <c r="A398" s="807" t="s">
        <v>941</v>
      </c>
      <c r="B398" s="331"/>
      <c r="C398" s="331"/>
      <c r="D398" s="338"/>
      <c r="E398" s="338"/>
      <c r="F398" s="338" t="s">
        <v>1011</v>
      </c>
      <c r="G398" s="773" t="s">
        <v>442</v>
      </c>
      <c r="H398" s="327">
        <f>H392</f>
        <v>272961.57204415044</v>
      </c>
      <c r="I398" s="809" t="s">
        <v>832</v>
      </c>
      <c r="J398" s="326"/>
      <c r="K398" s="326"/>
      <c r="L398" s="326"/>
      <c r="M398" s="326"/>
      <c r="N398" s="326"/>
    </row>
    <row r="399" spans="1:14" ht="15" x14ac:dyDescent="0.25">
      <c r="A399" s="803" t="s">
        <v>1012</v>
      </c>
      <c r="B399" s="329"/>
      <c r="C399" s="329"/>
      <c r="D399" s="329"/>
      <c r="E399" s="329"/>
      <c r="F399" s="329"/>
      <c r="G399" s="773" t="s">
        <v>442</v>
      </c>
      <c r="H399" s="327">
        <f>ROUND(Calculation!F626*10000,3)</f>
        <v>2677987.665</v>
      </c>
      <c r="I399" s="809" t="s">
        <v>899</v>
      </c>
      <c r="J399" s="331">
        <v>5838730.0000000009</v>
      </c>
      <c r="K399" s="326"/>
      <c r="L399" s="326"/>
      <c r="M399" s="326"/>
      <c r="N399" s="326"/>
    </row>
    <row r="400" spans="1:14" ht="15" x14ac:dyDescent="0.25">
      <c r="A400" s="824"/>
      <c r="B400" s="326"/>
      <c r="C400" s="339" t="str">
        <f>CONCATENATE(H399,"/","(",2,"*",3.142,"*",H366,")")</f>
        <v>2677987.665/(2*3.142*3.55)</v>
      </c>
      <c r="D400" s="329"/>
      <c r="E400" s="329"/>
      <c r="F400" s="338" t="s">
        <v>170</v>
      </c>
      <c r="G400" s="773" t="s">
        <v>442</v>
      </c>
      <c r="H400" s="331">
        <f>ROUND(H399/(2*PI()*H366),3)</f>
        <v>120060.556</v>
      </c>
      <c r="I400" s="809" t="s">
        <v>832</v>
      </c>
      <c r="J400" s="326"/>
      <c r="K400" s="327"/>
      <c r="L400" s="326"/>
      <c r="M400" s="326"/>
      <c r="N400" s="326"/>
    </row>
    <row r="401" spans="1:16" ht="15" x14ac:dyDescent="0.25">
      <c r="A401" s="824" t="s">
        <v>944</v>
      </c>
      <c r="B401" s="329"/>
      <c r="C401" s="339" t="str">
        <f>CONCATENATE(H400,"/","cos",H384)</f>
        <v>120060.556/cos35.92</v>
      </c>
      <c r="D401" s="338"/>
      <c r="E401" s="338"/>
      <c r="F401" s="338" t="s">
        <v>1013</v>
      </c>
      <c r="G401" s="773" t="s">
        <v>442</v>
      </c>
      <c r="H401" s="331">
        <f>ROUND(H400/H368,3)</f>
        <v>169816.91099999999</v>
      </c>
      <c r="I401" s="809" t="s">
        <v>832</v>
      </c>
      <c r="J401" s="326"/>
      <c r="K401" s="327"/>
      <c r="L401" s="326"/>
      <c r="M401" s="326"/>
      <c r="N401" s="326"/>
      <c r="O401" s="326"/>
      <c r="P401" s="326"/>
    </row>
    <row r="402" spans="1:16" ht="15" x14ac:dyDescent="0.25">
      <c r="A402" s="807" t="s">
        <v>945</v>
      </c>
      <c r="B402" s="328" t="str">
        <f>CONCATENATE("-tan",H384,"*","(",2,"*",H398,"+",H401,")","∕","(","E","*",H363,")")</f>
        <v>-tan35.92*(2*272961.57204415+169816.911)∕(E*0.35)</v>
      </c>
      <c r="C402" s="326"/>
      <c r="D402" s="338"/>
      <c r="E402" s="338"/>
      <c r="F402" s="326"/>
      <c r="G402" s="773" t="s">
        <v>442</v>
      </c>
      <c r="H402" s="331">
        <f>-H370*(2*H398+H401)/H363</f>
        <v>-2044971.585966574</v>
      </c>
      <c r="I402" s="809" t="s">
        <v>799</v>
      </c>
      <c r="J402" s="326"/>
      <c r="K402" s="328"/>
      <c r="L402" s="326"/>
      <c r="M402" s="326"/>
      <c r="N402" s="326"/>
      <c r="O402" s="327"/>
      <c r="P402" s="326"/>
    </row>
    <row r="403" spans="1:16" ht="15" x14ac:dyDescent="0.25">
      <c r="A403" s="824"/>
      <c r="B403" s="329"/>
      <c r="C403" s="329"/>
      <c r="D403" s="338"/>
      <c r="E403" s="338"/>
      <c r="F403" s="326"/>
      <c r="G403" s="773"/>
      <c r="H403" s="855" t="s">
        <v>801</v>
      </c>
      <c r="I403" s="810" t="s">
        <v>848</v>
      </c>
      <c r="J403" s="326"/>
      <c r="K403" s="326"/>
      <c r="L403" s="326"/>
      <c r="M403" s="326"/>
      <c r="N403" s="326"/>
      <c r="O403" s="326"/>
      <c r="P403" s="326"/>
    </row>
    <row r="404" spans="1:16" ht="15" x14ac:dyDescent="0.25">
      <c r="A404" s="856" t="s">
        <v>1014</v>
      </c>
      <c r="B404" s="339" t="s">
        <v>1015</v>
      </c>
      <c r="C404" s="326"/>
      <c r="D404" s="422" t="str">
        <f>CONCATENATE("(",12,"*","cot","^",2,H214,"/",H210,"^",2,")","^",0.25)</f>
        <v>(12*cot^245/0.35^2)^0.25</v>
      </c>
      <c r="E404" s="338"/>
      <c r="F404" s="857" t="s">
        <v>1014</v>
      </c>
      <c r="G404" s="858" t="s">
        <v>442</v>
      </c>
      <c r="H404" s="333">
        <f>H260</f>
        <v>3.15</v>
      </c>
      <c r="I404" s="859"/>
      <c r="J404" s="326"/>
      <c r="K404" s="326"/>
      <c r="L404" s="326"/>
      <c r="M404" s="326"/>
      <c r="N404" s="326"/>
      <c r="O404" s="326"/>
      <c r="P404" s="326"/>
    </row>
    <row r="405" spans="1:16" ht="15" x14ac:dyDescent="0.25">
      <c r="A405" s="824" t="s">
        <v>948</v>
      </c>
      <c r="B405" s="329" t="s">
        <v>949</v>
      </c>
      <c r="C405" s="326"/>
      <c r="D405" s="339" t="str">
        <f>CONCATENATE(H213,"*","cosec",H214)</f>
        <v>3.55*cosec45</v>
      </c>
      <c r="E405" s="338"/>
      <c r="F405" s="338" t="s">
        <v>948</v>
      </c>
      <c r="G405" s="858" t="s">
        <v>442</v>
      </c>
      <c r="H405" s="333">
        <f>ROUND(H213*1/K257,2)</f>
        <v>5.0199999999999996</v>
      </c>
      <c r="I405" s="860" t="s">
        <v>74</v>
      </c>
      <c r="J405" s="326"/>
      <c r="K405" s="326"/>
      <c r="L405" s="326"/>
      <c r="M405" s="326"/>
      <c r="N405" s="326"/>
      <c r="O405" s="326"/>
      <c r="P405" s="326"/>
    </row>
    <row r="406" spans="1:16" ht="15" x14ac:dyDescent="0.25">
      <c r="A406" s="824" t="s">
        <v>1016</v>
      </c>
      <c r="B406" s="329" t="s">
        <v>1017</v>
      </c>
      <c r="C406" s="326"/>
      <c r="D406" s="339" t="str">
        <f>CONCATENATE(2,"*",H404,"*","SQRT","(",H405,")")</f>
        <v>2*3.15*SQRT(5.02)</v>
      </c>
      <c r="E406" s="338"/>
      <c r="F406" s="338" t="s">
        <v>1016</v>
      </c>
      <c r="G406" s="858" t="s">
        <v>442</v>
      </c>
      <c r="H406" s="333">
        <f>2*H404*SQRT(H405)</f>
        <v>14.115374596517089</v>
      </c>
      <c r="I406" s="860"/>
      <c r="J406" s="326"/>
      <c r="K406" s="326"/>
      <c r="L406" s="326"/>
      <c r="M406" s="326"/>
      <c r="N406" s="326"/>
      <c r="O406" s="326"/>
      <c r="P406" s="326"/>
    </row>
    <row r="407" spans="1:16" ht="15" x14ac:dyDescent="0.25">
      <c r="A407" s="447" t="s">
        <v>13</v>
      </c>
      <c r="B407" s="1277" t="s">
        <v>953</v>
      </c>
      <c r="C407" s="1277"/>
      <c r="D407" s="1277"/>
      <c r="E407" s="338"/>
      <c r="F407" s="326"/>
      <c r="G407" s="858"/>
      <c r="H407" s="333"/>
      <c r="I407" s="860"/>
      <c r="J407" s="326"/>
      <c r="K407" s="326"/>
      <c r="L407" s="326"/>
      <c r="M407" s="326"/>
      <c r="N407" s="326"/>
      <c r="O407" s="326"/>
      <c r="P407" s="326"/>
    </row>
    <row r="408" spans="1:16" ht="15" x14ac:dyDescent="0.25">
      <c r="A408" s="796"/>
      <c r="B408" s="329"/>
      <c r="C408" s="329"/>
      <c r="D408" s="338"/>
      <c r="E408" s="338"/>
      <c r="F408" s="338" t="s">
        <v>1059</v>
      </c>
      <c r="G408" s="858" t="s">
        <v>442</v>
      </c>
      <c r="H408" s="333">
        <f>K412</f>
        <v>1933.46</v>
      </c>
      <c r="I408" s="860"/>
      <c r="J408" s="389" t="s">
        <v>351</v>
      </c>
      <c r="K408" s="442">
        <f>H406</f>
        <v>14.115374596517089</v>
      </c>
      <c r="L408" s="346"/>
      <c r="M408" s="346"/>
      <c r="N408" s="346"/>
      <c r="O408" s="326"/>
      <c r="P408" s="326"/>
    </row>
    <row r="409" spans="1:16" ht="15" x14ac:dyDescent="0.25">
      <c r="A409" s="796"/>
      <c r="B409" s="329"/>
      <c r="C409" s="329"/>
      <c r="D409" s="338"/>
      <c r="E409" s="338"/>
      <c r="F409" s="338" t="s">
        <v>1060</v>
      </c>
      <c r="G409" s="858" t="s">
        <v>442</v>
      </c>
      <c r="H409" s="333">
        <f>L412</f>
        <v>122.59</v>
      </c>
      <c r="I409" s="860"/>
      <c r="J409" s="360"/>
      <c r="K409" s="346" t="s">
        <v>1018</v>
      </c>
      <c r="L409" s="346" t="s">
        <v>1019</v>
      </c>
      <c r="M409" s="346" t="s">
        <v>1020</v>
      </c>
      <c r="N409" s="346" t="s">
        <v>1021</v>
      </c>
      <c r="O409" s="326"/>
      <c r="P409" s="326"/>
    </row>
    <row r="410" spans="1:16" ht="15" x14ac:dyDescent="0.25">
      <c r="A410" s="796"/>
      <c r="B410" s="329"/>
      <c r="C410" s="329"/>
      <c r="D410" s="338"/>
      <c r="E410" s="338"/>
      <c r="F410" s="338" t="s">
        <v>1061</v>
      </c>
      <c r="G410" s="858" t="s">
        <v>442</v>
      </c>
      <c r="H410" s="333">
        <f>M412</f>
        <v>122.59</v>
      </c>
      <c r="I410" s="860"/>
      <c r="J410" s="360">
        <f>ROUNDDOWN(H406,)</f>
        <v>14</v>
      </c>
      <c r="K410" s="433">
        <v>1900</v>
      </c>
      <c r="L410" s="433">
        <v>121.1</v>
      </c>
      <c r="M410" s="433">
        <f>L410</f>
        <v>121.1</v>
      </c>
      <c r="N410" s="433">
        <v>15.7</v>
      </c>
      <c r="O410" s="326"/>
      <c r="P410" s="326"/>
    </row>
    <row r="411" spans="1:16" ht="15" x14ac:dyDescent="0.25">
      <c r="A411" s="796"/>
      <c r="B411" s="329"/>
      <c r="C411" s="329"/>
      <c r="D411" s="338"/>
      <c r="E411" s="338"/>
      <c r="F411" s="338" t="s">
        <v>1062</v>
      </c>
      <c r="G411" s="858" t="s">
        <v>442</v>
      </c>
      <c r="H411" s="333">
        <f>N412</f>
        <v>15.79</v>
      </c>
      <c r="I411" s="860"/>
      <c r="J411" s="360">
        <f>ROUNDUP(H406,)</f>
        <v>15</v>
      </c>
      <c r="K411" s="433">
        <v>2190</v>
      </c>
      <c r="L411" s="433">
        <v>134</v>
      </c>
      <c r="M411" s="433">
        <f>L411</f>
        <v>134</v>
      </c>
      <c r="N411" s="433">
        <v>16.5</v>
      </c>
      <c r="O411" s="326"/>
      <c r="P411" s="347" t="s">
        <v>1022</v>
      </c>
    </row>
    <row r="412" spans="1:16" ht="15" x14ac:dyDescent="0.25">
      <c r="A412" s="824" t="s">
        <v>1023</v>
      </c>
      <c r="B412" s="329"/>
      <c r="C412" s="329"/>
      <c r="D412" s="338"/>
      <c r="E412" s="338"/>
      <c r="F412" s="326"/>
      <c r="G412" s="858"/>
      <c r="H412" s="333"/>
      <c r="I412" s="860"/>
      <c r="J412" s="360"/>
      <c r="K412" s="346">
        <f>ROUND(K410+($K408-$J410)*(K411-K410)/($J411-$J410),2)</f>
        <v>1933.46</v>
      </c>
      <c r="L412" s="346">
        <f>ROUND(L410+($K408-$J410)*(L411-L410)/($J411-$J410),2)</f>
        <v>122.59</v>
      </c>
      <c r="M412" s="346">
        <f>ROUND(M410+($K408-$J410)*(M411-M410)/($J411-$J410),2)</f>
        <v>122.59</v>
      </c>
      <c r="N412" s="346">
        <f>ROUND(N410+($K408-$J410)*(N411-N410)/($J411-$J410),2)</f>
        <v>15.79</v>
      </c>
      <c r="O412" s="326"/>
      <c r="P412" s="326"/>
    </row>
    <row r="413" spans="1:16" ht="15" x14ac:dyDescent="0.25">
      <c r="A413" s="796"/>
      <c r="B413" s="329" t="s">
        <v>1024</v>
      </c>
      <c r="C413" s="329"/>
      <c r="D413" s="338"/>
      <c r="E413" s="338"/>
      <c r="F413" s="338" t="s">
        <v>110</v>
      </c>
      <c r="G413" s="858" t="s">
        <v>442</v>
      </c>
      <c r="H413" s="337">
        <f>H363*H411*H405/((H408*H411-H409*H410)*H370^2)</f>
        <v>1.7897545138514156E-3</v>
      </c>
      <c r="I413" s="860" t="s">
        <v>810</v>
      </c>
      <c r="J413" s="326"/>
      <c r="K413" s="326"/>
      <c r="L413" s="326"/>
      <c r="M413" s="326"/>
      <c r="N413" s="326"/>
      <c r="O413" s="326"/>
      <c r="P413" s="326"/>
    </row>
    <row r="414" spans="1:16" ht="15" x14ac:dyDescent="0.25">
      <c r="A414" s="824"/>
      <c r="B414" s="339" t="str">
        <f>CONCATENATE("E","*",H363,"*",H411,"*",H405,"/","(","(",H408,"*",H411,"-",H409,"*",H410,")","*","tan",H384,,")")</f>
        <v>E*0.35*15.79*5.02/((1933.46*15.79-122.59*122.59)*tan35.92)</v>
      </c>
      <c r="C414" s="329"/>
      <c r="D414" s="338"/>
      <c r="E414" s="338"/>
      <c r="F414" s="326"/>
      <c r="G414" s="858"/>
      <c r="H414" s="338" t="s">
        <v>837</v>
      </c>
      <c r="I414" s="810" t="s">
        <v>802</v>
      </c>
      <c r="J414" s="326"/>
      <c r="K414" s="326"/>
      <c r="L414" s="326"/>
      <c r="M414" s="326"/>
      <c r="N414" s="326"/>
      <c r="O414" s="326"/>
      <c r="P414" s="326"/>
    </row>
    <row r="415" spans="1:16" ht="15" x14ac:dyDescent="0.25">
      <c r="A415" s="824" t="s">
        <v>843</v>
      </c>
      <c r="B415" s="339"/>
      <c r="C415" s="329"/>
      <c r="D415" s="338"/>
      <c r="E415" s="338"/>
      <c r="F415" s="326"/>
      <c r="G415" s="858"/>
      <c r="H415" s="338"/>
      <c r="I415" s="810"/>
      <c r="J415" s="326"/>
      <c r="K415" s="326"/>
      <c r="L415" s="326"/>
      <c r="M415" s="326"/>
      <c r="N415" s="326"/>
      <c r="O415" s="326"/>
      <c r="P415" s="326"/>
    </row>
    <row r="416" spans="1:16" ht="15" x14ac:dyDescent="0.25">
      <c r="A416" s="796"/>
      <c r="B416" s="339" t="s">
        <v>1025</v>
      </c>
      <c r="C416" s="329"/>
      <c r="D416" s="338"/>
      <c r="E416" s="338"/>
      <c r="F416" s="338" t="s">
        <v>22</v>
      </c>
      <c r="G416" s="773" t="s">
        <v>442</v>
      </c>
      <c r="H416" s="337">
        <f>(H364*H409/((H408*H411-H409*H410)*H369*H370))</f>
        <v>3.9151035262087594E-3</v>
      </c>
      <c r="I416" s="860" t="s">
        <v>810</v>
      </c>
      <c r="J416" s="326"/>
      <c r="K416" s="326"/>
      <c r="L416" s="326"/>
      <c r="M416" s="326"/>
      <c r="N416" s="326"/>
      <c r="O416" s="326"/>
      <c r="P416" s="326"/>
    </row>
    <row r="417" spans="1:12" ht="15" x14ac:dyDescent="0.25">
      <c r="A417" s="824"/>
      <c r="B417" s="339" t="str">
        <f>CONCATENATE("(","E","*",H383,"*",H409,"/","(","(",H408,"*",H411,"-",H409,"*",H410,")","*",H386,"*",H387,")",")")</f>
        <v>(E*0.2*122.59/((1933.46*15.79-122.59*122.59)*0.587*0.725))</v>
      </c>
      <c r="C417" s="329"/>
      <c r="D417" s="338"/>
      <c r="E417" s="338"/>
      <c r="F417" s="326"/>
      <c r="G417" s="773"/>
      <c r="H417" s="801" t="s">
        <v>817</v>
      </c>
      <c r="I417" s="820" t="s">
        <v>833</v>
      </c>
      <c r="J417" s="326"/>
      <c r="K417" s="326"/>
      <c r="L417" s="337"/>
    </row>
    <row r="418" spans="1:12" ht="15" x14ac:dyDescent="0.25">
      <c r="A418" s="807" t="s">
        <v>819</v>
      </c>
      <c r="B418" s="339"/>
      <c r="C418" s="329"/>
      <c r="D418" s="338"/>
      <c r="E418" s="338"/>
      <c r="F418" s="326"/>
      <c r="G418" s="773"/>
      <c r="H418" s="801"/>
      <c r="I418" s="820"/>
      <c r="J418" s="326"/>
      <c r="K418" s="326"/>
      <c r="L418" s="337"/>
    </row>
    <row r="419" spans="1:12" ht="15" x14ac:dyDescent="0.25">
      <c r="A419" s="852"/>
      <c r="B419" s="884" t="s">
        <v>1026</v>
      </c>
      <c r="C419" s="842"/>
      <c r="D419" s="842"/>
      <c r="E419" s="842"/>
      <c r="F419" s="814" t="s">
        <v>815</v>
      </c>
      <c r="G419" s="813" t="s">
        <v>442</v>
      </c>
      <c r="H419" s="383">
        <f>H364*H408/((H408*H411-H409*H410)*H405*H369^2)</f>
        <v>1.7398037644449887E-2</v>
      </c>
      <c r="I419" s="854" t="s">
        <v>810</v>
      </c>
      <c r="J419" s="326"/>
      <c r="K419" s="326"/>
      <c r="L419" s="344"/>
    </row>
    <row r="420" spans="1:12" ht="15" x14ac:dyDescent="0.25">
      <c r="A420" s="374"/>
      <c r="B420" s="885" t="str">
        <f>CONCATENATE("H379","*",H408,"/","(","(",H408,"*",H411,"-",H409,"*",H410,")","*",H405,"*",H386,"^",2,")")</f>
        <v>H379*1933.46/((1933.46*15.79-122.59*122.59)*5.02*0.587^2)</v>
      </c>
      <c r="C420" s="410"/>
      <c r="D420" s="410"/>
      <c r="E420" s="410"/>
      <c r="F420" s="818"/>
      <c r="G420" s="410"/>
      <c r="H420" s="410" t="s">
        <v>832</v>
      </c>
      <c r="I420" s="887" t="s">
        <v>818</v>
      </c>
      <c r="J420" s="326"/>
      <c r="K420" s="326"/>
      <c r="L420" s="326"/>
    </row>
    <row r="421" spans="1:12" ht="15" x14ac:dyDescent="0.25">
      <c r="A421" s="807" t="s">
        <v>846</v>
      </c>
      <c r="B421" s="339"/>
      <c r="C421" s="338"/>
      <c r="D421" s="338"/>
      <c r="E421" s="338"/>
      <c r="F421" s="326"/>
      <c r="G421" s="338"/>
      <c r="H421" s="338"/>
      <c r="I421" s="820"/>
      <c r="J421" s="326"/>
      <c r="K421" s="326"/>
      <c r="L421" s="326"/>
    </row>
    <row r="422" spans="1:12" ht="15" x14ac:dyDescent="0.25">
      <c r="A422" s="796"/>
      <c r="B422" s="328" t="s">
        <v>1027</v>
      </c>
      <c r="C422" s="331"/>
      <c r="D422" s="338"/>
      <c r="E422" s="338"/>
      <c r="F422" s="338" t="s">
        <v>826</v>
      </c>
      <c r="G422" s="773" t="s">
        <v>442</v>
      </c>
      <c r="H422" s="331">
        <f>H363*H410/((H408*H411-H409*H410)*H369*H370)</f>
        <v>3.9151035262087594E-3</v>
      </c>
      <c r="I422" s="809" t="s">
        <v>810</v>
      </c>
      <c r="J422" s="326"/>
      <c r="K422" s="326"/>
      <c r="L422" s="354"/>
    </row>
    <row r="423" spans="1:12" ht="15" x14ac:dyDescent="0.25">
      <c r="A423" s="796"/>
      <c r="B423" s="328" t="str">
        <f>CONCATENATE("E","*",H35,2,"*",H410,"/","(","(",H408,"*",H411,"-",H409,"*","sin",H384,"*","tan",H384)</f>
        <v>E*2*122.59/((1933.46*15.79-122.59*sin35.92*tan35.92</v>
      </c>
      <c r="C423" s="326"/>
      <c r="D423" s="326"/>
      <c r="E423" s="326"/>
      <c r="F423" s="326"/>
      <c r="G423" s="326"/>
      <c r="H423" s="338" t="s">
        <v>837</v>
      </c>
      <c r="I423" s="810" t="s">
        <v>848</v>
      </c>
      <c r="J423" s="326"/>
      <c r="K423" s="326"/>
      <c r="L423" s="326"/>
    </row>
    <row r="424" spans="1:12" ht="15" x14ac:dyDescent="0.25">
      <c r="A424" s="771" t="s">
        <v>1028</v>
      </c>
      <c r="B424" s="331"/>
      <c r="C424" s="338"/>
      <c r="D424" s="338"/>
      <c r="E424" s="338"/>
      <c r="F424" s="326"/>
      <c r="G424" s="338"/>
      <c r="H424" s="338"/>
      <c r="I424" s="774"/>
      <c r="J424" s="326"/>
      <c r="K424" s="326"/>
      <c r="L424" s="326"/>
    </row>
    <row r="425" spans="1:12" ht="15" x14ac:dyDescent="0.25">
      <c r="A425" s="824" t="s">
        <v>808</v>
      </c>
      <c r="B425" s="331"/>
      <c r="C425" s="338"/>
      <c r="D425" s="338"/>
      <c r="E425" s="338"/>
      <c r="F425" s="326"/>
      <c r="G425" s="338"/>
      <c r="H425" s="338"/>
      <c r="I425" s="774"/>
      <c r="J425" s="326"/>
      <c r="K425" s="326"/>
      <c r="L425" s="326"/>
    </row>
    <row r="426" spans="1:12" ht="15" x14ac:dyDescent="0.25">
      <c r="A426" s="796"/>
      <c r="B426" s="329" t="s">
        <v>1029</v>
      </c>
      <c r="C426" s="329"/>
      <c r="D426" s="338"/>
      <c r="E426" s="338"/>
      <c r="F426" s="338" t="s">
        <v>110</v>
      </c>
      <c r="G426" s="858" t="s">
        <v>442</v>
      </c>
      <c r="H426" s="331">
        <f>H373*H374^3/(3*H375^2)</f>
        <v>9.6409442570918481E-3</v>
      </c>
      <c r="I426" s="860" t="s">
        <v>810</v>
      </c>
      <c r="J426" s="326"/>
      <c r="K426" s="326"/>
      <c r="L426" s="337"/>
    </row>
    <row r="427" spans="1:12" ht="15" x14ac:dyDescent="0.25">
      <c r="A427" s="824"/>
      <c r="B427" s="339" t="str">
        <f>CONCATENATE("E","*",H373,"*",H374,"^",3,"/","(",3,"*",H375,"^",2,")")</f>
        <v>E*0.5*0.9^3/(3*3.55^2)</v>
      </c>
      <c r="C427" s="329"/>
      <c r="D427" s="338"/>
      <c r="E427" s="338"/>
      <c r="F427" s="326"/>
      <c r="G427" s="858"/>
      <c r="H427" s="888" t="s">
        <v>1030</v>
      </c>
      <c r="I427" s="810" t="s">
        <v>802</v>
      </c>
      <c r="J427" s="326"/>
      <c r="K427" s="326"/>
      <c r="L427" s="326"/>
    </row>
    <row r="428" spans="1:12" ht="15" x14ac:dyDescent="0.25">
      <c r="A428" s="824" t="s">
        <v>843</v>
      </c>
      <c r="B428" s="339"/>
      <c r="C428" s="329"/>
      <c r="D428" s="338"/>
      <c r="E428" s="338"/>
      <c r="F428" s="326"/>
      <c r="G428" s="858"/>
      <c r="H428" s="888"/>
      <c r="I428" s="810"/>
      <c r="J428" s="326"/>
      <c r="K428" s="326"/>
      <c r="L428" s="326"/>
    </row>
    <row r="429" spans="1:12" ht="15" x14ac:dyDescent="0.25">
      <c r="A429" s="796"/>
      <c r="B429" s="329" t="s">
        <v>1031</v>
      </c>
      <c r="C429" s="329"/>
      <c r="D429" s="338"/>
      <c r="E429" s="338"/>
      <c r="F429" s="338" t="s">
        <v>22</v>
      </c>
      <c r="G429" s="773" t="s">
        <v>442</v>
      </c>
      <c r="H429" s="331">
        <f>H373*H374^2/(2*H375^2)</f>
        <v>1.6068240428486414E-2</v>
      </c>
      <c r="I429" s="860" t="s">
        <v>810</v>
      </c>
      <c r="J429" s="326"/>
      <c r="K429" s="326"/>
      <c r="L429" s="337"/>
    </row>
    <row r="430" spans="1:12" ht="15" x14ac:dyDescent="0.25">
      <c r="A430" s="824"/>
      <c r="B430" s="339" t="str">
        <f>CONCATENATE("E","*",H373,"*",H374,"^",2,"/","(",2,"*",H375,"^",2,")")</f>
        <v>E*0.5*0.9^2/(2*3.55^2)</v>
      </c>
      <c r="C430" s="329"/>
      <c r="D430" s="338"/>
      <c r="E430" s="338"/>
      <c r="F430" s="326"/>
      <c r="G430" s="773"/>
      <c r="H430" s="888" t="s">
        <v>1032</v>
      </c>
      <c r="I430" s="820" t="s">
        <v>833</v>
      </c>
      <c r="J430" s="326"/>
      <c r="K430" s="326"/>
      <c r="L430" s="326"/>
    </row>
    <row r="431" spans="1:12" ht="15" x14ac:dyDescent="0.25">
      <c r="A431" s="807" t="s">
        <v>1033</v>
      </c>
      <c r="B431" s="339"/>
      <c r="C431" s="329"/>
      <c r="D431" s="338"/>
      <c r="E431" s="338"/>
      <c r="F431" s="326"/>
      <c r="G431" s="773"/>
      <c r="H431" s="888"/>
      <c r="I431" s="820"/>
      <c r="J431" s="326"/>
      <c r="K431" s="326"/>
      <c r="L431" s="326"/>
    </row>
    <row r="432" spans="1:12" ht="15" x14ac:dyDescent="0.25">
      <c r="A432" s="796"/>
      <c r="B432" s="331" t="s">
        <v>1034</v>
      </c>
      <c r="C432" s="326"/>
      <c r="D432" s="326"/>
      <c r="E432" s="326"/>
      <c r="F432" s="338" t="s">
        <v>815</v>
      </c>
      <c r="G432" s="773" t="s">
        <v>442</v>
      </c>
      <c r="H432" s="331">
        <f>H373*H374/(H375^2)</f>
        <v>3.5707200952192028E-2</v>
      </c>
      <c r="I432" s="809" t="s">
        <v>810</v>
      </c>
      <c r="J432" s="326"/>
      <c r="K432" s="326"/>
      <c r="L432" s="344"/>
    </row>
    <row r="433" spans="1:18" ht="15" x14ac:dyDescent="0.25">
      <c r="A433" s="447"/>
      <c r="B433" s="339" t="str">
        <f>CONCATENATE("E","*",H373,"*",H374,"/","(",H375,"^",2,")")</f>
        <v>E*0.5*0.9/(3.55^2)</v>
      </c>
      <c r="C433" s="338"/>
      <c r="D433" s="338"/>
      <c r="E433" s="338"/>
      <c r="F433" s="326"/>
      <c r="G433" s="1288" t="s">
        <v>1035</v>
      </c>
      <c r="H433" s="1288"/>
      <c r="I433" s="820" t="s">
        <v>818</v>
      </c>
      <c r="J433" s="326"/>
      <c r="K433" s="326"/>
      <c r="L433" s="326"/>
      <c r="M433" s="326"/>
      <c r="N433" s="326"/>
      <c r="O433" s="326"/>
      <c r="P433" s="326"/>
      <c r="Q433" s="326"/>
      <c r="R433" s="326"/>
    </row>
    <row r="434" spans="1:18" ht="15" x14ac:dyDescent="0.25">
      <c r="A434" s="807" t="s">
        <v>846</v>
      </c>
      <c r="B434" s="339"/>
      <c r="C434" s="338"/>
      <c r="D434" s="338"/>
      <c r="E434" s="338"/>
      <c r="F434" s="326"/>
      <c r="G434" s="822"/>
      <c r="H434" s="822"/>
      <c r="I434" s="820"/>
      <c r="J434" s="326"/>
      <c r="K434" s="326"/>
      <c r="L434" s="326"/>
      <c r="M434" s="326"/>
      <c r="N434" s="326"/>
      <c r="O434" s="326"/>
      <c r="P434" s="326"/>
      <c r="Q434" s="326"/>
      <c r="R434" s="326"/>
    </row>
    <row r="435" spans="1:18" ht="15" x14ac:dyDescent="0.25">
      <c r="A435" s="796"/>
      <c r="B435" s="331" t="s">
        <v>1031</v>
      </c>
      <c r="C435" s="331"/>
      <c r="D435" s="338"/>
      <c r="E435" s="338"/>
      <c r="F435" s="338" t="s">
        <v>826</v>
      </c>
      <c r="G435" s="773" t="s">
        <v>442</v>
      </c>
      <c r="H435" s="354">
        <f>H429</f>
        <v>1.6068240428486414E-2</v>
      </c>
      <c r="I435" s="809" t="s">
        <v>810</v>
      </c>
      <c r="J435" s="326"/>
      <c r="K435" s="326"/>
      <c r="L435" s="326"/>
      <c r="M435" s="326"/>
      <c r="N435" s="326"/>
      <c r="O435" s="326"/>
      <c r="P435" s="326"/>
      <c r="Q435" s="326"/>
      <c r="R435" s="326"/>
    </row>
    <row r="436" spans="1:18" ht="15" x14ac:dyDescent="0.25">
      <c r="A436" s="796"/>
      <c r="B436" s="339" t="str">
        <f>B430</f>
        <v>E*0.5*0.9^2/(2*3.55^2)</v>
      </c>
      <c r="C436" s="326"/>
      <c r="D436" s="326"/>
      <c r="E436" s="326"/>
      <c r="F436" s="326"/>
      <c r="G436" s="1288" t="s">
        <v>1036</v>
      </c>
      <c r="H436" s="1288"/>
      <c r="I436" s="810" t="s">
        <v>848</v>
      </c>
      <c r="J436" s="326"/>
      <c r="K436" s="326"/>
      <c r="L436" s="326"/>
      <c r="M436" s="326"/>
      <c r="N436" s="326"/>
      <c r="O436" s="326"/>
      <c r="P436" s="326"/>
      <c r="Q436" s="326"/>
      <c r="R436" s="326"/>
    </row>
    <row r="437" spans="1:18" ht="15" x14ac:dyDescent="0.25">
      <c r="A437" s="771" t="s">
        <v>1037</v>
      </c>
      <c r="B437" s="326"/>
      <c r="C437" s="326"/>
      <c r="D437" s="326"/>
      <c r="E437" s="326"/>
      <c r="F437" s="326"/>
      <c r="G437" s="326"/>
      <c r="H437" s="326"/>
      <c r="I437" s="774"/>
      <c r="J437" s="326"/>
      <c r="K437" s="326"/>
      <c r="L437" s="326"/>
      <c r="M437" s="326"/>
      <c r="N437" s="326"/>
      <c r="O437" s="326"/>
      <c r="P437" s="326"/>
      <c r="Q437" s="326"/>
      <c r="R437" s="326"/>
    </row>
    <row r="438" spans="1:18" ht="15" x14ac:dyDescent="0.25">
      <c r="A438" s="889" t="s">
        <v>1063</v>
      </c>
      <c r="B438" s="331" t="s">
        <v>1064</v>
      </c>
      <c r="C438" s="326"/>
      <c r="D438" s="328" t="str">
        <f>CONCATENATE("(",3,"*","(",H382,"/",H383,")","^",2,")")</f>
        <v>(3*(5.607/0.2)^2)</v>
      </c>
      <c r="E438" s="326"/>
      <c r="F438" s="326"/>
      <c r="G438" s="773" t="s">
        <v>442</v>
      </c>
      <c r="H438" s="331">
        <f>ROUND(3*(H382/H383)^2,2)</f>
        <v>2357.88</v>
      </c>
      <c r="I438" s="774"/>
      <c r="J438" s="326"/>
      <c r="K438" s="326"/>
      <c r="L438" s="334"/>
      <c r="M438" s="326"/>
      <c r="N438" s="326"/>
      <c r="O438" s="326"/>
      <c r="P438" s="326"/>
      <c r="Q438" s="326"/>
      <c r="R438" s="326"/>
    </row>
    <row r="439" spans="1:18" ht="15" x14ac:dyDescent="0.25">
      <c r="A439" s="796"/>
      <c r="B439" s="326"/>
      <c r="C439" s="326"/>
      <c r="D439" s="326"/>
      <c r="E439" s="326"/>
      <c r="F439" s="857" t="s">
        <v>1038</v>
      </c>
      <c r="G439" s="773" t="s">
        <v>442</v>
      </c>
      <c r="H439" s="331">
        <f>ROUND(H438^0.25,2)</f>
        <v>6.97</v>
      </c>
      <c r="I439" s="774"/>
      <c r="J439" s="326"/>
      <c r="K439" s="326"/>
      <c r="L439" s="334"/>
      <c r="M439" s="326"/>
      <c r="N439" s="326"/>
      <c r="O439" s="326"/>
      <c r="P439" s="326"/>
      <c r="Q439" s="326"/>
      <c r="R439" s="326"/>
    </row>
    <row r="440" spans="1:18" ht="15" x14ac:dyDescent="0.25">
      <c r="A440" s="889" t="s">
        <v>1039</v>
      </c>
      <c r="B440" s="331" t="s">
        <v>1065</v>
      </c>
      <c r="C440" s="326"/>
      <c r="D440" s="326"/>
      <c r="E440" s="326"/>
      <c r="F440" s="338" t="s">
        <v>1039</v>
      </c>
      <c r="G440" s="773" t="s">
        <v>442</v>
      </c>
      <c r="H440" s="331">
        <f>ROUND(1-(1/(2*H439))*1/H387,2)</f>
        <v>0.9</v>
      </c>
      <c r="I440" s="774"/>
      <c r="J440" s="326"/>
      <c r="K440" s="326"/>
      <c r="L440" s="334"/>
      <c r="M440" s="326"/>
      <c r="N440" s="328"/>
      <c r="O440" s="326"/>
      <c r="P440" s="326"/>
      <c r="Q440" s="326"/>
      <c r="R440" s="326"/>
    </row>
    <row r="441" spans="1:18" ht="15" x14ac:dyDescent="0.25">
      <c r="A441" s="889"/>
      <c r="B441" s="326"/>
      <c r="C441" s="326"/>
      <c r="D441" s="328" t="str">
        <f>CONCATENATE("(",1,"-","(",1,"/","(",2,"*",H439,")",")","*","cot",H384)</f>
        <v>(1-(1/(2*6.97))*cot35.92</v>
      </c>
      <c r="E441" s="326"/>
      <c r="F441" s="326"/>
      <c r="G441" s="773"/>
      <c r="H441" s="326"/>
      <c r="I441" s="774"/>
      <c r="J441" s="326"/>
      <c r="K441" s="326"/>
      <c r="L441" s="334"/>
      <c r="M441" s="326"/>
      <c r="N441" s="328"/>
      <c r="O441" s="326"/>
      <c r="P441" s="326"/>
      <c r="Q441" s="326"/>
      <c r="R441" s="326"/>
    </row>
    <row r="442" spans="1:18" ht="15" x14ac:dyDescent="0.25">
      <c r="A442" s="889" t="s">
        <v>858</v>
      </c>
      <c r="B442" s="328" t="s">
        <v>1040</v>
      </c>
      <c r="C442" s="326"/>
      <c r="D442" s="326"/>
      <c r="E442" s="326"/>
      <c r="F442" s="326"/>
      <c r="G442" s="773"/>
      <c r="H442" s="334"/>
      <c r="I442" s="774"/>
      <c r="J442" s="326"/>
      <c r="K442" s="326"/>
      <c r="L442" s="326"/>
      <c r="M442" s="326"/>
      <c r="N442" s="326"/>
      <c r="O442" s="326"/>
      <c r="P442" s="326"/>
      <c r="Q442" s="326"/>
      <c r="R442" s="326"/>
    </row>
    <row r="443" spans="1:18" ht="15" x14ac:dyDescent="0.25">
      <c r="A443" s="796"/>
      <c r="B443" s="326"/>
      <c r="C443" s="326"/>
      <c r="D443" s="326"/>
      <c r="E443" s="326"/>
      <c r="F443" s="338" t="s">
        <v>945</v>
      </c>
      <c r="G443" s="773" t="s">
        <v>442</v>
      </c>
      <c r="H443" s="331">
        <f>((2*H379*H382*H386)/(H383))+0-((9800*H382^2*H386)/(H383))</f>
        <v>-746139.10862237227</v>
      </c>
      <c r="I443" s="823" t="s">
        <v>799</v>
      </c>
      <c r="J443" s="326"/>
      <c r="K443" s="326"/>
      <c r="L443" s="326"/>
      <c r="M443" s="326"/>
      <c r="N443" s="351"/>
      <c r="O443" s="326"/>
      <c r="P443" s="326"/>
      <c r="Q443" s="326"/>
      <c r="R443" s="326"/>
    </row>
    <row r="444" spans="1:18" ht="15" x14ac:dyDescent="0.25">
      <c r="A444" s="889"/>
      <c r="B444" s="328"/>
      <c r="C444" s="326"/>
      <c r="D444" s="326"/>
      <c r="E444" s="326"/>
      <c r="F444" s="326"/>
      <c r="G444" s="773"/>
      <c r="H444" s="855" t="s">
        <v>859</v>
      </c>
      <c r="I444" s="810" t="s">
        <v>1041</v>
      </c>
      <c r="J444" s="326"/>
      <c r="K444" s="470"/>
      <c r="L444" s="326"/>
      <c r="M444" s="328"/>
      <c r="N444" s="326"/>
      <c r="O444" s="326"/>
      <c r="P444" s="326"/>
      <c r="Q444" s="326"/>
      <c r="R444" s="326"/>
    </row>
    <row r="445" spans="1:18" ht="15" x14ac:dyDescent="0.25">
      <c r="A445" s="889" t="s">
        <v>1042</v>
      </c>
      <c r="B445" s="328"/>
      <c r="C445" s="326"/>
      <c r="D445" s="326"/>
      <c r="E445" s="326"/>
      <c r="F445" s="331"/>
      <c r="G445" s="326"/>
      <c r="H445" s="326"/>
      <c r="I445" s="774"/>
      <c r="J445" s="326"/>
      <c r="K445" s="326"/>
      <c r="L445" s="326"/>
      <c r="M445" s="326"/>
      <c r="N445" s="326"/>
      <c r="O445" s="326"/>
      <c r="P445" s="326"/>
      <c r="Q445" s="326"/>
      <c r="R445" s="326"/>
    </row>
    <row r="446" spans="1:18" ht="15" x14ac:dyDescent="0.25">
      <c r="A446" s="796"/>
      <c r="B446" s="890" t="s">
        <v>1043</v>
      </c>
      <c r="C446" s="326"/>
      <c r="D446" s="326"/>
      <c r="E446" s="326"/>
      <c r="F446" s="331"/>
      <c r="G446" s="326"/>
      <c r="H446" s="326"/>
      <c r="I446" s="774"/>
      <c r="J446" s="326"/>
      <c r="K446" s="326"/>
      <c r="L446" s="326"/>
      <c r="M446" s="326"/>
      <c r="N446" s="326"/>
      <c r="O446" s="326"/>
      <c r="P446" s="326"/>
      <c r="Q446" s="326"/>
      <c r="R446" s="326"/>
    </row>
    <row r="447" spans="1:18" ht="15" x14ac:dyDescent="0.25">
      <c r="A447" s="856"/>
      <c r="B447" s="1289"/>
      <c r="C447" s="1289"/>
      <c r="D447" s="1289"/>
      <c r="E447" s="1289"/>
      <c r="F447" s="1289"/>
      <c r="G447" s="1289"/>
      <c r="H447" s="326"/>
      <c r="I447" s="774"/>
      <c r="J447" s="326"/>
      <c r="K447" s="326"/>
      <c r="L447" s="326"/>
      <c r="M447" s="326"/>
      <c r="N447" s="1290"/>
      <c r="O447" s="1290"/>
      <c r="P447" s="1290"/>
      <c r="Q447" s="1290"/>
      <c r="R447" s="1290"/>
    </row>
    <row r="448" spans="1:18" ht="15" x14ac:dyDescent="0.25">
      <c r="A448" s="856"/>
      <c r="B448" s="891"/>
      <c r="C448" s="891"/>
      <c r="D448" s="891"/>
      <c r="E448" s="891"/>
      <c r="F448" s="338" t="s">
        <v>870</v>
      </c>
      <c r="G448" s="773" t="s">
        <v>442</v>
      </c>
      <c r="H448" s="331">
        <f>(H379*H382^2*H386/H383)*(1/(1+H385)-H385)-(H381*H382^2*H386/(2*H383))+(9800*H382^3*H386/(6*H383*(1+H385))*(2*L387+H385-3))</f>
        <v>-2701032.6783227576</v>
      </c>
      <c r="I448" s="810"/>
      <c r="J448" s="326"/>
      <c r="K448" s="326"/>
      <c r="L448" s="351"/>
      <c r="M448" s="326"/>
      <c r="N448" s="326"/>
      <c r="O448" s="326"/>
      <c r="P448" s="326"/>
      <c r="Q448" s="326"/>
      <c r="R448" s="326"/>
    </row>
    <row r="449" spans="1:18" ht="15" x14ac:dyDescent="0.25">
      <c r="A449" s="856"/>
      <c r="B449" s="891"/>
      <c r="C449" s="891"/>
      <c r="D449" s="891"/>
      <c r="E449" s="891"/>
      <c r="F449" s="891"/>
      <c r="G449" s="891"/>
      <c r="H449" s="855" t="s">
        <v>74</v>
      </c>
      <c r="I449" s="820" t="s">
        <v>807</v>
      </c>
      <c r="J449" s="326"/>
      <c r="K449" s="326"/>
      <c r="L449" s="326"/>
      <c r="M449" s="326"/>
      <c r="N449" s="326"/>
      <c r="O449" s="326"/>
      <c r="P449" s="326"/>
      <c r="Q449" s="326"/>
      <c r="R449" s="326"/>
    </row>
    <row r="450" spans="1:18" ht="15" x14ac:dyDescent="0.25">
      <c r="A450" s="889" t="s">
        <v>808</v>
      </c>
      <c r="B450" s="891"/>
      <c r="C450" s="891"/>
      <c r="D450" s="891"/>
      <c r="E450" s="891"/>
      <c r="F450" s="891"/>
      <c r="G450" s="891"/>
      <c r="H450" s="855"/>
      <c r="I450" s="820"/>
      <c r="J450" s="326"/>
      <c r="K450" s="326"/>
      <c r="L450" s="326"/>
      <c r="M450" s="326"/>
      <c r="N450" s="326"/>
      <c r="O450" s="326"/>
      <c r="P450" s="326"/>
      <c r="Q450" s="326"/>
      <c r="R450" s="326"/>
    </row>
    <row r="451" spans="1:18" ht="15" x14ac:dyDescent="0.25">
      <c r="A451" s="796"/>
      <c r="B451" s="328" t="s">
        <v>1044</v>
      </c>
      <c r="C451" s="326"/>
      <c r="D451" s="326"/>
      <c r="E451" s="326"/>
      <c r="F451" s="338" t="s">
        <v>110</v>
      </c>
      <c r="G451" s="773" t="s">
        <v>442</v>
      </c>
      <c r="H451" s="331">
        <f>H382*H383/(4*H439^3)*(H440+1/H440)</f>
        <v>1.6650922198367794E-3</v>
      </c>
      <c r="I451" s="860" t="s">
        <v>810</v>
      </c>
      <c r="J451" s="326"/>
      <c r="K451" s="326"/>
      <c r="L451" s="344"/>
      <c r="M451" s="326"/>
      <c r="N451" s="326"/>
      <c r="O451" s="326"/>
      <c r="P451" s="326"/>
      <c r="Q451" s="326"/>
      <c r="R451" s="326"/>
    </row>
    <row r="452" spans="1:18" ht="15" x14ac:dyDescent="0.25">
      <c r="A452" s="796"/>
      <c r="B452" s="328" t="str">
        <f>CONCATENATE(,"E","*",H382,"*",H383,"/","(",4,"*)",H439,"^",3,")","*","(",H440,"+",1,"/",H440)</f>
        <v>E*5.607*0.2/(4*)6.97^3)*(0.9+1/0.9</v>
      </c>
      <c r="C452" s="326"/>
      <c r="D452" s="326"/>
      <c r="E452" s="326"/>
      <c r="F452" s="326"/>
      <c r="G452" s="326"/>
      <c r="H452" s="340" t="s">
        <v>861</v>
      </c>
      <c r="I452" s="810" t="s">
        <v>802</v>
      </c>
      <c r="J452" s="326"/>
      <c r="K452" s="326"/>
      <c r="L452" s="326"/>
      <c r="M452" s="326"/>
      <c r="N452" s="326"/>
      <c r="O452" s="326"/>
      <c r="P452" s="326"/>
      <c r="Q452" s="326"/>
      <c r="R452" s="326"/>
    </row>
    <row r="453" spans="1:18" ht="15" x14ac:dyDescent="0.25">
      <c r="A453" s="807" t="s">
        <v>1045</v>
      </c>
      <c r="B453" s="328"/>
      <c r="C453" s="326"/>
      <c r="D453" s="326"/>
      <c r="E453" s="326"/>
      <c r="F453" s="326"/>
      <c r="G453" s="326"/>
      <c r="H453" s="340"/>
      <c r="I453" s="810"/>
      <c r="J453" s="326"/>
      <c r="K453" s="326"/>
      <c r="L453" s="326"/>
      <c r="M453" s="326"/>
      <c r="N453" s="326"/>
      <c r="O453" s="326"/>
      <c r="P453" s="326"/>
      <c r="Q453" s="326"/>
      <c r="R453" s="326"/>
    </row>
    <row r="454" spans="1:18" ht="15" x14ac:dyDescent="0.25">
      <c r="A454" s="796"/>
      <c r="B454" s="331" t="s">
        <v>1046</v>
      </c>
      <c r="C454" s="326"/>
      <c r="D454" s="326"/>
      <c r="E454" s="326"/>
      <c r="F454" s="338" t="s">
        <v>815</v>
      </c>
      <c r="G454" s="773" t="s">
        <v>442</v>
      </c>
      <c r="H454" s="331">
        <f>H383/(2*H439^2*H440*H386)</f>
        <v>3.8963129606190256E-3</v>
      </c>
      <c r="I454" s="860" t="s">
        <v>810</v>
      </c>
      <c r="J454" s="326"/>
      <c r="K454" s="326"/>
      <c r="L454" s="344"/>
      <c r="M454" s="326"/>
      <c r="N454" s="326"/>
      <c r="O454" s="326"/>
      <c r="P454" s="326"/>
      <c r="Q454" s="326"/>
      <c r="R454" s="326"/>
    </row>
    <row r="455" spans="1:18" ht="15" x14ac:dyDescent="0.25">
      <c r="A455" s="796"/>
      <c r="B455" s="328" t="str">
        <f>CONCATENATE("E","*",H383,"/","(",2,"*",H439,"^",2,"*",H440,"*",H386,")")</f>
        <v>E*0.2/(2*6.97^2*0.9*0.587)</v>
      </c>
      <c r="C455" s="326"/>
      <c r="D455" s="326"/>
      <c r="E455" s="326"/>
      <c r="F455" s="326"/>
      <c r="G455" s="326"/>
      <c r="H455" s="340" t="s">
        <v>817</v>
      </c>
      <c r="I455" s="820" t="s">
        <v>833</v>
      </c>
      <c r="J455" s="326"/>
      <c r="K455" s="326"/>
      <c r="L455" s="326"/>
      <c r="M455" s="326"/>
      <c r="N455" s="326"/>
      <c r="O455" s="326"/>
      <c r="P455" s="326"/>
      <c r="Q455" s="326"/>
      <c r="R455" s="326"/>
    </row>
    <row r="456" spans="1:18" ht="15" x14ac:dyDescent="0.25">
      <c r="A456" s="807" t="s">
        <v>819</v>
      </c>
      <c r="B456" s="328"/>
      <c r="C456" s="326"/>
      <c r="D456" s="326"/>
      <c r="E456" s="326"/>
      <c r="F456" s="326"/>
      <c r="G456" s="326"/>
      <c r="H456" s="340"/>
      <c r="I456" s="820"/>
      <c r="J456" s="326"/>
      <c r="K456" s="326"/>
      <c r="L456" s="326"/>
      <c r="M456" s="326"/>
      <c r="N456" s="326"/>
      <c r="O456" s="326"/>
      <c r="P456" s="326"/>
      <c r="Q456" s="326"/>
      <c r="R456" s="326"/>
    </row>
    <row r="457" spans="1:18" ht="15" x14ac:dyDescent="0.25">
      <c r="A457" s="796"/>
      <c r="B457" s="328" t="s">
        <v>1047</v>
      </c>
      <c r="C457" s="326"/>
      <c r="D457" s="326"/>
      <c r="E457" s="326"/>
      <c r="F457" s="338" t="s">
        <v>22</v>
      </c>
      <c r="G457" s="773" t="s">
        <v>442</v>
      </c>
      <c r="H457" s="331">
        <f>H383/(H382*H439*H440*H386^2)</f>
        <v>1.6502431911142111E-2</v>
      </c>
      <c r="I457" s="809" t="s">
        <v>810</v>
      </c>
      <c r="J457" s="326"/>
      <c r="K457" s="326"/>
      <c r="L457" s="344"/>
      <c r="M457" s="326"/>
      <c r="N457" s="326"/>
      <c r="O457" s="326"/>
      <c r="P457" s="326"/>
      <c r="Q457" s="326"/>
      <c r="R457" s="326"/>
    </row>
    <row r="458" spans="1:18" ht="15" x14ac:dyDescent="0.25">
      <c r="A458" s="796"/>
      <c r="B458" s="328" t="str">
        <f>CONCATENATE(H383,"/","(",H382,"*)",H439,"*",H440,"*",H386,"^",2)</f>
        <v>0.2/(5.607*)6.97*0.9*0.587^2</v>
      </c>
      <c r="C458" s="326"/>
      <c r="D458" s="326"/>
      <c r="E458" s="326"/>
      <c r="F458" s="326"/>
      <c r="G458" s="1288" t="s">
        <v>1048</v>
      </c>
      <c r="H458" s="1288"/>
      <c r="I458" s="820" t="s">
        <v>818</v>
      </c>
      <c r="J458" s="326"/>
      <c r="K458" s="326"/>
      <c r="L458" s="326"/>
      <c r="M458" s="326"/>
      <c r="N458" s="326"/>
      <c r="O458" s="326"/>
      <c r="P458" s="326"/>
      <c r="Q458" s="326"/>
      <c r="R458" s="326"/>
    </row>
    <row r="459" spans="1:18" ht="15" x14ac:dyDescent="0.25">
      <c r="A459" s="807" t="s">
        <v>863</v>
      </c>
      <c r="B459" s="328"/>
      <c r="C459" s="326"/>
      <c r="D459" s="326"/>
      <c r="E459" s="326"/>
      <c r="F459" s="326"/>
      <c r="G459" s="822"/>
      <c r="H459" s="822"/>
      <c r="I459" s="820"/>
      <c r="J459" s="326"/>
      <c r="K459" s="326"/>
      <c r="L459" s="326"/>
      <c r="M459" s="326"/>
      <c r="N459" s="326"/>
      <c r="O459" s="326"/>
      <c r="P459" s="326"/>
      <c r="Q459" s="326"/>
      <c r="R459" s="326"/>
    </row>
    <row r="460" spans="1:18" ht="15" x14ac:dyDescent="0.25">
      <c r="A460" s="852"/>
      <c r="B460" s="884" t="s">
        <v>1046</v>
      </c>
      <c r="C460" s="842"/>
      <c r="D460" s="842"/>
      <c r="E460" s="842"/>
      <c r="F460" s="814" t="s">
        <v>826</v>
      </c>
      <c r="G460" s="813" t="s">
        <v>442</v>
      </c>
      <c r="H460" s="892">
        <f>H454</f>
        <v>3.8963129606190256E-3</v>
      </c>
      <c r="I460" s="854" t="s">
        <v>810</v>
      </c>
      <c r="J460" s="326"/>
      <c r="K460" s="326"/>
      <c r="L460" s="326"/>
      <c r="M460" s="326"/>
      <c r="N460" s="326"/>
      <c r="O460" s="326"/>
      <c r="P460" s="326"/>
      <c r="Q460" s="326"/>
      <c r="R460" s="326"/>
    </row>
    <row r="461" spans="1:18" ht="15" x14ac:dyDescent="0.25">
      <c r="A461" s="843"/>
      <c r="B461" s="817" t="str">
        <f>B455</f>
        <v>E*0.2/(2*6.97^2*0.9*0.587)</v>
      </c>
      <c r="C461" s="818"/>
      <c r="D461" s="818"/>
      <c r="E461" s="818"/>
      <c r="F461" s="1286" t="s">
        <v>864</v>
      </c>
      <c r="G461" s="1286"/>
      <c r="H461" s="1286"/>
      <c r="I461" s="819" t="s">
        <v>848</v>
      </c>
      <c r="J461" s="326"/>
      <c r="K461" s="326"/>
      <c r="L461" s="326"/>
      <c r="M461" s="326"/>
      <c r="N461" s="326"/>
      <c r="O461" s="326"/>
      <c r="P461" s="326"/>
      <c r="Q461" s="326"/>
      <c r="R461" s="326"/>
    </row>
    <row r="462" spans="1:18" x14ac:dyDescent="0.2">
      <c r="A462" s="769"/>
      <c r="I462" s="770"/>
    </row>
    <row r="463" spans="1:18" ht="15" x14ac:dyDescent="0.25">
      <c r="A463" s="807" t="s">
        <v>853</v>
      </c>
      <c r="B463" s="326"/>
      <c r="C463" s="326"/>
      <c r="D463" s="326"/>
      <c r="E463" s="326"/>
      <c r="F463" s="326"/>
      <c r="G463" s="326"/>
      <c r="H463" s="826"/>
      <c r="I463" s="827"/>
      <c r="J463" s="326"/>
      <c r="K463" s="326"/>
      <c r="L463" s="326"/>
      <c r="M463" s="326"/>
      <c r="N463" s="326"/>
      <c r="O463" s="326"/>
      <c r="P463" s="326"/>
      <c r="Q463" s="326"/>
      <c r="R463" s="326"/>
    </row>
    <row r="464" spans="1:18" ht="15" x14ac:dyDescent="0.2">
      <c r="A464" s="355" t="s">
        <v>854</v>
      </c>
      <c r="B464" s="1240" t="s">
        <v>855</v>
      </c>
      <c r="C464" s="1240"/>
      <c r="D464" s="1240" t="s">
        <v>970</v>
      </c>
      <c r="E464" s="1240"/>
      <c r="F464" s="1240" t="s">
        <v>966</v>
      </c>
      <c r="G464" s="1240"/>
      <c r="H464" s="1240" t="s">
        <v>246</v>
      </c>
      <c r="I464" s="1240"/>
      <c r="J464" s="356"/>
      <c r="K464" s="356"/>
      <c r="L464" s="356"/>
      <c r="M464" s="1287"/>
      <c r="N464" s="1287"/>
      <c r="O464" s="1287"/>
      <c r="P464" s="1287"/>
      <c r="Q464" s="1287"/>
      <c r="R464" s="1287"/>
    </row>
    <row r="465" spans="1:18" ht="15" x14ac:dyDescent="0.25">
      <c r="A465" s="357" t="s">
        <v>858</v>
      </c>
      <c r="B465" s="1250" t="s">
        <v>859</v>
      </c>
      <c r="C465" s="1250"/>
      <c r="D465" s="361">
        <f>H402</f>
        <v>-2044971.585966574</v>
      </c>
      <c r="E465" s="359" t="s">
        <v>799</v>
      </c>
      <c r="F465" s="358"/>
      <c r="G465" s="360"/>
      <c r="H465" s="361">
        <f>H443</f>
        <v>-746139.10862237227</v>
      </c>
      <c r="I465" s="359" t="s">
        <v>799</v>
      </c>
      <c r="J465" s="326"/>
      <c r="K465" s="326"/>
      <c r="L465" s="326"/>
      <c r="M465" s="351"/>
      <c r="N465" s="352"/>
      <c r="O465" s="331"/>
      <c r="P465" s="331"/>
      <c r="Q465" s="351"/>
      <c r="R465" s="352"/>
    </row>
    <row r="466" spans="1:18" ht="15" x14ac:dyDescent="0.25">
      <c r="A466" s="357" t="s">
        <v>860</v>
      </c>
      <c r="B466" s="1250" t="s">
        <v>74</v>
      </c>
      <c r="C466" s="1250"/>
      <c r="D466" s="361">
        <f>H394</f>
        <v>2768610.2307335259</v>
      </c>
      <c r="E466" s="359" t="s">
        <v>799</v>
      </c>
      <c r="F466" s="358"/>
      <c r="G466" s="360"/>
      <c r="H466" s="361">
        <f>H448</f>
        <v>-2701032.6783227576</v>
      </c>
      <c r="I466" s="359" t="s">
        <v>799</v>
      </c>
      <c r="J466" s="326"/>
      <c r="K466" s="326"/>
      <c r="L466" s="326"/>
      <c r="M466" s="351"/>
      <c r="N466" s="352"/>
      <c r="O466" s="331"/>
      <c r="P466" s="331"/>
      <c r="Q466" s="351"/>
      <c r="R466" s="352"/>
    </row>
    <row r="467" spans="1:18" ht="24.75" x14ac:dyDescent="0.25">
      <c r="A467" s="357" t="s">
        <v>808</v>
      </c>
      <c r="B467" s="1250" t="s">
        <v>968</v>
      </c>
      <c r="C467" s="1250"/>
      <c r="D467" s="363">
        <f>H413</f>
        <v>1.7897545138514156E-3</v>
      </c>
      <c r="E467" s="360" t="s">
        <v>810</v>
      </c>
      <c r="F467" s="363">
        <f>H426</f>
        <v>9.6409442570918481E-3</v>
      </c>
      <c r="G467" s="360" t="s">
        <v>810</v>
      </c>
      <c r="H467" s="363">
        <f>H451</f>
        <v>1.6650922198367794E-3</v>
      </c>
      <c r="I467" s="360" t="s">
        <v>810</v>
      </c>
      <c r="J467" s="326"/>
      <c r="K467" s="326"/>
      <c r="L467" s="326"/>
      <c r="M467" s="344"/>
      <c r="N467" s="331"/>
      <c r="O467" s="344"/>
      <c r="P467" s="331"/>
      <c r="Q467" s="344"/>
      <c r="R467" s="331"/>
    </row>
    <row r="468" spans="1:18" ht="36.75" x14ac:dyDescent="0.25">
      <c r="A468" s="357" t="s">
        <v>813</v>
      </c>
      <c r="B468" s="1250" t="s">
        <v>817</v>
      </c>
      <c r="C468" s="1250"/>
      <c r="D468" s="363">
        <f>H416</f>
        <v>3.9151035262087594E-3</v>
      </c>
      <c r="E468" s="360" t="s">
        <v>810</v>
      </c>
      <c r="F468" s="363">
        <f>-H429</f>
        <v>-1.6068240428486414E-2</v>
      </c>
      <c r="G468" s="360"/>
      <c r="H468" s="363">
        <f>H454</f>
        <v>3.8963129606190256E-3</v>
      </c>
      <c r="I468" s="360" t="s">
        <v>810</v>
      </c>
      <c r="J468" s="326"/>
      <c r="K468" s="326"/>
      <c r="L468" s="326"/>
      <c r="M468" s="344"/>
      <c r="N468" s="331"/>
      <c r="O468" s="344"/>
      <c r="P468" s="331"/>
      <c r="Q468" s="344"/>
      <c r="R468" s="331"/>
    </row>
    <row r="469" spans="1:18" ht="24.75" x14ac:dyDescent="0.25">
      <c r="A469" s="357" t="s">
        <v>819</v>
      </c>
      <c r="B469" s="1250" t="s">
        <v>862</v>
      </c>
      <c r="C469" s="1250"/>
      <c r="D469" s="363">
        <f>H419</f>
        <v>1.7398037644449887E-2</v>
      </c>
      <c r="E469" s="360" t="s">
        <v>810</v>
      </c>
      <c r="F469" s="363">
        <f>H432</f>
        <v>3.5707200952192028E-2</v>
      </c>
      <c r="G469" s="360" t="s">
        <v>810</v>
      </c>
      <c r="H469" s="363">
        <f>H457</f>
        <v>1.6502431911142111E-2</v>
      </c>
      <c r="I469" s="360" t="s">
        <v>810</v>
      </c>
      <c r="J469" s="326"/>
      <c r="K469" s="326"/>
      <c r="L469" s="326"/>
      <c r="M469" s="344"/>
      <c r="N469" s="331"/>
      <c r="O469" s="344"/>
      <c r="P469" s="331"/>
      <c r="Q469" s="344"/>
      <c r="R469" s="331"/>
    </row>
    <row r="470" spans="1:18" ht="36.75" x14ac:dyDescent="0.25">
      <c r="A470" s="357" t="s">
        <v>863</v>
      </c>
      <c r="B470" s="1250" t="s">
        <v>864</v>
      </c>
      <c r="C470" s="1250"/>
      <c r="D470" s="363">
        <f>H422</f>
        <v>3.9151035262087594E-3</v>
      </c>
      <c r="E470" s="360" t="s">
        <v>810</v>
      </c>
      <c r="F470" s="363">
        <f>-H435</f>
        <v>-1.6068240428486414E-2</v>
      </c>
      <c r="G470" s="360"/>
      <c r="H470" s="363">
        <f>H460</f>
        <v>3.8963129606190256E-3</v>
      </c>
      <c r="I470" s="360" t="s">
        <v>810</v>
      </c>
      <c r="J470" s="326"/>
      <c r="K470" s="326"/>
      <c r="L470" s="326"/>
      <c r="M470" s="344"/>
      <c r="N470" s="331"/>
      <c r="O470" s="344"/>
      <c r="P470" s="331"/>
      <c r="Q470" s="344"/>
      <c r="R470" s="331"/>
    </row>
    <row r="471" spans="1:18" ht="15" x14ac:dyDescent="0.25">
      <c r="A471" s="447"/>
      <c r="B471" s="338"/>
      <c r="C471" s="338"/>
      <c r="D471" s="338"/>
      <c r="E471" s="338"/>
      <c r="F471" s="326"/>
      <c r="G471" s="338"/>
      <c r="H471" s="338"/>
      <c r="I471" s="774"/>
      <c r="J471" s="326"/>
      <c r="K471" s="326"/>
      <c r="L471" s="326"/>
      <c r="M471" s="326"/>
      <c r="N471" s="326"/>
      <c r="O471" s="326"/>
      <c r="P471" s="326"/>
      <c r="Q471" s="326"/>
      <c r="R471" s="326"/>
    </row>
    <row r="472" spans="1:18" ht="15" x14ac:dyDescent="0.25">
      <c r="A472" s="812" t="s">
        <v>865</v>
      </c>
      <c r="B472" s="364"/>
      <c r="C472" s="364"/>
      <c r="D472" s="364"/>
      <c r="E472" s="338"/>
      <c r="F472" s="326"/>
      <c r="G472" s="338"/>
      <c r="H472" s="338"/>
      <c r="I472" s="774"/>
      <c r="J472" s="326"/>
      <c r="K472" s="326"/>
      <c r="L472" s="326"/>
      <c r="M472" s="326"/>
      <c r="N472" s="326"/>
      <c r="O472" s="326"/>
      <c r="P472" s="326"/>
      <c r="Q472" s="326"/>
      <c r="R472" s="326"/>
    </row>
    <row r="473" spans="1:18" ht="15" x14ac:dyDescent="0.25">
      <c r="A473" s="365" t="s">
        <v>866</v>
      </c>
      <c r="B473" s="1228" t="s">
        <v>867</v>
      </c>
      <c r="C473" s="1229"/>
      <c r="D473" s="1230"/>
      <c r="E473" s="1228" t="s">
        <v>868</v>
      </c>
      <c r="F473" s="1229"/>
      <c r="G473" s="1230"/>
      <c r="H473" s="326"/>
      <c r="I473" s="774"/>
      <c r="J473" s="326"/>
      <c r="K473" s="326"/>
      <c r="L473" s="326"/>
      <c r="M473" s="326"/>
      <c r="N473" s="326"/>
      <c r="O473" s="326"/>
      <c r="P473" s="326"/>
      <c r="Q473" s="326"/>
      <c r="R473" s="326"/>
    </row>
    <row r="474" spans="1:18" ht="26.25" x14ac:dyDescent="0.25">
      <c r="A474" s="444" t="s">
        <v>970</v>
      </c>
      <c r="B474" s="367" t="s">
        <v>869</v>
      </c>
      <c r="C474" s="423">
        <f>ABS(D465)</f>
        <v>2044971.585966574</v>
      </c>
      <c r="D474" s="368" t="s">
        <v>799</v>
      </c>
      <c r="E474" s="358" t="s">
        <v>870</v>
      </c>
      <c r="F474" s="369">
        <f>D466</f>
        <v>2768610.2307335259</v>
      </c>
      <c r="G474" s="370" t="s">
        <v>799</v>
      </c>
      <c r="H474" s="338"/>
      <c r="I474" s="828"/>
      <c r="J474" s="326"/>
      <c r="K474" s="326"/>
      <c r="L474" s="326"/>
      <c r="M474" s="326"/>
      <c r="N474" s="326"/>
      <c r="O474" s="326"/>
      <c r="P474" s="326"/>
      <c r="Q474" s="326"/>
      <c r="R474" s="326"/>
    </row>
    <row r="475" spans="1:18" ht="15" x14ac:dyDescent="0.25">
      <c r="A475" s="764" t="s">
        <v>966</v>
      </c>
      <c r="B475" s="367" t="s">
        <v>869</v>
      </c>
      <c r="C475" s="342"/>
      <c r="D475" s="445"/>
      <c r="E475" s="358" t="s">
        <v>870</v>
      </c>
      <c r="F475" s="372"/>
      <c r="G475" s="360"/>
      <c r="H475" s="338"/>
      <c r="I475" s="774"/>
      <c r="J475" s="326"/>
      <c r="K475" s="326"/>
      <c r="L475" s="326"/>
      <c r="M475" s="326"/>
      <c r="N475" s="326"/>
      <c r="O475" s="326"/>
      <c r="P475" s="326"/>
      <c r="Q475" s="326"/>
      <c r="R475" s="326"/>
    </row>
    <row r="476" spans="1:18" ht="26.25" x14ac:dyDescent="0.25">
      <c r="A476" s="446" t="s">
        <v>246</v>
      </c>
      <c r="B476" s="373" t="s">
        <v>869</v>
      </c>
      <c r="C476" s="369">
        <f>ABS(H465)</f>
        <v>746139.10862237227</v>
      </c>
      <c r="D476" s="360" t="s">
        <v>799</v>
      </c>
      <c r="E476" s="372" t="s">
        <v>870</v>
      </c>
      <c r="F476" s="369">
        <f>H466</f>
        <v>-2701032.6783227576</v>
      </c>
      <c r="G476" s="360" t="s">
        <v>799</v>
      </c>
      <c r="H476" s="326"/>
      <c r="I476" s="774"/>
      <c r="J476" s="326"/>
      <c r="K476" s="326"/>
      <c r="L476" s="326"/>
      <c r="M476" s="326"/>
      <c r="N476" s="326"/>
      <c r="O476" s="326"/>
      <c r="P476" s="326"/>
      <c r="Q476" s="326"/>
      <c r="R476" s="326"/>
    </row>
    <row r="477" spans="1:18" ht="15" x14ac:dyDescent="0.25">
      <c r="A477" s="807"/>
      <c r="B477" s="348"/>
      <c r="C477" s="348"/>
      <c r="D477" s="348"/>
      <c r="E477" s="348"/>
      <c r="F477" s="348"/>
      <c r="G477" s="348"/>
      <c r="H477" s="326"/>
      <c r="I477" s="774"/>
      <c r="J477" s="326"/>
      <c r="K477" s="326"/>
      <c r="L477" s="326"/>
      <c r="M477" s="326"/>
      <c r="N477" s="326"/>
      <c r="O477" s="326"/>
      <c r="P477" s="326"/>
      <c r="Q477" s="326"/>
      <c r="R477" s="326"/>
    </row>
    <row r="478" spans="1:18" ht="15.75" x14ac:dyDescent="0.25">
      <c r="A478" s="1232" t="s">
        <v>866</v>
      </c>
      <c r="B478" s="1233"/>
      <c r="C478" s="1234"/>
      <c r="D478" s="1235" t="s">
        <v>872</v>
      </c>
      <c r="E478" s="1236"/>
      <c r="F478" s="1236"/>
      <c r="G478" s="1236"/>
      <c r="H478" s="1237"/>
      <c r="I478" s="809"/>
      <c r="J478" s="326"/>
      <c r="K478" s="326"/>
      <c r="L478" s="326"/>
      <c r="M478" s="326"/>
      <c r="N478" s="326"/>
      <c r="O478" s="326"/>
      <c r="P478" s="326"/>
      <c r="Q478" s="326"/>
      <c r="R478" s="326"/>
    </row>
    <row r="479" spans="1:18" ht="15" x14ac:dyDescent="0.25">
      <c r="A479" s="1291" t="s">
        <v>970</v>
      </c>
      <c r="B479" s="1244" t="s">
        <v>874</v>
      </c>
      <c r="C479" s="1245"/>
      <c r="D479" s="374" t="s">
        <v>974</v>
      </c>
      <c r="E479" s="423">
        <f>C474</f>
        <v>2044971.585966574</v>
      </c>
      <c r="F479" s="368" t="s">
        <v>876</v>
      </c>
      <c r="G479" s="375">
        <f>D467</f>
        <v>1.7897545138514156E-3</v>
      </c>
      <c r="H479" s="376" t="s">
        <v>810</v>
      </c>
      <c r="I479" s="829"/>
      <c r="J479" s="326"/>
      <c r="K479" s="326"/>
      <c r="L479" s="326"/>
      <c r="M479" s="326"/>
      <c r="N479" s="326"/>
      <c r="O479" s="326"/>
      <c r="P479" s="326"/>
      <c r="Q479" s="326"/>
      <c r="R479" s="326"/>
    </row>
    <row r="480" spans="1:18" ht="15" x14ac:dyDescent="0.25">
      <c r="A480" s="1291"/>
      <c r="B480" s="1246"/>
      <c r="C480" s="1247"/>
      <c r="D480" s="377" t="s">
        <v>442</v>
      </c>
      <c r="E480" s="344">
        <f>G479</f>
        <v>1.7897545138514156E-3</v>
      </c>
      <c r="F480" s="331" t="s">
        <v>878</v>
      </c>
      <c r="G480" s="345">
        <f>E479*G479</f>
        <v>3659.9971266815642</v>
      </c>
      <c r="H480" s="378"/>
      <c r="I480" s="774"/>
      <c r="J480" s="326"/>
      <c r="K480" s="326"/>
      <c r="L480" s="326"/>
      <c r="M480" s="326"/>
      <c r="N480" s="326"/>
      <c r="O480" s="326"/>
      <c r="P480" s="326"/>
      <c r="Q480" s="326"/>
      <c r="R480" s="326"/>
    </row>
    <row r="481" spans="1:9" ht="15" x14ac:dyDescent="0.25">
      <c r="A481" s="1291"/>
      <c r="B481" s="1244" t="s">
        <v>879</v>
      </c>
      <c r="C481" s="1245"/>
      <c r="D481" s="374" t="s">
        <v>972</v>
      </c>
      <c r="E481" s="341">
        <f>F474</f>
        <v>2768610.2307335259</v>
      </c>
      <c r="F481" s="368" t="s">
        <v>876</v>
      </c>
      <c r="G481" s="375">
        <f>D468</f>
        <v>3.9151035262087594E-3</v>
      </c>
      <c r="H481" s="376" t="s">
        <v>810</v>
      </c>
      <c r="I481" s="774"/>
    </row>
    <row r="482" spans="1:9" ht="15" x14ac:dyDescent="0.25">
      <c r="A482" s="1291"/>
      <c r="B482" s="1248"/>
      <c r="C482" s="1249"/>
      <c r="D482" s="377" t="s">
        <v>442</v>
      </c>
      <c r="E482" s="344">
        <f>G481</f>
        <v>3.9151035262087594E-3</v>
      </c>
      <c r="F482" s="331" t="s">
        <v>881</v>
      </c>
      <c r="G482" s="345">
        <f>E481*G481</f>
        <v>10839.395677042474</v>
      </c>
      <c r="H482" s="378"/>
      <c r="I482" s="774"/>
    </row>
    <row r="483" spans="1:9" ht="15" x14ac:dyDescent="0.25">
      <c r="A483" s="1292" t="s">
        <v>327</v>
      </c>
      <c r="B483" s="1244"/>
      <c r="C483" s="1245"/>
      <c r="D483" s="374" t="s">
        <v>869</v>
      </c>
      <c r="E483" s="342"/>
      <c r="F483" s="342" t="s">
        <v>13</v>
      </c>
      <c r="G483" s="379">
        <f>F467</f>
        <v>9.6409442570918481E-3</v>
      </c>
      <c r="H483" s="376" t="s">
        <v>810</v>
      </c>
      <c r="I483" s="774"/>
    </row>
    <row r="484" spans="1:9" ht="15" x14ac:dyDescent="0.25">
      <c r="A484" s="1292"/>
      <c r="B484" s="1246"/>
      <c r="C484" s="1247"/>
      <c r="D484" s="381" t="s">
        <v>442</v>
      </c>
      <c r="E484" s="382">
        <f>G483</f>
        <v>9.6409442570918481E-3</v>
      </c>
      <c r="F484" s="383" t="s">
        <v>878</v>
      </c>
      <c r="G484" s="384"/>
      <c r="H484" s="385"/>
      <c r="I484" s="774"/>
    </row>
    <row r="485" spans="1:9" ht="15" x14ac:dyDescent="0.25">
      <c r="A485" s="1292"/>
      <c r="B485" s="1244"/>
      <c r="C485" s="1245"/>
      <c r="D485" s="447" t="s">
        <v>870</v>
      </c>
      <c r="E485" s="351"/>
      <c r="F485" s="331" t="s">
        <v>13</v>
      </c>
      <c r="G485" s="448">
        <f>F468</f>
        <v>-1.6068240428486414E-2</v>
      </c>
      <c r="H485" s="449" t="s">
        <v>810</v>
      </c>
      <c r="I485" s="774"/>
    </row>
    <row r="486" spans="1:9" ht="15" x14ac:dyDescent="0.25">
      <c r="A486" s="1292"/>
      <c r="B486" s="1246"/>
      <c r="C486" s="1247"/>
      <c r="D486" s="377" t="s">
        <v>442</v>
      </c>
      <c r="E486" s="450">
        <f>G485</f>
        <v>-1.6068240428486414E-2</v>
      </c>
      <c r="F486" s="331" t="s">
        <v>881</v>
      </c>
      <c r="G486" s="345"/>
      <c r="H486" s="378"/>
      <c r="I486" s="774"/>
    </row>
    <row r="487" spans="1:9" ht="15" x14ac:dyDescent="0.25">
      <c r="A487" s="1291" t="s">
        <v>246</v>
      </c>
      <c r="B487" s="1248" t="s">
        <v>874</v>
      </c>
      <c r="C487" s="1249"/>
      <c r="D487" s="374" t="s">
        <v>974</v>
      </c>
      <c r="E487" s="341">
        <f>C476</f>
        <v>746139.10862237227</v>
      </c>
      <c r="F487" s="342" t="s">
        <v>876</v>
      </c>
      <c r="G487" s="425">
        <f>H467</f>
        <v>1.6650922198367794E-3</v>
      </c>
      <c r="H487" s="376" t="s">
        <v>810</v>
      </c>
      <c r="I487" s="774"/>
    </row>
    <row r="488" spans="1:9" ht="15" x14ac:dyDescent="0.25">
      <c r="A488" s="1291"/>
      <c r="B488" s="1246"/>
      <c r="C488" s="1247"/>
      <c r="D488" s="381" t="s">
        <v>442</v>
      </c>
      <c r="E488" s="382">
        <f>G487</f>
        <v>1.6650922198367794E-3</v>
      </c>
      <c r="F488" s="383" t="s">
        <v>878</v>
      </c>
      <c r="G488" s="384">
        <f>E487*G487</f>
        <v>1242.3904246830616</v>
      </c>
      <c r="H488" s="385"/>
      <c r="I488" s="774"/>
    </row>
    <row r="489" spans="1:9" ht="15" x14ac:dyDescent="0.25">
      <c r="A489" s="1291"/>
      <c r="B489" s="1244" t="s">
        <v>879</v>
      </c>
      <c r="C489" s="1245"/>
      <c r="D489" s="374" t="s">
        <v>880</v>
      </c>
      <c r="E489" s="341">
        <f>F476</f>
        <v>-2701032.6783227576</v>
      </c>
      <c r="F489" s="342" t="s">
        <v>876</v>
      </c>
      <c r="G489" s="401">
        <f>H468</f>
        <v>3.8963129606190256E-3</v>
      </c>
      <c r="H489" s="376" t="s">
        <v>810</v>
      </c>
      <c r="I489" s="774"/>
    </row>
    <row r="490" spans="1:9" ht="15" x14ac:dyDescent="0.25">
      <c r="A490" s="1291"/>
      <c r="B490" s="1246"/>
      <c r="C490" s="1247"/>
      <c r="D490" s="381" t="s">
        <v>442</v>
      </c>
      <c r="E490" s="382">
        <f>G489</f>
        <v>3.8963129606190256E-3</v>
      </c>
      <c r="F490" s="383" t="s">
        <v>881</v>
      </c>
      <c r="G490" s="384">
        <f>E489*G489</f>
        <v>-10524.068631604479</v>
      </c>
      <c r="H490" s="385"/>
      <c r="I490" s="774"/>
    </row>
    <row r="491" spans="1:9" ht="15" x14ac:dyDescent="0.25">
      <c r="A491" s="1265" t="s">
        <v>1049</v>
      </c>
      <c r="B491" s="1266"/>
      <c r="C491" s="1267"/>
      <c r="D491" s="387"/>
      <c r="E491" s="388"/>
      <c r="F491" s="388"/>
      <c r="G491" s="428"/>
      <c r="H491" s="389"/>
      <c r="I491" s="774"/>
    </row>
    <row r="492" spans="1:9" ht="15" x14ac:dyDescent="0.25">
      <c r="A492" s="432" t="s">
        <v>235</v>
      </c>
      <c r="B492" s="451"/>
      <c r="C492" s="452"/>
      <c r="D492" s="453">
        <f>E480+E484+E488</f>
        <v>1.3095790990780043E-2</v>
      </c>
      <c r="E492" s="391" t="s">
        <v>878</v>
      </c>
      <c r="F492" s="454">
        <f>E482+E486+E490</f>
        <v>-8.2568239416586277E-3</v>
      </c>
      <c r="G492" s="391" t="s">
        <v>881</v>
      </c>
      <c r="H492" s="393">
        <f>G480+G482+G488+G490</f>
        <v>5217.7145968026216</v>
      </c>
      <c r="I492" s="774"/>
    </row>
    <row r="493" spans="1:9" ht="15" x14ac:dyDescent="0.25">
      <c r="A493" s="796"/>
      <c r="B493" s="773"/>
      <c r="C493" s="338"/>
      <c r="D493" s="338"/>
      <c r="E493" s="338"/>
      <c r="F493" s="326"/>
      <c r="G493" s="338"/>
      <c r="H493" s="338"/>
      <c r="I493" s="774"/>
    </row>
    <row r="494" spans="1:9" ht="15.75" x14ac:dyDescent="0.25">
      <c r="A494" s="1232" t="s">
        <v>866</v>
      </c>
      <c r="B494" s="1233"/>
      <c r="C494" s="1234"/>
      <c r="D494" s="1235" t="s">
        <v>884</v>
      </c>
      <c r="E494" s="1236"/>
      <c r="F494" s="1236"/>
      <c r="G494" s="1236"/>
      <c r="H494" s="1237"/>
      <c r="I494" s="809"/>
    </row>
    <row r="495" spans="1:9" ht="15" customHeight="1" x14ac:dyDescent="0.25">
      <c r="A495" s="893" t="s">
        <v>970</v>
      </c>
      <c r="B495" s="896" t="s">
        <v>874</v>
      </c>
      <c r="C495" s="897"/>
      <c r="D495" s="387" t="s">
        <v>974</v>
      </c>
      <c r="E495" s="428">
        <f>E479</f>
        <v>2044971.585966574</v>
      </c>
      <c r="F495" s="874" t="s">
        <v>876</v>
      </c>
      <c r="G495" s="875">
        <f>D468</f>
        <v>3.9151035262087594E-3</v>
      </c>
      <c r="H495" s="370" t="s">
        <v>810</v>
      </c>
      <c r="I495" s="876"/>
    </row>
    <row r="496" spans="1:9" ht="15" x14ac:dyDescent="0.25">
      <c r="A496" s="898"/>
      <c r="B496" s="899"/>
      <c r="C496" s="873"/>
      <c r="D496" s="402" t="s">
        <v>442</v>
      </c>
      <c r="E496" s="343">
        <f>G495</f>
        <v>3.9151035262087594E-3</v>
      </c>
      <c r="F496" s="342" t="s">
        <v>878</v>
      </c>
      <c r="G496" s="423">
        <f>E495*G495</f>
        <v>8006.2754672144529</v>
      </c>
      <c r="H496" s="878"/>
      <c r="I496" s="833"/>
    </row>
    <row r="497" spans="1:20" ht="15" x14ac:dyDescent="0.25">
      <c r="A497" s="894"/>
      <c r="B497" s="1294" t="s">
        <v>879</v>
      </c>
      <c r="C497" s="1245"/>
      <c r="D497" s="374" t="s">
        <v>972</v>
      </c>
      <c r="E497" s="341">
        <f>E481</f>
        <v>2768610.2307335259</v>
      </c>
      <c r="F497" s="342" t="s">
        <v>876</v>
      </c>
      <c r="G497" s="343">
        <f>D469</f>
        <v>1.7398037644449887E-2</v>
      </c>
      <c r="H497" s="376" t="s">
        <v>810</v>
      </c>
      <c r="I497" s="774"/>
      <c r="J497" s="326"/>
      <c r="K497" s="326"/>
      <c r="L497" s="326"/>
      <c r="M497" s="326"/>
      <c r="N497" s="326"/>
      <c r="O497" s="326"/>
      <c r="P497" s="326"/>
      <c r="Q497" s="326"/>
      <c r="R497" s="326"/>
      <c r="S497" s="326"/>
      <c r="T497" s="326"/>
    </row>
    <row r="498" spans="1:20" ht="15" x14ac:dyDescent="0.25">
      <c r="A498" s="895"/>
      <c r="B498" s="1295"/>
      <c r="C498" s="1249"/>
      <c r="D498" s="377" t="s">
        <v>442</v>
      </c>
      <c r="E498" s="344">
        <f>G497</f>
        <v>1.7398037644449887E-2</v>
      </c>
      <c r="F498" s="331" t="s">
        <v>881</v>
      </c>
      <c r="G498" s="345">
        <f>E497*G497</f>
        <v>48168.385017110973</v>
      </c>
      <c r="H498" s="378"/>
      <c r="I498" s="774"/>
      <c r="J498" s="326"/>
      <c r="K498" s="326"/>
      <c r="L498" s="326"/>
      <c r="M498" s="326"/>
      <c r="N498" s="326"/>
      <c r="O498" s="326"/>
      <c r="P498" s="326"/>
      <c r="Q498" s="326"/>
      <c r="R498" s="326"/>
      <c r="S498" s="326"/>
      <c r="T498" s="326"/>
    </row>
    <row r="499" spans="1:20" ht="15" x14ac:dyDescent="0.25">
      <c r="A499" s="1243" t="s">
        <v>327</v>
      </c>
      <c r="B499" s="1244"/>
      <c r="C499" s="1245"/>
      <c r="D499" s="402" t="s">
        <v>869</v>
      </c>
      <c r="E499" s="342"/>
      <c r="F499" s="342" t="s">
        <v>13</v>
      </c>
      <c r="G499" s="401">
        <f>G485</f>
        <v>-1.6068240428486414E-2</v>
      </c>
      <c r="H499" s="376" t="s">
        <v>810</v>
      </c>
      <c r="I499" s="774"/>
      <c r="J499" s="326"/>
      <c r="K499" s="326"/>
      <c r="L499" s="326"/>
      <c r="M499" s="326"/>
      <c r="N499" s="326"/>
      <c r="O499" s="326"/>
      <c r="P499" s="326"/>
      <c r="Q499" s="326"/>
      <c r="R499" s="326"/>
      <c r="S499" s="326"/>
      <c r="T499" s="326"/>
    </row>
    <row r="500" spans="1:20" ht="15" x14ac:dyDescent="0.25">
      <c r="A500" s="1292"/>
      <c r="B500" s="1246"/>
      <c r="C500" s="1247"/>
      <c r="D500" s="381" t="s">
        <v>442</v>
      </c>
      <c r="E500" s="382">
        <f>G499</f>
        <v>-1.6068240428486414E-2</v>
      </c>
      <c r="F500" s="383" t="s">
        <v>878</v>
      </c>
      <c r="G500" s="384"/>
      <c r="H500" s="385"/>
      <c r="I500" s="774"/>
      <c r="J500" s="326"/>
      <c r="K500" s="326"/>
      <c r="L500" s="326"/>
      <c r="M500" s="326"/>
      <c r="N500" s="326"/>
      <c r="O500" s="326"/>
      <c r="P500" s="326"/>
      <c r="Q500" s="326"/>
      <c r="R500" s="326"/>
      <c r="S500" s="326"/>
      <c r="T500" s="326"/>
    </row>
    <row r="501" spans="1:20" ht="15" x14ac:dyDescent="0.25">
      <c r="A501" s="1292"/>
      <c r="B501" s="1244"/>
      <c r="C501" s="1245"/>
      <c r="D501" s="377" t="s">
        <v>870</v>
      </c>
      <c r="E501" s="351"/>
      <c r="F501" s="331" t="s">
        <v>13</v>
      </c>
      <c r="G501" s="455">
        <f>F469</f>
        <v>3.5707200952192028E-2</v>
      </c>
      <c r="H501" s="449" t="s">
        <v>810</v>
      </c>
      <c r="I501" s="774"/>
      <c r="J501" s="326"/>
      <c r="K501" s="326"/>
      <c r="L501" s="326"/>
      <c r="M501" s="326"/>
      <c r="N501" s="326"/>
      <c r="O501" s="326"/>
      <c r="P501" s="326"/>
      <c r="Q501" s="326"/>
      <c r="R501" s="326"/>
      <c r="S501" s="326"/>
      <c r="T501" s="326"/>
    </row>
    <row r="502" spans="1:20" ht="15" x14ac:dyDescent="0.25">
      <c r="A502" s="1292"/>
      <c r="B502" s="1246"/>
      <c r="C502" s="1247"/>
      <c r="D502" s="377" t="s">
        <v>442</v>
      </c>
      <c r="E502" s="353">
        <f>G501</f>
        <v>3.5707200952192028E-2</v>
      </c>
      <c r="F502" s="331" t="s">
        <v>881</v>
      </c>
      <c r="G502" s="345"/>
      <c r="H502" s="378"/>
      <c r="I502" s="774"/>
      <c r="J502" s="326"/>
      <c r="K502" s="326"/>
      <c r="L502" s="326"/>
      <c r="M502" s="326"/>
      <c r="N502" s="326"/>
      <c r="O502" s="326"/>
      <c r="P502" s="326"/>
      <c r="Q502" s="326"/>
      <c r="R502" s="326"/>
      <c r="S502" s="326"/>
      <c r="T502" s="326"/>
    </row>
    <row r="503" spans="1:20" ht="15" x14ac:dyDescent="0.25">
      <c r="A503" s="1291" t="s">
        <v>246</v>
      </c>
      <c r="B503" s="1248" t="s">
        <v>874</v>
      </c>
      <c r="C503" s="1249"/>
      <c r="D503" s="402" t="s">
        <v>974</v>
      </c>
      <c r="E503" s="341">
        <f>E487</f>
        <v>746139.10862237227</v>
      </c>
      <c r="F503" s="342" t="s">
        <v>876</v>
      </c>
      <c r="G503" s="379">
        <f>H468</f>
        <v>3.8963129606190256E-3</v>
      </c>
      <c r="H503" s="376" t="s">
        <v>810</v>
      </c>
      <c r="I503" s="774"/>
      <c r="J503" s="326"/>
      <c r="K503" s="326"/>
      <c r="L503" s="326"/>
      <c r="M503" s="326"/>
      <c r="N503" s="326"/>
      <c r="O503" s="326"/>
      <c r="P503" s="326"/>
      <c r="Q503" s="326"/>
      <c r="R503" s="326"/>
      <c r="S503" s="326"/>
      <c r="T503" s="326"/>
    </row>
    <row r="504" spans="1:20" ht="15" x14ac:dyDescent="0.25">
      <c r="A504" s="1291"/>
      <c r="B504" s="1246"/>
      <c r="C504" s="1247"/>
      <c r="D504" s="381" t="s">
        <v>442</v>
      </c>
      <c r="E504" s="382">
        <f>G503</f>
        <v>3.8963129606190256E-3</v>
      </c>
      <c r="F504" s="383" t="s">
        <v>878</v>
      </c>
      <c r="G504" s="384">
        <f>E503*G503</f>
        <v>2907.191479350076</v>
      </c>
      <c r="H504" s="385"/>
      <c r="I504" s="774"/>
      <c r="J504" s="326"/>
      <c r="K504" s="326"/>
      <c r="L504" s="326"/>
      <c r="M504" s="326"/>
      <c r="N504" s="326"/>
      <c r="O504" s="326"/>
      <c r="P504" s="326"/>
      <c r="Q504" s="326"/>
      <c r="R504" s="326"/>
      <c r="S504" s="326"/>
      <c r="T504" s="326"/>
    </row>
    <row r="505" spans="1:20" ht="15" x14ac:dyDescent="0.25">
      <c r="A505" s="1291"/>
      <c r="B505" s="1244" t="s">
        <v>879</v>
      </c>
      <c r="C505" s="1245"/>
      <c r="D505" s="377" t="s">
        <v>880</v>
      </c>
      <c r="E505" s="351">
        <f>E489</f>
        <v>-2701032.6783227576</v>
      </c>
      <c r="F505" s="331" t="s">
        <v>876</v>
      </c>
      <c r="G505" s="448">
        <f>H469</f>
        <v>1.6502431911142111E-2</v>
      </c>
      <c r="H505" s="449" t="s">
        <v>810</v>
      </c>
      <c r="I505" s="774"/>
      <c r="J505" s="326"/>
      <c r="K505" s="326"/>
      <c r="L505" s="326"/>
      <c r="M505" s="326"/>
      <c r="N505" s="326"/>
      <c r="O505" s="326"/>
      <c r="P505" s="326"/>
      <c r="Q505" s="326"/>
      <c r="R505" s="326"/>
      <c r="S505" s="326"/>
      <c r="T505" s="326"/>
    </row>
    <row r="506" spans="1:20" ht="15" x14ac:dyDescent="0.25">
      <c r="A506" s="1291"/>
      <c r="B506" s="1246"/>
      <c r="C506" s="1247"/>
      <c r="D506" s="381" t="s">
        <v>442</v>
      </c>
      <c r="E506" s="456">
        <f>G505</f>
        <v>1.6502431911142111E-2</v>
      </c>
      <c r="F506" s="383" t="s">
        <v>881</v>
      </c>
      <c r="G506" s="384">
        <f>E505*G505</f>
        <v>-44573.60786379112</v>
      </c>
      <c r="H506" s="385"/>
      <c r="I506" s="774"/>
      <c r="J506" s="326"/>
      <c r="K506" s="344"/>
      <c r="L506" s="326"/>
      <c r="M506" s="326"/>
      <c r="N506" s="326"/>
      <c r="O506" s="326"/>
      <c r="P506" s="326"/>
      <c r="Q506" s="326"/>
      <c r="R506" s="326"/>
      <c r="S506" s="326"/>
      <c r="T506" s="326"/>
    </row>
    <row r="507" spans="1:20" ht="15" x14ac:dyDescent="0.25">
      <c r="A507" s="1265" t="s">
        <v>1049</v>
      </c>
      <c r="B507" s="1266"/>
      <c r="C507" s="1267"/>
      <c r="D507" s="387"/>
      <c r="E507" s="388"/>
      <c r="F507" s="388"/>
      <c r="G507" s="471">
        <f>-'[1]Design - 1'!H879</f>
        <v>118269.73000000001</v>
      </c>
      <c r="H507" s="389"/>
      <c r="I507" s="774"/>
      <c r="J507" s="326"/>
      <c r="K507" s="326"/>
      <c r="L507" s="326"/>
      <c r="M507" s="326"/>
      <c r="N507" s="326"/>
      <c r="O507" s="326"/>
      <c r="P507" s="326"/>
      <c r="Q507" s="326"/>
      <c r="R507" s="326"/>
      <c r="S507" s="326"/>
      <c r="T507" s="326"/>
    </row>
    <row r="508" spans="1:20" ht="15" x14ac:dyDescent="0.25">
      <c r="A508" s="1268" t="s">
        <v>235</v>
      </c>
      <c r="B508" s="1269"/>
      <c r="C508" s="1270"/>
      <c r="D508" s="390">
        <f>E496+E500+E504</f>
        <v>-8.2568239416586277E-3</v>
      </c>
      <c r="E508" s="391" t="s">
        <v>878</v>
      </c>
      <c r="F508" s="392">
        <f>E498+E502+E506</f>
        <v>6.960767050778402E-2</v>
      </c>
      <c r="G508" s="391" t="s">
        <v>881</v>
      </c>
      <c r="H508" s="393">
        <f>G496+G498+G507+G504+G506</f>
        <v>132777.97409988439</v>
      </c>
      <c r="I508" s="774"/>
      <c r="J508" s="452" t="s">
        <v>885</v>
      </c>
      <c r="K508" s="432"/>
      <c r="L508" s="407">
        <f>C511</f>
        <v>1.3095790990780043E-2</v>
      </c>
      <c r="M508" s="433" t="s">
        <v>878</v>
      </c>
      <c r="N508" s="408">
        <f>E511</f>
        <v>-8.2568239416586277E-3</v>
      </c>
      <c r="O508" s="433" t="s">
        <v>881</v>
      </c>
      <c r="P508" s="434" t="s">
        <v>442</v>
      </c>
      <c r="Q508" s="409">
        <f>H511</f>
        <v>5217.7145968026216</v>
      </c>
      <c r="R508" s="346"/>
      <c r="S508" s="346"/>
      <c r="T508" s="346"/>
    </row>
    <row r="509" spans="1:20" ht="15" x14ac:dyDescent="0.25">
      <c r="A509" s="900"/>
      <c r="B509" s="403"/>
      <c r="C509" s="403"/>
      <c r="D509" s="396"/>
      <c r="E509" s="347"/>
      <c r="F509" s="353"/>
      <c r="G509" s="347"/>
      <c r="H509" s="398"/>
      <c r="I509" s="774"/>
      <c r="J509" s="360"/>
      <c r="K509" s="346"/>
      <c r="L509" s="433" t="s">
        <v>878</v>
      </c>
      <c r="M509" s="346" t="s">
        <v>442</v>
      </c>
      <c r="N509" s="435">
        <f>Q508</f>
        <v>5217.7145968026216</v>
      </c>
      <c r="O509" s="346" t="s">
        <v>886</v>
      </c>
      <c r="P509" s="436">
        <f>N508</f>
        <v>-8.2568239416586277E-3</v>
      </c>
      <c r="Q509" s="346" t="str">
        <f>O508</f>
        <v>δE</v>
      </c>
      <c r="R509" s="346"/>
      <c r="S509" s="346"/>
      <c r="T509" s="346"/>
    </row>
    <row r="510" spans="1:20" ht="15" x14ac:dyDescent="0.25">
      <c r="A510" s="834"/>
      <c r="B510" s="395"/>
      <c r="C510" s="395"/>
      <c r="D510" s="398"/>
      <c r="E510" s="347"/>
      <c r="F510" s="398"/>
      <c r="G510" s="347"/>
      <c r="H510" s="398"/>
      <c r="I510" s="774"/>
      <c r="J510" s="360"/>
      <c r="K510" s="346"/>
      <c r="L510" s="346"/>
      <c r="M510" s="346"/>
      <c r="N510" s="346"/>
      <c r="O510" s="437">
        <f>L508</f>
        <v>1.3095790990780043E-2</v>
      </c>
      <c r="P510" s="346"/>
      <c r="Q510" s="346"/>
      <c r="R510" s="346"/>
      <c r="S510" s="346"/>
      <c r="T510" s="346"/>
    </row>
    <row r="511" spans="1:20" ht="15" x14ac:dyDescent="0.25">
      <c r="A511" s="900" t="s">
        <v>885</v>
      </c>
      <c r="B511" s="395"/>
      <c r="C511" s="438">
        <f>D492</f>
        <v>1.3095790990780043E-2</v>
      </c>
      <c r="D511" s="347" t="s">
        <v>878</v>
      </c>
      <c r="E511" s="397">
        <f>F492</f>
        <v>-8.2568239416586277E-3</v>
      </c>
      <c r="F511" s="347" t="s">
        <v>881</v>
      </c>
      <c r="G511" s="352" t="s">
        <v>442</v>
      </c>
      <c r="H511" s="398">
        <f>H492</f>
        <v>5217.7145968026216</v>
      </c>
      <c r="I511" s="774"/>
      <c r="J511" s="360"/>
      <c r="K511" s="346"/>
      <c r="L511" s="433" t="s">
        <v>878</v>
      </c>
      <c r="M511" s="346" t="s">
        <v>442</v>
      </c>
      <c r="N511" s="346">
        <f>N509/O510</f>
        <v>398426.83809447632</v>
      </c>
      <c r="O511" s="346" t="s">
        <v>887</v>
      </c>
      <c r="P511" s="346">
        <f>-P509/O510</f>
        <v>0.63049448081996418</v>
      </c>
      <c r="Q511" s="346" t="str">
        <f>Q509</f>
        <v>δE</v>
      </c>
      <c r="R511" s="346"/>
      <c r="S511" s="346"/>
      <c r="T511" s="346"/>
    </row>
    <row r="512" spans="1:20" ht="15" x14ac:dyDescent="0.25">
      <c r="A512" s="1276" t="s">
        <v>889</v>
      </c>
      <c r="B512" s="1226"/>
      <c r="C512" s="397">
        <f>D508</f>
        <v>-8.2568239416586277E-3</v>
      </c>
      <c r="D512" s="347" t="s">
        <v>878</v>
      </c>
      <c r="E512" s="397">
        <f>F508</f>
        <v>6.960767050778402E-2</v>
      </c>
      <c r="F512" s="347" t="s">
        <v>881</v>
      </c>
      <c r="G512" s="352" t="s">
        <v>442</v>
      </c>
      <c r="H512" s="398">
        <f>H508</f>
        <v>132777.97409988439</v>
      </c>
      <c r="I512" s="774"/>
      <c r="J512" s="360"/>
      <c r="K512" s="346"/>
      <c r="L512" s="346"/>
      <c r="M512" s="346"/>
      <c r="N512" s="346"/>
      <c r="O512" s="346"/>
      <c r="P512" s="346"/>
      <c r="Q512" s="346"/>
      <c r="R512" s="346"/>
      <c r="S512" s="346"/>
      <c r="T512" s="346"/>
    </row>
    <row r="513" spans="1:20" ht="15" x14ac:dyDescent="0.25">
      <c r="A513" s="447" t="s">
        <v>891</v>
      </c>
      <c r="B513" s="327">
        <f>-T519</f>
        <v>-1730531.8122885828</v>
      </c>
      <c r="C513" s="331" t="s">
        <v>799</v>
      </c>
      <c r="D513" s="338"/>
      <c r="E513" s="773"/>
      <c r="F513" s="326"/>
      <c r="G513" s="338"/>
      <c r="H513" s="327"/>
      <c r="I513" s="774"/>
      <c r="J513" s="360"/>
      <c r="K513" s="346"/>
      <c r="L513" s="346"/>
      <c r="M513" s="346"/>
      <c r="N513" s="346"/>
      <c r="O513" s="346"/>
      <c r="P513" s="346"/>
      <c r="Q513" s="346"/>
      <c r="R513" s="346"/>
      <c r="S513" s="346"/>
      <c r="T513" s="346"/>
    </row>
    <row r="514" spans="1:20" ht="15" x14ac:dyDescent="0.25">
      <c r="A514" s="447" t="s">
        <v>892</v>
      </c>
      <c r="B514" s="327">
        <f>-T518</f>
        <v>-2112794.0286831553</v>
      </c>
      <c r="C514" s="331" t="s">
        <v>799</v>
      </c>
      <c r="D514" s="338"/>
      <c r="E514" s="773"/>
      <c r="F514" s="326"/>
      <c r="G514" s="338"/>
      <c r="H514" s="327"/>
      <c r="I514" s="774"/>
      <c r="J514" s="360"/>
      <c r="K514" s="346"/>
      <c r="L514" s="346"/>
      <c r="M514" s="346"/>
      <c r="N514" s="346"/>
      <c r="O514" s="346"/>
      <c r="P514" s="346"/>
      <c r="Q514" s="346"/>
      <c r="R514" s="346"/>
      <c r="S514" s="346"/>
      <c r="T514" s="346"/>
    </row>
    <row r="515" spans="1:20" ht="15" x14ac:dyDescent="0.25">
      <c r="A515" s="879" t="s">
        <v>1050</v>
      </c>
      <c r="B515" s="441"/>
      <c r="C515" s="327"/>
      <c r="D515" s="338"/>
      <c r="E515" s="338"/>
      <c r="F515" s="326"/>
      <c r="G515" s="338"/>
      <c r="H515" s="338"/>
      <c r="I515" s="774"/>
      <c r="J515" s="391" t="s">
        <v>889</v>
      </c>
      <c r="K515" s="457"/>
      <c r="L515" s="407">
        <f>C512</f>
        <v>-8.2568239416586277E-3</v>
      </c>
      <c r="M515" s="433" t="s">
        <v>890</v>
      </c>
      <c r="N515" s="408">
        <f>E512</f>
        <v>6.960767050778402E-2</v>
      </c>
      <c r="O515" s="433" t="s">
        <v>881</v>
      </c>
      <c r="P515" s="434" t="s">
        <v>442</v>
      </c>
      <c r="Q515" s="409">
        <f>H512</f>
        <v>132777.97409988439</v>
      </c>
      <c r="R515" s="346"/>
      <c r="S515" s="346"/>
      <c r="T515" s="346"/>
    </row>
    <row r="516" spans="1:20" ht="30" x14ac:dyDescent="0.25">
      <c r="A516" s="1293" t="s">
        <v>866</v>
      </c>
      <c r="B516" s="1293"/>
      <c r="C516" s="458" t="s">
        <v>894</v>
      </c>
      <c r="D516" s="459" t="s">
        <v>310</v>
      </c>
      <c r="E516" s="459" t="s">
        <v>895</v>
      </c>
      <c r="F516" s="1296" t="s">
        <v>896</v>
      </c>
      <c r="G516" s="1297"/>
      <c r="H516" s="326"/>
      <c r="I516" s="774"/>
      <c r="J516" s="360"/>
      <c r="K516" s="346"/>
      <c r="L516" s="346">
        <f>(L515*N511)</f>
        <v>-3289.7402557778178</v>
      </c>
      <c r="M516" s="346" t="s">
        <v>887</v>
      </c>
      <c r="N516" s="346">
        <f>(L515*P511)</f>
        <v>-5.2058819243179068E-3</v>
      </c>
      <c r="O516" s="346" t="s">
        <v>870</v>
      </c>
      <c r="P516" s="346" t="s">
        <v>887</v>
      </c>
      <c r="Q516" s="439">
        <f>N515</f>
        <v>6.960767050778402E-2</v>
      </c>
      <c r="R516" s="346" t="s">
        <v>870</v>
      </c>
      <c r="S516" s="346" t="s">
        <v>442</v>
      </c>
      <c r="T516" s="435">
        <f>Q515</f>
        <v>132777.97409988439</v>
      </c>
    </row>
    <row r="517" spans="1:20" ht="15" x14ac:dyDescent="0.25">
      <c r="A517" s="1293"/>
      <c r="B517" s="1293"/>
      <c r="C517" s="460" t="s">
        <v>897</v>
      </c>
      <c r="D517" s="461" t="s">
        <v>898</v>
      </c>
      <c r="E517" s="461" t="s">
        <v>899</v>
      </c>
      <c r="F517" s="462"/>
      <c r="G517" s="463"/>
      <c r="H517" s="326"/>
      <c r="I517" s="774"/>
      <c r="J517" s="360"/>
      <c r="K517" s="346"/>
      <c r="L517" s="346"/>
      <c r="M517" s="346"/>
      <c r="N517" s="440">
        <f>N516+Q516</f>
        <v>6.440178858346611E-2</v>
      </c>
      <c r="O517" s="346" t="str">
        <f>O516</f>
        <v>δ</v>
      </c>
      <c r="P517" s="346"/>
      <c r="Q517" s="346"/>
      <c r="R517" s="346"/>
      <c r="S517" s="346" t="s">
        <v>442</v>
      </c>
      <c r="T517" s="435">
        <f>T516-L516</f>
        <v>136067.7143556622</v>
      </c>
    </row>
    <row r="518" spans="1:20" ht="15" x14ac:dyDescent="0.25">
      <c r="A518" s="1274" t="s">
        <v>970</v>
      </c>
      <c r="B518" s="1274"/>
      <c r="C518" s="418">
        <f>H363*1</f>
        <v>0.35</v>
      </c>
      <c r="D518" s="464">
        <f>ROUND(E480*B513+G480+E482*B514+G482,2)</f>
        <v>3130.36</v>
      </c>
      <c r="E518" s="464">
        <f>E496*B513+G496+E498*B514+G498</f>
        <v>12640.979237819491</v>
      </c>
      <c r="F518" s="336">
        <f>ROUND(-(B514/H375)*C518,2)</f>
        <v>208303.64</v>
      </c>
      <c r="G518" s="420" t="s">
        <v>832</v>
      </c>
      <c r="H518" s="326"/>
      <c r="I518" s="774"/>
      <c r="J518" s="360"/>
      <c r="K518" s="346"/>
      <c r="L518" s="346"/>
      <c r="M518" s="346"/>
      <c r="N518" s="436"/>
      <c r="O518" s="346" t="str">
        <f>O517</f>
        <v>δ</v>
      </c>
      <c r="P518" s="346"/>
      <c r="Q518" s="346"/>
      <c r="R518" s="346"/>
      <c r="S518" s="346" t="s">
        <v>442</v>
      </c>
      <c r="T518" s="442">
        <f>T517/N517</f>
        <v>2112794.0286831553</v>
      </c>
    </row>
    <row r="519" spans="1:20" ht="15" x14ac:dyDescent="0.25">
      <c r="A519" s="1274" t="s">
        <v>1051</v>
      </c>
      <c r="B519" s="1274"/>
      <c r="C519" s="418">
        <f>H373*H374</f>
        <v>0.45</v>
      </c>
      <c r="D519" s="435">
        <f>ROUND(E484*B513+E486*B514,2)</f>
        <v>17264.919999999998</v>
      </c>
      <c r="E519" s="465">
        <f>ROUND(E500*B513+E502*B514,1)</f>
        <v>-47635.4</v>
      </c>
      <c r="F519" s="336">
        <v>0</v>
      </c>
      <c r="G519" s="420" t="s">
        <v>899</v>
      </c>
      <c r="H519" s="326"/>
      <c r="I519" s="774"/>
      <c r="J519" s="360"/>
      <c r="K519" s="346"/>
      <c r="L519" s="346"/>
      <c r="M519" s="346"/>
      <c r="N519" s="346"/>
      <c r="O519" s="346" t="s">
        <v>869</v>
      </c>
      <c r="P519" s="346">
        <f>N511</f>
        <v>398426.83809447632</v>
      </c>
      <c r="Q519" s="346" t="str">
        <f>O511</f>
        <v>+</v>
      </c>
      <c r="R519" s="346">
        <f>P511*T518</f>
        <v>1332104.9741941064</v>
      </c>
      <c r="S519" s="346" t="s">
        <v>442</v>
      </c>
      <c r="T519" s="346">
        <f>P519+R519</f>
        <v>1730531.8122885828</v>
      </c>
    </row>
    <row r="520" spans="1:20" ht="15" x14ac:dyDescent="0.25">
      <c r="A520" s="1275" t="s">
        <v>246</v>
      </c>
      <c r="B520" s="1275"/>
      <c r="C520" s="418">
        <f>H383*1</f>
        <v>0.2</v>
      </c>
      <c r="D520" s="346">
        <f>ROUND(E488*B513+G488+E490*B514+G490,2)</f>
        <v>-20395.28</v>
      </c>
      <c r="E520" s="346">
        <f>E504*B513+G504+E506*B514+G506</f>
        <v>-83275.349514035974</v>
      </c>
      <c r="F520" s="336">
        <f>ROUND(-(B514/H375)*C520,2)</f>
        <v>119030.65</v>
      </c>
      <c r="G520" s="420" t="s">
        <v>832</v>
      </c>
      <c r="H520" s="326"/>
      <c r="I520" s="774"/>
      <c r="J520" s="326"/>
      <c r="K520" s="326"/>
      <c r="L520" s="326"/>
      <c r="M520" s="326"/>
      <c r="N520" s="326"/>
      <c r="O520" s="326"/>
      <c r="P520" s="326"/>
      <c r="Q520" s="326"/>
      <c r="R520" s="326"/>
      <c r="S520" s="326"/>
      <c r="T520" s="326"/>
    </row>
    <row r="521" spans="1:20" ht="15" x14ac:dyDescent="0.25">
      <c r="A521" s="1275" t="s">
        <v>235</v>
      </c>
      <c r="B521" s="1275"/>
      <c r="C521" s="336"/>
      <c r="D521" s="466">
        <f>D518+D519+D520</f>
        <v>0</v>
      </c>
      <c r="E521" s="467">
        <f>E518+E519+E520</f>
        <v>-118269.77027621648</v>
      </c>
      <c r="F521" s="419"/>
      <c r="G521" s="389"/>
      <c r="H521" s="842"/>
      <c r="I521" s="815"/>
      <c r="J521" s="326"/>
      <c r="K521" s="326"/>
      <c r="L521" s="326"/>
      <c r="M521" s="326"/>
      <c r="N521" s="326"/>
      <c r="O521" s="326"/>
      <c r="P521" s="326"/>
      <c r="Q521" s="326"/>
      <c r="R521" s="326"/>
      <c r="S521" s="326"/>
      <c r="T521" s="326"/>
    </row>
    <row r="522" spans="1:20" ht="15" x14ac:dyDescent="0.25">
      <c r="A522" s="326"/>
      <c r="B522" s="326"/>
      <c r="C522" s="326"/>
      <c r="D522" s="326"/>
      <c r="E522" s="326"/>
      <c r="F522" s="331"/>
      <c r="G522" s="326"/>
      <c r="H522" s="326"/>
      <c r="I522" s="326"/>
      <c r="J522" s="326"/>
      <c r="K522" s="326"/>
      <c r="L522" s="326"/>
      <c r="M522" s="326"/>
      <c r="N522" s="326"/>
      <c r="O522" s="326"/>
      <c r="P522" s="326"/>
      <c r="Q522" s="326"/>
      <c r="R522" s="326"/>
      <c r="S522" s="326"/>
      <c r="T522" s="326"/>
    </row>
  </sheetData>
  <mergeCells count="184">
    <mergeCell ref="A519:B519"/>
    <mergeCell ref="A520:B520"/>
    <mergeCell ref="A521:B521"/>
    <mergeCell ref="A507:C507"/>
    <mergeCell ref="A508:C508"/>
    <mergeCell ref="A512:B512"/>
    <mergeCell ref="A516:B517"/>
    <mergeCell ref="B497:C498"/>
    <mergeCell ref="F516:G516"/>
    <mergeCell ref="A518:B518"/>
    <mergeCell ref="A499:A502"/>
    <mergeCell ref="B499:C499"/>
    <mergeCell ref="B500:C500"/>
    <mergeCell ref="B501:C501"/>
    <mergeCell ref="B502:C502"/>
    <mergeCell ref="A503:A506"/>
    <mergeCell ref="B503:C504"/>
    <mergeCell ref="B505:C506"/>
    <mergeCell ref="A487:A490"/>
    <mergeCell ref="B487:C488"/>
    <mergeCell ref="B489:C490"/>
    <mergeCell ref="A491:C491"/>
    <mergeCell ref="A494:C494"/>
    <mergeCell ref="D494:H494"/>
    <mergeCell ref="A479:A482"/>
    <mergeCell ref="B479:C480"/>
    <mergeCell ref="B481:C482"/>
    <mergeCell ref="A483:A486"/>
    <mergeCell ref="B483:C483"/>
    <mergeCell ref="B484:C484"/>
    <mergeCell ref="B485:C485"/>
    <mergeCell ref="B486:C486"/>
    <mergeCell ref="B469:C469"/>
    <mergeCell ref="B470:C470"/>
    <mergeCell ref="B473:D473"/>
    <mergeCell ref="E473:G473"/>
    <mergeCell ref="A478:C478"/>
    <mergeCell ref="D478:H478"/>
    <mergeCell ref="O464:P464"/>
    <mergeCell ref="Q464:R464"/>
    <mergeCell ref="B465:C465"/>
    <mergeCell ref="B466:C466"/>
    <mergeCell ref="B467:C467"/>
    <mergeCell ref="B468:C468"/>
    <mergeCell ref="F461:H461"/>
    <mergeCell ref="B464:C464"/>
    <mergeCell ref="D464:E464"/>
    <mergeCell ref="F464:G464"/>
    <mergeCell ref="H464:I464"/>
    <mergeCell ref="M464:N464"/>
    <mergeCell ref="B407:D407"/>
    <mergeCell ref="G433:H433"/>
    <mergeCell ref="G436:H436"/>
    <mergeCell ref="B447:G447"/>
    <mergeCell ref="N447:R447"/>
    <mergeCell ref="G458:H458"/>
    <mergeCell ref="D350:E350"/>
    <mergeCell ref="G351:H351"/>
    <mergeCell ref="D352:E352"/>
    <mergeCell ref="G352:H352"/>
    <mergeCell ref="D353:E353"/>
    <mergeCell ref="D356:E356"/>
    <mergeCell ref="A338:B339"/>
    <mergeCell ref="F338:G338"/>
    <mergeCell ref="A340:B340"/>
    <mergeCell ref="A341:B341"/>
    <mergeCell ref="A342:B342"/>
    <mergeCell ref="A343:B343"/>
    <mergeCell ref="A325:C325"/>
    <mergeCell ref="A326:C326"/>
    <mergeCell ref="A327:C327"/>
    <mergeCell ref="A328:C328"/>
    <mergeCell ref="A332:B332"/>
    <mergeCell ref="J333:K333"/>
    <mergeCell ref="A319:A320"/>
    <mergeCell ref="B319:C319"/>
    <mergeCell ref="B320:C320"/>
    <mergeCell ref="A321:A324"/>
    <mergeCell ref="B321:C322"/>
    <mergeCell ref="B323:C324"/>
    <mergeCell ref="A312:C312"/>
    <mergeCell ref="A314:C314"/>
    <mergeCell ref="D314:H314"/>
    <mergeCell ref="A315:A318"/>
    <mergeCell ref="B315:C316"/>
    <mergeCell ref="B317:C318"/>
    <mergeCell ref="A305:A308"/>
    <mergeCell ref="B305:C306"/>
    <mergeCell ref="B307:C308"/>
    <mergeCell ref="A309:C309"/>
    <mergeCell ref="A310:C310"/>
    <mergeCell ref="A311:C311"/>
    <mergeCell ref="B293:D293"/>
    <mergeCell ref="E293:G293"/>
    <mergeCell ref="A298:C298"/>
    <mergeCell ref="D298:H298"/>
    <mergeCell ref="B301:C302"/>
    <mergeCell ref="A303:A304"/>
    <mergeCell ref="B303:C303"/>
    <mergeCell ref="B304:C304"/>
    <mergeCell ref="B285:C285"/>
    <mergeCell ref="B286:C286"/>
    <mergeCell ref="B287:C287"/>
    <mergeCell ref="B288:C288"/>
    <mergeCell ref="B289:C289"/>
    <mergeCell ref="B290:C290"/>
    <mergeCell ref="C196:D196"/>
    <mergeCell ref="B265:D265"/>
    <mergeCell ref="B284:C284"/>
    <mergeCell ref="D284:E284"/>
    <mergeCell ref="F284:G284"/>
    <mergeCell ref="H284:I284"/>
    <mergeCell ref="E188:F188"/>
    <mergeCell ref="F191:G191"/>
    <mergeCell ref="C193:D193"/>
    <mergeCell ref="F193:G193"/>
    <mergeCell ref="A185:I185"/>
    <mergeCell ref="G195:H195"/>
    <mergeCell ref="A178:B179"/>
    <mergeCell ref="F178:G178"/>
    <mergeCell ref="A180:B180"/>
    <mergeCell ref="A181:B181"/>
    <mergeCell ref="A182:B182"/>
    <mergeCell ref="A183:B183"/>
    <mergeCell ref="A161:A164"/>
    <mergeCell ref="B161:C162"/>
    <mergeCell ref="B163:C164"/>
    <mergeCell ref="A165:C165"/>
    <mergeCell ref="A166:C166"/>
    <mergeCell ref="A169:B169"/>
    <mergeCell ref="A155:A158"/>
    <mergeCell ref="B155:C156"/>
    <mergeCell ref="B157:C158"/>
    <mergeCell ref="A159:A160"/>
    <mergeCell ref="B159:C159"/>
    <mergeCell ref="B160:C160"/>
    <mergeCell ref="A147:A150"/>
    <mergeCell ref="B147:C148"/>
    <mergeCell ref="B149:C150"/>
    <mergeCell ref="A151:C151"/>
    <mergeCell ref="A152:C152"/>
    <mergeCell ref="A154:C154"/>
    <mergeCell ref="B131:C131"/>
    <mergeCell ref="B132:C132"/>
    <mergeCell ref="B135:D135"/>
    <mergeCell ref="B145:C145"/>
    <mergeCell ref="B146:C146"/>
    <mergeCell ref="B126:C126"/>
    <mergeCell ref="D126:E126"/>
    <mergeCell ref="F126:G126"/>
    <mergeCell ref="D154:H154"/>
    <mergeCell ref="I1:I2"/>
    <mergeCell ref="G4:H4"/>
    <mergeCell ref="A1:A2"/>
    <mergeCell ref="A3:A4"/>
    <mergeCell ref="A5:A6"/>
    <mergeCell ref="G3:H3"/>
    <mergeCell ref="B1:H2"/>
    <mergeCell ref="B3:F4"/>
    <mergeCell ref="B5:F6"/>
    <mergeCell ref="G9:I9"/>
    <mergeCell ref="A35:I35"/>
    <mergeCell ref="A346:I346"/>
    <mergeCell ref="G81:H81"/>
    <mergeCell ref="G84:H84"/>
    <mergeCell ref="E135:G135"/>
    <mergeCell ref="A140:C140"/>
    <mergeCell ref="D140:H140"/>
    <mergeCell ref="C39:D39"/>
    <mergeCell ref="F40:G40"/>
    <mergeCell ref="H126:I126"/>
    <mergeCell ref="A141:A144"/>
    <mergeCell ref="B141:C142"/>
    <mergeCell ref="B143:C144"/>
    <mergeCell ref="B127:C127"/>
    <mergeCell ref="B128:C128"/>
    <mergeCell ref="B129:C129"/>
    <mergeCell ref="C42:D42"/>
    <mergeCell ref="F43:G43"/>
    <mergeCell ref="F45:G45"/>
    <mergeCell ref="C46:D46"/>
    <mergeCell ref="G87:H87"/>
    <mergeCell ref="G90:H90"/>
    <mergeCell ref="B130:C130"/>
  </mergeCells>
  <pageMargins left="0.19685039370078741" right="0.19685039370078741" top="0.23622047244094488" bottom="0.23622047244094488" header="0.31496062992125984" footer="0.31496062992125984"/>
  <pageSetup paperSize="9" orientation="portrait" r:id="rId1"/>
  <rowBreaks count="2" manualBreakCount="2">
    <brk id="67" max="8" man="1"/>
    <brk id="377" max="8" man="1"/>
  </rowBreaks>
  <ignoredErrors>
    <ignoredError sqref="B3 B5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59201" r:id="rId4">
          <objectPr defaultSize="0" autoPict="0" r:id="rId5">
            <anchor moveWithCells="1" sizeWithCells="1">
              <from>
                <xdr:col>2</xdr:col>
                <xdr:colOff>314325</xdr:colOff>
                <xdr:row>0</xdr:row>
                <xdr:rowOff>76200</xdr:rowOff>
              </from>
              <to>
                <xdr:col>3</xdr:col>
                <xdr:colOff>142875</xdr:colOff>
                <xdr:row>1</xdr:row>
                <xdr:rowOff>276225</xdr:rowOff>
              </to>
            </anchor>
          </objectPr>
        </oleObject>
      </mc:Choice>
      <mc:Fallback>
        <oleObject progId="StaticMetafile" shapeId="1459201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E336"/>
  <sheetViews>
    <sheetView view="pageBreakPreview" topLeftCell="A306" zoomScale="55" zoomScaleSheetLayoutView="55" workbookViewId="0">
      <selection activeCell="N322" sqref="N322"/>
    </sheetView>
  </sheetViews>
  <sheetFormatPr defaultRowHeight="15.75" x14ac:dyDescent="0.25"/>
  <cols>
    <col min="1" max="2" width="9.140625" style="10"/>
    <col min="3" max="3" width="9.7109375" style="10" customWidth="1"/>
    <col min="4" max="4" width="11.28515625" style="10" customWidth="1"/>
    <col min="5" max="10" width="9.140625" style="10"/>
    <col min="11" max="11" width="15.28515625" style="10" bestFit="1" customWidth="1"/>
    <col min="12" max="12" width="10.7109375" style="10" customWidth="1"/>
    <col min="13" max="13" width="9.140625" style="15"/>
    <col min="14" max="19" width="9.140625" style="44"/>
    <col min="20" max="20" width="13.85546875" style="44" customWidth="1"/>
    <col min="21" max="21" width="13.28515625" style="44" customWidth="1"/>
    <col min="22" max="23" width="13.42578125" style="44" customWidth="1"/>
    <col min="24" max="16384" width="9.140625" style="44"/>
  </cols>
  <sheetData>
    <row r="1" spans="1:57" s="313" customFormat="1" ht="74.25" customHeight="1" x14ac:dyDescent="0.2">
      <c r="A1" s="1152"/>
      <c r="B1" s="1152"/>
      <c r="C1" s="1133" t="str">
        <f>'cover page'!B1</f>
        <v xml:space="preserve">              JMC – SPML JOINT VENTURE</v>
      </c>
      <c r="D1" s="1321"/>
      <c r="E1" s="1321"/>
      <c r="F1" s="1321"/>
      <c r="G1" s="1321"/>
      <c r="H1" s="1321"/>
      <c r="I1" s="1321"/>
      <c r="J1" s="1134"/>
      <c r="K1" s="1133"/>
      <c r="L1" s="113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s="313" customFormat="1" ht="15" customHeight="1" x14ac:dyDescent="0.2">
      <c r="A2" s="1136" t="s">
        <v>685</v>
      </c>
      <c r="B2" s="1136"/>
      <c r="C2" s="1095" t="str">
        <f>index!B2</f>
        <v>EXECUTION OF MEGA PWS TO MOHANA, DARINGABADI, GUMMA, R.UDAYGIRI AND NUAGADA BLOCK IN GAJAPATI &amp; KANDHAMAL DISTRICT INCLUDING FIVE YEARS OPERATION &amp; MAINTENANCE</v>
      </c>
      <c r="D2" s="1096"/>
      <c r="E2" s="1096"/>
      <c r="F2" s="1096"/>
      <c r="G2" s="1096"/>
      <c r="H2" s="1096"/>
      <c r="I2" s="1097"/>
      <c r="J2" s="1060" t="s">
        <v>686</v>
      </c>
      <c r="K2" s="1060"/>
      <c r="L2" s="527" t="s">
        <v>687</v>
      </c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s="313" customFormat="1" ht="74.25" customHeight="1" x14ac:dyDescent="0.2">
      <c r="A3" s="1136"/>
      <c r="B3" s="1136"/>
      <c r="C3" s="1328"/>
      <c r="D3" s="1329"/>
      <c r="E3" s="1329"/>
      <c r="F3" s="1329"/>
      <c r="G3" s="1329"/>
      <c r="H3" s="1329"/>
      <c r="I3" s="1330"/>
      <c r="J3" s="1074" t="str">
        <f>'cover page'!E3</f>
        <v>32129-MB-WSE-ESR-CV-DD-</v>
      </c>
      <c r="K3" s="1074"/>
      <c r="L3" s="315" t="str">
        <f>index!G3</f>
        <v>R0</v>
      </c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s="313" customFormat="1" ht="15" customHeight="1" x14ac:dyDescent="0.2">
      <c r="A4" s="1136" t="s">
        <v>688</v>
      </c>
      <c r="B4" s="1136"/>
      <c r="C4" s="1095" t="str">
        <f>index!B4</f>
        <v xml:space="preserve">Structural Design Report of 250 KL ESR with 10 m Staging at  MOHANA A PRO ESR </v>
      </c>
      <c r="D4" s="1096"/>
      <c r="E4" s="1096"/>
      <c r="F4" s="1096"/>
      <c r="G4" s="1096"/>
      <c r="H4" s="1096"/>
      <c r="I4" s="1097"/>
      <c r="J4" s="527" t="s">
        <v>689</v>
      </c>
      <c r="K4" s="527" t="s">
        <v>690</v>
      </c>
      <c r="L4" s="527" t="s">
        <v>691</v>
      </c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s="313" customFormat="1" ht="15" x14ac:dyDescent="0.2">
      <c r="A5" s="1136"/>
      <c r="B5" s="1136"/>
      <c r="C5" s="1328"/>
      <c r="D5" s="1329"/>
      <c r="E5" s="1329"/>
      <c r="F5" s="1329"/>
      <c r="G5" s="1329"/>
      <c r="H5" s="1329"/>
      <c r="I5" s="1330"/>
      <c r="J5" s="315" t="str">
        <f>index!E5</f>
        <v>SKS</v>
      </c>
      <c r="K5" s="315" t="str">
        <f>index!F5</f>
        <v>JKS</v>
      </c>
      <c r="L5" s="316">
        <f>index!G5</f>
        <v>45055</v>
      </c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M6" s="44"/>
    </row>
    <row r="7" spans="1:57" x14ac:dyDescent="0.25">
      <c r="J7" s="99"/>
      <c r="K7" s="99"/>
      <c r="L7" s="99"/>
      <c r="M7" s="44"/>
    </row>
    <row r="8" spans="1:57" x14ac:dyDescent="0.25">
      <c r="J8" s="99"/>
      <c r="K8" s="99"/>
      <c r="L8" s="99"/>
      <c r="M8" s="44"/>
    </row>
    <row r="9" spans="1:57" x14ac:dyDescent="0.25">
      <c r="A9" s="135"/>
      <c r="B9" s="135" t="s">
        <v>227</v>
      </c>
      <c r="C9" s="135"/>
      <c r="D9" s="135"/>
      <c r="J9" s="99" t="s">
        <v>316</v>
      </c>
      <c r="K9" s="99" t="s">
        <v>236</v>
      </c>
      <c r="L9" s="99"/>
      <c r="M9" s="44"/>
    </row>
    <row r="10" spans="1:57" x14ac:dyDescent="0.25">
      <c r="J10" s="99"/>
      <c r="K10" s="99"/>
      <c r="L10" s="99"/>
      <c r="M10" s="44"/>
    </row>
    <row r="11" spans="1:57" x14ac:dyDescent="0.25">
      <c r="A11" s="3"/>
      <c r="B11" s="136"/>
      <c r="C11" s="136"/>
      <c r="E11" s="3"/>
      <c r="F11" s="3">
        <f>Calculation!$F$80</f>
        <v>1.5169999999999999</v>
      </c>
      <c r="G11" s="3"/>
      <c r="H11" s="3"/>
      <c r="I11" s="1301" t="s">
        <v>317</v>
      </c>
      <c r="J11" s="1304"/>
      <c r="K11" s="10">
        <f>ROUND((Calculation!$F$214),3)</f>
        <v>36.08</v>
      </c>
      <c r="L11" s="99" t="s">
        <v>229</v>
      </c>
      <c r="M11" s="44"/>
    </row>
    <row r="12" spans="1:57" x14ac:dyDescent="0.25">
      <c r="A12" s="3"/>
      <c r="B12" s="112"/>
      <c r="C12" s="112"/>
      <c r="E12" s="3"/>
      <c r="F12" s="3"/>
      <c r="G12" s="3"/>
      <c r="H12" s="13">
        <f>G15+F11</f>
        <v>6.5169999999999995</v>
      </c>
      <c r="I12" s="1301" t="s">
        <v>321</v>
      </c>
      <c r="J12" s="1302"/>
      <c r="K12" s="10">
        <f>Calculation!$F$313</f>
        <v>37.893114285714283</v>
      </c>
      <c r="N12" s="15"/>
    </row>
    <row r="13" spans="1:57" x14ac:dyDescent="0.25">
      <c r="A13" s="3"/>
      <c r="B13" s="112"/>
      <c r="C13" s="112"/>
      <c r="E13" s="3"/>
      <c r="F13" s="3"/>
      <c r="G13" s="13"/>
      <c r="H13" s="3"/>
      <c r="I13" s="3"/>
      <c r="J13" s="3"/>
      <c r="N13" s="15"/>
    </row>
    <row r="14" spans="1:57" x14ac:dyDescent="0.25">
      <c r="A14" s="3"/>
      <c r="B14" s="112"/>
      <c r="C14" s="112"/>
      <c r="D14" s="10">
        <f>Calculation!$F$86</f>
        <v>9.1</v>
      </c>
      <c r="E14" s="3"/>
      <c r="F14" s="3">
        <f>Calculation!$D$85</f>
        <v>4</v>
      </c>
      <c r="G14" s="3"/>
      <c r="H14" s="3"/>
      <c r="I14" s="3"/>
      <c r="J14" s="3"/>
      <c r="N14" s="15"/>
    </row>
    <row r="15" spans="1:57" x14ac:dyDescent="0.25">
      <c r="A15" s="3"/>
      <c r="B15" s="112"/>
      <c r="C15" s="112"/>
      <c r="E15" s="3"/>
      <c r="F15" s="3"/>
      <c r="G15" s="13">
        <f>F14+G18</f>
        <v>5</v>
      </c>
      <c r="H15" s="3"/>
      <c r="I15" s="1301" t="s">
        <v>322</v>
      </c>
      <c r="J15" s="1302"/>
      <c r="K15" s="10">
        <f>Calculation!$F$331</f>
        <v>54.911999999999999</v>
      </c>
      <c r="L15" s="10" t="s">
        <v>229</v>
      </c>
      <c r="N15" s="15"/>
    </row>
    <row r="16" spans="1:57" x14ac:dyDescent="0.25">
      <c r="A16" s="3"/>
      <c r="B16" s="112"/>
      <c r="C16" s="112"/>
      <c r="E16" s="3"/>
      <c r="F16" s="3"/>
      <c r="G16" s="13"/>
      <c r="H16" s="3"/>
      <c r="I16" s="1301" t="s">
        <v>323</v>
      </c>
      <c r="J16" s="1302"/>
      <c r="K16" s="10">
        <f>Calculation!$F$613</f>
        <v>40.897999999999996</v>
      </c>
      <c r="L16" s="10" t="s">
        <v>229</v>
      </c>
      <c r="N16" s="15"/>
    </row>
    <row r="17" spans="1:14" x14ac:dyDescent="0.25">
      <c r="A17" s="3"/>
      <c r="B17" s="112"/>
      <c r="C17" s="112"/>
      <c r="E17" s="3"/>
      <c r="F17" s="3"/>
      <c r="G17" s="13"/>
      <c r="H17" s="3"/>
      <c r="I17" s="1301" t="s">
        <v>324</v>
      </c>
      <c r="J17" s="1302"/>
      <c r="K17" s="94">
        <f>ROUND((Calculation!$F$759),3)</f>
        <v>30.242000000000001</v>
      </c>
      <c r="L17" s="10" t="s">
        <v>229</v>
      </c>
      <c r="N17" s="15"/>
    </row>
    <row r="18" spans="1:14" x14ac:dyDescent="0.25">
      <c r="A18" s="3"/>
      <c r="B18" s="112"/>
      <c r="C18" s="112"/>
      <c r="E18" s="3"/>
      <c r="F18" s="50">
        <f>Calculation!$E$94</f>
        <v>1.2669999999999999</v>
      </c>
      <c r="G18" s="89">
        <f>Calculation!$B$93</f>
        <v>1</v>
      </c>
      <c r="H18" s="3"/>
      <c r="I18" s="1301" t="s">
        <v>325</v>
      </c>
      <c r="J18" s="1302"/>
      <c r="K18" s="94">
        <f>Calculation!$F$787</f>
        <v>21.433991040000002</v>
      </c>
      <c r="L18" s="10" t="s">
        <v>229</v>
      </c>
      <c r="N18" s="15"/>
    </row>
    <row r="19" spans="1:14" x14ac:dyDescent="0.25">
      <c r="A19" s="3"/>
      <c r="B19" s="112"/>
      <c r="C19" s="112"/>
      <c r="E19" s="3"/>
      <c r="F19" s="3"/>
      <c r="G19" s="3"/>
      <c r="H19" s="3"/>
      <c r="I19" s="1301" t="s">
        <v>246</v>
      </c>
      <c r="J19" s="1302"/>
      <c r="K19" s="10">
        <f>Calculation!$F$613</f>
        <v>40.897999999999996</v>
      </c>
      <c r="L19" s="10" t="s">
        <v>229</v>
      </c>
      <c r="N19" s="15"/>
    </row>
    <row r="20" spans="1:14" x14ac:dyDescent="0.25">
      <c r="A20" s="3"/>
      <c r="B20" s="112"/>
      <c r="C20" s="112"/>
      <c r="D20" s="3"/>
      <c r="E20" s="50"/>
      <c r="F20" s="3"/>
      <c r="G20" s="7"/>
      <c r="H20" s="7"/>
      <c r="I20" s="1301" t="s">
        <v>326</v>
      </c>
      <c r="J20" s="1302"/>
      <c r="K20" s="137">
        <f>22/7*C21^2*0.25*2.5*C31*F24</f>
        <v>51.071428571428569</v>
      </c>
      <c r="L20" s="10" t="s">
        <v>229</v>
      </c>
      <c r="N20" s="15"/>
    </row>
    <row r="21" spans="1:14" ht="31.5" x14ac:dyDescent="0.25">
      <c r="A21" s="3"/>
      <c r="B21" s="165" t="s">
        <v>441</v>
      </c>
      <c r="C21" s="112">
        <f>Calculation!$D$98</f>
        <v>0.5</v>
      </c>
      <c r="D21" s="3"/>
      <c r="E21" s="50"/>
      <c r="F21" s="3"/>
      <c r="G21" s="7"/>
      <c r="H21" s="7"/>
      <c r="I21" s="1301" t="s">
        <v>327</v>
      </c>
      <c r="J21" s="1302"/>
      <c r="K21" s="137">
        <f>B25*C31*A24/1000*B24/1000*2.5*B23</f>
        <v>20.064600000000002</v>
      </c>
      <c r="L21" s="10" t="s">
        <v>229</v>
      </c>
      <c r="N21" s="15"/>
    </row>
    <row r="22" spans="1:14" x14ac:dyDescent="0.25">
      <c r="A22" s="3"/>
      <c r="B22" s="112"/>
      <c r="C22" s="112"/>
      <c r="D22" s="94">
        <f>Calculation!$H$95</f>
        <v>7.6</v>
      </c>
      <c r="E22" s="3"/>
      <c r="F22" s="3"/>
      <c r="G22" s="3">
        <f>Calculation!$F$57</f>
        <v>10</v>
      </c>
      <c r="H22" s="3"/>
      <c r="I22" s="3"/>
      <c r="L22" s="10" t="s">
        <v>229</v>
      </c>
      <c r="N22" s="15"/>
    </row>
    <row r="23" spans="1:14" x14ac:dyDescent="0.25">
      <c r="A23" s="3"/>
      <c r="B23" s="112">
        <f>Calculation!$F$69</f>
        <v>3</v>
      </c>
      <c r="C23" s="112" t="s">
        <v>333</v>
      </c>
      <c r="D23" s="3"/>
      <c r="E23" s="3"/>
      <c r="F23" s="3"/>
      <c r="G23" s="93"/>
      <c r="H23" s="3"/>
      <c r="I23" s="1301" t="s">
        <v>479</v>
      </c>
      <c r="J23" s="1302"/>
      <c r="K23" s="138">
        <f>SUM(K11:K21)</f>
        <v>333.4931338971428</v>
      </c>
      <c r="L23" s="10" t="s">
        <v>229</v>
      </c>
      <c r="N23" s="15"/>
    </row>
    <row r="24" spans="1:14" x14ac:dyDescent="0.25">
      <c r="A24" s="3">
        <v>300</v>
      </c>
      <c r="B24" s="112">
        <v>400</v>
      </c>
      <c r="C24" s="112"/>
      <c r="D24" s="3"/>
      <c r="E24" s="3"/>
      <c r="F24" s="3">
        <f>G22+G29</f>
        <v>13</v>
      </c>
      <c r="G24" s="93"/>
      <c r="H24" s="3"/>
      <c r="I24" s="3"/>
      <c r="N24" s="15"/>
    </row>
    <row r="25" spans="1:14" x14ac:dyDescent="0.25">
      <c r="B25" s="10">
        <f>3.14*Calculation!F61/C31</f>
        <v>2.7867500000000001</v>
      </c>
      <c r="N25" s="15"/>
    </row>
    <row r="26" spans="1:14" x14ac:dyDescent="0.25">
      <c r="B26" s="112"/>
      <c r="C26" s="3" t="s">
        <v>315</v>
      </c>
      <c r="N26" s="15"/>
    </row>
    <row r="27" spans="1:14" x14ac:dyDescent="0.25">
      <c r="G27" s="10" t="s">
        <v>312</v>
      </c>
      <c r="N27" s="15"/>
    </row>
    <row r="28" spans="1:14" x14ac:dyDescent="0.25">
      <c r="D28" s="3" t="s">
        <v>314</v>
      </c>
      <c r="E28" s="50"/>
      <c r="H28" s="93"/>
      <c r="N28" s="15"/>
    </row>
    <row r="29" spans="1:14" x14ac:dyDescent="0.25">
      <c r="D29" s="3"/>
      <c r="E29" s="50"/>
      <c r="G29" s="138">
        <v>3</v>
      </c>
      <c r="H29" s="93"/>
      <c r="N29" s="15"/>
    </row>
    <row r="30" spans="1:14" x14ac:dyDescent="0.25">
      <c r="D30" s="3"/>
      <c r="G30" s="10" t="s">
        <v>313</v>
      </c>
    </row>
    <row r="31" spans="1:14" x14ac:dyDescent="0.25">
      <c r="C31" s="47">
        <f>Calculation!$F$63</f>
        <v>8</v>
      </c>
      <c r="D31" s="3" t="s">
        <v>332</v>
      </c>
      <c r="E31" s="3"/>
      <c r="H31" s="7"/>
      <c r="I31" s="139"/>
    </row>
    <row r="32" spans="1:14" x14ac:dyDescent="0.25">
      <c r="C32" s="47"/>
      <c r="D32" s="3"/>
      <c r="H32" s="7"/>
      <c r="I32" s="139"/>
    </row>
    <row r="33" spans="1:16" x14ac:dyDescent="0.25">
      <c r="C33" s="47"/>
      <c r="D33" s="3"/>
      <c r="E33" s="3"/>
      <c r="H33" s="7"/>
      <c r="I33" s="139"/>
    </row>
    <row r="34" spans="1:16" x14ac:dyDescent="0.25">
      <c r="B34" s="47"/>
      <c r="C34" s="47"/>
      <c r="H34" s="7"/>
      <c r="I34" s="139"/>
    </row>
    <row r="35" spans="1:16" x14ac:dyDescent="0.25">
      <c r="A35" s="10">
        <v>1</v>
      </c>
      <c r="B35" s="112" t="s">
        <v>328</v>
      </c>
      <c r="K35" s="94">
        <f>K11+K12+K15+K16+K17+K18+K19</f>
        <v>262.35710532571426</v>
      </c>
      <c r="L35" s="10" t="s">
        <v>229</v>
      </c>
      <c r="N35" s="15"/>
      <c r="O35" s="15"/>
    </row>
    <row r="36" spans="1:16" ht="21" customHeight="1" x14ac:dyDescent="0.25">
      <c r="D36" s="3"/>
      <c r="E36" s="1303"/>
      <c r="F36" s="1303"/>
      <c r="G36" s="1303"/>
      <c r="H36" s="140"/>
      <c r="N36" s="15"/>
      <c r="O36" s="15"/>
    </row>
    <row r="37" spans="1:16" x14ac:dyDescent="0.25">
      <c r="B37" s="10" t="s">
        <v>329</v>
      </c>
      <c r="H37" s="91"/>
      <c r="K37" s="10">
        <f>K20+K21</f>
        <v>71.136028571428568</v>
      </c>
      <c r="L37" s="10" t="s">
        <v>229</v>
      </c>
      <c r="N37" s="15"/>
      <c r="O37" s="15"/>
    </row>
    <row r="38" spans="1:16" ht="16.5" thickBot="1" x14ac:dyDescent="0.3">
      <c r="B38" s="141"/>
      <c r="C38" s="141"/>
      <c r="D38" s="142"/>
      <c r="E38" s="141"/>
      <c r="F38" s="141"/>
      <c r="G38" s="141"/>
      <c r="H38" s="143"/>
      <c r="I38" s="141"/>
      <c r="J38" s="141"/>
      <c r="K38" s="141"/>
      <c r="N38" s="15"/>
      <c r="O38" s="15"/>
    </row>
    <row r="39" spans="1:16" ht="16.5" thickBot="1" x14ac:dyDescent="0.3">
      <c r="A39" s="144"/>
      <c r="B39" s="145" t="s">
        <v>330</v>
      </c>
      <c r="C39" s="146"/>
      <c r="D39" s="147"/>
      <c r="E39" s="146"/>
      <c r="F39" s="146"/>
      <c r="G39" s="146"/>
      <c r="H39" s="148"/>
      <c r="I39" s="146"/>
      <c r="J39" s="146"/>
      <c r="K39" s="149">
        <f>K35+1/3*K37</f>
        <v>286.06911484952377</v>
      </c>
      <c r="L39" s="150" t="s">
        <v>229</v>
      </c>
      <c r="N39" s="15"/>
      <c r="O39" s="15"/>
    </row>
    <row r="40" spans="1:16" x14ac:dyDescent="0.25">
      <c r="B40" s="151"/>
      <c r="C40" s="152"/>
      <c r="D40" s="153"/>
      <c r="E40" s="152"/>
      <c r="F40" s="152"/>
      <c r="G40" s="152"/>
      <c r="H40" s="154"/>
      <c r="I40" s="152"/>
      <c r="J40" s="152"/>
      <c r="K40" s="152"/>
      <c r="N40" s="15"/>
      <c r="O40" s="15"/>
    </row>
    <row r="41" spans="1:16" ht="119.25" customHeight="1" x14ac:dyDescent="0.25">
      <c r="B41" s="1318" t="s">
        <v>550</v>
      </c>
      <c r="C41" s="1319"/>
      <c r="D41" s="1319"/>
      <c r="E41" s="1320"/>
      <c r="F41" s="1303" t="str">
        <f>"(("&amp;K11&amp;"*("&amp;G15&amp;"+"&amp;F11&amp;"*2/3)+"&amp;K12&amp;"*"&amp;G15&amp;"+"&amp;K15&amp;"*("&amp;G18&amp;"+"&amp;F14&amp;"*0.5)+"&amp;K16&amp;"*"&amp;G18&amp;"+"&amp;K17&amp;"*2/3*"&amp;G18&amp;"+"&amp;K19&amp;"*"&amp;F18&amp;"*2/3)/("&amp;K11&amp;"+"&amp;K12&amp;"+"&amp;K15&amp;"+"&amp;K16&amp;"+"&amp;K17&amp;"+"&amp;K18&amp;"+"&amp;K19&amp;"))"</f>
        <v>((36.08*(5+1.517*2/3)+37.8931142857143*5+54.912*(1+4*0.5)+40.898*1+30.242*2/3*1+40.898*1.267*2/3)/(36.08+37.8931142857143+54.912+40.898+30.242+21.43399104+40.898))</v>
      </c>
      <c r="G41" s="1304"/>
      <c r="H41" s="1304"/>
      <c r="I41" s="1304"/>
      <c r="J41" s="1304"/>
      <c r="K41" s="565">
        <f>ROUND((K11*(G15+F11*2/3)+K12*G15+K15*(G18+F14*0.5)+K16*G18+K17*2/3*G18+K19*F18*2/3)/(K11+K12+K15+K16+K17+K18+K19),3)</f>
        <v>2.5409999999999999</v>
      </c>
      <c r="L41" s="10" t="s">
        <v>74</v>
      </c>
      <c r="M41" s="179"/>
      <c r="N41" s="15"/>
      <c r="O41" s="15"/>
    </row>
    <row r="42" spans="1:16" x14ac:dyDescent="0.25">
      <c r="D42" s="3"/>
      <c r="N42" s="15"/>
      <c r="O42" s="15"/>
      <c r="P42" s="15"/>
    </row>
    <row r="43" spans="1:16" x14ac:dyDescent="0.25">
      <c r="D43" s="47"/>
      <c r="H43" s="140"/>
      <c r="N43" s="15"/>
      <c r="O43" s="15"/>
      <c r="P43" s="15"/>
    </row>
    <row r="44" spans="1:16" x14ac:dyDescent="0.25">
      <c r="N44" s="15"/>
      <c r="O44" s="15"/>
      <c r="P44" s="15"/>
    </row>
    <row r="45" spans="1:16" x14ac:dyDescent="0.25">
      <c r="B45" s="10" t="s">
        <v>331</v>
      </c>
      <c r="D45" s="3"/>
      <c r="E45" s="50"/>
      <c r="H45" s="51"/>
      <c r="K45" s="10">
        <f>K41+F24</f>
        <v>15.541</v>
      </c>
      <c r="L45" s="10" t="s">
        <v>74</v>
      </c>
      <c r="N45" s="15"/>
      <c r="O45" s="15"/>
    </row>
    <row r="46" spans="1:16" ht="16.5" thickBot="1" x14ac:dyDescent="0.3">
      <c r="B46" s="141"/>
      <c r="C46" s="141"/>
      <c r="D46" s="142"/>
      <c r="E46" s="141"/>
      <c r="F46" s="141"/>
      <c r="G46" s="141"/>
      <c r="H46" s="141"/>
      <c r="I46" s="141"/>
      <c r="J46" s="141"/>
      <c r="K46" s="141"/>
      <c r="L46" s="141"/>
      <c r="N46" s="15"/>
      <c r="O46" s="15"/>
    </row>
    <row r="47" spans="1:16" ht="16.5" thickBot="1" x14ac:dyDescent="0.3">
      <c r="A47" s="144"/>
      <c r="B47" s="1313" t="s">
        <v>504</v>
      </c>
      <c r="C47" s="1314"/>
      <c r="D47" s="1315"/>
      <c r="E47" s="146"/>
      <c r="F47" s="146"/>
      <c r="G47" s="146"/>
      <c r="H47" s="148" t="s">
        <v>236</v>
      </c>
      <c r="I47" s="146" t="s">
        <v>236</v>
      </c>
      <c r="J47" s="146"/>
      <c r="K47" s="155">
        <f>K23+K53</f>
        <v>594.97713389714272</v>
      </c>
      <c r="L47" s="149" t="s">
        <v>229</v>
      </c>
      <c r="M47" s="134"/>
    </row>
    <row r="48" spans="1:16" ht="22.5" customHeight="1" x14ac:dyDescent="0.25">
      <c r="A48" s="10">
        <v>2</v>
      </c>
      <c r="B48" s="1305" t="s">
        <v>334</v>
      </c>
      <c r="C48" s="1306"/>
      <c r="D48" s="1306"/>
      <c r="E48" s="1306"/>
      <c r="F48" s="1306"/>
      <c r="G48" s="152"/>
      <c r="H48" s="152"/>
      <c r="I48" s="152"/>
      <c r="J48" s="152"/>
      <c r="K48" s="152"/>
      <c r="L48" s="152"/>
    </row>
    <row r="51" spans="2:12" x14ac:dyDescent="0.25">
      <c r="B51" s="10" t="s">
        <v>335</v>
      </c>
      <c r="K51" s="94">
        <f>Calculation!$F$188</f>
        <v>261.48399999999998</v>
      </c>
      <c r="L51" s="10" t="s">
        <v>229</v>
      </c>
    </row>
    <row r="53" spans="2:12" x14ac:dyDescent="0.25">
      <c r="B53" s="10" t="s">
        <v>336</v>
      </c>
      <c r="K53" s="10">
        <f>K51/1</f>
        <v>261.48399999999998</v>
      </c>
      <c r="L53" s="10" t="s">
        <v>337</v>
      </c>
    </row>
    <row r="55" spans="2:12" x14ac:dyDescent="0.25">
      <c r="B55" s="10" t="s">
        <v>338</v>
      </c>
      <c r="J55" s="10" t="s">
        <v>74</v>
      </c>
      <c r="K55" s="10">
        <f>K51*1000</f>
        <v>261483.99999999997</v>
      </c>
      <c r="L55" s="10" t="s">
        <v>339</v>
      </c>
    </row>
    <row r="57" spans="2:12" x14ac:dyDescent="0.25">
      <c r="B57" s="10" t="s">
        <v>340</v>
      </c>
      <c r="K57" s="10">
        <f>ROUND((K51/(22/7*(D14/2)^2)),2)</f>
        <v>4.0199999999999996</v>
      </c>
      <c r="L57" s="10" t="s">
        <v>74</v>
      </c>
    </row>
    <row r="59" spans="2:12" x14ac:dyDescent="0.25">
      <c r="B59" s="10" t="s">
        <v>341</v>
      </c>
      <c r="K59" s="10">
        <f>K57/D14</f>
        <v>0.44175824175824174</v>
      </c>
    </row>
    <row r="62" spans="2:12" x14ac:dyDescent="0.25">
      <c r="B62" s="136" t="s">
        <v>342</v>
      </c>
    </row>
    <row r="64" spans="2:12" ht="18.75" x14ac:dyDescent="0.35">
      <c r="B64" s="10" t="s">
        <v>524</v>
      </c>
      <c r="E64" s="138">
        <f>TANH(0.866/K59)*K59/0.866</f>
        <v>0.4902783941825144</v>
      </c>
      <c r="H64" s="10" t="s">
        <v>525</v>
      </c>
      <c r="I64" s="10" t="s">
        <v>236</v>
      </c>
      <c r="K64" s="10">
        <f>ROUND((K55*E64),3)</f>
        <v>128199.95600000001</v>
      </c>
      <c r="L64" s="10" t="s">
        <v>339</v>
      </c>
    </row>
    <row r="66" spans="1:12" ht="18.75" x14ac:dyDescent="0.35">
      <c r="B66" s="10" t="s">
        <v>526</v>
      </c>
      <c r="E66" s="138">
        <f>0.23*TANH(3.68*K59)/K59</f>
        <v>0.48182865269898129</v>
      </c>
      <c r="H66" s="10" t="s">
        <v>527</v>
      </c>
      <c r="K66" s="10">
        <f>ROUND((K55*E66),3)</f>
        <v>125990.48299999999</v>
      </c>
      <c r="L66" s="10" t="s">
        <v>339</v>
      </c>
    </row>
    <row r="68" spans="1:12" ht="18.75" x14ac:dyDescent="0.35">
      <c r="B68" s="10" t="s">
        <v>528</v>
      </c>
      <c r="E68" s="138">
        <f>IF(K59&lt;0.75,0.375,(0.5-0.09375/K59))</f>
        <v>0.375</v>
      </c>
      <c r="H68" s="10" t="s">
        <v>529</v>
      </c>
      <c r="K68" s="10">
        <f>$K$57*E68</f>
        <v>1.5074999999999998</v>
      </c>
      <c r="L68" s="10" t="s">
        <v>339</v>
      </c>
    </row>
    <row r="70" spans="1:12" ht="20.25" x14ac:dyDescent="0.35">
      <c r="B70" s="10" t="s">
        <v>530</v>
      </c>
      <c r="E70" s="138">
        <f>IF(K59&lt;1.33,((0.866/K59)/(2*TANH(0.866/K59))-0.125),0.45)</f>
        <v>0.89482874614267938</v>
      </c>
      <c r="H70" s="10" t="s">
        <v>531</v>
      </c>
      <c r="K70" s="10">
        <f>$K$57*E70</f>
        <v>3.5972115594935707</v>
      </c>
      <c r="L70" s="10" t="s">
        <v>74</v>
      </c>
    </row>
    <row r="72" spans="1:12" ht="18.75" x14ac:dyDescent="0.35">
      <c r="B72" s="10" t="s">
        <v>532</v>
      </c>
      <c r="E72" s="138">
        <f>(1-((COSH(3.68*K59)-1)/(3.68*K59*SINH(3.68*K59))))</f>
        <v>0.58715411408237617</v>
      </c>
      <c r="H72" s="10" t="s">
        <v>533</v>
      </c>
      <c r="K72" s="10">
        <f>$K$57*E72</f>
        <v>2.360359538611152</v>
      </c>
      <c r="L72" s="10" t="s">
        <v>74</v>
      </c>
    </row>
    <row r="74" spans="1:12" ht="20.25" x14ac:dyDescent="0.35">
      <c r="B74" s="10" t="s">
        <v>534</v>
      </c>
      <c r="E74" s="138">
        <f>(1-((COSH(3.68*K59)-2.01)/(3.68*K59*SINH(3.68*K59))))</f>
        <v>0.84151501273839513</v>
      </c>
      <c r="H74" s="10" t="s">
        <v>534</v>
      </c>
      <c r="K74" s="10">
        <f>$K$57*E74</f>
        <v>3.3828903512083479</v>
      </c>
      <c r="L74" s="10" t="s">
        <v>74</v>
      </c>
    </row>
    <row r="76" spans="1:12" ht="18.75" x14ac:dyDescent="0.35">
      <c r="B76" s="10" t="s">
        <v>535</v>
      </c>
      <c r="K76" s="10">
        <f>(2*22/7)/((3.68*TANH(3.68*K59))^0.5)</f>
        <v>3.4060890925146148</v>
      </c>
    </row>
    <row r="77" spans="1:12" x14ac:dyDescent="0.25">
      <c r="A77" s="156"/>
      <c r="B77" s="156"/>
      <c r="C77" s="156"/>
      <c r="D77" s="156"/>
      <c r="E77" s="156"/>
      <c r="F77" s="156"/>
      <c r="G77" s="156"/>
      <c r="H77" s="156"/>
      <c r="I77" s="156"/>
      <c r="J77" s="156"/>
      <c r="K77" s="156"/>
      <c r="L77" s="156"/>
    </row>
    <row r="78" spans="1:12" ht="18.75" x14ac:dyDescent="0.35">
      <c r="B78" s="10" t="s">
        <v>536</v>
      </c>
      <c r="D78" s="10" t="s">
        <v>521</v>
      </c>
      <c r="K78" s="10">
        <f>ROUND((K39*1000),3)</f>
        <v>286069.11499999999</v>
      </c>
      <c r="L78" s="10" t="s">
        <v>339</v>
      </c>
    </row>
    <row r="80" spans="1:12" ht="18.75" x14ac:dyDescent="0.35">
      <c r="B80" s="10" t="s">
        <v>527</v>
      </c>
      <c r="D80" s="10" t="s">
        <v>343</v>
      </c>
      <c r="K80" s="10">
        <f>K66/C31</f>
        <v>15748.810374999999</v>
      </c>
    </row>
    <row r="81" spans="2:13" x14ac:dyDescent="0.25">
      <c r="K81" s="10">
        <f>K80/1000</f>
        <v>15.748810375</v>
      </c>
      <c r="L81" s="10" t="s">
        <v>229</v>
      </c>
    </row>
    <row r="82" spans="2:13" x14ac:dyDescent="0.25">
      <c r="B82" s="10" t="s">
        <v>344</v>
      </c>
      <c r="D82" s="10" t="s">
        <v>343</v>
      </c>
      <c r="K82" s="10">
        <f>(K64+K78)/C31/1000</f>
        <v>51.783633875</v>
      </c>
      <c r="L82" s="10" t="s">
        <v>229</v>
      </c>
    </row>
    <row r="84" spans="2:13" x14ac:dyDescent="0.25">
      <c r="B84" s="10" t="s">
        <v>345</v>
      </c>
      <c r="K84" s="287">
        <v>4.569</v>
      </c>
      <c r="L84" s="10" t="s">
        <v>202</v>
      </c>
    </row>
    <row r="85" spans="2:13" x14ac:dyDescent="0.25">
      <c r="B85" s="10" t="s">
        <v>346</v>
      </c>
      <c r="K85" s="10">
        <v>10</v>
      </c>
      <c r="L85" s="10" t="s">
        <v>229</v>
      </c>
    </row>
    <row r="86" spans="2:13" ht="18.75" x14ac:dyDescent="0.35">
      <c r="B86" s="10" t="s">
        <v>537</v>
      </c>
      <c r="K86" s="157">
        <f>K85/(K84/1000)</f>
        <v>2188.6627270737577</v>
      </c>
      <c r="L86" s="10" t="s">
        <v>285</v>
      </c>
      <c r="M86" s="179"/>
    </row>
    <row r="89" spans="2:13" ht="18.75" x14ac:dyDescent="0.35">
      <c r="B89" s="10" t="s">
        <v>538</v>
      </c>
      <c r="C89" s="10" t="s">
        <v>347</v>
      </c>
      <c r="G89" s="10" t="s">
        <v>539</v>
      </c>
      <c r="K89" s="10">
        <f>(2*22/7)*((K64+K78)/(K86*10^4))^0.5</f>
        <v>0.86478166008471191</v>
      </c>
      <c r="L89" s="10" t="s">
        <v>348</v>
      </c>
    </row>
    <row r="91" spans="2:13" ht="18.75" x14ac:dyDescent="0.35">
      <c r="B91" s="10" t="s">
        <v>540</v>
      </c>
      <c r="C91" s="10" t="s">
        <v>349</v>
      </c>
      <c r="G91" s="10" t="s">
        <v>541</v>
      </c>
      <c r="K91" s="10">
        <f>K76*(D14/9.81)^0.5</f>
        <v>3.2805162699714194</v>
      </c>
      <c r="L91" s="10" t="s">
        <v>348</v>
      </c>
    </row>
    <row r="94" spans="2:13" ht="30" customHeight="1" x14ac:dyDescent="0.25">
      <c r="B94" s="1316" t="s">
        <v>350</v>
      </c>
      <c r="C94" s="1317"/>
      <c r="D94" s="1317"/>
      <c r="E94" s="1317"/>
      <c r="F94" s="1085"/>
    </row>
    <row r="97" spans="2:18" ht="56.25" customHeight="1" x14ac:dyDescent="0.35">
      <c r="B97" s="10" t="s">
        <v>542</v>
      </c>
      <c r="D97" s="1303" t="s">
        <v>355</v>
      </c>
      <c r="E97" s="1303"/>
      <c r="F97" s="1303"/>
      <c r="G97" s="1303" t="s">
        <v>543</v>
      </c>
      <c r="H97" s="1303"/>
      <c r="K97" s="10">
        <f>ROUND((K100/2*K101/K102*K104),3)</f>
        <v>9.2999999999999999E-2</v>
      </c>
      <c r="N97" s="1331" t="s">
        <v>1177</v>
      </c>
      <c r="O97" s="1332">
        <f>IF((AND(K103&gt;=Q97, K103&lt;=R97)), P97, IF((AND(K$103&gt;=Q98, K$103&lt;=R98)), P98, IF((AND(K$103&gt;=Q99, K$103&lt;=R99)), P99, "Fail")))</f>
        <v>1.1563612483433592</v>
      </c>
      <c r="P97" s="44">
        <v>2.5</v>
      </c>
      <c r="Q97" s="44">
        <v>0</v>
      </c>
      <c r="R97" s="44">
        <v>0.4</v>
      </c>
    </row>
    <row r="98" spans="2:18" x14ac:dyDescent="0.25">
      <c r="N98" s="1331"/>
      <c r="O98" s="1332"/>
      <c r="P98" s="44">
        <f>MIN(1/K103,2.5)</f>
        <v>1.1563612483433592</v>
      </c>
      <c r="Q98" s="44">
        <v>0.4</v>
      </c>
      <c r="R98" s="44">
        <v>4</v>
      </c>
    </row>
    <row r="99" spans="2:18" x14ac:dyDescent="0.25">
      <c r="N99" s="1331"/>
      <c r="O99" s="1332"/>
      <c r="P99" s="44">
        <v>0.25</v>
      </c>
      <c r="Q99" s="44">
        <v>4</v>
      </c>
      <c r="R99" s="44">
        <v>10</v>
      </c>
    </row>
    <row r="100" spans="2:18" x14ac:dyDescent="0.25">
      <c r="C100" s="10" t="s">
        <v>351</v>
      </c>
      <c r="D100" s="10" t="s">
        <v>1355</v>
      </c>
      <c r="K100" s="287">
        <v>0.16</v>
      </c>
      <c r="N100" s="1331" t="s">
        <v>1178</v>
      </c>
      <c r="O100" s="1332">
        <f>IF((AND(K$103&gt;=Q100, K$103&lt;=R100)), P100, IF((AND(K$103&gt;=Q101, K$103&lt;=R101)), P101, IF((AND(K$103&gt;=Q102, K$103&lt;=R102)), P102, "Fail")))</f>
        <v>1.5726512977469687</v>
      </c>
      <c r="P100" s="44">
        <v>2.5</v>
      </c>
      <c r="Q100" s="44">
        <v>0</v>
      </c>
      <c r="R100" s="44">
        <v>0.55000000000000004</v>
      </c>
    </row>
    <row r="101" spans="2:18" x14ac:dyDescent="0.25">
      <c r="C101" s="10" t="s">
        <v>352</v>
      </c>
      <c r="D101" s="10" t="s">
        <v>353</v>
      </c>
      <c r="K101" s="287">
        <v>1.5</v>
      </c>
      <c r="N101" s="1331"/>
      <c r="O101" s="1332"/>
      <c r="P101" s="59">
        <f>MIN(1.36/K103,2.5)</f>
        <v>1.5726512977469687</v>
      </c>
      <c r="Q101" s="44">
        <v>0.55000000000000004</v>
      </c>
      <c r="R101" s="44">
        <v>4</v>
      </c>
    </row>
    <row r="102" spans="2:18" x14ac:dyDescent="0.25">
      <c r="C102" s="10" t="s">
        <v>32</v>
      </c>
      <c r="D102" s="10" t="s">
        <v>354</v>
      </c>
      <c r="K102" s="287">
        <v>2.5</v>
      </c>
      <c r="N102" s="1331"/>
      <c r="O102" s="1332"/>
      <c r="P102" s="59">
        <v>0.34</v>
      </c>
      <c r="Q102" s="44">
        <v>4</v>
      </c>
      <c r="R102" s="44">
        <v>10</v>
      </c>
    </row>
    <row r="103" spans="2:18" ht="18.75" x14ac:dyDescent="0.35">
      <c r="C103" s="10" t="s">
        <v>538</v>
      </c>
      <c r="K103" s="10">
        <f>$K$89</f>
        <v>0.86478166008471191</v>
      </c>
      <c r="N103" s="1331" t="s">
        <v>1179</v>
      </c>
      <c r="O103" s="1332">
        <f>IF((AND(K$103&gt;=Q103, K$103&lt;=R103)), P103, IF((AND(K$103&gt;=Q104, K$103&lt;=R104)), P104, IF((AND(K$103&gt;=Q105, K$103&lt;=R105)), P105, "Fail")))</f>
        <v>1.9311232847334099</v>
      </c>
      <c r="P103" s="59">
        <v>2.5</v>
      </c>
      <c r="Q103" s="44">
        <v>0</v>
      </c>
      <c r="R103" s="44">
        <v>0.67</v>
      </c>
    </row>
    <row r="104" spans="2:18" x14ac:dyDescent="0.25">
      <c r="C104" s="10" t="s">
        <v>357</v>
      </c>
      <c r="D104" s="10" t="s">
        <v>1179</v>
      </c>
      <c r="K104" s="15">
        <f>VLOOKUP(D104,N97:O105,2,TRUE)</f>
        <v>1.9311232847334099</v>
      </c>
      <c r="N104" s="1331"/>
      <c r="O104" s="1332"/>
      <c r="P104" s="59">
        <f>MIN(1.67/K103,2.5)</f>
        <v>1.9311232847334099</v>
      </c>
      <c r="Q104" s="44">
        <v>0.67</v>
      </c>
      <c r="R104" s="44">
        <v>4</v>
      </c>
    </row>
    <row r="105" spans="2:18" x14ac:dyDescent="0.25">
      <c r="N105" s="1331"/>
      <c r="O105" s="1332"/>
      <c r="P105" s="59">
        <v>0.42</v>
      </c>
      <c r="Q105" s="44">
        <v>4</v>
      </c>
      <c r="R105" s="44">
        <v>10</v>
      </c>
    </row>
    <row r="106" spans="2:18" ht="48" customHeight="1" x14ac:dyDescent="0.35">
      <c r="B106" s="10" t="s">
        <v>544</v>
      </c>
      <c r="D106" s="1303" t="s">
        <v>356</v>
      </c>
      <c r="E106" s="1303"/>
      <c r="F106" s="1303"/>
      <c r="G106" s="1303" t="s">
        <v>543</v>
      </c>
      <c r="H106" s="1303"/>
      <c r="K106" s="10">
        <f>ROUND((K109/2*K110/K111*K113),3)</f>
        <v>3.5000000000000003E-2</v>
      </c>
      <c r="N106"/>
      <c r="O106"/>
      <c r="P106"/>
      <c r="Q106"/>
      <c r="R106"/>
    </row>
    <row r="107" spans="2:18" x14ac:dyDescent="0.25">
      <c r="N107"/>
      <c r="O107"/>
      <c r="P107"/>
      <c r="Q107"/>
      <c r="R107"/>
    </row>
    <row r="108" spans="2:18" x14ac:dyDescent="0.25">
      <c r="N108" s="164" t="s">
        <v>1180</v>
      </c>
      <c r="O108" s="164"/>
      <c r="P108"/>
      <c r="Q108"/>
      <c r="R108"/>
    </row>
    <row r="109" spans="2:18" x14ac:dyDescent="0.25">
      <c r="C109" s="10" t="s">
        <v>351</v>
      </c>
      <c r="D109" s="10" t="s">
        <v>1355</v>
      </c>
      <c r="K109" s="10">
        <f>K100</f>
        <v>0.16</v>
      </c>
      <c r="N109" s="1331" t="s">
        <v>1177</v>
      </c>
      <c r="O109" s="1332">
        <f>IF((AND(K112&gt;=Q109, K112&lt;=R109)), P109, IF((AND(K112&gt;=Q110, K112&lt;=R110)), P110, IF((AND(K112&gt;=Q111, K112&lt;=R111)), P111, "Fail")))</f>
        <v>0.30483006871620005</v>
      </c>
      <c r="P109" s="44">
        <v>2.5</v>
      </c>
      <c r="Q109" s="44">
        <v>0</v>
      </c>
      <c r="R109" s="44">
        <v>0.4</v>
      </c>
    </row>
    <row r="110" spans="2:18" x14ac:dyDescent="0.25">
      <c r="C110" s="10" t="s">
        <v>352</v>
      </c>
      <c r="D110" s="10" t="s">
        <v>353</v>
      </c>
      <c r="K110" s="10">
        <f>K101</f>
        <v>1.5</v>
      </c>
      <c r="N110" s="1331"/>
      <c r="O110" s="1332"/>
      <c r="P110" s="59">
        <f>1/K112</f>
        <v>0.30483006871620005</v>
      </c>
      <c r="Q110" s="44">
        <v>0.4</v>
      </c>
      <c r="R110" s="44">
        <v>4</v>
      </c>
    </row>
    <row r="111" spans="2:18" x14ac:dyDescent="0.25">
      <c r="C111" s="10" t="s">
        <v>32</v>
      </c>
      <c r="D111" s="10" t="s">
        <v>354</v>
      </c>
      <c r="K111" s="10">
        <f>K102</f>
        <v>2.5</v>
      </c>
      <c r="N111" s="1331"/>
      <c r="O111" s="1332"/>
      <c r="P111" s="44">
        <v>0.25</v>
      </c>
      <c r="Q111" s="44">
        <v>4</v>
      </c>
      <c r="R111" s="44">
        <v>10</v>
      </c>
    </row>
    <row r="112" spans="2:18" ht="18.75" x14ac:dyDescent="0.35">
      <c r="C112" s="10" t="s">
        <v>538</v>
      </c>
      <c r="K112" s="10">
        <f>$K$91</f>
        <v>3.2805162699714194</v>
      </c>
      <c r="N112" s="1331" t="s">
        <v>1178</v>
      </c>
      <c r="O112" s="1332">
        <f>IF((AND(K112&gt;=Q112, K112&lt;=R112)), P112, IF((AND(K112&gt;=Q113, K112&lt;=R113)), P113, IF((AND(K112&gt;=Q114, K112&lt;=R114)), P114, "Fail")))</f>
        <v>0.41456889345403208</v>
      </c>
      <c r="P112" s="44">
        <v>2.5</v>
      </c>
      <c r="Q112" s="44">
        <v>0</v>
      </c>
      <c r="R112" s="44">
        <v>0.55000000000000004</v>
      </c>
    </row>
    <row r="113" spans="2:19" x14ac:dyDescent="0.25">
      <c r="C113" s="10" t="s">
        <v>357</v>
      </c>
      <c r="D113" s="10" t="s">
        <v>1178</v>
      </c>
      <c r="E113" s="10" t="s">
        <v>358</v>
      </c>
      <c r="G113" s="15">
        <v>1.75</v>
      </c>
      <c r="H113" s="15" t="str">
        <f>CONCATENATE(G113,"*",J113)</f>
        <v>1.75*0.415</v>
      </c>
      <c r="J113" s="15">
        <f>ROUND(VLOOKUP(D113,N109:O117,2,TRUE),3)</f>
        <v>0.41499999999999998</v>
      </c>
      <c r="K113" s="15">
        <f>ROUND(G113*J113,3)</f>
        <v>0.72599999999999998</v>
      </c>
      <c r="N113" s="1331"/>
      <c r="O113" s="1332"/>
      <c r="P113" s="59">
        <f>1.36/K112</f>
        <v>0.41456889345403208</v>
      </c>
      <c r="Q113" s="44">
        <v>0.55000000000000004</v>
      </c>
      <c r="R113" s="44">
        <v>4</v>
      </c>
    </row>
    <row r="114" spans="2:19" x14ac:dyDescent="0.25">
      <c r="N114" s="1331"/>
      <c r="O114" s="1332"/>
      <c r="P114" s="59">
        <v>0.34</v>
      </c>
      <c r="Q114" s="44">
        <v>4</v>
      </c>
      <c r="R114" s="44">
        <v>10</v>
      </c>
    </row>
    <row r="115" spans="2:19" x14ac:dyDescent="0.25">
      <c r="N115" s="1331" t="s">
        <v>1179</v>
      </c>
      <c r="O115" s="1332">
        <f>IF((AND(K112&gt;=Q115, K112&lt;=R115)), P115, IF((AND(K112&gt;=Q116, K112&lt;=R116)), P116, IF((AND(K112&gt;=Q117, K112&lt;=R117)), P117, "Fail")))</f>
        <v>0.50906621475605407</v>
      </c>
      <c r="P115" s="59">
        <v>2.5</v>
      </c>
      <c r="Q115" s="44">
        <v>0</v>
      </c>
      <c r="R115" s="44">
        <v>0.67</v>
      </c>
    </row>
    <row r="116" spans="2:19" x14ac:dyDescent="0.25">
      <c r="N116" s="1331"/>
      <c r="O116" s="1332"/>
      <c r="P116" s="59">
        <f>1.67/K112</f>
        <v>0.50906621475605407</v>
      </c>
      <c r="Q116" s="44">
        <v>0.67</v>
      </c>
      <c r="R116" s="44">
        <v>4</v>
      </c>
    </row>
    <row r="117" spans="2:19" x14ac:dyDescent="0.25">
      <c r="B117" s="112" t="s">
        <v>359</v>
      </c>
      <c r="C117" s="112"/>
      <c r="D117" s="112"/>
      <c r="N117" s="1331"/>
      <c r="O117" s="1332"/>
      <c r="P117" s="59">
        <v>0.42</v>
      </c>
      <c r="Q117" s="44">
        <v>4</v>
      </c>
      <c r="R117" s="44">
        <v>10</v>
      </c>
    </row>
    <row r="118" spans="2:19" x14ac:dyDescent="0.25">
      <c r="N118"/>
      <c r="O118"/>
      <c r="P118"/>
      <c r="Q118"/>
      <c r="R118"/>
    </row>
    <row r="119" spans="2:19" x14ac:dyDescent="0.25">
      <c r="N119"/>
      <c r="O119"/>
      <c r="P119"/>
      <c r="Q119"/>
      <c r="R119"/>
    </row>
    <row r="120" spans="2:19" ht="18.75" x14ac:dyDescent="0.35">
      <c r="B120" s="10" t="s">
        <v>545</v>
      </c>
      <c r="D120" s="10" t="s">
        <v>546</v>
      </c>
      <c r="G120" s="10" t="str">
        <f>"("&amp;K97&amp;"*("&amp;K64&amp;"+"&amp;K78&amp;")/1000)"</f>
        <v>(0.093*(128199.956+286069.115)/1000)</v>
      </c>
      <c r="K120" s="10">
        <f>K97*(K64+K78)/1000</f>
        <v>38.527023603000004</v>
      </c>
      <c r="L120" s="10" t="s">
        <v>229</v>
      </c>
      <c r="S120" s="503"/>
    </row>
    <row r="122" spans="2:19" ht="18.75" x14ac:dyDescent="0.35">
      <c r="B122" s="10" t="s">
        <v>547</v>
      </c>
      <c r="D122" s="10" t="s">
        <v>548</v>
      </c>
      <c r="G122" s="10" t="str">
        <f>"("&amp;K106&amp;"*"&amp;K66&amp;"/1000)"</f>
        <v>(0.035*125990.483/1000)</v>
      </c>
      <c r="K122" s="10">
        <f>K106*K66/1000</f>
        <v>4.4096669049999999</v>
      </c>
      <c r="L122" s="10" t="s">
        <v>229</v>
      </c>
    </row>
    <row r="125" spans="2:19" x14ac:dyDescent="0.25">
      <c r="B125" s="10" t="s">
        <v>360</v>
      </c>
      <c r="D125" s="1303" t="s">
        <v>549</v>
      </c>
      <c r="E125" s="1303"/>
      <c r="K125" s="10">
        <f>(K120^2+K122^2)^0.5</f>
        <v>38.778559925803997</v>
      </c>
      <c r="L125" s="10" t="s">
        <v>229</v>
      </c>
    </row>
    <row r="127" spans="2:19" x14ac:dyDescent="0.25">
      <c r="B127" s="112" t="s">
        <v>1181</v>
      </c>
    </row>
    <row r="129" spans="2:12" ht="30.75" customHeight="1" x14ac:dyDescent="0.25">
      <c r="B129" s="10" t="s">
        <v>1183</v>
      </c>
      <c r="C129" s="1144" t="s">
        <v>1182</v>
      </c>
      <c r="D129" s="1200"/>
      <c r="E129" s="1333"/>
      <c r="G129" s="1334" t="str">
        <f>CONCATENATE("(",K97,"*(",K64,"*(",K70,"+",G24,")+",K37,"*1000*",K45,")/1000")</f>
        <v>(0.093*(128199.956*(3.59721155949357+)+71.1360285714286*1000*15.541)/1000</v>
      </c>
      <c r="H129" s="1335"/>
      <c r="I129" s="1335"/>
      <c r="J129" s="1336"/>
      <c r="K129" s="10">
        <f>K97*(K64*(K70+G24)+K37*1000*K45)/1000</f>
        <v>145.70192668208546</v>
      </c>
      <c r="L129" s="10" t="s">
        <v>210</v>
      </c>
    </row>
    <row r="131" spans="2:12" ht="33" customHeight="1" x14ac:dyDescent="0.25">
      <c r="B131" s="10" t="s">
        <v>1184</v>
      </c>
      <c r="C131" s="1144" t="s">
        <v>1185</v>
      </c>
      <c r="D131" s="1200"/>
      <c r="E131" s="1333"/>
      <c r="G131" s="1334" t="str">
        <f>CONCATENATE("(",K106,"*(",K66,"*(",K72,"+",G24,"))/1000")</f>
        <v>(0.035*(125990.483*(2.36035953861115+))/1000</v>
      </c>
      <c r="H131" s="1335"/>
      <c r="I131" s="1335"/>
      <c r="J131" s="1336"/>
      <c r="K131" s="10">
        <f>K106*(K66*(K72+G24))/1000</f>
        <v>10.408399341314666</v>
      </c>
      <c r="L131" s="10" t="s">
        <v>210</v>
      </c>
    </row>
    <row r="133" spans="2:12" x14ac:dyDescent="0.25">
      <c r="B133" s="10" t="s">
        <v>1186</v>
      </c>
      <c r="C133" s="10" t="s">
        <v>1187</v>
      </c>
      <c r="G133" s="1322" t="str">
        <f>CONCATENATE("(",K129,"^2+",K131,"^2)^0.5")</f>
        <v>(145.701926682085^2+10.4083993413147^2)^0.5</v>
      </c>
      <c r="H133" s="1322"/>
      <c r="I133" s="1322"/>
      <c r="J133" s="1322"/>
      <c r="K133" s="10">
        <f>(K129^2+K131^2)^0.5</f>
        <v>146.0732221035741</v>
      </c>
      <c r="L133" s="10" t="s">
        <v>210</v>
      </c>
    </row>
    <row r="135" spans="2:12" x14ac:dyDescent="0.25">
      <c r="B135" s="536" t="s">
        <v>1188</v>
      </c>
      <c r="C135" s="537" t="s">
        <v>1189</v>
      </c>
      <c r="D135" s="530"/>
      <c r="E135" s="530"/>
      <c r="F135" s="530"/>
    </row>
    <row r="136" spans="2:12" x14ac:dyDescent="0.25">
      <c r="B136" s="538"/>
      <c r="C136" s="539" t="s">
        <v>1190</v>
      </c>
      <c r="D136" s="530"/>
      <c r="E136" s="530"/>
      <c r="F136" s="530"/>
    </row>
    <row r="137" spans="2:12" ht="18.75" x14ac:dyDescent="0.35">
      <c r="B137" s="538"/>
      <c r="C137" s="530" t="s">
        <v>1191</v>
      </c>
      <c r="J137" s="530"/>
      <c r="K137" s="530"/>
      <c r="L137" s="530"/>
    </row>
    <row r="138" spans="2:12" ht="19.5" x14ac:dyDescent="0.35">
      <c r="B138" s="538"/>
      <c r="C138" s="530" t="s">
        <v>1192</v>
      </c>
      <c r="J138" s="530"/>
      <c r="K138" s="530"/>
      <c r="L138" s="530"/>
    </row>
    <row r="139" spans="2:12" x14ac:dyDescent="0.25">
      <c r="B139" s="538"/>
      <c r="C139" s="530" t="s">
        <v>1193</v>
      </c>
      <c r="J139" s="531"/>
      <c r="K139" s="531"/>
      <c r="L139" s="530"/>
    </row>
    <row r="140" spans="2:12" ht="19.5" x14ac:dyDescent="0.35">
      <c r="B140" s="538"/>
      <c r="C140" s="530" t="s">
        <v>1194</v>
      </c>
      <c r="J140" s="532" t="s">
        <v>442</v>
      </c>
      <c r="K140" s="533">
        <f>0.866*(1-0)*TANH(0.866*Calculation!F65/'Earthquake &amp; wind'!K57)</f>
        <v>0.8323267992106046</v>
      </c>
      <c r="L140" s="530"/>
    </row>
    <row r="141" spans="2:12" ht="18.75" x14ac:dyDescent="0.35">
      <c r="B141" s="538"/>
      <c r="C141" s="530" t="s">
        <v>1195</v>
      </c>
      <c r="J141" s="532" t="s">
        <v>442</v>
      </c>
      <c r="K141" s="534">
        <f>(K140*K97*1000*9.81*K57*1)</f>
        <v>3052.6139690697191</v>
      </c>
      <c r="L141" s="530" t="s">
        <v>1196</v>
      </c>
    </row>
    <row r="142" spans="2:12" x14ac:dyDescent="0.25">
      <c r="B142" s="538"/>
      <c r="C142" s="530"/>
      <c r="J142" s="532" t="s">
        <v>442</v>
      </c>
      <c r="K142" s="535">
        <f>K141/10</f>
        <v>305.26139690697192</v>
      </c>
      <c r="L142" s="530" t="s">
        <v>1197</v>
      </c>
    </row>
    <row r="144" spans="2:12" x14ac:dyDescent="0.25">
      <c r="C144" s="539" t="s">
        <v>1198</v>
      </c>
      <c r="D144" s="531"/>
      <c r="E144" s="531"/>
      <c r="F144" s="531"/>
    </row>
    <row r="145" spans="2:12" ht="18.75" x14ac:dyDescent="0.35">
      <c r="C145" s="540" t="s">
        <v>1199</v>
      </c>
      <c r="D145" s="531"/>
      <c r="E145" s="531"/>
      <c r="F145" s="531"/>
    </row>
    <row r="146" spans="2:12" x14ac:dyDescent="0.25">
      <c r="C146" s="540" t="s">
        <v>1202</v>
      </c>
      <c r="F146" s="10" t="str">
        <f>CONCATENATE(Calculation!F65,"/4")</f>
        <v>9.1/4</v>
      </c>
      <c r="J146" s="531" t="s">
        <v>442</v>
      </c>
      <c r="K146" s="531">
        <f>Calculation!F65/4</f>
        <v>2.2749999999999999</v>
      </c>
      <c r="L146" s="531" t="s">
        <v>74</v>
      </c>
    </row>
    <row r="147" spans="2:12" x14ac:dyDescent="0.25">
      <c r="C147" s="540" t="s">
        <v>1200</v>
      </c>
      <c r="J147" s="531" t="s">
        <v>442</v>
      </c>
      <c r="K147" s="535">
        <f>Calculation!F65</f>
        <v>9.1</v>
      </c>
      <c r="L147" s="531" t="s">
        <v>74</v>
      </c>
    </row>
    <row r="148" spans="2:12" x14ac:dyDescent="0.25">
      <c r="C148" s="540"/>
      <c r="J148" s="531"/>
      <c r="K148" s="531"/>
      <c r="L148" s="531"/>
    </row>
    <row r="149" spans="2:12" ht="18.75" x14ac:dyDescent="0.35">
      <c r="C149" s="540" t="s">
        <v>1201</v>
      </c>
      <c r="J149" s="531" t="s">
        <v>442</v>
      </c>
      <c r="K149" s="535">
        <f>0.866*K97*1000*9.81*K57*SINH(1.732*(K146/K57))/COSH(0.866*(K147/K57))</f>
        <v>1004.0945049917826</v>
      </c>
      <c r="L149" s="531" t="s">
        <v>1196</v>
      </c>
    </row>
    <row r="150" spans="2:12" x14ac:dyDescent="0.25">
      <c r="C150" s="540"/>
      <c r="J150" s="531" t="s">
        <v>442</v>
      </c>
      <c r="K150" s="535">
        <f>K149/10</f>
        <v>100.40945049917826</v>
      </c>
      <c r="L150" s="531" t="s">
        <v>1197</v>
      </c>
    </row>
    <row r="152" spans="2:12" x14ac:dyDescent="0.25">
      <c r="B152" s="536" t="s">
        <v>1203</v>
      </c>
      <c r="C152" s="537" t="s">
        <v>1204</v>
      </c>
      <c r="D152" s="531"/>
      <c r="E152" s="531"/>
      <c r="F152" s="530"/>
    </row>
    <row r="153" spans="2:12" x14ac:dyDescent="0.25">
      <c r="B153" s="538"/>
      <c r="C153" s="539" t="s">
        <v>1205</v>
      </c>
      <c r="D153" s="531"/>
      <c r="E153" s="531"/>
      <c r="F153" s="530"/>
    </row>
    <row r="154" spans="2:12" ht="19.5" x14ac:dyDescent="0.35">
      <c r="B154" s="538"/>
      <c r="C154" s="530" t="s">
        <v>1206</v>
      </c>
      <c r="D154" s="531"/>
      <c r="E154" s="531"/>
      <c r="F154" s="530"/>
    </row>
    <row r="155" spans="2:12" ht="18.75" x14ac:dyDescent="0.35">
      <c r="B155" s="538"/>
      <c r="C155" s="530" t="s">
        <v>1207</v>
      </c>
      <c r="D155" s="531"/>
      <c r="E155" s="531"/>
      <c r="F155" s="530"/>
    </row>
    <row r="156" spans="2:12" x14ac:dyDescent="0.25">
      <c r="B156" s="538"/>
      <c r="C156" s="530" t="s">
        <v>1193</v>
      </c>
      <c r="D156" s="531"/>
      <c r="E156" s="531"/>
      <c r="F156" s="530"/>
    </row>
    <row r="157" spans="2:12" ht="18.75" x14ac:dyDescent="0.35">
      <c r="B157" s="538"/>
      <c r="C157" s="530" t="s">
        <v>1208</v>
      </c>
      <c r="J157" s="532" t="s">
        <v>442</v>
      </c>
      <c r="K157" s="541">
        <f>0.5625*COSH(0)/COSH(3.674*K57/Calculation!F65)</f>
        <v>0.21364783949760829</v>
      </c>
      <c r="L157" s="530"/>
    </row>
    <row r="158" spans="2:12" ht="19.5" x14ac:dyDescent="0.35">
      <c r="B158" s="538"/>
      <c r="C158" s="530" t="s">
        <v>1209</v>
      </c>
      <c r="J158" s="531" t="s">
        <v>442</v>
      </c>
      <c r="K158" s="541">
        <f>K157*K106*1000*9.81*Calculation!F65*(1-((1/3)*COS(0)^2))*COS(0)</f>
        <v>445.02631319512318</v>
      </c>
      <c r="L158" s="530" t="s">
        <v>1196</v>
      </c>
    </row>
    <row r="159" spans="2:12" x14ac:dyDescent="0.25">
      <c r="B159" s="538"/>
      <c r="C159" s="530"/>
      <c r="J159" s="532" t="s">
        <v>442</v>
      </c>
      <c r="K159" s="535">
        <f>K158/10</f>
        <v>44.502631319512318</v>
      </c>
      <c r="L159" s="530" t="s">
        <v>1197</v>
      </c>
    </row>
    <row r="160" spans="2:12" x14ac:dyDescent="0.25">
      <c r="B160" s="538"/>
      <c r="C160" s="539" t="s">
        <v>1210</v>
      </c>
      <c r="J160" s="532"/>
      <c r="K160" s="541"/>
      <c r="L160" s="530"/>
    </row>
    <row r="161" spans="2:12" ht="18.75" x14ac:dyDescent="0.35">
      <c r="B161" s="538"/>
      <c r="C161" s="530" t="s">
        <v>1211</v>
      </c>
      <c r="J161" s="532"/>
      <c r="K161" s="535"/>
      <c r="L161" s="530"/>
    </row>
    <row r="162" spans="2:12" ht="18.75" x14ac:dyDescent="0.35">
      <c r="B162" s="538"/>
      <c r="C162" s="530" t="s">
        <v>1212</v>
      </c>
      <c r="J162" s="532"/>
      <c r="K162" s="535"/>
      <c r="L162" s="530"/>
    </row>
    <row r="163" spans="2:12" x14ac:dyDescent="0.25">
      <c r="B163" s="538" t="s">
        <v>236</v>
      </c>
      <c r="C163" s="530" t="s">
        <v>1202</v>
      </c>
      <c r="J163" s="531" t="s">
        <v>442</v>
      </c>
      <c r="K163" s="535">
        <f>K146</f>
        <v>2.2749999999999999</v>
      </c>
      <c r="L163" s="530" t="s">
        <v>74</v>
      </c>
    </row>
    <row r="164" spans="2:12" x14ac:dyDescent="0.25">
      <c r="B164" s="538"/>
      <c r="C164" s="540" t="s">
        <v>1200</v>
      </c>
      <c r="J164" s="531" t="s">
        <v>442</v>
      </c>
      <c r="K164" s="535">
        <f>Calculation!F65</f>
        <v>9.1</v>
      </c>
      <c r="L164" s="530" t="s">
        <v>74</v>
      </c>
    </row>
    <row r="165" spans="2:12" x14ac:dyDescent="0.25">
      <c r="B165" s="538"/>
      <c r="C165" s="530"/>
      <c r="J165" s="532"/>
      <c r="K165" s="535"/>
      <c r="L165" s="530"/>
    </row>
    <row r="166" spans="2:12" ht="39" customHeight="1" x14ac:dyDescent="0.25">
      <c r="B166" s="538"/>
      <c r="C166" s="1325" t="str">
        <f>CONCATENATE("Qcb (x=D/2)==1.125*((",K163,"/",K164,")-((4/3)*(",K163,"/",K164,")^3))*(1/COSH(0.3674 *",K57,"/",Calculation!F65,"))")</f>
        <v>Qcb (x=D/2)==1.125*((2.275/9.1)-((4/3)*(2.275/9.1)^3))*(1/COSH(0.3674 *4.02/9.1))</v>
      </c>
      <c r="D166" s="1326"/>
      <c r="E166" s="1326"/>
      <c r="F166" s="1326"/>
      <c r="G166" s="1326"/>
      <c r="H166" s="1326"/>
      <c r="I166" s="1327"/>
      <c r="J166" s="531" t="s">
        <v>442</v>
      </c>
      <c r="K166" s="535">
        <f>1.125*((K163/K164)-((4/3)*(K163/K164)^3))*(1/COSH(0.3674 *K57/Calculation!F65))</f>
        <v>0.25445373516790759</v>
      </c>
      <c r="L166" s="530"/>
    </row>
    <row r="167" spans="2:12" ht="19.5" x14ac:dyDescent="0.35">
      <c r="B167" s="538"/>
      <c r="C167" s="530" t="s">
        <v>1211</v>
      </c>
      <c r="J167" s="531" t="s">
        <v>442</v>
      </c>
      <c r="K167" s="535">
        <f>K166*K106*1000*9.81*Calculation!F65</f>
        <v>795.03687872609987</v>
      </c>
      <c r="L167" s="530" t="s">
        <v>1213</v>
      </c>
    </row>
    <row r="168" spans="2:12" x14ac:dyDescent="0.25">
      <c r="B168" s="542"/>
      <c r="C168" s="530"/>
      <c r="J168" s="532" t="s">
        <v>442</v>
      </c>
      <c r="K168" s="535">
        <f>K167/10</f>
        <v>79.503687872609987</v>
      </c>
      <c r="L168" s="530" t="s">
        <v>1197</v>
      </c>
    </row>
    <row r="171" spans="2:12" x14ac:dyDescent="0.25">
      <c r="C171" s="543" t="s">
        <v>1214</v>
      </c>
      <c r="J171" s="532" t="s">
        <v>442</v>
      </c>
      <c r="K171" s="530" t="str">
        <f>CONCATENATE(CEILING(K97,0.001),"x",(Calculation!B86+Calculation!B86)*0.5,"x 25000 ")</f>
        <v xml:space="preserve">0.093x0.2x 25000 </v>
      </c>
      <c r="L171" s="530"/>
    </row>
    <row r="172" spans="2:12" ht="18" x14ac:dyDescent="0.25">
      <c r="C172" s="530"/>
      <c r="J172" s="532" t="s">
        <v>442</v>
      </c>
      <c r="K172" s="535">
        <f>K97*(Calculation!B86+Calculation!B86)*0.5*25000</f>
        <v>465.00000000000006</v>
      </c>
      <c r="L172" s="530" t="s">
        <v>1213</v>
      </c>
    </row>
    <row r="173" spans="2:12" x14ac:dyDescent="0.25">
      <c r="C173" s="543" t="s">
        <v>1215</v>
      </c>
      <c r="J173" s="530"/>
      <c r="K173" s="530"/>
      <c r="L173" s="530"/>
    </row>
    <row r="174" spans="2:12" x14ac:dyDescent="0.25">
      <c r="C174" s="530" t="s">
        <v>1216</v>
      </c>
      <c r="J174" s="530"/>
      <c r="K174" s="530"/>
      <c r="L174" s="530"/>
    </row>
    <row r="175" spans="2:12" x14ac:dyDescent="0.25">
      <c r="C175" s="540" t="s">
        <v>1217</v>
      </c>
      <c r="J175" s="531" t="s">
        <v>442</v>
      </c>
      <c r="K175" s="531">
        <f>K100</f>
        <v>0.16</v>
      </c>
      <c r="L175" s="530"/>
    </row>
    <row r="176" spans="2:12" x14ac:dyDescent="0.25">
      <c r="C176" s="530" t="s">
        <v>1218</v>
      </c>
      <c r="J176" s="531" t="s">
        <v>442</v>
      </c>
      <c r="K176" s="531">
        <f>K101</f>
        <v>1.5</v>
      </c>
      <c r="L176" s="530"/>
    </row>
    <row r="177" spans="3:12" x14ac:dyDescent="0.25">
      <c r="C177" s="540" t="s">
        <v>1219</v>
      </c>
      <c r="J177" s="531" t="s">
        <v>442</v>
      </c>
      <c r="K177" s="531">
        <f>K111</f>
        <v>2.5</v>
      </c>
      <c r="L177" s="530"/>
    </row>
    <row r="178" spans="3:12" x14ac:dyDescent="0.25">
      <c r="C178" s="544" t="s">
        <v>1231</v>
      </c>
      <c r="J178" s="531" t="s">
        <v>442</v>
      </c>
      <c r="K178" s="545">
        <f>5</f>
        <v>5</v>
      </c>
      <c r="L178" s="544"/>
    </row>
    <row r="179" spans="3:12" x14ac:dyDescent="0.25">
      <c r="C179" s="544" t="s">
        <v>1220</v>
      </c>
      <c r="J179" s="531" t="s">
        <v>442</v>
      </c>
      <c r="K179" s="546">
        <f>K89</f>
        <v>0.86478166008471191</v>
      </c>
      <c r="L179" s="544"/>
    </row>
    <row r="180" spans="3:12" x14ac:dyDescent="0.25">
      <c r="C180" s="544" t="s">
        <v>1221</v>
      </c>
      <c r="J180" s="531" t="s">
        <v>442</v>
      </c>
      <c r="K180" s="533">
        <f>K104</f>
        <v>1.9311232847334099</v>
      </c>
      <c r="L180" s="530"/>
    </row>
    <row r="181" spans="3:12" ht="20.25" x14ac:dyDescent="0.25">
      <c r="C181" s="544" t="s">
        <v>1222</v>
      </c>
      <c r="D181" s="44"/>
      <c r="E181" s="44"/>
      <c r="F181" s="44"/>
      <c r="J181" s="531" t="s">
        <v>442</v>
      </c>
      <c r="K181" s="533">
        <f>ROUND(2*(K175/2)*K180*K176/K177/3,2)</f>
        <v>0.06</v>
      </c>
      <c r="L181" s="530"/>
    </row>
    <row r="182" spans="3:12" x14ac:dyDescent="0.25">
      <c r="C182" s="539" t="s">
        <v>1223</v>
      </c>
      <c r="D182" s="44"/>
      <c r="E182" s="44"/>
      <c r="F182" s="44"/>
      <c r="J182" s="531"/>
      <c r="K182" s="535"/>
      <c r="L182" s="530"/>
    </row>
    <row r="183" spans="3:12" ht="18" x14ac:dyDescent="0.25">
      <c r="C183" s="540" t="str">
        <f>CONCATENATE(K181,"x 1000 x 9.81x ",K57,"(1-","0/",K57,")")</f>
        <v>0.06x 1000 x 9.81x 4.02(1-0/4.02)</v>
      </c>
      <c r="D183" s="44"/>
      <c r="E183" s="44"/>
      <c r="F183" s="44"/>
      <c r="J183" s="531" t="s">
        <v>442</v>
      </c>
      <c r="K183" s="535">
        <f>ROUND(K181*1000*9.81*K57*(1-0/K57),2)</f>
        <v>2366.17</v>
      </c>
      <c r="L183" s="530" t="s">
        <v>1213</v>
      </c>
    </row>
    <row r="184" spans="3:12" x14ac:dyDescent="0.25">
      <c r="C184" s="530"/>
      <c r="D184" s="44"/>
      <c r="E184" s="44"/>
      <c r="F184" s="44"/>
      <c r="J184" s="530"/>
      <c r="K184" s="530"/>
      <c r="L184" s="530"/>
    </row>
    <row r="185" spans="3:12" x14ac:dyDescent="0.25">
      <c r="C185" s="530" t="s">
        <v>1224</v>
      </c>
      <c r="D185" s="44"/>
      <c r="E185" s="44"/>
      <c r="F185" s="44"/>
      <c r="J185" s="530"/>
      <c r="K185" s="530"/>
      <c r="L185" s="530"/>
    </row>
    <row r="186" spans="3:12" x14ac:dyDescent="0.25">
      <c r="C186" s="544" t="s">
        <v>1225</v>
      </c>
      <c r="D186" s="44"/>
      <c r="E186" s="44"/>
      <c r="F186" s="44"/>
      <c r="J186" s="530"/>
      <c r="K186" s="530"/>
      <c r="L186" s="530"/>
    </row>
    <row r="187" spans="3:12" ht="18" x14ac:dyDescent="0.25">
      <c r="C187" s="530" t="s">
        <v>1226</v>
      </c>
      <c r="D187" s="44"/>
      <c r="E187" s="44"/>
      <c r="F187" s="44"/>
      <c r="J187" s="531" t="s">
        <v>442</v>
      </c>
      <c r="K187" s="531">
        <f>ROUNDUP(SQRT((K141+K172)^2+K158^2+K183^2),2)</f>
        <v>4262.68</v>
      </c>
      <c r="L187" s="530" t="s">
        <v>1213</v>
      </c>
    </row>
    <row r="188" spans="3:12" ht="18" x14ac:dyDescent="0.25">
      <c r="C188" s="530"/>
      <c r="D188" s="44"/>
      <c r="E188" s="44"/>
      <c r="F188" s="44"/>
      <c r="J188" s="531" t="s">
        <v>442</v>
      </c>
      <c r="K188" s="535">
        <f>K187/1000</f>
        <v>4.2626800000000005</v>
      </c>
      <c r="L188" s="530" t="s">
        <v>1227</v>
      </c>
    </row>
    <row r="189" spans="3:12" ht="18" x14ac:dyDescent="0.35">
      <c r="C189" s="530" t="s">
        <v>1228</v>
      </c>
      <c r="D189" s="44"/>
      <c r="E189" s="44"/>
      <c r="F189" s="44"/>
      <c r="J189" s="531"/>
      <c r="K189" s="530"/>
      <c r="L189" s="530"/>
    </row>
    <row r="190" spans="3:12" ht="18" x14ac:dyDescent="0.25">
      <c r="C190" s="540" t="str">
        <f>CONCATENATE(K57,"x 10=")</f>
        <v>4.02x 10=</v>
      </c>
      <c r="D190" s="44"/>
      <c r="E190" s="44"/>
      <c r="F190" s="44"/>
      <c r="J190" s="531" t="s">
        <v>442</v>
      </c>
      <c r="K190" s="531">
        <f>(K57)*10</f>
        <v>40.199999999999996</v>
      </c>
      <c r="L190" s="530" t="s">
        <v>1227</v>
      </c>
    </row>
    <row r="191" spans="3:12" x14ac:dyDescent="0.25">
      <c r="C191" s="530" t="s">
        <v>1229</v>
      </c>
      <c r="D191" s="44"/>
      <c r="E191" s="44"/>
      <c r="F191" s="44"/>
      <c r="J191" s="531"/>
      <c r="K191" s="530" t="str">
        <f>CONCATENATE(CEILING(K188,0.001),"/",(K190)*1,"x 100 ")</f>
        <v xml:space="preserve">4.263/40.2x 100 </v>
      </c>
      <c r="L191" s="530"/>
    </row>
    <row r="192" spans="3:12" x14ac:dyDescent="0.25">
      <c r="C192" s="530"/>
      <c r="D192" s="44"/>
      <c r="E192" s="44"/>
      <c r="F192" s="44"/>
      <c r="J192" s="531" t="s">
        <v>442</v>
      </c>
      <c r="K192" s="547">
        <f>CEILING((K188/K190)*100,1)</f>
        <v>11</v>
      </c>
      <c r="L192" s="530" t="s">
        <v>462</v>
      </c>
    </row>
    <row r="193" spans="1:23" x14ac:dyDescent="0.25">
      <c r="C193" s="548"/>
      <c r="D193" s="44"/>
      <c r="E193" s="44"/>
      <c r="F193" s="44"/>
      <c r="K193" s="530" t="s">
        <v>1230</v>
      </c>
      <c r="L193" s="530"/>
    </row>
    <row r="194" spans="1:23" x14ac:dyDescent="0.25">
      <c r="C194" s="548"/>
      <c r="D194" s="44"/>
      <c r="E194" s="44"/>
      <c r="F194" s="44"/>
      <c r="J194" s="531"/>
      <c r="K194" s="531"/>
      <c r="L194" s="531"/>
    </row>
    <row r="195" spans="1:23" ht="57" customHeight="1" x14ac:dyDescent="0.25">
      <c r="C195" s="1323" t="str">
        <f>IF(K192&gt;33,"not ok","As per IS 1893 the Permissible stress in matreial may be increased to 33.33% when earthquake force were considered. Hence hydrodyna,ic pressure in this case doesn't affect the container wall design.")</f>
        <v>As per IS 1893 the Permissible stress in matreial may be increased to 33.33% when earthquake force were considered. Hence hydrodyna,ic pressure in this case doesn't affect the container wall design.</v>
      </c>
      <c r="D195" s="1323"/>
      <c r="E195" s="1323"/>
      <c r="F195" s="1323"/>
      <c r="G195" s="1323"/>
      <c r="H195" s="1323"/>
      <c r="I195" s="1323"/>
      <c r="J195" s="1323"/>
      <c r="K195" s="1323"/>
      <c r="L195" s="549"/>
    </row>
    <row r="196" spans="1:23" ht="31.5" customHeight="1" x14ac:dyDescent="0.25">
      <c r="C196" s="1324" t="str">
        <f>IF(K192&gt;33,"not ok","Hydrodynamic pressure in this case does not affect container design.")</f>
        <v>Hydrodynamic pressure in this case does not affect container design.</v>
      </c>
      <c r="D196" s="1324"/>
      <c r="E196" s="1324"/>
      <c r="F196" s="1324"/>
      <c r="G196" s="1324"/>
      <c r="H196" s="1324"/>
      <c r="I196" s="1324"/>
      <c r="J196" s="1324"/>
      <c r="K196" s="1324"/>
    </row>
    <row r="197" spans="1:23" x14ac:dyDescent="0.25">
      <c r="C197" s="528" t="s">
        <v>1410</v>
      </c>
      <c r="D197" s="529"/>
      <c r="E197" s="529"/>
      <c r="F197" s="528"/>
      <c r="G197" s="152"/>
      <c r="H197" s="152"/>
      <c r="I197" s="152"/>
      <c r="J197" s="152"/>
      <c r="K197" s="152">
        <f>K106*K111*Calculation!F65/2</f>
        <v>0.39812500000000001</v>
      </c>
      <c r="L197" s="152" t="s">
        <v>74</v>
      </c>
    </row>
    <row r="198" spans="1:23" x14ac:dyDescent="0.25">
      <c r="C198" s="112" t="str">
        <f>IF(K192&gt;33,"not ok","Sloshing wave force in this case does not affect container design.")</f>
        <v>Sloshing wave force in this case does not affect container design.</v>
      </c>
    </row>
    <row r="199" spans="1:23" x14ac:dyDescent="0.25">
      <c r="A199" s="98">
        <v>3</v>
      </c>
      <c r="B199" s="98" t="s">
        <v>223</v>
      </c>
      <c r="C199" s="98"/>
      <c r="D199" s="98"/>
      <c r="E199" s="99"/>
      <c r="F199" s="132" t="s">
        <v>1962</v>
      </c>
      <c r="G199" s="132"/>
      <c r="H199" s="1036"/>
      <c r="I199" s="1036">
        <f>Calculation!F57</f>
        <v>10</v>
      </c>
      <c r="J199" s="100"/>
      <c r="K199" s="100"/>
    </row>
    <row r="200" spans="1:23" x14ac:dyDescent="0.25">
      <c r="A200" s="101"/>
      <c r="B200" s="1032" t="s">
        <v>1960</v>
      </c>
      <c r="C200" s="1033"/>
      <c r="D200" s="1034" t="s">
        <v>1956</v>
      </c>
      <c r="E200" s="1035">
        <f>IF(I199&gt;=10,10)</f>
        <v>10</v>
      </c>
      <c r="F200" s="99"/>
      <c r="G200" s="99"/>
      <c r="H200" s="100"/>
      <c r="I200" s="296"/>
      <c r="J200" s="100"/>
      <c r="K200" s="100"/>
    </row>
    <row r="201" spans="1:23" x14ac:dyDescent="0.25">
      <c r="A201" s="101"/>
      <c r="B201" s="99" t="s">
        <v>470</v>
      </c>
      <c r="C201" s="99"/>
      <c r="D201" s="99"/>
      <c r="F201" s="127">
        <v>50</v>
      </c>
      <c r="G201" s="99" t="s">
        <v>228</v>
      </c>
      <c r="N201"/>
      <c r="O201"/>
      <c r="P201"/>
      <c r="Q201"/>
      <c r="R201"/>
      <c r="T201" s="59" t="s">
        <v>1952</v>
      </c>
      <c r="U201" s="59" t="s">
        <v>1953</v>
      </c>
      <c r="V201" s="59" t="s">
        <v>1954</v>
      </c>
      <c r="W201" s="59" t="s">
        <v>1955</v>
      </c>
    </row>
    <row r="202" spans="1:23" x14ac:dyDescent="0.25">
      <c r="A202" s="101"/>
      <c r="B202" s="101" t="s">
        <v>224</v>
      </c>
      <c r="C202" s="101"/>
      <c r="D202" s="99"/>
      <c r="F202" s="127">
        <v>1.08</v>
      </c>
      <c r="G202" s="99"/>
      <c r="J202" s="100"/>
      <c r="K202" s="1031"/>
      <c r="N202" s="473">
        <v>25</v>
      </c>
      <c r="O202" s="473">
        <v>0.9</v>
      </c>
      <c r="S202" s="44">
        <v>10</v>
      </c>
      <c r="T202" s="44">
        <v>1.05</v>
      </c>
      <c r="U202" s="44">
        <v>1</v>
      </c>
      <c r="V202" s="44">
        <v>0.91</v>
      </c>
      <c r="W202" s="44">
        <v>0.8</v>
      </c>
    </row>
    <row r="203" spans="1:23" x14ac:dyDescent="0.25">
      <c r="A203" s="101"/>
      <c r="B203" s="101" t="s">
        <v>225</v>
      </c>
      <c r="C203" s="101"/>
      <c r="D203" s="99"/>
      <c r="F203" s="127">
        <f>LOOKUP(E200,S202:S307,T202:T307)</f>
        <v>1.05</v>
      </c>
      <c r="G203" s="48"/>
      <c r="H203" s="48" t="s">
        <v>1951</v>
      </c>
      <c r="I203" s="100"/>
      <c r="N203" s="473">
        <v>100</v>
      </c>
      <c r="O203" s="473">
        <v>0.8</v>
      </c>
      <c r="S203" s="44">
        <v>11</v>
      </c>
      <c r="T203" s="44">
        <f>($T$207-$T$202)/($S$207-$S$202)*(S203-$S$202)+$T$202</f>
        <v>1.0580000000000001</v>
      </c>
      <c r="U203" s="44">
        <f>($U$207-$U$202)/($S$207-$S$202)*(S203-$S$202)+$U$202</f>
        <v>1.01</v>
      </c>
      <c r="V203" s="44">
        <f>($V$207-$V$202)/($S$207-$S$202)*(S203-$S$202)+$V$202</f>
        <v>0.92200000000000004</v>
      </c>
      <c r="W203" s="44">
        <f>($W$207-$W$202)/($S$207-$S$202)*(S203-$S$202)+$W$202</f>
        <v>0.8</v>
      </c>
    </row>
    <row r="204" spans="1:23" x14ac:dyDescent="0.25">
      <c r="A204" s="101"/>
      <c r="B204" s="101" t="s">
        <v>226</v>
      </c>
      <c r="C204" s="101"/>
      <c r="D204" s="99"/>
      <c r="F204" s="127">
        <v>1</v>
      </c>
      <c r="G204" s="99"/>
      <c r="H204" s="99"/>
      <c r="I204" s="100"/>
      <c r="J204" s="100"/>
      <c r="K204" s="1031"/>
      <c r="N204" s="524">
        <f>F209</f>
        <v>46.499999999999993</v>
      </c>
      <c r="O204" s="525">
        <f>ROUNDUP(FORECAST(F209,O202:O203,N202:N203),2)</f>
        <v>0.88</v>
      </c>
      <c r="S204" s="44">
        <v>12</v>
      </c>
      <c r="T204" s="44">
        <f t="shared" ref="T204:T206" si="0">($T$207-$T$202)/($S$207-$S$202)*(S204-$S$202)+$T$202</f>
        <v>1.0660000000000001</v>
      </c>
      <c r="U204" s="44">
        <f t="shared" ref="U204:U206" si="1">($U$207-$U$202)/($S$207-$S$202)*(S204-$S$202)+$U$202</f>
        <v>1.02</v>
      </c>
      <c r="V204" s="44">
        <f t="shared" ref="V204:V206" si="2">($V$207-$V$202)/($S$207-$S$202)*(S204-$S$202)+$V$202</f>
        <v>0.93400000000000005</v>
      </c>
      <c r="W204" s="44">
        <f t="shared" ref="W204:W206" si="3">($W$207-$W$202)/($S$207-$S$202)*(S204-$S$202)+$W$202</f>
        <v>0.8</v>
      </c>
    </row>
    <row r="205" spans="1:23" x14ac:dyDescent="0.25">
      <c r="A205" s="101"/>
      <c r="B205" s="101" t="s">
        <v>471</v>
      </c>
      <c r="C205" s="101"/>
      <c r="D205" s="99"/>
      <c r="F205" s="48">
        <v>1.3</v>
      </c>
      <c r="G205" s="99" t="s">
        <v>499</v>
      </c>
      <c r="H205" s="99"/>
      <c r="I205" s="100"/>
      <c r="J205" s="100"/>
      <c r="K205" s="1031"/>
      <c r="S205" s="44">
        <v>13</v>
      </c>
      <c r="T205" s="44">
        <f t="shared" si="0"/>
        <v>1.0740000000000001</v>
      </c>
      <c r="U205" s="44">
        <f t="shared" si="1"/>
        <v>1.03</v>
      </c>
      <c r="V205" s="44">
        <f t="shared" si="2"/>
        <v>0.94599999999999995</v>
      </c>
      <c r="W205" s="44">
        <f t="shared" si="3"/>
        <v>0.8</v>
      </c>
    </row>
    <row r="206" spans="1:23" x14ac:dyDescent="0.25">
      <c r="A206" s="101"/>
      <c r="B206" s="99"/>
      <c r="C206" s="99" t="s">
        <v>472</v>
      </c>
      <c r="D206" s="99"/>
      <c r="F206" s="48">
        <f>F201*F202*F203*F204*F205</f>
        <v>73.710000000000008</v>
      </c>
      <c r="G206" s="99"/>
      <c r="H206" s="99"/>
      <c r="I206" s="100"/>
      <c r="J206" s="100"/>
      <c r="K206" s="1031"/>
      <c r="P206" s="164"/>
      <c r="S206" s="44">
        <v>14</v>
      </c>
      <c r="T206" s="44">
        <f t="shared" si="0"/>
        <v>1.0820000000000001</v>
      </c>
      <c r="U206" s="44">
        <f t="shared" si="1"/>
        <v>1.04</v>
      </c>
      <c r="V206" s="44">
        <f t="shared" si="2"/>
        <v>0.95799999999999996</v>
      </c>
      <c r="W206" s="44">
        <f t="shared" si="3"/>
        <v>0.8</v>
      </c>
    </row>
    <row r="207" spans="1:23" ht="30.75" customHeight="1" x14ac:dyDescent="0.25">
      <c r="B207" s="1307" t="s">
        <v>1175</v>
      </c>
      <c r="C207" s="1308"/>
      <c r="D207" s="99" t="s">
        <v>1169</v>
      </c>
      <c r="E207" s="99" t="s">
        <v>442</v>
      </c>
      <c r="F207" s="48">
        <f>(0.6*F206*F206)</f>
        <v>3259.8984600000008</v>
      </c>
      <c r="G207" s="99">
        <f>ROUND((F207/10000),3)</f>
        <v>0.32600000000000001</v>
      </c>
      <c r="H207" s="99" t="s">
        <v>234</v>
      </c>
      <c r="I207" s="100"/>
      <c r="J207" s="100"/>
      <c r="K207" s="100"/>
      <c r="S207" s="44">
        <v>15</v>
      </c>
      <c r="T207" s="44">
        <v>1.0900000000000001</v>
      </c>
      <c r="U207" s="44">
        <v>1.05</v>
      </c>
      <c r="V207" s="44">
        <v>0.97</v>
      </c>
      <c r="W207" s="44">
        <v>0.8</v>
      </c>
    </row>
    <row r="208" spans="1:23" x14ac:dyDescent="0.25">
      <c r="A208" s="101"/>
      <c r="B208" s="99" t="s">
        <v>1170</v>
      </c>
      <c r="C208" s="99"/>
      <c r="D208" s="99"/>
      <c r="F208" s="48">
        <v>1</v>
      </c>
      <c r="G208" s="99" t="s">
        <v>1173</v>
      </c>
      <c r="H208" s="99"/>
      <c r="I208" s="100"/>
      <c r="J208" s="100"/>
      <c r="K208" s="100"/>
      <c r="S208" s="44">
        <v>16</v>
      </c>
      <c r="T208" s="44">
        <f>($T$212-$T$207)/($S$212-$S$207)*(S208-$S$207)+$T$207</f>
        <v>1.0960000000000001</v>
      </c>
      <c r="U208" s="44">
        <f>($U$212-$U$207)/($S$212-$S$207)*(S208-$S$207)+$U$207</f>
        <v>1.054</v>
      </c>
      <c r="V208" s="44">
        <f>($V$212-$V$207)/($S$212-$S$207)*(S208-$S$207)+$V$207</f>
        <v>0.97799999999999998</v>
      </c>
      <c r="W208" s="44">
        <f>($W$212-$W$207)/($S$212-$S$207)*(S208-$S$207)+$W$207</f>
        <v>0.8</v>
      </c>
    </row>
    <row r="209" spans="1:23" x14ac:dyDescent="0.25">
      <c r="A209" s="101"/>
      <c r="B209" s="99" t="s">
        <v>1174</v>
      </c>
      <c r="C209" s="99"/>
      <c r="D209" s="99"/>
      <c r="F209" s="48">
        <f>(Calculation!F86+Calculation!B86)*(Calculation!D85+Calculation!B93)</f>
        <v>46.499999999999993</v>
      </c>
      <c r="G209" s="99" t="s">
        <v>610</v>
      </c>
      <c r="H209" s="99"/>
      <c r="I209" s="100"/>
      <c r="J209" s="100"/>
      <c r="K209" s="100"/>
      <c r="S209" s="44">
        <v>17</v>
      </c>
      <c r="T209" s="44">
        <f t="shared" ref="T209:T211" si="4">($T$212-$T$207)/($S$212-$S$207)*(S209-$S$207)+$T$207</f>
        <v>1.1020000000000001</v>
      </c>
      <c r="U209" s="44">
        <f t="shared" ref="U209:U210" si="5">($U$212-$U$207)/($S$212-$S$207)*(S209-$S$207)+$U$207</f>
        <v>1.0580000000000001</v>
      </c>
      <c r="V209" s="44">
        <f t="shared" ref="V209:V211" si="6">($V$212-$V$207)/($S$212-$S$207)*(S209-$S$207)+$V$207</f>
        <v>0.98599999999999999</v>
      </c>
      <c r="W209" s="44">
        <f t="shared" ref="W209:W211" si="7">($W$212-$W$207)/($S$212-$S$207)*(S209-$S$207)+$W$207</f>
        <v>0.8</v>
      </c>
    </row>
    <row r="210" spans="1:23" x14ac:dyDescent="0.25">
      <c r="A210" s="101"/>
      <c r="B210" s="99" t="s">
        <v>1171</v>
      </c>
      <c r="C210" s="99"/>
      <c r="D210" s="99"/>
      <c r="F210" s="526">
        <f>O204</f>
        <v>0.88</v>
      </c>
      <c r="G210" s="99"/>
      <c r="H210" s="99"/>
      <c r="I210" s="100"/>
      <c r="J210" s="100"/>
      <c r="K210" s="100"/>
      <c r="S210" s="44">
        <v>18</v>
      </c>
      <c r="T210" s="44">
        <f t="shared" si="4"/>
        <v>1.1080000000000001</v>
      </c>
      <c r="U210" s="44">
        <f t="shared" si="5"/>
        <v>1.0620000000000001</v>
      </c>
      <c r="V210" s="44">
        <f t="shared" si="6"/>
        <v>0.99399999999999999</v>
      </c>
      <c r="W210" s="44">
        <f t="shared" si="7"/>
        <v>0.8</v>
      </c>
    </row>
    <row r="211" spans="1:23" x14ac:dyDescent="0.25">
      <c r="A211" s="101"/>
      <c r="B211" s="99" t="s">
        <v>1172</v>
      </c>
      <c r="C211" s="99"/>
      <c r="D211" s="99"/>
      <c r="F211" s="48">
        <v>1</v>
      </c>
      <c r="G211" s="99"/>
      <c r="H211" s="99"/>
      <c r="I211" s="100"/>
      <c r="J211" s="100"/>
      <c r="K211" s="100"/>
      <c r="S211" s="44">
        <v>19</v>
      </c>
      <c r="T211" s="44">
        <f t="shared" si="4"/>
        <v>1.1140000000000001</v>
      </c>
      <c r="U211" s="44">
        <f>($U$212-$U$207)/($S$212-$S$207)*(S211-$S$207)+$U$207</f>
        <v>1.0660000000000001</v>
      </c>
      <c r="V211" s="44">
        <f t="shared" si="6"/>
        <v>1.002</v>
      </c>
      <c r="W211" s="44">
        <f t="shared" si="7"/>
        <v>0.8</v>
      </c>
    </row>
    <row r="212" spans="1:23" ht="30" customHeight="1" x14ac:dyDescent="0.25">
      <c r="A212" s="101"/>
      <c r="B212" s="1309" t="s">
        <v>1176</v>
      </c>
      <c r="C212" s="1309"/>
      <c r="D212" s="99"/>
      <c r="F212" s="99">
        <f>G207*F208*F210*F211</f>
        <v>0.28688000000000002</v>
      </c>
      <c r="G212" s="99" t="s">
        <v>234</v>
      </c>
      <c r="H212" s="99"/>
      <c r="I212" s="100"/>
      <c r="J212" s="100"/>
      <c r="K212" s="100"/>
      <c r="S212" s="44">
        <v>20</v>
      </c>
      <c r="T212" s="44">
        <v>1.1200000000000001</v>
      </c>
      <c r="U212" s="44">
        <v>1.07</v>
      </c>
      <c r="V212" s="59">
        <v>1.01</v>
      </c>
      <c r="W212" s="44">
        <v>0.8</v>
      </c>
    </row>
    <row r="213" spans="1:23" x14ac:dyDescent="0.25">
      <c r="A213" s="101"/>
      <c r="B213" s="99"/>
      <c r="C213" s="99"/>
      <c r="D213" s="99"/>
      <c r="F213" s="48"/>
      <c r="G213" s="99"/>
      <c r="H213" s="99"/>
      <c r="I213" s="100"/>
      <c r="J213" s="100"/>
      <c r="K213" s="100"/>
      <c r="S213" s="44">
        <v>21</v>
      </c>
      <c r="T213" s="44">
        <f>($T$222-$T$212)/($S$222-$S$212)*(S213-$S$212)+$T$212</f>
        <v>1.123</v>
      </c>
      <c r="U213" s="44">
        <f>($U$222-$U$212)/($S$222-$S$212)*(S213-$S$212)+$U$212</f>
        <v>1.0750000000000002</v>
      </c>
      <c r="V213" s="44">
        <f>($V$222-$V$212)/($S$222-$S$212)*(S213-$S$212)+$V$212</f>
        <v>1.0150000000000001</v>
      </c>
      <c r="W213" s="44">
        <f>($W$222-$W$212)/($S$222-$S$212)*(S213-$S$212)+$W$212</f>
        <v>0.81700000000000006</v>
      </c>
    </row>
    <row r="214" spans="1:23" x14ac:dyDescent="0.25">
      <c r="A214" s="44"/>
      <c r="B214" s="44"/>
      <c r="C214" s="44"/>
      <c r="D214" s="44"/>
      <c r="F214" s="99"/>
      <c r="G214" s="44"/>
      <c r="H214" s="44"/>
      <c r="I214" s="100"/>
      <c r="J214" s="100"/>
      <c r="K214" s="100"/>
      <c r="M214" s="15">
        <f>Calculation!$B$86</f>
        <v>0.2</v>
      </c>
      <c r="N214" s="44">
        <f>Calculation!$F$80</f>
        <v>1.5169999999999999</v>
      </c>
      <c r="S214" s="44">
        <v>22</v>
      </c>
      <c r="T214" s="44">
        <f t="shared" ref="T214:T221" si="8">($T$222-$T$212)/($S$222-$S$212)*(S214-$S$212)+$T$212</f>
        <v>1.1260000000000001</v>
      </c>
      <c r="U214" s="44">
        <f t="shared" ref="U214:U221" si="9">($U$222-$U$212)/($S$222-$S$212)*(S214-$S$212)+$U$212</f>
        <v>1.08</v>
      </c>
      <c r="V214" s="44">
        <f t="shared" ref="V214:V221" si="10">($V$222-$V$212)/($S$222-$S$212)*(S214-$S$212)+$V$212</f>
        <v>1.02</v>
      </c>
      <c r="W214" s="44">
        <f t="shared" ref="W214:W221" si="11">($W$222-$W$212)/($S$222-$S$212)*(S214-$S$212)+$W$212</f>
        <v>0.83400000000000007</v>
      </c>
    </row>
    <row r="215" spans="1:23" x14ac:dyDescent="0.25">
      <c r="A215" s="1310" t="s">
        <v>498</v>
      </c>
      <c r="B215" s="1311"/>
      <c r="C215" s="1312"/>
      <c r="D215" s="99" t="str">
        <f>"(0.7*"&amp;F212&amp;")"</f>
        <v>(0.7*0.28688)</v>
      </c>
      <c r="F215" s="102">
        <f>0.7*F212</f>
        <v>0.20081599999999999</v>
      </c>
      <c r="G215" s="99" t="s">
        <v>234</v>
      </c>
      <c r="H215" s="99"/>
      <c r="I215" s="100"/>
      <c r="J215" s="100"/>
      <c r="K215" s="100"/>
      <c r="S215" s="44">
        <v>23</v>
      </c>
      <c r="T215" s="44">
        <f t="shared" si="8"/>
        <v>1.129</v>
      </c>
      <c r="U215" s="44">
        <f t="shared" si="9"/>
        <v>1.085</v>
      </c>
      <c r="V215" s="44">
        <f t="shared" si="10"/>
        <v>1.0249999999999999</v>
      </c>
      <c r="W215" s="44">
        <f t="shared" si="11"/>
        <v>0.85099999999999998</v>
      </c>
    </row>
    <row r="216" spans="1:23" x14ac:dyDescent="0.25">
      <c r="E216" s="48" t="s">
        <v>500</v>
      </c>
      <c r="F216" s="48">
        <f>ROUND(F215,2)</f>
        <v>0.2</v>
      </c>
      <c r="G216" s="99" t="s">
        <v>234</v>
      </c>
      <c r="H216" s="48"/>
      <c r="S216" s="44">
        <v>24</v>
      </c>
      <c r="T216" s="44">
        <f t="shared" si="8"/>
        <v>1.1320000000000001</v>
      </c>
      <c r="U216" s="44">
        <f t="shared" si="9"/>
        <v>1.0900000000000001</v>
      </c>
      <c r="V216" s="44">
        <f t="shared" si="10"/>
        <v>1.03</v>
      </c>
      <c r="W216" s="44">
        <f t="shared" si="11"/>
        <v>0.86799999999999999</v>
      </c>
    </row>
    <row r="217" spans="1:23" x14ac:dyDescent="0.25">
      <c r="A217" s="99"/>
      <c r="B217" s="99" t="s">
        <v>473</v>
      </c>
      <c r="C217" s="99"/>
      <c r="D217" s="99"/>
      <c r="G217" s="48"/>
      <c r="H217" s="48"/>
      <c r="K217" s="48">
        <f>Calculation!$F$86+2*Calculation!$B$86</f>
        <v>9.5</v>
      </c>
      <c r="L217" s="48" t="s">
        <v>74</v>
      </c>
      <c r="S217" s="44">
        <v>25</v>
      </c>
      <c r="T217" s="44">
        <f t="shared" si="8"/>
        <v>1.135</v>
      </c>
      <c r="U217" s="44">
        <f t="shared" si="9"/>
        <v>1.0950000000000002</v>
      </c>
      <c r="V217" s="44">
        <f t="shared" si="10"/>
        <v>1.0350000000000001</v>
      </c>
      <c r="W217" s="44">
        <f t="shared" si="11"/>
        <v>0.88500000000000001</v>
      </c>
    </row>
    <row r="218" spans="1:23" x14ac:dyDescent="0.25">
      <c r="A218" s="99"/>
      <c r="B218" s="99"/>
      <c r="C218" s="99"/>
      <c r="D218" s="99"/>
      <c r="G218" s="48"/>
      <c r="H218" s="48"/>
      <c r="K218" s="48"/>
      <c r="L218" s="48"/>
      <c r="S218" s="44">
        <v>26</v>
      </c>
      <c r="T218" s="44">
        <f t="shared" si="8"/>
        <v>1.1379999999999999</v>
      </c>
      <c r="U218" s="44">
        <f t="shared" si="9"/>
        <v>1.1000000000000001</v>
      </c>
      <c r="V218" s="44">
        <f t="shared" si="10"/>
        <v>1.04</v>
      </c>
      <c r="W218" s="44">
        <f t="shared" si="11"/>
        <v>0.90200000000000002</v>
      </c>
    </row>
    <row r="219" spans="1:23" x14ac:dyDescent="0.25">
      <c r="A219" s="99"/>
      <c r="B219" s="99" t="s">
        <v>474</v>
      </c>
      <c r="C219" s="99"/>
      <c r="D219" s="99"/>
      <c r="G219" s="48"/>
      <c r="H219" s="48"/>
      <c r="K219" s="48">
        <f>Calculation!$F$88+Calculation!$F$80</f>
        <v>6.1669999999999998</v>
      </c>
      <c r="L219" s="48" t="s">
        <v>74</v>
      </c>
      <c r="S219" s="44">
        <v>27</v>
      </c>
      <c r="T219" s="44">
        <f t="shared" si="8"/>
        <v>1.141</v>
      </c>
      <c r="U219" s="44">
        <f t="shared" si="9"/>
        <v>1.105</v>
      </c>
      <c r="V219" s="44">
        <f t="shared" si="10"/>
        <v>1.0449999999999999</v>
      </c>
      <c r="W219" s="44">
        <f t="shared" si="11"/>
        <v>0.91900000000000004</v>
      </c>
    </row>
    <row r="220" spans="1:23" x14ac:dyDescent="0.25">
      <c r="A220" s="99"/>
      <c r="B220" s="99"/>
      <c r="C220" s="99"/>
      <c r="D220" s="99"/>
      <c r="G220" s="48"/>
      <c r="H220" s="48"/>
      <c r="S220" s="44">
        <v>28</v>
      </c>
      <c r="T220" s="44">
        <f t="shared" si="8"/>
        <v>1.1439999999999999</v>
      </c>
      <c r="U220" s="44">
        <f t="shared" si="9"/>
        <v>1.1100000000000001</v>
      </c>
      <c r="V220" s="44">
        <f t="shared" si="10"/>
        <v>1.05</v>
      </c>
      <c r="W220" s="44">
        <f t="shared" si="11"/>
        <v>0.93599999999999994</v>
      </c>
    </row>
    <row r="221" spans="1:23" hidden="1" x14ac:dyDescent="0.25">
      <c r="A221" s="99"/>
      <c r="B221" s="99" t="s">
        <v>475</v>
      </c>
      <c r="C221" s="99"/>
      <c r="D221" s="99"/>
      <c r="G221" s="48"/>
      <c r="H221" s="48"/>
      <c r="K221" s="48">
        <f>0.7*K217*K219*F212</f>
        <v>11.765106584</v>
      </c>
      <c r="L221" s="48" t="s">
        <v>229</v>
      </c>
      <c r="S221" s="44">
        <v>29</v>
      </c>
      <c r="T221" s="44">
        <f t="shared" si="8"/>
        <v>1.147</v>
      </c>
      <c r="U221" s="44">
        <f t="shared" si="9"/>
        <v>1.1150000000000002</v>
      </c>
      <c r="V221" s="44">
        <f t="shared" si="10"/>
        <v>1.0550000000000002</v>
      </c>
      <c r="W221" s="44">
        <f t="shared" si="11"/>
        <v>0.95299999999999996</v>
      </c>
    </row>
    <row r="222" spans="1:23" x14ac:dyDescent="0.25">
      <c r="A222" s="99"/>
      <c r="B222" s="99"/>
      <c r="C222" s="99"/>
      <c r="D222" s="99"/>
      <c r="E222" s="48"/>
      <c r="F222" s="48"/>
      <c r="G222" s="48"/>
      <c r="H222" s="48"/>
      <c r="J222" s="182"/>
      <c r="S222" s="44">
        <v>30</v>
      </c>
      <c r="T222" s="44">
        <v>1.1499999999999999</v>
      </c>
      <c r="U222" s="44">
        <v>1.1200000000000001</v>
      </c>
      <c r="V222" s="44">
        <v>1.06</v>
      </c>
      <c r="W222" s="44">
        <v>0.97</v>
      </c>
    </row>
    <row r="223" spans="1:23" x14ac:dyDescent="0.25">
      <c r="A223" s="99"/>
      <c r="B223" s="159" t="s">
        <v>682</v>
      </c>
      <c r="C223" s="159"/>
      <c r="D223" s="99"/>
      <c r="E223" s="48"/>
      <c r="F223" s="48" t="str">
        <f>"(0.8*"&amp;$F$212&amp;"*"&amp;Calculation!$D$98&amp;")"</f>
        <v>(0.8*0.28688*0.5)</v>
      </c>
      <c r="G223" s="48"/>
      <c r="H223" s="48"/>
      <c r="J223" s="182"/>
      <c r="K223" s="10">
        <f>(0.8*$F$212*Calculation!$D$98)</f>
        <v>0.11475200000000002</v>
      </c>
      <c r="L223" s="10" t="s">
        <v>285</v>
      </c>
      <c r="S223" s="44">
        <v>0</v>
      </c>
      <c r="T223" s="44">
        <v>0</v>
      </c>
    </row>
    <row r="224" spans="1:23" x14ac:dyDescent="0.25">
      <c r="A224" s="99"/>
      <c r="B224" s="159" t="s">
        <v>683</v>
      </c>
      <c r="C224" s="159"/>
      <c r="D224" s="99"/>
      <c r="E224" s="48"/>
      <c r="F224" s="48" t="str">
        <f>"(1.2*"&amp;$F$212&amp;"*"&amp;$B$24&amp;"/1000)"</f>
        <v>(1.2*0.28688*400/1000)</v>
      </c>
      <c r="G224" s="48"/>
      <c r="H224" s="48"/>
      <c r="J224" s="182"/>
      <c r="K224" s="10">
        <f>(1.2*$F$212*$B$24/1000)</f>
        <v>0.1377024</v>
      </c>
      <c r="L224" s="10" t="s">
        <v>285</v>
      </c>
    </row>
    <row r="225" spans="1:11" x14ac:dyDescent="0.25">
      <c r="A225" s="99"/>
      <c r="B225" s="159"/>
      <c r="C225" s="159"/>
      <c r="D225" s="99"/>
      <c r="E225" s="48"/>
      <c r="F225" s="48"/>
      <c r="G225" s="48"/>
      <c r="H225" s="48"/>
      <c r="J225" s="182"/>
    </row>
    <row r="226" spans="1:11" x14ac:dyDescent="0.25">
      <c r="A226" s="101"/>
      <c r="B226" s="98" t="s">
        <v>223</v>
      </c>
      <c r="C226" s="98"/>
      <c r="D226" s="98"/>
      <c r="E226" s="1037">
        <v>10</v>
      </c>
      <c r="F226" s="1037" t="s">
        <v>1961</v>
      </c>
      <c r="G226" s="1037">
        <v>15</v>
      </c>
      <c r="H226" s="100"/>
      <c r="I226" s="100"/>
      <c r="J226" s="100"/>
      <c r="K226" s="100"/>
    </row>
    <row r="227" spans="1:11" x14ac:dyDescent="0.25">
      <c r="A227" s="101"/>
      <c r="B227" s="1032" t="s">
        <v>1960</v>
      </c>
      <c r="C227" s="1033"/>
      <c r="D227" s="1034" t="s">
        <v>1956</v>
      </c>
      <c r="E227" s="1035">
        <f>IF(I199&gt;10,I199,0)</f>
        <v>0</v>
      </c>
      <c r="F227" s="99"/>
      <c r="G227" s="99"/>
      <c r="H227" s="100"/>
      <c r="I227" s="296"/>
      <c r="J227" s="100"/>
      <c r="K227" s="100"/>
    </row>
    <row r="228" spans="1:11" x14ac:dyDescent="0.25">
      <c r="A228" s="101"/>
      <c r="B228" s="99" t="s">
        <v>470</v>
      </c>
      <c r="C228" s="99"/>
      <c r="D228" s="99"/>
      <c r="F228" s="127">
        <v>50</v>
      </c>
      <c r="G228" s="99" t="s">
        <v>228</v>
      </c>
    </row>
    <row r="229" spans="1:11" x14ac:dyDescent="0.25">
      <c r="A229" s="101"/>
      <c r="B229" s="101" t="s">
        <v>224</v>
      </c>
      <c r="C229" s="101"/>
      <c r="D229" s="99"/>
      <c r="F229" s="127">
        <v>1.08</v>
      </c>
      <c r="G229" s="99"/>
      <c r="J229" s="100"/>
      <c r="K229" s="1031"/>
    </row>
    <row r="230" spans="1:11" x14ac:dyDescent="0.25">
      <c r="A230" s="101"/>
      <c r="B230" s="101" t="s">
        <v>225</v>
      </c>
      <c r="C230" s="101"/>
      <c r="D230" s="99"/>
      <c r="F230" s="127">
        <f>VLOOKUP(E227,S202:T223,2,FALSE)</f>
        <v>0</v>
      </c>
      <c r="G230" s="48"/>
      <c r="H230" s="48" t="s">
        <v>1951</v>
      </c>
      <c r="I230" s="100"/>
    </row>
    <row r="231" spans="1:11" x14ac:dyDescent="0.25">
      <c r="A231" s="101"/>
      <c r="B231" s="101" t="s">
        <v>226</v>
      </c>
      <c r="C231" s="101"/>
      <c r="D231" s="99"/>
      <c r="F231" s="127">
        <v>1</v>
      </c>
      <c r="G231" s="99"/>
      <c r="H231" s="99"/>
      <c r="I231" s="100"/>
      <c r="J231" s="100"/>
      <c r="K231" s="1031"/>
    </row>
    <row r="232" spans="1:11" x14ac:dyDescent="0.25">
      <c r="A232" s="101"/>
      <c r="B232" s="101" t="s">
        <v>471</v>
      </c>
      <c r="C232" s="101"/>
      <c r="D232" s="99"/>
      <c r="F232" s="48">
        <v>1.3</v>
      </c>
      <c r="G232" s="99" t="s">
        <v>499</v>
      </c>
      <c r="H232" s="99"/>
      <c r="I232" s="100"/>
      <c r="J232" s="100"/>
      <c r="K232" s="1031"/>
    </row>
    <row r="233" spans="1:11" x14ac:dyDescent="0.25">
      <c r="A233" s="101"/>
      <c r="B233" s="99"/>
      <c r="C233" s="99" t="s">
        <v>472</v>
      </c>
      <c r="D233" s="99"/>
      <c r="F233" s="48">
        <f>F228*F229*F230*F231*F232</f>
        <v>0</v>
      </c>
      <c r="G233" s="99"/>
      <c r="H233" s="99"/>
      <c r="I233" s="100"/>
      <c r="J233" s="100"/>
      <c r="K233" s="1031"/>
    </row>
    <row r="234" spans="1:11" x14ac:dyDescent="0.25">
      <c r="B234" s="1307" t="s">
        <v>1175</v>
      </c>
      <c r="C234" s="1308"/>
      <c r="D234" s="99" t="s">
        <v>1169</v>
      </c>
      <c r="E234" s="99" t="s">
        <v>442</v>
      </c>
      <c r="F234" s="48">
        <f>(0.6*F233*F233)</f>
        <v>0</v>
      </c>
      <c r="G234" s="99">
        <f>ROUND((F234/10000),3)</f>
        <v>0</v>
      </c>
      <c r="H234" s="99" t="s">
        <v>234</v>
      </c>
      <c r="I234" s="100"/>
      <c r="J234" s="100"/>
      <c r="K234" s="100"/>
    </row>
    <row r="235" spans="1:11" x14ac:dyDescent="0.25">
      <c r="A235" s="101"/>
      <c r="B235" s="99" t="s">
        <v>1170</v>
      </c>
      <c r="C235" s="99"/>
      <c r="D235" s="99"/>
      <c r="F235" s="48">
        <v>1</v>
      </c>
      <c r="G235" s="99" t="s">
        <v>1173</v>
      </c>
      <c r="H235" s="99"/>
      <c r="I235" s="100"/>
      <c r="J235" s="100"/>
      <c r="K235" s="100"/>
    </row>
    <row r="236" spans="1:11" x14ac:dyDescent="0.25">
      <c r="A236" s="101"/>
      <c r="B236" s="99" t="s">
        <v>1174</v>
      </c>
      <c r="C236" s="99"/>
      <c r="D236" s="99"/>
      <c r="F236" s="48">
        <f>(Calculation!F86+Calculation!B86)*(Calculation!D85+Calculation!B93)</f>
        <v>46.499999999999993</v>
      </c>
      <c r="G236" s="99" t="s">
        <v>610</v>
      </c>
      <c r="H236" s="99"/>
      <c r="I236" s="100"/>
      <c r="J236" s="100"/>
      <c r="K236" s="100"/>
    </row>
    <row r="237" spans="1:11" x14ac:dyDescent="0.25">
      <c r="A237" s="101"/>
      <c r="B237" s="99" t="s">
        <v>1171</v>
      </c>
      <c r="C237" s="99"/>
      <c r="D237" s="99"/>
      <c r="F237" s="526">
        <f>O204</f>
        <v>0.88</v>
      </c>
      <c r="G237" s="99"/>
      <c r="H237" s="99"/>
      <c r="I237" s="100"/>
      <c r="J237" s="100"/>
      <c r="K237" s="100"/>
    </row>
    <row r="238" spans="1:11" x14ac:dyDescent="0.25">
      <c r="A238" s="101"/>
      <c r="B238" s="99" t="s">
        <v>1172</v>
      </c>
      <c r="C238" s="99"/>
      <c r="D238" s="99"/>
      <c r="F238" s="48">
        <v>1</v>
      </c>
      <c r="G238" s="99"/>
      <c r="H238" s="99"/>
      <c r="I238" s="100"/>
      <c r="J238" s="100"/>
      <c r="K238" s="100"/>
    </row>
    <row r="239" spans="1:11" x14ac:dyDescent="0.25">
      <c r="A239" s="101"/>
      <c r="B239" s="1309" t="s">
        <v>1176</v>
      </c>
      <c r="C239" s="1309"/>
      <c r="D239" s="99"/>
      <c r="F239" s="99">
        <f>G234*F235*F237*F238</f>
        <v>0</v>
      </c>
      <c r="G239" s="99" t="s">
        <v>234</v>
      </c>
      <c r="H239" s="99"/>
      <c r="I239" s="100"/>
      <c r="J239" s="100"/>
      <c r="K239" s="100"/>
    </row>
    <row r="240" spans="1:11" x14ac:dyDescent="0.25">
      <c r="A240" s="101"/>
      <c r="B240" s="99"/>
      <c r="C240" s="99"/>
      <c r="D240" s="99"/>
      <c r="F240" s="48"/>
      <c r="G240" s="99"/>
      <c r="H240" s="99"/>
      <c r="I240" s="100"/>
      <c r="J240" s="100"/>
      <c r="K240" s="100"/>
    </row>
    <row r="241" spans="1:12" x14ac:dyDescent="0.25">
      <c r="A241" s="44"/>
      <c r="B241" s="44"/>
      <c r="C241" s="44"/>
      <c r="D241" s="44"/>
      <c r="F241" s="99"/>
      <c r="G241" s="44"/>
      <c r="H241" s="44"/>
      <c r="I241" s="100"/>
      <c r="J241" s="100"/>
      <c r="K241" s="100"/>
    </row>
    <row r="242" spans="1:12" x14ac:dyDescent="0.25">
      <c r="A242" s="1310" t="s">
        <v>498</v>
      </c>
      <c r="B242" s="1311"/>
      <c r="C242" s="1312"/>
      <c r="D242" s="99" t="str">
        <f>"(0.7*"&amp;F239&amp;")"</f>
        <v>(0.7*0)</v>
      </c>
      <c r="F242" s="102">
        <f>0.7*F239</f>
        <v>0</v>
      </c>
      <c r="G242" s="99" t="s">
        <v>234</v>
      </c>
      <c r="H242" s="99"/>
      <c r="I242" s="100"/>
      <c r="J242" s="100"/>
      <c r="K242" s="100"/>
    </row>
    <row r="243" spans="1:12" x14ac:dyDescent="0.25">
      <c r="E243" s="48" t="s">
        <v>500</v>
      </c>
      <c r="F243" s="48">
        <f>ROUND(F242,2)</f>
        <v>0</v>
      </c>
      <c r="G243" s="99" t="s">
        <v>234</v>
      </c>
      <c r="H243" s="48"/>
    </row>
    <row r="244" spans="1:12" x14ac:dyDescent="0.25">
      <c r="A244" s="99"/>
      <c r="B244" s="99" t="s">
        <v>473</v>
      </c>
      <c r="C244" s="99"/>
      <c r="D244" s="99"/>
      <c r="G244" s="48"/>
      <c r="H244" s="48"/>
      <c r="K244" s="48">
        <f>Calculation!$F$86+2*Calculation!$B$86</f>
        <v>9.5</v>
      </c>
      <c r="L244" s="48" t="s">
        <v>74</v>
      </c>
    </row>
    <row r="245" spans="1:12" x14ac:dyDescent="0.25">
      <c r="A245" s="99"/>
      <c r="B245" s="99"/>
      <c r="C245" s="99"/>
      <c r="D245" s="99"/>
      <c r="G245" s="48"/>
      <c r="H245" s="48"/>
      <c r="K245" s="48"/>
      <c r="L245" s="48"/>
    </row>
    <row r="246" spans="1:12" x14ac:dyDescent="0.25">
      <c r="A246" s="99"/>
      <c r="B246" s="99" t="s">
        <v>474</v>
      </c>
      <c r="C246" s="99"/>
      <c r="D246" s="99"/>
      <c r="G246" s="48"/>
      <c r="H246" s="48"/>
      <c r="K246" s="48">
        <f>Calculation!$F$88+Calculation!$F$80</f>
        <v>6.1669999999999998</v>
      </c>
      <c r="L246" s="48" t="s">
        <v>74</v>
      </c>
    </row>
    <row r="247" spans="1:12" x14ac:dyDescent="0.25">
      <c r="A247" s="99"/>
      <c r="B247" s="99"/>
      <c r="C247" s="99"/>
      <c r="D247" s="99"/>
      <c r="G247" s="48"/>
      <c r="H247" s="48"/>
    </row>
    <row r="248" spans="1:12" x14ac:dyDescent="0.25">
      <c r="A248" s="99"/>
      <c r="B248" s="99" t="s">
        <v>475</v>
      </c>
      <c r="C248" s="99"/>
      <c r="D248" s="99"/>
      <c r="G248" s="48"/>
      <c r="H248" s="48"/>
      <c r="K248" s="48">
        <f>0.7*K244*K246*F239</f>
        <v>0</v>
      </c>
      <c r="L248" s="48" t="s">
        <v>229</v>
      </c>
    </row>
    <row r="249" spans="1:12" x14ac:dyDescent="0.25">
      <c r="A249" s="99"/>
      <c r="B249" s="99"/>
      <c r="C249" s="99"/>
      <c r="D249" s="99"/>
      <c r="E249" s="48"/>
      <c r="F249" s="48"/>
      <c r="G249" s="48"/>
      <c r="H249" s="48"/>
      <c r="J249" s="182"/>
    </row>
    <row r="250" spans="1:12" x14ac:dyDescent="0.25">
      <c r="A250" s="99"/>
      <c r="B250" s="159" t="s">
        <v>682</v>
      </c>
      <c r="C250" s="159"/>
      <c r="D250" s="99"/>
      <c r="E250" s="48"/>
      <c r="F250" s="48" t="str">
        <f>"(0.8*"&amp;$F$212&amp;"*"&amp;Calculation!$D$98&amp;")"</f>
        <v>(0.8*0.28688*0.5)</v>
      </c>
      <c r="G250" s="48"/>
      <c r="H250" s="48"/>
      <c r="J250" s="182"/>
      <c r="K250" s="10">
        <f>(0.8*$F$239*Calculation!$D$98)</f>
        <v>0</v>
      </c>
      <c r="L250" s="10" t="s">
        <v>285</v>
      </c>
    </row>
    <row r="251" spans="1:12" x14ac:dyDescent="0.25">
      <c r="A251" s="99"/>
      <c r="B251" s="159" t="s">
        <v>683</v>
      </c>
      <c r="C251" s="159"/>
      <c r="D251" s="99"/>
      <c r="E251" s="48"/>
      <c r="F251" s="48" t="str">
        <f>"(1.2*"&amp;$F$212&amp;"*"&amp;$B$24&amp;"/1000)"</f>
        <v>(1.2*0.28688*400/1000)</v>
      </c>
      <c r="G251" s="48"/>
      <c r="H251" s="48"/>
      <c r="J251" s="182"/>
      <c r="K251" s="10">
        <f>(1.2*$F$239*$B$24/1000)</f>
        <v>0</v>
      </c>
      <c r="L251" s="10" t="s">
        <v>285</v>
      </c>
    </row>
    <row r="252" spans="1:12" x14ac:dyDescent="0.25">
      <c r="A252" s="99"/>
      <c r="B252" s="159"/>
      <c r="C252" s="159"/>
      <c r="D252" s="99"/>
      <c r="E252" s="48"/>
      <c r="F252" s="48"/>
      <c r="G252" s="48"/>
      <c r="H252" s="48"/>
      <c r="J252" s="182"/>
    </row>
    <row r="253" spans="1:12" x14ac:dyDescent="0.25">
      <c r="B253" s="98" t="s">
        <v>223</v>
      </c>
      <c r="C253" s="98"/>
      <c r="D253" s="98"/>
      <c r="E253" s="1037">
        <v>15</v>
      </c>
      <c r="F253" s="1037" t="s">
        <v>1961</v>
      </c>
      <c r="G253" s="1037">
        <v>20</v>
      </c>
      <c r="H253" s="100"/>
      <c r="I253" s="100"/>
      <c r="J253" s="100"/>
      <c r="K253" s="100"/>
    </row>
    <row r="254" spans="1:12" x14ac:dyDescent="0.25">
      <c r="A254" s="101"/>
      <c r="B254" s="1032" t="s">
        <v>1960</v>
      </c>
      <c r="C254" s="1033"/>
      <c r="D254" s="1034" t="s">
        <v>1956</v>
      </c>
      <c r="E254" s="1035">
        <f>IF(I199&gt;E253,20,0)</f>
        <v>0</v>
      </c>
      <c r="F254" s="99"/>
      <c r="G254" s="99"/>
      <c r="H254" s="100"/>
      <c r="I254" s="296"/>
      <c r="J254" s="100"/>
      <c r="K254" s="100"/>
    </row>
    <row r="255" spans="1:12" x14ac:dyDescent="0.25">
      <c r="A255" s="101"/>
      <c r="B255" s="99" t="s">
        <v>470</v>
      </c>
      <c r="C255" s="99"/>
      <c r="D255" s="99"/>
      <c r="F255" s="127">
        <v>50</v>
      </c>
      <c r="G255" s="99" t="s">
        <v>228</v>
      </c>
    </row>
    <row r="256" spans="1:12" x14ac:dyDescent="0.25">
      <c r="A256" s="101"/>
      <c r="B256" s="101" t="s">
        <v>224</v>
      </c>
      <c r="C256" s="101"/>
      <c r="D256" s="99"/>
      <c r="F256" s="127">
        <v>1.08</v>
      </c>
      <c r="G256" s="99"/>
      <c r="J256" s="100"/>
      <c r="K256" s="1031"/>
    </row>
    <row r="257" spans="1:12" x14ac:dyDescent="0.25">
      <c r="A257" s="101"/>
      <c r="B257" s="101" t="s">
        <v>225</v>
      </c>
      <c r="C257" s="101"/>
      <c r="D257" s="99"/>
      <c r="F257" s="127">
        <f>VLOOKUP(E254,S202:T223,2,FALSE)</f>
        <v>0</v>
      </c>
      <c r="G257" s="48"/>
      <c r="H257" s="48" t="s">
        <v>1951</v>
      </c>
      <c r="I257" s="100"/>
    </row>
    <row r="258" spans="1:12" x14ac:dyDescent="0.25">
      <c r="A258" s="101"/>
      <c r="B258" s="101" t="s">
        <v>226</v>
      </c>
      <c r="C258" s="101"/>
      <c r="D258" s="99"/>
      <c r="F258" s="127">
        <v>1</v>
      </c>
      <c r="G258" s="99"/>
      <c r="H258" s="99"/>
      <c r="I258" s="100"/>
      <c r="J258" s="100"/>
      <c r="K258" s="1031"/>
    </row>
    <row r="259" spans="1:12" x14ac:dyDescent="0.25">
      <c r="A259" s="101"/>
      <c r="B259" s="101" t="s">
        <v>471</v>
      </c>
      <c r="C259" s="101"/>
      <c r="D259" s="99"/>
      <c r="F259" s="48">
        <v>1.3</v>
      </c>
      <c r="G259" s="99" t="s">
        <v>499</v>
      </c>
      <c r="H259" s="99"/>
      <c r="I259" s="100"/>
      <c r="J259" s="100"/>
      <c r="K259" s="1031"/>
    </row>
    <row r="260" spans="1:12" x14ac:dyDescent="0.25">
      <c r="A260" s="101"/>
      <c r="B260" s="99"/>
      <c r="C260" s="99" t="s">
        <v>472</v>
      </c>
      <c r="D260" s="99"/>
      <c r="F260" s="48">
        <f>F255*F256*F257*F258*F259</f>
        <v>0</v>
      </c>
      <c r="G260" s="99"/>
      <c r="H260" s="99"/>
      <c r="I260" s="100"/>
      <c r="J260" s="100"/>
      <c r="K260" s="1031"/>
    </row>
    <row r="261" spans="1:12" x14ac:dyDescent="0.25">
      <c r="B261" s="1307" t="s">
        <v>1175</v>
      </c>
      <c r="C261" s="1308"/>
      <c r="D261" s="99" t="s">
        <v>1169</v>
      </c>
      <c r="E261" s="99" t="s">
        <v>442</v>
      </c>
      <c r="F261" s="48">
        <f>(0.6*F260*F260)</f>
        <v>0</v>
      </c>
      <c r="G261" s="99">
        <f>ROUND((F261/10000),3)</f>
        <v>0</v>
      </c>
      <c r="H261" s="99" t="s">
        <v>234</v>
      </c>
      <c r="I261" s="100"/>
      <c r="J261" s="100"/>
      <c r="K261" s="100"/>
    </row>
    <row r="262" spans="1:12" x14ac:dyDescent="0.25">
      <c r="A262" s="101"/>
      <c r="B262" s="99" t="s">
        <v>1170</v>
      </c>
      <c r="C262" s="99"/>
      <c r="D262" s="99"/>
      <c r="F262" s="48">
        <v>1</v>
      </c>
      <c r="G262" s="99" t="s">
        <v>1173</v>
      </c>
      <c r="H262" s="99"/>
      <c r="I262" s="100"/>
      <c r="J262" s="100"/>
      <c r="K262" s="100"/>
    </row>
    <row r="263" spans="1:12" x14ac:dyDescent="0.25">
      <c r="A263" s="101"/>
      <c r="B263" s="99" t="s">
        <v>1174</v>
      </c>
      <c r="C263" s="99"/>
      <c r="D263" s="99"/>
      <c r="F263" s="48">
        <f>(Calculation!F86+Calculation!B86)*(Calculation!D85+Calculation!B93)</f>
        <v>46.499999999999993</v>
      </c>
      <c r="G263" s="99" t="s">
        <v>610</v>
      </c>
      <c r="H263" s="99"/>
      <c r="I263" s="100"/>
      <c r="J263" s="100"/>
      <c r="K263" s="100"/>
    </row>
    <row r="264" spans="1:12" x14ac:dyDescent="0.25">
      <c r="A264" s="101"/>
      <c r="B264" s="99" t="s">
        <v>1171</v>
      </c>
      <c r="C264" s="99"/>
      <c r="D264" s="99"/>
      <c r="F264" s="526">
        <f>O204</f>
        <v>0.88</v>
      </c>
      <c r="G264" s="99"/>
      <c r="H264" s="99"/>
      <c r="I264" s="100"/>
      <c r="J264" s="100"/>
      <c r="K264" s="100"/>
    </row>
    <row r="265" spans="1:12" x14ac:dyDescent="0.25">
      <c r="A265" s="101"/>
      <c r="B265" s="99" t="s">
        <v>1172</v>
      </c>
      <c r="C265" s="99"/>
      <c r="D265" s="99"/>
      <c r="F265" s="48">
        <v>1</v>
      </c>
      <c r="G265" s="99"/>
      <c r="H265" s="99"/>
      <c r="I265" s="100"/>
      <c r="J265" s="100"/>
      <c r="K265" s="100"/>
    </row>
    <row r="266" spans="1:12" x14ac:dyDescent="0.25">
      <c r="A266" s="101"/>
      <c r="B266" s="1309" t="s">
        <v>1176</v>
      </c>
      <c r="C266" s="1309"/>
      <c r="D266" s="99"/>
      <c r="F266" s="99">
        <f>G261*F262*F264*F265</f>
        <v>0</v>
      </c>
      <c r="G266" s="99" t="s">
        <v>234</v>
      </c>
      <c r="H266" s="99"/>
      <c r="I266" s="100"/>
      <c r="J266" s="100"/>
      <c r="K266" s="100"/>
    </row>
    <row r="267" spans="1:12" x14ac:dyDescent="0.25">
      <c r="A267" s="101"/>
      <c r="B267" s="99"/>
      <c r="C267" s="99"/>
      <c r="D267" s="99"/>
      <c r="F267" s="48"/>
      <c r="G267" s="99"/>
      <c r="H267" s="99"/>
      <c r="I267" s="100"/>
      <c r="J267" s="100"/>
      <c r="K267" s="100"/>
    </row>
    <row r="268" spans="1:12" x14ac:dyDescent="0.25">
      <c r="A268" s="44"/>
      <c r="B268" s="44"/>
      <c r="C268" s="44"/>
      <c r="D268" s="44"/>
      <c r="F268" s="99"/>
      <c r="G268" s="44"/>
      <c r="H268" s="44"/>
      <c r="I268" s="100"/>
      <c r="J268" s="100"/>
      <c r="K268" s="100"/>
    </row>
    <row r="269" spans="1:12" x14ac:dyDescent="0.25">
      <c r="A269" s="1310" t="s">
        <v>498</v>
      </c>
      <c r="B269" s="1311"/>
      <c r="C269" s="1312"/>
      <c r="D269" s="99" t="str">
        <f>"(0.7*"&amp;F266&amp;")"</f>
        <v>(0.7*0)</v>
      </c>
      <c r="F269" s="102">
        <f>0.7*F266</f>
        <v>0</v>
      </c>
      <c r="G269" s="99" t="s">
        <v>234</v>
      </c>
      <c r="H269" s="99"/>
      <c r="I269" s="100"/>
      <c r="J269" s="100"/>
      <c r="K269" s="100"/>
    </row>
    <row r="270" spans="1:12" x14ac:dyDescent="0.25">
      <c r="E270" s="48" t="s">
        <v>500</v>
      </c>
      <c r="F270" s="48">
        <f>ROUND(F269,2)</f>
        <v>0</v>
      </c>
      <c r="G270" s="99" t="s">
        <v>234</v>
      </c>
      <c r="H270" s="48"/>
    </row>
    <row r="271" spans="1:12" x14ac:dyDescent="0.25">
      <c r="A271" s="99"/>
      <c r="B271" s="99" t="s">
        <v>473</v>
      </c>
      <c r="C271" s="99"/>
      <c r="D271" s="99"/>
      <c r="G271" s="48"/>
      <c r="H271" s="48"/>
      <c r="K271" s="48">
        <f>Calculation!$F$86+2*Calculation!$B$86</f>
        <v>9.5</v>
      </c>
      <c r="L271" s="48" t="s">
        <v>74</v>
      </c>
    </row>
    <row r="272" spans="1:12" x14ac:dyDescent="0.25">
      <c r="A272" s="99"/>
      <c r="B272" s="99"/>
      <c r="C272" s="99"/>
      <c r="D272" s="99"/>
      <c r="G272" s="48"/>
      <c r="H272" s="48"/>
      <c r="K272" s="48"/>
      <c r="L272" s="48"/>
    </row>
    <row r="273" spans="1:12" x14ac:dyDescent="0.25">
      <c r="A273" s="99"/>
      <c r="B273" s="99" t="s">
        <v>474</v>
      </c>
      <c r="C273" s="99"/>
      <c r="D273" s="99"/>
      <c r="G273" s="48"/>
      <c r="H273" s="48"/>
      <c r="K273" s="48">
        <f>Calculation!$F$88+Calculation!$F$80</f>
        <v>6.1669999999999998</v>
      </c>
      <c r="L273" s="48" t="s">
        <v>74</v>
      </c>
    </row>
    <row r="274" spans="1:12" x14ac:dyDescent="0.25">
      <c r="A274" s="99"/>
      <c r="B274" s="99"/>
      <c r="C274" s="99"/>
      <c r="D274" s="99"/>
      <c r="G274" s="48"/>
      <c r="H274" s="48"/>
    </row>
    <row r="275" spans="1:12" x14ac:dyDescent="0.25">
      <c r="A275" s="99"/>
      <c r="B275" s="99" t="s">
        <v>475</v>
      </c>
      <c r="C275" s="99"/>
      <c r="D275" s="99"/>
      <c r="G275" s="48"/>
      <c r="H275" s="48"/>
      <c r="K275" s="48">
        <f>0.7*K271*K273*F266</f>
        <v>0</v>
      </c>
      <c r="L275" s="48" t="s">
        <v>229</v>
      </c>
    </row>
    <row r="276" spans="1:12" x14ac:dyDescent="0.25">
      <c r="A276" s="99"/>
      <c r="B276" s="99"/>
      <c r="C276" s="99"/>
      <c r="D276" s="99"/>
      <c r="E276" s="48"/>
      <c r="F276" s="48"/>
      <c r="G276" s="48"/>
      <c r="H276" s="48"/>
      <c r="J276" s="182"/>
    </row>
    <row r="277" spans="1:12" x14ac:dyDescent="0.25">
      <c r="A277" s="99"/>
      <c r="B277" s="159" t="s">
        <v>682</v>
      </c>
      <c r="C277" s="159"/>
      <c r="D277" s="99"/>
      <c r="E277" s="48"/>
      <c r="F277" s="48" t="str">
        <f>"(0.8*"&amp;$F$212&amp;"*"&amp;Calculation!$D$98&amp;")"</f>
        <v>(0.8*0.28688*0.5)</v>
      </c>
      <c r="G277" s="48"/>
      <c r="H277" s="48"/>
      <c r="J277" s="182"/>
      <c r="K277" s="10">
        <f>(0.8*$F$266*Calculation!$D$98)</f>
        <v>0</v>
      </c>
      <c r="L277" s="10" t="s">
        <v>285</v>
      </c>
    </row>
    <row r="278" spans="1:12" x14ac:dyDescent="0.25">
      <c r="A278" s="99"/>
      <c r="B278" s="159" t="s">
        <v>683</v>
      </c>
      <c r="C278" s="159"/>
      <c r="D278" s="99"/>
      <c r="E278" s="48"/>
      <c r="F278" s="48" t="str">
        <f>"(1.2*"&amp;$F$212&amp;"*"&amp;$B$24&amp;"/1000)"</f>
        <v>(1.2*0.28688*400/1000)</v>
      </c>
      <c r="G278" s="48"/>
      <c r="H278" s="48"/>
      <c r="J278" s="182"/>
      <c r="K278" s="10">
        <f>(1.2*$F$266*$B$24/1000)</f>
        <v>0</v>
      </c>
      <c r="L278" s="10" t="s">
        <v>285</v>
      </c>
    </row>
    <row r="279" spans="1:12" x14ac:dyDescent="0.25">
      <c r="A279" s="99"/>
      <c r="B279" s="159"/>
      <c r="C279" s="159"/>
      <c r="D279" s="99"/>
      <c r="E279" s="48"/>
      <c r="F279" s="48"/>
      <c r="G279" s="48"/>
      <c r="H279" s="48"/>
      <c r="J279" s="182"/>
    </row>
    <row r="280" spans="1:12" x14ac:dyDescent="0.25">
      <c r="B280" s="98" t="s">
        <v>223</v>
      </c>
      <c r="C280" s="98"/>
      <c r="D280" s="98"/>
      <c r="E280" s="1037">
        <v>20</v>
      </c>
      <c r="F280" s="1037" t="s">
        <v>1961</v>
      </c>
      <c r="G280" s="1037">
        <v>30</v>
      </c>
      <c r="H280" s="100"/>
      <c r="I280" s="100"/>
      <c r="J280" s="100"/>
      <c r="K280" s="100"/>
    </row>
    <row r="281" spans="1:12" x14ac:dyDescent="0.25">
      <c r="A281" s="101"/>
      <c r="B281" s="1032" t="s">
        <v>1960</v>
      </c>
      <c r="C281" s="1033"/>
      <c r="D281" s="1034" t="s">
        <v>1956</v>
      </c>
      <c r="E281" s="1035">
        <f>IF(I199&gt;E280,30,0)</f>
        <v>0</v>
      </c>
      <c r="F281" s="99"/>
      <c r="G281" s="99"/>
      <c r="H281" s="100"/>
      <c r="I281" s="296"/>
      <c r="J281" s="100"/>
      <c r="K281" s="100"/>
    </row>
    <row r="282" spans="1:12" x14ac:dyDescent="0.25">
      <c r="A282" s="101"/>
      <c r="B282" s="99" t="s">
        <v>470</v>
      </c>
      <c r="C282" s="99"/>
      <c r="D282" s="99"/>
      <c r="F282" s="127">
        <v>50</v>
      </c>
      <c r="G282" s="99" t="s">
        <v>228</v>
      </c>
    </row>
    <row r="283" spans="1:12" x14ac:dyDescent="0.25">
      <c r="A283" s="101"/>
      <c r="B283" s="101" t="s">
        <v>224</v>
      </c>
      <c r="C283" s="101"/>
      <c r="D283" s="99"/>
      <c r="F283" s="127">
        <v>1.08</v>
      </c>
      <c r="G283" s="99"/>
      <c r="J283" s="100"/>
      <c r="K283" s="1031"/>
    </row>
    <row r="284" spans="1:12" x14ac:dyDescent="0.25">
      <c r="A284" s="101"/>
      <c r="B284" s="101" t="s">
        <v>225</v>
      </c>
      <c r="C284" s="101"/>
      <c r="D284" s="99"/>
      <c r="F284" s="127">
        <f>VLOOKUP(E281,S202:T223,2,FALSE)</f>
        <v>0</v>
      </c>
      <c r="G284" s="48"/>
      <c r="H284" s="48" t="s">
        <v>1951</v>
      </c>
      <c r="I284" s="100"/>
    </row>
    <row r="285" spans="1:12" x14ac:dyDescent="0.25">
      <c r="A285" s="101"/>
      <c r="B285" s="101" t="s">
        <v>226</v>
      </c>
      <c r="C285" s="101"/>
      <c r="D285" s="99"/>
      <c r="F285" s="127">
        <v>1</v>
      </c>
      <c r="G285" s="99"/>
      <c r="H285" s="99"/>
      <c r="I285" s="100"/>
      <c r="J285" s="100"/>
      <c r="K285" s="1031"/>
    </row>
    <row r="286" spans="1:12" x14ac:dyDescent="0.25">
      <c r="A286" s="101"/>
      <c r="B286" s="101" t="s">
        <v>471</v>
      </c>
      <c r="C286" s="101"/>
      <c r="D286" s="99"/>
      <c r="F286" s="48">
        <v>1.3</v>
      </c>
      <c r="G286" s="99" t="s">
        <v>499</v>
      </c>
      <c r="H286" s="99"/>
      <c r="I286" s="100"/>
      <c r="J286" s="100"/>
      <c r="K286" s="1031"/>
    </row>
    <row r="287" spans="1:12" x14ac:dyDescent="0.25">
      <c r="A287" s="101"/>
      <c r="B287" s="99"/>
      <c r="C287" s="99" t="s">
        <v>472</v>
      </c>
      <c r="D287" s="99"/>
      <c r="F287" s="48">
        <f>F282*F283*F284*F285*F286</f>
        <v>0</v>
      </c>
      <c r="G287" s="99"/>
      <c r="H287" s="99"/>
      <c r="I287" s="100"/>
      <c r="J287" s="100"/>
      <c r="K287" s="1031"/>
    </row>
    <row r="288" spans="1:12" x14ac:dyDescent="0.25">
      <c r="B288" s="1307" t="s">
        <v>1175</v>
      </c>
      <c r="C288" s="1308"/>
      <c r="D288" s="99" t="s">
        <v>1169</v>
      </c>
      <c r="E288" s="99" t="s">
        <v>442</v>
      </c>
      <c r="F288" s="48">
        <f>(0.6*F287*F287)</f>
        <v>0</v>
      </c>
      <c r="G288" s="99">
        <f>ROUND((F288/10000),3)</f>
        <v>0</v>
      </c>
      <c r="H288" s="99" t="s">
        <v>234</v>
      </c>
      <c r="I288" s="100"/>
      <c r="J288" s="100"/>
      <c r="K288" s="100"/>
    </row>
    <row r="289" spans="1:12" x14ac:dyDescent="0.25">
      <c r="A289" s="101"/>
      <c r="B289" s="99" t="s">
        <v>1170</v>
      </c>
      <c r="C289" s="99"/>
      <c r="D289" s="99"/>
      <c r="F289" s="48">
        <v>1</v>
      </c>
      <c r="G289" s="99" t="s">
        <v>1173</v>
      </c>
      <c r="H289" s="99"/>
      <c r="I289" s="100"/>
      <c r="J289" s="100"/>
      <c r="K289" s="100"/>
    </row>
    <row r="290" spans="1:12" x14ac:dyDescent="0.25">
      <c r="A290" s="101"/>
      <c r="B290" s="99" t="s">
        <v>1174</v>
      </c>
      <c r="C290" s="99"/>
      <c r="D290" s="99"/>
      <c r="F290" s="48">
        <f>(Calculation!F86+Calculation!B86)*(Calculation!D85+Calculation!B93)</f>
        <v>46.499999999999993</v>
      </c>
      <c r="G290" s="99" t="s">
        <v>610</v>
      </c>
      <c r="H290" s="99"/>
      <c r="I290" s="100"/>
      <c r="J290" s="100"/>
      <c r="K290" s="100"/>
    </row>
    <row r="291" spans="1:12" x14ac:dyDescent="0.25">
      <c r="A291" s="101"/>
      <c r="B291" s="99" t="s">
        <v>1171</v>
      </c>
      <c r="C291" s="99"/>
      <c r="D291" s="99"/>
      <c r="F291" s="526">
        <f>O204</f>
        <v>0.88</v>
      </c>
      <c r="G291" s="99"/>
      <c r="H291" s="99"/>
      <c r="I291" s="100"/>
      <c r="J291" s="100"/>
      <c r="K291" s="100"/>
    </row>
    <row r="292" spans="1:12" x14ac:dyDescent="0.25">
      <c r="A292" s="101"/>
      <c r="B292" s="99" t="s">
        <v>1172</v>
      </c>
      <c r="C292" s="99"/>
      <c r="D292" s="99"/>
      <c r="F292" s="48">
        <v>1</v>
      </c>
      <c r="G292" s="99"/>
      <c r="H292" s="99"/>
      <c r="I292" s="100"/>
      <c r="J292" s="100"/>
      <c r="K292" s="100"/>
    </row>
    <row r="293" spans="1:12" x14ac:dyDescent="0.25">
      <c r="A293" s="101"/>
      <c r="B293" s="1309" t="s">
        <v>1176</v>
      </c>
      <c r="C293" s="1309"/>
      <c r="D293" s="99"/>
      <c r="F293" s="99">
        <f>G288*F289*F291*F292</f>
        <v>0</v>
      </c>
      <c r="G293" s="99" t="s">
        <v>234</v>
      </c>
      <c r="H293" s="99"/>
      <c r="I293" s="100"/>
      <c r="J293" s="100"/>
      <c r="K293" s="100"/>
    </row>
    <row r="294" spans="1:12" x14ac:dyDescent="0.25">
      <c r="A294" s="101"/>
      <c r="B294" s="99"/>
      <c r="C294" s="99"/>
      <c r="D294" s="99"/>
      <c r="F294" s="48"/>
      <c r="G294" s="99"/>
      <c r="H294" s="99"/>
      <c r="I294" s="100"/>
      <c r="J294" s="100"/>
      <c r="K294" s="100"/>
    </row>
    <row r="295" spans="1:12" x14ac:dyDescent="0.25">
      <c r="A295" s="44"/>
      <c r="B295" s="44"/>
      <c r="C295" s="44"/>
      <c r="D295" s="44"/>
      <c r="F295" s="99"/>
      <c r="G295" s="44"/>
      <c r="H295" s="44"/>
      <c r="I295" s="100"/>
      <c r="J295" s="100"/>
      <c r="K295" s="100"/>
    </row>
    <row r="296" spans="1:12" x14ac:dyDescent="0.25">
      <c r="A296" s="1310" t="s">
        <v>498</v>
      </c>
      <c r="B296" s="1311"/>
      <c r="C296" s="1312"/>
      <c r="D296" s="99" t="str">
        <f>"(0.7*"&amp;F293&amp;")"</f>
        <v>(0.7*0)</v>
      </c>
      <c r="F296" s="102">
        <f>0.7*F293</f>
        <v>0</v>
      </c>
      <c r="G296" s="99" t="s">
        <v>234</v>
      </c>
      <c r="H296" s="99"/>
      <c r="I296" s="100"/>
      <c r="J296" s="100"/>
      <c r="K296" s="100"/>
    </row>
    <row r="297" spans="1:12" x14ac:dyDescent="0.25">
      <c r="E297" s="48" t="s">
        <v>500</v>
      </c>
      <c r="F297" s="48">
        <f>ROUND(F296,2)</f>
        <v>0</v>
      </c>
      <c r="G297" s="99" t="s">
        <v>234</v>
      </c>
      <c r="H297" s="48"/>
    </row>
    <row r="298" spans="1:12" x14ac:dyDescent="0.25">
      <c r="A298" s="99"/>
      <c r="B298" s="99" t="s">
        <v>473</v>
      </c>
      <c r="C298" s="99"/>
      <c r="D298" s="99"/>
      <c r="G298" s="48"/>
      <c r="H298" s="48"/>
      <c r="K298" s="48">
        <f>Calculation!$F$86+2*Calculation!$B$86</f>
        <v>9.5</v>
      </c>
      <c r="L298" s="48" t="s">
        <v>74</v>
      </c>
    </row>
    <row r="299" spans="1:12" x14ac:dyDescent="0.25">
      <c r="A299" s="99"/>
      <c r="B299" s="99"/>
      <c r="C299" s="99"/>
      <c r="D299" s="99"/>
      <c r="G299" s="48"/>
      <c r="H299" s="48"/>
      <c r="K299" s="48"/>
      <c r="L299" s="48"/>
    </row>
    <row r="300" spans="1:12" x14ac:dyDescent="0.25">
      <c r="A300" s="99"/>
      <c r="B300" s="99" t="s">
        <v>474</v>
      </c>
      <c r="C300" s="99"/>
      <c r="D300" s="99"/>
      <c r="G300" s="48"/>
      <c r="H300" s="48"/>
      <c r="K300" s="48">
        <f>Calculation!$F$88+Calculation!$F$80</f>
        <v>6.1669999999999998</v>
      </c>
      <c r="L300" s="48" t="s">
        <v>74</v>
      </c>
    </row>
    <row r="301" spans="1:12" x14ac:dyDescent="0.25">
      <c r="A301" s="99"/>
      <c r="B301" s="99"/>
      <c r="C301" s="99"/>
      <c r="D301" s="99"/>
      <c r="G301" s="48"/>
      <c r="H301" s="48"/>
    </row>
    <row r="302" spans="1:12" x14ac:dyDescent="0.25">
      <c r="A302" s="99"/>
      <c r="B302" s="99" t="s">
        <v>475</v>
      </c>
      <c r="C302" s="99"/>
      <c r="D302" s="99"/>
      <c r="G302" s="48"/>
      <c r="H302" s="48"/>
      <c r="K302" s="48">
        <f>0.7*K298*K300*F293</f>
        <v>0</v>
      </c>
      <c r="L302" s="48" t="s">
        <v>229</v>
      </c>
    </row>
    <row r="303" spans="1:12" x14ac:dyDescent="0.25">
      <c r="A303" s="99"/>
      <c r="B303" s="99"/>
      <c r="C303" s="99"/>
      <c r="D303" s="99"/>
      <c r="E303" s="48"/>
      <c r="F303" s="48"/>
      <c r="G303" s="48"/>
      <c r="H303" s="48"/>
      <c r="J303" s="182"/>
    </row>
    <row r="304" spans="1:12" x14ac:dyDescent="0.25">
      <c r="A304" s="99"/>
      <c r="B304" s="159" t="s">
        <v>682</v>
      </c>
      <c r="C304" s="159"/>
      <c r="D304" s="99"/>
      <c r="E304" s="48"/>
      <c r="F304" s="48" t="str">
        <f>"(0.8*"&amp;$F$212&amp;"*"&amp;Calculation!$D$98&amp;")"</f>
        <v>(0.8*0.28688*0.5)</v>
      </c>
      <c r="G304" s="48"/>
      <c r="H304" s="48"/>
      <c r="J304" s="182"/>
      <c r="K304" s="10">
        <f>(0.8*$F$293*Calculation!$D$98)</f>
        <v>0</v>
      </c>
      <c r="L304" s="10" t="s">
        <v>285</v>
      </c>
    </row>
    <row r="305" spans="1:14" x14ac:dyDescent="0.25">
      <c r="A305" s="99"/>
      <c r="B305" s="159" t="s">
        <v>683</v>
      </c>
      <c r="C305" s="159"/>
      <c r="D305" s="99"/>
      <c r="E305" s="48"/>
      <c r="F305" s="48" t="str">
        <f>"(1.2*"&amp;$F$212&amp;"*"&amp;$B$24&amp;"/1000)"</f>
        <v>(1.2*0.28688*400/1000)</v>
      </c>
      <c r="G305" s="48"/>
      <c r="H305" s="48"/>
      <c r="J305" s="182"/>
      <c r="K305" s="10">
        <f>(1.2*$F$293*$B$24/1000)</f>
        <v>0</v>
      </c>
      <c r="L305" s="10" t="s">
        <v>285</v>
      </c>
    </row>
    <row r="306" spans="1:14" ht="16.5" thickBot="1" x14ac:dyDescent="0.3">
      <c r="A306" s="99"/>
      <c r="B306" s="159"/>
      <c r="C306" s="159"/>
      <c r="D306" s="99"/>
      <c r="E306" s="48"/>
      <c r="F306" s="48"/>
      <c r="G306" s="112" t="s">
        <v>1967</v>
      </c>
      <c r="H306" s="112"/>
      <c r="I306" s="112"/>
      <c r="J306" s="1038">
        <f>ROUND((I199+'Earthquake &amp; wind'!K219/2),0)</f>
        <v>13</v>
      </c>
      <c r="K306" s="112" t="s">
        <v>74</v>
      </c>
    </row>
    <row r="307" spans="1:14" ht="16.5" thickBot="1" x14ac:dyDescent="0.3">
      <c r="A307" s="144"/>
      <c r="B307" s="160" t="s">
        <v>513</v>
      </c>
      <c r="C307" s="161"/>
      <c r="D307" s="150" t="s">
        <v>1963</v>
      </c>
      <c r="G307" s="10" t="s">
        <v>225</v>
      </c>
      <c r="J307" s="10">
        <f>LOOKUP(J306,S202:S222,T202:T222)</f>
        <v>1.0740000000000001</v>
      </c>
    </row>
    <row r="308" spans="1:14" x14ac:dyDescent="0.25">
      <c r="B308" s="152"/>
      <c r="C308" s="152"/>
      <c r="G308" s="10" t="s">
        <v>1964</v>
      </c>
      <c r="J308" s="10">
        <f>J307*F283*F285*F286*F282</f>
        <v>75.394800000000004</v>
      </c>
    </row>
    <row r="309" spans="1:14" x14ac:dyDescent="0.25">
      <c r="B309" s="10" t="s">
        <v>514</v>
      </c>
      <c r="G309" s="10" t="s">
        <v>1965</v>
      </c>
      <c r="J309" s="10">
        <f>0.6*J308^2/10</f>
        <v>341.06255202239998</v>
      </c>
      <c r="K309" s="10" t="s">
        <v>1966</v>
      </c>
    </row>
    <row r="310" spans="1:14" x14ac:dyDescent="0.25">
      <c r="B310" s="10" t="s">
        <v>516</v>
      </c>
      <c r="G310" s="10" t="s">
        <v>475</v>
      </c>
      <c r="J310" s="10">
        <f>0.7*K217*K219*J309/1000</f>
        <v>13.987162842842233</v>
      </c>
      <c r="K310" s="94">
        <f>Calculation!$F$61</f>
        <v>7.1</v>
      </c>
      <c r="L310" s="10" t="s">
        <v>74</v>
      </c>
    </row>
    <row r="311" spans="1:14" x14ac:dyDescent="0.25">
      <c r="B311" s="10" t="s">
        <v>515</v>
      </c>
      <c r="K311" s="94">
        <f>$K$35</f>
        <v>262.35710532571426</v>
      </c>
      <c r="L311" s="10" t="s">
        <v>229</v>
      </c>
    </row>
    <row r="312" spans="1:14" x14ac:dyDescent="0.25">
      <c r="A312" s="112">
        <v>1</v>
      </c>
      <c r="B312" s="10" t="s">
        <v>517</v>
      </c>
      <c r="K312" s="158">
        <f>ROUND((K311/(3.14*K310)),3)</f>
        <v>11.768000000000001</v>
      </c>
      <c r="L312" s="10" t="s">
        <v>285</v>
      </c>
      <c r="N312" s="63"/>
    </row>
    <row r="313" spans="1:14" x14ac:dyDescent="0.25">
      <c r="B313" s="10" t="s">
        <v>518</v>
      </c>
      <c r="K313" s="94">
        <f>$K$51</f>
        <v>261.48399999999998</v>
      </c>
      <c r="L313" s="10" t="s">
        <v>229</v>
      </c>
    </row>
    <row r="314" spans="1:14" x14ac:dyDescent="0.25">
      <c r="A314" s="112">
        <v>2</v>
      </c>
      <c r="B314" s="10" t="s">
        <v>517</v>
      </c>
      <c r="K314" s="158">
        <f>ROUND((K313/(3.14*K310)),3)</f>
        <v>11.728999999999999</v>
      </c>
      <c r="L314" s="10" t="s">
        <v>285</v>
      </c>
    </row>
    <row r="316" spans="1:14" x14ac:dyDescent="0.25">
      <c r="A316" s="10">
        <v>3</v>
      </c>
      <c r="B316" s="10" t="s">
        <v>519</v>
      </c>
      <c r="I316" s="1298" t="s">
        <v>520</v>
      </c>
      <c r="J316" s="1299"/>
      <c r="K316" s="1300"/>
    </row>
    <row r="317" spans="1:14" x14ac:dyDescent="0.25">
      <c r="N317" s="44">
        <f>0.7*K217*K219*F215</f>
        <v>8.2355746087999986</v>
      </c>
    </row>
    <row r="318" spans="1:14" x14ac:dyDescent="0.25">
      <c r="B318" s="10" t="s">
        <v>522</v>
      </c>
    </row>
    <row r="319" spans="1:14" x14ac:dyDescent="0.25">
      <c r="B319" s="10" t="s">
        <v>551</v>
      </c>
      <c r="K319" s="162">
        <f>$K$41</f>
        <v>2.5409999999999999</v>
      </c>
      <c r="L319" s="10" t="s">
        <v>74</v>
      </c>
    </row>
    <row r="320" spans="1:14" x14ac:dyDescent="0.25">
      <c r="B320" s="10" t="s">
        <v>552</v>
      </c>
      <c r="K320" s="163">
        <f>$C$31</f>
        <v>8</v>
      </c>
      <c r="L320" s="10" t="s">
        <v>332</v>
      </c>
    </row>
    <row r="321" spans="1:15" x14ac:dyDescent="0.25">
      <c r="A321" s="10">
        <v>1</v>
      </c>
      <c r="B321" s="10" t="s">
        <v>523</v>
      </c>
      <c r="K321" s="158">
        <f>ROUND(($K$125),3)</f>
        <v>38.779000000000003</v>
      </c>
      <c r="L321" s="10" t="s">
        <v>229</v>
      </c>
    </row>
    <row r="322" spans="1:15" x14ac:dyDescent="0.25">
      <c r="B322" s="10" t="s">
        <v>553</v>
      </c>
      <c r="K322" s="168">
        <f>K321/K320</f>
        <v>4.8473750000000004</v>
      </c>
      <c r="L322" s="10" t="s">
        <v>229</v>
      </c>
    </row>
    <row r="323" spans="1:15" x14ac:dyDescent="0.25">
      <c r="B323" s="10" t="s">
        <v>554</v>
      </c>
      <c r="K323" s="158">
        <f>ROUND((K322*K319),2)</f>
        <v>12.32</v>
      </c>
      <c r="L323" s="10" t="s">
        <v>507</v>
      </c>
    </row>
    <row r="324" spans="1:15" x14ac:dyDescent="0.25">
      <c r="B324" s="10" t="s">
        <v>517</v>
      </c>
      <c r="K324" s="158">
        <f>(K312+K314)</f>
        <v>23.497</v>
      </c>
      <c r="L324" s="10" t="s">
        <v>285</v>
      </c>
    </row>
    <row r="325" spans="1:15" x14ac:dyDescent="0.25">
      <c r="B325" s="10" t="s">
        <v>1959</v>
      </c>
      <c r="K325" s="162">
        <f>K219/2</f>
        <v>3.0834999999999999</v>
      </c>
      <c r="L325" s="10" t="s">
        <v>74</v>
      </c>
    </row>
    <row r="326" spans="1:15" x14ac:dyDescent="0.25">
      <c r="B326" s="44"/>
      <c r="C326" s="44"/>
      <c r="D326" s="44"/>
      <c r="E326" s="44"/>
      <c r="K326" s="158"/>
    </row>
    <row r="327" spans="1:15" x14ac:dyDescent="0.25">
      <c r="B327" s="1032" t="s">
        <v>1960</v>
      </c>
      <c r="C327" s="1033"/>
      <c r="D327" s="1034" t="s">
        <v>1956</v>
      </c>
      <c r="E327" s="1035">
        <f>J306</f>
        <v>13</v>
      </c>
      <c r="F327" s="44"/>
      <c r="G327" s="44"/>
      <c r="H327" s="44"/>
      <c r="I327" s="44"/>
      <c r="J327" s="44"/>
      <c r="K327" s="44"/>
      <c r="L327" s="44"/>
    </row>
    <row r="328" spans="1:15" x14ac:dyDescent="0.25">
      <c r="A328" s="10">
        <v>2</v>
      </c>
      <c r="B328" s="10" t="s">
        <v>680</v>
      </c>
      <c r="K328" s="158">
        <f>ROUND(($J$310),3)</f>
        <v>13.987</v>
      </c>
      <c r="L328" s="10" t="s">
        <v>229</v>
      </c>
    </row>
    <row r="329" spans="1:15" x14ac:dyDescent="0.25">
      <c r="B329" s="10" t="s">
        <v>553</v>
      </c>
      <c r="K329" s="168">
        <f>K328/K320</f>
        <v>1.748375</v>
      </c>
      <c r="L329" s="10" t="s">
        <v>229</v>
      </c>
    </row>
    <row r="330" spans="1:15" x14ac:dyDescent="0.25">
      <c r="B330" s="44" t="s">
        <v>554</v>
      </c>
      <c r="C330" s="44"/>
      <c r="D330" s="44"/>
      <c r="E330" s="44"/>
      <c r="F330" s="44"/>
      <c r="G330" s="44"/>
      <c r="H330" s="44"/>
      <c r="I330" s="44"/>
      <c r="J330" s="44"/>
      <c r="K330" s="158">
        <f>ROUND((K329*K325),2)</f>
        <v>5.39</v>
      </c>
      <c r="L330" s="59" t="s">
        <v>560</v>
      </c>
    </row>
    <row r="331" spans="1:15" x14ac:dyDescent="0.25">
      <c r="B331" s="10" t="s">
        <v>517</v>
      </c>
      <c r="K331" s="158">
        <f>K312</f>
        <v>11.768000000000001</v>
      </c>
      <c r="L331" s="10" t="s">
        <v>285</v>
      </c>
      <c r="O331" s="971"/>
    </row>
    <row r="332" spans="1:15" x14ac:dyDescent="0.25">
      <c r="K332" s="158"/>
    </row>
    <row r="333" spans="1:15" x14ac:dyDescent="0.25">
      <c r="A333" s="10">
        <v>3</v>
      </c>
      <c r="B333" s="10" t="s">
        <v>681</v>
      </c>
      <c r="K333" s="158">
        <f>ROUND(($J$310),3)</f>
        <v>13.987</v>
      </c>
      <c r="L333" s="10" t="s">
        <v>229</v>
      </c>
    </row>
    <row r="334" spans="1:15" x14ac:dyDescent="0.25">
      <c r="B334" s="10" t="s">
        <v>553</v>
      </c>
      <c r="K334" s="168">
        <f>K333/K320</f>
        <v>1.748375</v>
      </c>
      <c r="L334" s="10" t="s">
        <v>229</v>
      </c>
    </row>
    <row r="335" spans="1:15" x14ac:dyDescent="0.25">
      <c r="B335" s="44" t="s">
        <v>554</v>
      </c>
      <c r="C335" s="44"/>
      <c r="D335" s="44"/>
      <c r="E335" s="44"/>
      <c r="F335" s="44"/>
      <c r="G335" s="44"/>
      <c r="H335" s="44"/>
      <c r="I335" s="44"/>
      <c r="J335" s="44"/>
      <c r="K335" s="158">
        <f>ROUND((K334*K325),2)</f>
        <v>5.39</v>
      </c>
      <c r="L335" s="44" t="s">
        <v>560</v>
      </c>
    </row>
    <row r="336" spans="1:15" x14ac:dyDescent="0.25">
      <c r="K336" s="158"/>
    </row>
  </sheetData>
  <dataConsolidate/>
  <mergeCells count="63">
    <mergeCell ref="G106:H106"/>
    <mergeCell ref="B261:C261"/>
    <mergeCell ref="B266:C266"/>
    <mergeCell ref="A269:C269"/>
    <mergeCell ref="B234:C234"/>
    <mergeCell ref="B239:C239"/>
    <mergeCell ref="A242:C242"/>
    <mergeCell ref="N109:N111"/>
    <mergeCell ref="O109:O111"/>
    <mergeCell ref="N97:N99"/>
    <mergeCell ref="N112:N114"/>
    <mergeCell ref="O112:O114"/>
    <mergeCell ref="O97:O99"/>
    <mergeCell ref="N100:N102"/>
    <mergeCell ref="O100:O102"/>
    <mergeCell ref="N103:N105"/>
    <mergeCell ref="O103:O105"/>
    <mergeCell ref="N115:N117"/>
    <mergeCell ref="O115:O117"/>
    <mergeCell ref="C129:E129"/>
    <mergeCell ref="C131:E131"/>
    <mergeCell ref="G129:J129"/>
    <mergeCell ref="G131:J131"/>
    <mergeCell ref="D125:E125"/>
    <mergeCell ref="C2:I3"/>
    <mergeCell ref="C4:I5"/>
    <mergeCell ref="A1:B1"/>
    <mergeCell ref="A2:B3"/>
    <mergeCell ref="J2:K2"/>
    <mergeCell ref="J3:K3"/>
    <mergeCell ref="A4:B5"/>
    <mergeCell ref="B94:F94"/>
    <mergeCell ref="B41:E41"/>
    <mergeCell ref="A215:C215"/>
    <mergeCell ref="C1:J1"/>
    <mergeCell ref="B212:C212"/>
    <mergeCell ref="B207:C207"/>
    <mergeCell ref="G133:J133"/>
    <mergeCell ref="C195:K195"/>
    <mergeCell ref="C196:K196"/>
    <mergeCell ref="C166:I166"/>
    <mergeCell ref="I11:J11"/>
    <mergeCell ref="I19:J19"/>
    <mergeCell ref="I20:J20"/>
    <mergeCell ref="I21:J21"/>
    <mergeCell ref="I23:J23"/>
    <mergeCell ref="K1:L1"/>
    <mergeCell ref="I316:K316"/>
    <mergeCell ref="I12:J12"/>
    <mergeCell ref="I16:J16"/>
    <mergeCell ref="I17:J17"/>
    <mergeCell ref="I18:J18"/>
    <mergeCell ref="F41:J41"/>
    <mergeCell ref="E36:G36"/>
    <mergeCell ref="B48:F48"/>
    <mergeCell ref="B288:C288"/>
    <mergeCell ref="B293:C293"/>
    <mergeCell ref="A296:C296"/>
    <mergeCell ref="I15:J15"/>
    <mergeCell ref="B47:D47"/>
    <mergeCell ref="D97:F97"/>
    <mergeCell ref="G97:H97"/>
    <mergeCell ref="D106:F106"/>
  </mergeCells>
  <phoneticPr fontId="1" type="noConversion"/>
  <conditionalFormatting sqref="A4">
    <cfRule type="expression" dxfId="1" priority="1" stopIfTrue="1">
      <formula>MOD(ROW()-8,28)=0</formula>
    </cfRule>
    <cfRule type="expression" dxfId="0" priority="2" stopIfTrue="1">
      <formula>MOD(ROW()-8,28)=1</formula>
    </cfRule>
  </conditionalFormatting>
  <dataValidations disablePrompts="1" count="2">
    <dataValidation type="list" allowBlank="1" showInputMessage="1" showErrorMessage="1" sqref="D104 D113" xr:uid="{00000000-0002-0000-0500-000000000000}">
      <formula1>$N$97:$N$105</formula1>
    </dataValidation>
    <dataValidation type="list" allowBlank="1" showInputMessage="1" showErrorMessage="1" sqref="K176" xr:uid="{00000000-0002-0000-0500-000001000000}">
      <formula1>"1,1.5,1.75"</formula1>
    </dataValidation>
  </dataValidations>
  <printOptions horizontalCentered="1" verticalCentered="1"/>
  <pageMargins left="0.19685039370078741" right="0.19685039370078741" top="0.23622047244094488" bottom="0.23622047244094488" header="0.31496062992125984" footer="0.31496062992125984"/>
  <pageSetup paperSize="9" scale="73" orientation="portrait" r:id="rId1"/>
  <headerFooter alignWithMargins="0"/>
  <rowBreaks count="5" manualBreakCount="5">
    <brk id="45" max="11" man="1"/>
    <brk id="91" max="11" man="1"/>
    <brk id="139" max="11" man="1"/>
    <brk id="193" max="11" man="1"/>
    <brk id="305" max="11" man="1"/>
  </rowBreaks>
  <ignoredErrors>
    <ignoredError sqref="C2 C4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60225" r:id="rId4">
          <objectPr defaultSize="0" autoPict="0" r:id="rId5">
            <anchor moveWithCells="1" sizeWithCells="1">
              <from>
                <xdr:col>3</xdr:col>
                <xdr:colOff>276225</xdr:colOff>
                <xdr:row>0</xdr:row>
                <xdr:rowOff>285750</xdr:rowOff>
              </from>
              <to>
                <xdr:col>4</xdr:col>
                <xdr:colOff>66675</xdr:colOff>
                <xdr:row>0</xdr:row>
                <xdr:rowOff>647700</xdr:rowOff>
              </to>
            </anchor>
          </objectPr>
        </oleObject>
      </mc:Choice>
      <mc:Fallback>
        <oleObject progId="StaticMetafile" shapeId="146022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440"/>
  <sheetViews>
    <sheetView view="pageBreakPreview" zoomScale="70" zoomScaleSheetLayoutView="70" workbookViewId="0">
      <selection activeCell="L9" sqref="L9"/>
    </sheetView>
  </sheetViews>
  <sheetFormatPr defaultColWidth="8.7109375" defaultRowHeight="12.75" x14ac:dyDescent="0.2"/>
  <cols>
    <col min="1" max="1" width="5.42578125" style="178" customWidth="1"/>
    <col min="2" max="2" width="11.5703125" style="178" bestFit="1" customWidth="1"/>
    <col min="3" max="4" width="13.140625" style="178" bestFit="1" customWidth="1"/>
    <col min="5" max="6" width="12.28515625" style="178" bestFit="1" customWidth="1"/>
    <col min="7" max="7" width="14" style="178" customWidth="1"/>
    <col min="8" max="8" width="13.140625" style="178" bestFit="1" customWidth="1"/>
    <col min="9" max="9" width="12.5703125" style="175" bestFit="1" customWidth="1"/>
    <col min="10" max="10" width="12.7109375" style="178" customWidth="1"/>
    <col min="11" max="13" width="12.7109375" style="178" bestFit="1" customWidth="1"/>
    <col min="14" max="14" width="11.42578125" style="178" bestFit="1" customWidth="1"/>
    <col min="15" max="16384" width="8.7109375" style="178"/>
  </cols>
  <sheetData>
    <row r="1" spans="1:10" customFormat="1" ht="12.75" customHeight="1" x14ac:dyDescent="0.2">
      <c r="A1" s="1343"/>
      <c r="B1" s="1344"/>
      <c r="C1" s="1351" t="str">
        <f>'cover page'!B1</f>
        <v xml:space="preserve">              JMC – SPML JOINT VENTURE</v>
      </c>
      <c r="D1" s="1352"/>
      <c r="E1" s="1352"/>
      <c r="F1" s="1352"/>
      <c r="G1" s="1352"/>
      <c r="H1" s="1352"/>
      <c r="I1" s="1353"/>
      <c r="J1" s="1252"/>
    </row>
    <row r="2" spans="1:10" customFormat="1" ht="36" customHeight="1" x14ac:dyDescent="0.2">
      <c r="A2" s="1345"/>
      <c r="B2" s="1346"/>
      <c r="C2" s="1354"/>
      <c r="D2" s="1355"/>
      <c r="E2" s="1355"/>
      <c r="F2" s="1355"/>
      <c r="G2" s="1355"/>
      <c r="H2" s="1355"/>
      <c r="I2" s="1356"/>
      <c r="J2" s="1252"/>
    </row>
    <row r="3" spans="1:10" customFormat="1" ht="18.75" customHeight="1" x14ac:dyDescent="0.2">
      <c r="A3" s="1364" t="s">
        <v>751</v>
      </c>
      <c r="B3" s="1365"/>
      <c r="C3" s="1358" t="str">
        <f>'cover page'!B2</f>
        <v>EXECUTION OF MEGA PWS TO MOHANA, DARINGABADI, GUMMA, R.UDAYGIRI AND NUAGADA BLOCK IN GAJAPATI &amp; KANDHAMAL DISTRICT INCLUDING FIVE YEARS OPERATION &amp; MAINTENANCE</v>
      </c>
      <c r="D3" s="1359"/>
      <c r="E3" s="1359"/>
      <c r="F3" s="1359"/>
      <c r="G3" s="1360"/>
      <c r="H3" s="1369" t="s">
        <v>752</v>
      </c>
      <c r="I3" s="1370"/>
      <c r="J3" s="330" t="s">
        <v>753</v>
      </c>
    </row>
    <row r="4" spans="1:10" customFormat="1" ht="100.5" customHeight="1" x14ac:dyDescent="0.2">
      <c r="A4" s="1366"/>
      <c r="B4" s="1367"/>
      <c r="C4" s="1361"/>
      <c r="D4" s="1362"/>
      <c r="E4" s="1362"/>
      <c r="F4" s="1362"/>
      <c r="G4" s="1363"/>
      <c r="H4" s="1371" t="str">
        <f>'cover page'!E3</f>
        <v>32129-MB-WSE-ESR-CV-DD-</v>
      </c>
      <c r="I4" s="1372"/>
      <c r="J4" s="1039" t="str">
        <f>'cover page'!G3</f>
        <v>R0</v>
      </c>
    </row>
    <row r="5" spans="1:10" customFormat="1" ht="15" customHeight="1" x14ac:dyDescent="0.2">
      <c r="A5" s="1364" t="s">
        <v>754</v>
      </c>
      <c r="B5" s="1365"/>
      <c r="C5" s="1358" t="str">
        <f>'cover page'!B4</f>
        <v xml:space="preserve">Structural Design Report of 250 KL ESR with 10 m Staging at  MOHANA A PRO ESR </v>
      </c>
      <c r="D5" s="1359"/>
      <c r="E5" s="1359"/>
      <c r="F5" s="1359"/>
      <c r="G5" s="1360"/>
      <c r="H5" s="330" t="s">
        <v>689</v>
      </c>
      <c r="I5" s="330" t="s">
        <v>690</v>
      </c>
      <c r="J5" s="330" t="s">
        <v>691</v>
      </c>
    </row>
    <row r="6" spans="1:10" customFormat="1" ht="15" x14ac:dyDescent="0.2">
      <c r="A6" s="1366"/>
      <c r="B6" s="1367"/>
      <c r="C6" s="1361"/>
      <c r="D6" s="1362"/>
      <c r="E6" s="1362"/>
      <c r="F6" s="1362"/>
      <c r="G6" s="1363"/>
      <c r="H6" s="332" t="str">
        <f>'cover page'!E5</f>
        <v>SKS</v>
      </c>
      <c r="I6" s="332" t="str">
        <f>'cover page'!F5</f>
        <v>JKS</v>
      </c>
      <c r="J6" s="332">
        <f>'cover page'!G5</f>
        <v>45055</v>
      </c>
    </row>
    <row r="9" spans="1:10" x14ac:dyDescent="0.2">
      <c r="B9" s="44" t="s">
        <v>585</v>
      </c>
    </row>
    <row r="10" spans="1:10" x14ac:dyDescent="0.2">
      <c r="B10" s="44"/>
    </row>
    <row r="11" spans="1:10" x14ac:dyDescent="0.2">
      <c r="B11" s="44" t="s">
        <v>597</v>
      </c>
      <c r="E11" s="181">
        <f>'Earthquake &amp; wind'!G29</f>
        <v>3</v>
      </c>
      <c r="F11" s="178" t="s">
        <v>74</v>
      </c>
    </row>
    <row r="14" spans="1:10" x14ac:dyDescent="0.2">
      <c r="A14" s="178">
        <v>1</v>
      </c>
      <c r="B14" s="178" t="s">
        <v>594</v>
      </c>
      <c r="C14" s="178" t="s">
        <v>586</v>
      </c>
      <c r="E14" s="178">
        <f>ROUND('Earthquake &amp; wind'!K47,2)</f>
        <v>594.98</v>
      </c>
      <c r="F14" s="178" t="s">
        <v>117</v>
      </c>
      <c r="G14" s="181" t="s">
        <v>600</v>
      </c>
      <c r="H14" s="178" t="s">
        <v>588</v>
      </c>
      <c r="I14" s="175" t="s">
        <v>587</v>
      </c>
    </row>
    <row r="15" spans="1:10" x14ac:dyDescent="0.2">
      <c r="E15" s="178">
        <v>0</v>
      </c>
      <c r="F15" s="178" t="s">
        <v>596</v>
      </c>
      <c r="G15" s="178" t="s">
        <v>310</v>
      </c>
      <c r="H15" s="178" t="s">
        <v>588</v>
      </c>
      <c r="I15" s="175" t="s">
        <v>587</v>
      </c>
    </row>
    <row r="17" spans="1:10" ht="14.1" customHeight="1" x14ac:dyDescent="0.2">
      <c r="A17" s="178">
        <v>2</v>
      </c>
      <c r="B17" s="178" t="s">
        <v>590</v>
      </c>
      <c r="C17" s="178" t="s">
        <v>475</v>
      </c>
      <c r="E17" s="178">
        <f>'Earthquake &amp; wind'!$J$310</f>
        <v>13.987162842842233</v>
      </c>
      <c r="F17" s="178" t="s">
        <v>117</v>
      </c>
      <c r="H17" s="178" t="s">
        <v>588</v>
      </c>
      <c r="I17" s="175">
        <f>Calculation!H94+(Calculation!F88/2+Calculation!F80/2)</f>
        <v>113.0835</v>
      </c>
      <c r="J17" s="178" t="s">
        <v>589</v>
      </c>
    </row>
    <row r="19" spans="1:10" ht="25.5" x14ac:dyDescent="0.2">
      <c r="B19" s="44" t="s">
        <v>595</v>
      </c>
      <c r="E19" s="178">
        <f>E17</f>
        <v>13.987162842842233</v>
      </c>
      <c r="F19" s="178" t="s">
        <v>117</v>
      </c>
      <c r="G19" s="181" t="s">
        <v>601</v>
      </c>
      <c r="H19" s="178" t="s">
        <v>588</v>
      </c>
      <c r="I19" s="175" t="s">
        <v>587</v>
      </c>
    </row>
    <row r="20" spans="1:10" x14ac:dyDescent="0.2">
      <c r="C20" s="1368" t="str">
        <f>CONCATENATE(E19,"*(",I17,"-",I29,")")</f>
        <v>13.9871628428422*(113.0835-97)</v>
      </c>
      <c r="D20" s="1085"/>
      <c r="E20" s="178">
        <f>ROUND(E19*(I17-I29),2)</f>
        <v>224.96</v>
      </c>
      <c r="F20" s="178" t="s">
        <v>596</v>
      </c>
      <c r="G20" s="178" t="s">
        <v>310</v>
      </c>
      <c r="H20" s="178" t="s">
        <v>588</v>
      </c>
      <c r="I20" s="175" t="s">
        <v>587</v>
      </c>
    </row>
    <row r="23" spans="1:10" ht="15.6" customHeight="1" x14ac:dyDescent="0.2">
      <c r="A23" s="178">
        <v>3</v>
      </c>
      <c r="B23" s="178" t="s">
        <v>592</v>
      </c>
      <c r="C23" s="44" t="s">
        <v>593</v>
      </c>
      <c r="E23" s="178">
        <f>ROUND('Earthquake &amp; wind'!K125,2)</f>
        <v>38.78</v>
      </c>
      <c r="F23" s="178" t="s">
        <v>117</v>
      </c>
      <c r="H23" s="178" t="s">
        <v>588</v>
      </c>
      <c r="I23" s="175">
        <f>Calculation!H94+Calculation!F88/2</f>
        <v>112.325</v>
      </c>
      <c r="J23" s="178" t="s">
        <v>589</v>
      </c>
    </row>
    <row r="25" spans="1:10" ht="25.5" x14ac:dyDescent="0.2">
      <c r="B25" s="44" t="s">
        <v>595</v>
      </c>
      <c r="E25" s="178">
        <f>E23</f>
        <v>38.78</v>
      </c>
      <c r="F25" s="178" t="s">
        <v>117</v>
      </c>
      <c r="G25" s="181" t="s">
        <v>601</v>
      </c>
      <c r="H25" s="178" t="s">
        <v>588</v>
      </c>
      <c r="I25" s="175" t="s">
        <v>587</v>
      </c>
    </row>
    <row r="26" spans="1:10" x14ac:dyDescent="0.2">
      <c r="D26" s="178" t="str">
        <f>CONCATENATE(E25,"*(",I17,"-",I29,")")</f>
        <v>38.78*(113.0835-97)</v>
      </c>
      <c r="E26" s="178">
        <f>ROUND(E25*(I17-I29),2)</f>
        <v>623.72</v>
      </c>
      <c r="F26" s="178" t="s">
        <v>596</v>
      </c>
      <c r="G26" s="178" t="s">
        <v>310</v>
      </c>
      <c r="H26" s="178" t="s">
        <v>588</v>
      </c>
      <c r="I26" s="175" t="s">
        <v>587</v>
      </c>
    </row>
    <row r="29" spans="1:10" x14ac:dyDescent="0.2">
      <c r="B29" s="44" t="s">
        <v>591</v>
      </c>
      <c r="D29" s="178" t="str">
        <f>CONCATENATE(Calculation!H94,"-",Calculation!F57,"-",E11)</f>
        <v>110-10-3</v>
      </c>
      <c r="I29" s="175">
        <f>Calculation!H94-Calculation!F57-E11</f>
        <v>97</v>
      </c>
      <c r="J29" s="178" t="s">
        <v>589</v>
      </c>
    </row>
    <row r="32" spans="1:10" x14ac:dyDescent="0.2">
      <c r="B32" s="59" t="s">
        <v>598</v>
      </c>
    </row>
    <row r="34" spans="2:9" x14ac:dyDescent="0.2">
      <c r="B34" s="59" t="s">
        <v>611</v>
      </c>
      <c r="E34" s="178">
        <f>E14</f>
        <v>594.98</v>
      </c>
      <c r="F34" s="178" t="s">
        <v>117</v>
      </c>
      <c r="G34" s="181" t="s">
        <v>600</v>
      </c>
      <c r="H34" s="178" t="s">
        <v>588</v>
      </c>
      <c r="I34" s="175" t="s">
        <v>587</v>
      </c>
    </row>
    <row r="35" spans="2:9" ht="25.5" x14ac:dyDescent="0.2">
      <c r="E35" s="178">
        <f>E19</f>
        <v>13.987162842842233</v>
      </c>
      <c r="F35" s="178" t="s">
        <v>117</v>
      </c>
      <c r="G35" s="181" t="s">
        <v>601</v>
      </c>
      <c r="H35" s="178" t="s">
        <v>588</v>
      </c>
      <c r="I35" s="175" t="s">
        <v>587</v>
      </c>
    </row>
    <row r="36" spans="2:9" x14ac:dyDescent="0.2">
      <c r="E36" s="178">
        <f>E20</f>
        <v>224.96</v>
      </c>
      <c r="F36" s="178" t="s">
        <v>596</v>
      </c>
      <c r="G36" s="178" t="s">
        <v>310</v>
      </c>
      <c r="H36" s="178" t="s">
        <v>588</v>
      </c>
      <c r="I36" s="175" t="s">
        <v>587</v>
      </c>
    </row>
    <row r="42" spans="2:9" x14ac:dyDescent="0.2">
      <c r="B42" s="59" t="s">
        <v>599</v>
      </c>
      <c r="E42" s="178">
        <f>E14</f>
        <v>594.98</v>
      </c>
      <c r="F42" s="178" t="s">
        <v>117</v>
      </c>
      <c r="G42" s="181" t="s">
        <v>600</v>
      </c>
      <c r="H42" s="178" t="s">
        <v>588</v>
      </c>
      <c r="I42" s="175" t="s">
        <v>587</v>
      </c>
    </row>
    <row r="43" spans="2:9" ht="25.5" x14ac:dyDescent="0.2">
      <c r="E43" s="178">
        <f>E23</f>
        <v>38.78</v>
      </c>
      <c r="F43" s="178" t="s">
        <v>117</v>
      </c>
      <c r="G43" s="181" t="s">
        <v>601</v>
      </c>
      <c r="H43" s="178" t="s">
        <v>588</v>
      </c>
      <c r="I43" s="175" t="s">
        <v>587</v>
      </c>
    </row>
    <row r="44" spans="2:9" x14ac:dyDescent="0.2">
      <c r="E44" s="178">
        <f>E26</f>
        <v>623.72</v>
      </c>
      <c r="F44" s="178" t="s">
        <v>596</v>
      </c>
      <c r="G44" s="178" t="s">
        <v>310</v>
      </c>
      <c r="H44" s="178" t="s">
        <v>588</v>
      </c>
      <c r="I44" s="175" t="s">
        <v>587</v>
      </c>
    </row>
    <row r="57" spans="5:26" x14ac:dyDescent="0.2">
      <c r="I57" s="185"/>
    </row>
    <row r="59" spans="5:26" x14ac:dyDescent="0.2">
      <c r="E59" s="175">
        <f>E70-E85/1000</f>
        <v>5.3</v>
      </c>
    </row>
    <row r="60" spans="5:26" ht="15" x14ac:dyDescent="0.25">
      <c r="N60" s="1349" t="s">
        <v>469</v>
      </c>
      <c r="O60" s="1349"/>
      <c r="P60" s="1349"/>
      <c r="Q60" s="1349"/>
      <c r="R60" s="1349"/>
      <c r="S60" s="1349"/>
      <c r="T60" s="1349"/>
      <c r="U60" s="1349"/>
      <c r="V60" s="1349"/>
      <c r="W60" s="1349"/>
      <c r="X60" s="1349"/>
      <c r="Y60" s="1349"/>
      <c r="Z60" s="1349"/>
    </row>
    <row r="61" spans="5:26" ht="15" x14ac:dyDescent="0.25">
      <c r="N61" s="1349" t="s">
        <v>626</v>
      </c>
      <c r="O61" s="1349"/>
      <c r="P61" s="1349"/>
      <c r="Q61" s="1349"/>
      <c r="R61" s="1349"/>
      <c r="S61" s="1349"/>
      <c r="T61" s="1349"/>
      <c r="U61" s="1349"/>
      <c r="V61" s="1349"/>
      <c r="W61" s="1349"/>
      <c r="X61" s="1349"/>
      <c r="Y61" s="1349"/>
      <c r="Z61" s="1349"/>
    </row>
    <row r="67" spans="1:29" x14ac:dyDescent="0.2">
      <c r="E67" s="175">
        <f>E70+E85/1000</f>
        <v>8.9</v>
      </c>
    </row>
    <row r="70" spans="1:29" x14ac:dyDescent="0.2">
      <c r="E70" s="184">
        <f>Calculation!F61</f>
        <v>7.1</v>
      </c>
    </row>
    <row r="72" spans="1:29" x14ac:dyDescent="0.2">
      <c r="Z72" s="44"/>
    </row>
    <row r="73" spans="1:29" ht="13.5" thickBot="1" x14ac:dyDescent="0.25">
      <c r="B73" s="178" t="s">
        <v>604</v>
      </c>
      <c r="C73" s="178">
        <f>Calculation!$E$96</f>
        <v>3.55</v>
      </c>
      <c r="Z73" s="44"/>
      <c r="AA73" s="44"/>
      <c r="AB73" s="191"/>
      <c r="AC73" s="44"/>
    </row>
    <row r="74" spans="1:29" x14ac:dyDescent="0.2">
      <c r="AC74" s="44"/>
    </row>
    <row r="75" spans="1:29" x14ac:dyDescent="0.2">
      <c r="B75" s="181" t="s">
        <v>448</v>
      </c>
      <c r="C75" s="178">
        <f>C73+Calculation!$D$98+(E82/1000-Calculation!$D$98)/2</f>
        <v>4.0999999999999996</v>
      </c>
    </row>
    <row r="76" spans="1:29" x14ac:dyDescent="0.2">
      <c r="B76" s="181" t="s">
        <v>447</v>
      </c>
      <c r="C76" s="178">
        <f>C73+Calculation!$D$98+(E82/1000-Calculation!$D$98)/2+H80/1000+F22/1000</f>
        <v>4.55</v>
      </c>
    </row>
    <row r="77" spans="1:29" x14ac:dyDescent="0.2">
      <c r="I77" s="178"/>
    </row>
    <row r="78" spans="1:29" s="175" customFormat="1" x14ac:dyDescent="0.2">
      <c r="A78" s="178"/>
      <c r="B78" s="178"/>
      <c r="C78" s="178"/>
      <c r="D78" s="178"/>
      <c r="E78" s="178"/>
      <c r="F78" s="61">
        <v>750</v>
      </c>
      <c r="G78" s="178"/>
      <c r="H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</row>
    <row r="79" spans="1:29" s="175" customFormat="1" x14ac:dyDescent="0.2">
      <c r="A79" s="178"/>
      <c r="B79" s="293">
        <f>ROUND(E59/2,2)</f>
        <v>2.65</v>
      </c>
      <c r="C79" s="178"/>
      <c r="D79" s="178"/>
      <c r="E79" s="178"/>
      <c r="F79" s="178"/>
      <c r="G79" s="178"/>
      <c r="H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</row>
    <row r="80" spans="1:29" s="175" customFormat="1" x14ac:dyDescent="0.2">
      <c r="A80" s="178"/>
      <c r="B80" s="178"/>
      <c r="C80" s="178"/>
      <c r="D80" s="178"/>
      <c r="E80" s="178"/>
      <c r="F80" s="178"/>
      <c r="G80" s="178"/>
      <c r="H80" s="62">
        <v>450</v>
      </c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</row>
    <row r="82" spans="1:29" s="175" customFormat="1" x14ac:dyDescent="0.2">
      <c r="A82" s="178"/>
      <c r="B82" s="178"/>
      <c r="C82" s="178"/>
      <c r="D82" s="178"/>
      <c r="E82" s="61">
        <v>600</v>
      </c>
      <c r="F82" s="178"/>
      <c r="G82" s="178"/>
      <c r="H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</row>
    <row r="85" spans="1:29" s="175" customFormat="1" x14ac:dyDescent="0.2">
      <c r="A85" s="178"/>
      <c r="B85" s="178"/>
      <c r="C85" s="178"/>
      <c r="D85" s="178"/>
      <c r="E85" s="61">
        <v>1800</v>
      </c>
      <c r="F85" s="178"/>
      <c r="G85" s="178"/>
      <c r="H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</row>
    <row r="87" spans="1:29" s="175" customFormat="1" x14ac:dyDescent="0.2">
      <c r="A87" s="178"/>
      <c r="B87" s="44" t="s">
        <v>605</v>
      </c>
      <c r="C87" s="178"/>
      <c r="D87" s="44" t="str">
        <f>CONCATENATE("3.14/4*(",E67,"^2-",E59,"^2)")</f>
        <v>3.14/4*(8.9^2-5.3^2)</v>
      </c>
      <c r="E87" s="178"/>
      <c r="F87" s="178"/>
      <c r="G87" s="178">
        <f>ROUND(3.14/4*(E67^2-E59^2),2)</f>
        <v>40.130000000000003</v>
      </c>
      <c r="H87" s="181" t="s">
        <v>610</v>
      </c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</row>
    <row r="91" spans="1:29" s="175" customFormat="1" ht="44.25" customHeight="1" x14ac:dyDescent="0.2">
      <c r="A91" s="186" t="s">
        <v>446</v>
      </c>
      <c r="B91" s="1350" t="s">
        <v>485</v>
      </c>
      <c r="C91" s="1350"/>
      <c r="D91" s="1350"/>
      <c r="E91" s="1350"/>
      <c r="F91" s="1350"/>
      <c r="G91" s="178"/>
      <c r="H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</row>
    <row r="94" spans="1:29" x14ac:dyDescent="0.2">
      <c r="B94" s="59" t="s">
        <v>606</v>
      </c>
      <c r="C94" s="560">
        <f>$E$11</f>
        <v>3</v>
      </c>
      <c r="D94" s="178" t="s">
        <v>74</v>
      </c>
      <c r="F94" s="59" t="s">
        <v>444</v>
      </c>
      <c r="G94" s="44"/>
    </row>
    <row r="95" spans="1:29" x14ac:dyDescent="0.2">
      <c r="B95" s="178" t="s">
        <v>443</v>
      </c>
      <c r="C95" s="60">
        <v>25</v>
      </c>
      <c r="D95" s="59" t="s">
        <v>445</v>
      </c>
    </row>
    <row r="97" spans="2:13" ht="51" x14ac:dyDescent="0.2">
      <c r="B97" s="178" t="s">
        <v>607</v>
      </c>
      <c r="C97" s="181" t="s">
        <v>602</v>
      </c>
      <c r="D97" s="1357"/>
      <c r="E97" s="1319"/>
      <c r="F97" s="1319"/>
      <c r="G97" s="1319"/>
      <c r="H97" s="1319"/>
      <c r="I97" s="1319"/>
      <c r="J97" s="1320"/>
      <c r="L97" s="185"/>
    </row>
    <row r="99" spans="2:13" x14ac:dyDescent="0.2">
      <c r="B99" s="178" t="s">
        <v>594</v>
      </c>
      <c r="D99" s="181" t="s">
        <v>609</v>
      </c>
      <c r="H99" s="178">
        <f>E14</f>
        <v>594.98</v>
      </c>
      <c r="I99" s="181" t="s">
        <v>117</v>
      </c>
    </row>
    <row r="100" spans="2:13" x14ac:dyDescent="0.2">
      <c r="D100" s="181" t="s">
        <v>572</v>
      </c>
      <c r="F100" s="178" t="str">
        <f>CONCATENATE(H99,"/",G87)</f>
        <v>594.98/40.13</v>
      </c>
      <c r="H100" s="178">
        <f>ROUND(H99/G87,2)</f>
        <v>14.83</v>
      </c>
      <c r="I100" s="181" t="s">
        <v>254</v>
      </c>
      <c r="J100" s="60" t="str">
        <f>IF(H100&lt;C95,"ok","revise")</f>
        <v>ok</v>
      </c>
    </row>
    <row r="101" spans="2:13" x14ac:dyDescent="0.2">
      <c r="J101" s="644"/>
    </row>
    <row r="102" spans="2:13" x14ac:dyDescent="0.2">
      <c r="J102" s="644"/>
    </row>
    <row r="103" spans="2:13" x14ac:dyDescent="0.2">
      <c r="B103" s="59" t="s">
        <v>611</v>
      </c>
      <c r="D103" s="181" t="s">
        <v>609</v>
      </c>
      <c r="H103" s="178">
        <f>E14</f>
        <v>594.98</v>
      </c>
      <c r="I103" s="181" t="s">
        <v>117</v>
      </c>
      <c r="J103" s="644"/>
    </row>
    <row r="104" spans="2:13" x14ac:dyDescent="0.2">
      <c r="D104" s="181" t="s">
        <v>310</v>
      </c>
      <c r="E104" s="178" t="s">
        <v>641</v>
      </c>
      <c r="G104" s="178">
        <f>ROUND(4*H104/(3.14*D116^3*(1-D117^4)),3)</f>
        <v>3.722</v>
      </c>
      <c r="H104" s="178">
        <f>E36</f>
        <v>224.96</v>
      </c>
      <c r="I104" s="189" t="s">
        <v>210</v>
      </c>
      <c r="J104" s="644"/>
    </row>
    <row r="105" spans="2:13" x14ac:dyDescent="0.2">
      <c r="J105" s="644"/>
    </row>
    <row r="106" spans="2:13" ht="27" customHeight="1" x14ac:dyDescent="0.2">
      <c r="D106" s="181" t="s">
        <v>572</v>
      </c>
      <c r="E106" s="1347" t="str">
        <f>CONCATENATE(H99,"/",G87,"+ 4*",H104,"/(3.14*",D116,"^3*(1-",D117,"^4))")</f>
        <v>594.98/40.13+ 4*224.96/(3.14*4.45^3*(1-0.596^4))</v>
      </c>
      <c r="F106" s="1348"/>
      <c r="G106" s="1145"/>
      <c r="H106" s="178">
        <f>ROUND(H103/G87+4*H104/(3.14*D116^3*(1-D117^4)),2)</f>
        <v>18.55</v>
      </c>
      <c r="I106" s="181" t="s">
        <v>254</v>
      </c>
      <c r="J106" s="60" t="str">
        <f>IF(H106&lt;C95*1.25,"ok","revise")</f>
        <v>ok</v>
      </c>
    </row>
    <row r="107" spans="2:13" x14ac:dyDescent="0.2">
      <c r="H107" s="178">
        <f>ROUND(H103/G87-4*H104/(3.14*D116^3*(1-D117^4)),2)</f>
        <v>11.1</v>
      </c>
      <c r="J107" s="292" t="str">
        <f>IF(('Earthquake &amp; wind'!G29-'fdn annular '!H80/1000)*2+'fdn annular '!H107&gt;0,"ok","revise")</f>
        <v>ok</v>
      </c>
      <c r="M107" s="175">
        <f>(1-D117^3)/(1-D117^2)*2/3</f>
        <v>0.81504427736006679</v>
      </c>
    </row>
    <row r="108" spans="2:13" x14ac:dyDescent="0.2">
      <c r="M108" s="178">
        <f>D118*D116</f>
        <v>3.5511000000000004</v>
      </c>
    </row>
    <row r="109" spans="2:13" x14ac:dyDescent="0.2">
      <c r="B109" s="59" t="s">
        <v>599</v>
      </c>
      <c r="D109" s="181" t="s">
        <v>609</v>
      </c>
      <c r="H109" s="178">
        <f>E42</f>
        <v>594.98</v>
      </c>
      <c r="I109" s="181" t="s">
        <v>117</v>
      </c>
    </row>
    <row r="110" spans="2:13" x14ac:dyDescent="0.2">
      <c r="D110" s="181" t="s">
        <v>310</v>
      </c>
      <c r="E110" s="178" t="s">
        <v>641</v>
      </c>
      <c r="G110" s="178">
        <f>ROUND(4*H110/(3.14*D116^3*(1-D117^4)),3)</f>
        <v>10.319000000000001</v>
      </c>
      <c r="H110" s="178">
        <f>E44</f>
        <v>623.72</v>
      </c>
      <c r="I110" s="189" t="s">
        <v>210</v>
      </c>
    </row>
    <row r="112" spans="2:13" ht="24.75" customHeight="1" x14ac:dyDescent="0.2">
      <c r="D112" s="181" t="s">
        <v>572</v>
      </c>
      <c r="E112" s="1347" t="str">
        <f>CONCATENATE(H99,"/",G87,"+ 4*",H110,"/(3.14*",D116,"^3*(1-",D117,"^4))")</f>
        <v>594.98/40.13+ 4*623.72/(3.14*4.45^3*(1-0.596^4))</v>
      </c>
      <c r="F112" s="1348"/>
      <c r="G112" s="1145"/>
      <c r="H112" s="178">
        <f>ROUND(H99/G87+4*H110/(3.14*D116^3*(1-D117^4)),2)</f>
        <v>25.14</v>
      </c>
      <c r="I112" s="181" t="s">
        <v>254</v>
      </c>
      <c r="J112" s="60" t="str">
        <f>IF(H112&lt;C95*1.25,"ok","revise")</f>
        <v>ok</v>
      </c>
    </row>
    <row r="113" spans="2:16" x14ac:dyDescent="0.2">
      <c r="H113" s="178">
        <f>ROUND(H99/G87-4*H110/(3.14*D116^3*(1-D117^4)),2)</f>
        <v>4.51</v>
      </c>
      <c r="J113" s="292" t="str">
        <f>IF(('Earthquake &amp; wind'!G29-'fdn annular '!H80/1000)*2+'fdn annular '!H113&gt;0,"ok","revise")</f>
        <v>ok</v>
      </c>
      <c r="M113" s="178">
        <f>5.48*D117^2</f>
        <v>1.94658368</v>
      </c>
    </row>
    <row r="114" spans="2:16" x14ac:dyDescent="0.2">
      <c r="M114" s="178">
        <f>-2.96*D118^2</f>
        <v>-1.8849398400000001</v>
      </c>
    </row>
    <row r="115" spans="2:16" x14ac:dyDescent="0.2">
      <c r="M115" s="178">
        <f>-(8*LN(D118))</f>
        <v>1.8051734522586258</v>
      </c>
    </row>
    <row r="116" spans="2:16" x14ac:dyDescent="0.2">
      <c r="B116" s="178" t="s">
        <v>608</v>
      </c>
      <c r="C116" s="178" t="s">
        <v>442</v>
      </c>
      <c r="D116" s="178">
        <f>E67/2</f>
        <v>4.45</v>
      </c>
      <c r="E116" s="181" t="s">
        <v>74</v>
      </c>
      <c r="G116" s="181"/>
      <c r="M116" s="178">
        <f>8*D117^4*(LN(D117)/(D117^2-1))</f>
        <v>0.81018349280203483</v>
      </c>
    </row>
    <row r="117" spans="2:16" x14ac:dyDescent="0.2">
      <c r="B117" s="188" t="s">
        <v>57</v>
      </c>
      <c r="C117" s="181" t="s">
        <v>442</v>
      </c>
      <c r="D117" s="178">
        <f>ROUND(E59/2/D116,3)</f>
        <v>0.59599999999999997</v>
      </c>
      <c r="E117" s="178">
        <f>ROUND(E59/2/D116,3)</f>
        <v>0.59599999999999997</v>
      </c>
      <c r="G117" s="181"/>
      <c r="K117" s="178">
        <f>21.65*D117^2*LN(D117)/(D117^2-1)</f>
        <v>6.1724671112661227</v>
      </c>
    </row>
    <row r="118" spans="2:16" x14ac:dyDescent="0.2">
      <c r="B118" s="181" t="s">
        <v>167</v>
      </c>
      <c r="C118" s="181" t="s">
        <v>442</v>
      </c>
      <c r="D118" s="178">
        <f>ROUND(E70/2/D116,3)</f>
        <v>0.79800000000000004</v>
      </c>
      <c r="E118" s="178">
        <f>ROUND(E70/2/D116,3)</f>
        <v>0.79800000000000004</v>
      </c>
      <c r="G118" s="181"/>
      <c r="K118" s="178">
        <f>-21.65*LN(D118)</f>
        <v>4.8852506551749055</v>
      </c>
      <c r="M118" s="178">
        <f>-(H130*LN(D118))</f>
        <v>0.34166086491555631</v>
      </c>
    </row>
    <row r="119" spans="2:16" x14ac:dyDescent="0.2">
      <c r="G119" s="181"/>
    </row>
    <row r="120" spans="2:16" x14ac:dyDescent="0.2">
      <c r="B120" s="181" t="s">
        <v>619</v>
      </c>
      <c r="C120" s="181" t="s">
        <v>442</v>
      </c>
      <c r="E120" s="178" t="s">
        <v>646</v>
      </c>
      <c r="F120" s="178">
        <f>D117</f>
        <v>0.59599999999999997</v>
      </c>
      <c r="G120" s="292">
        <v>1</v>
      </c>
      <c r="I120" s="178"/>
      <c r="O120" s="200"/>
    </row>
    <row r="121" spans="2:16" x14ac:dyDescent="0.2">
      <c r="G121" s="181"/>
      <c r="K121" s="178">
        <f>8*D117^4*(LN(D117)/(D117^2-1))</f>
        <v>0.81018349280203483</v>
      </c>
      <c r="O121" s="200"/>
    </row>
    <row r="122" spans="2:16" ht="43.5" customHeight="1" x14ac:dyDescent="0.25">
      <c r="B122" s="291" t="s">
        <v>638</v>
      </c>
      <c r="G122" s="181"/>
      <c r="K122" s="178">
        <f>-D129*LN(D118)</f>
        <v>-6.8668482937899483E-2</v>
      </c>
      <c r="L122" s="178">
        <f>-(D118^4)</f>
        <v>-0.40551933441600002</v>
      </c>
      <c r="M122" s="1347" t="str">
        <f>CONCATENATE("-",D118,"^4+8*",D117,"^2*",D118,"^2*LN(",D118,")-",D118,"^2*",D128,"-",D129,"*LN(",D118,")")</f>
        <v>-0.798^4+8*0.596^2*0.798^2*LN(0.798)-0.798^2*0.157000785060661--0.304318603187884*LN(0.798)</v>
      </c>
      <c r="N122" s="1348"/>
      <c r="O122" s="1348"/>
      <c r="P122" s="1145"/>
    </row>
    <row r="123" spans="2:16" x14ac:dyDescent="0.2">
      <c r="G123" s="181"/>
      <c r="L123" s="181">
        <f>8*D117^2*D118^2*LN(D118)</f>
        <v>-0.4083355956595161</v>
      </c>
      <c r="O123" s="200"/>
    </row>
    <row r="124" spans="2:16" x14ac:dyDescent="0.2">
      <c r="B124" s="181" t="s">
        <v>621</v>
      </c>
      <c r="F124" s="181" t="s">
        <v>310</v>
      </c>
      <c r="G124" s="181"/>
      <c r="L124" s="178">
        <f>D118^2*D128</f>
        <v>9.9978727929768862E-2</v>
      </c>
      <c r="O124" s="200"/>
    </row>
    <row r="125" spans="2:16" x14ac:dyDescent="0.2">
      <c r="G125" s="181"/>
      <c r="K125" s="178">
        <f>-1*D118^2*D128</f>
        <v>-9.9978727929768862E-2</v>
      </c>
      <c r="L125" s="181">
        <f>D129*LN(D118)</f>
        <v>6.8668482937899483E-2</v>
      </c>
      <c r="O125" s="200"/>
    </row>
    <row r="126" spans="2:16" x14ac:dyDescent="0.2">
      <c r="G126" s="181"/>
      <c r="O126" s="200"/>
    </row>
    <row r="127" spans="2:16" x14ac:dyDescent="0.2">
      <c r="B127" s="181" t="s">
        <v>612</v>
      </c>
      <c r="D127" s="175">
        <f>-(D118^4)+8*D117^2*D118^2*LN(D118)-(D118^2)*D128-D129*LN(D118)</f>
        <v>-0.98250214094318455</v>
      </c>
      <c r="F127" s="181" t="s">
        <v>612</v>
      </c>
      <c r="G127" s="181"/>
      <c r="H127" s="178">
        <f>-(D118^4)-(D118^2*H128)-(H129/D118^2)-(H130*LN(D118))</f>
        <v>1.2768573229591706</v>
      </c>
      <c r="K127" s="178">
        <f>8*D117^2*D118^2*LN(D118)</f>
        <v>-0.4083355956595161</v>
      </c>
      <c r="O127" s="200"/>
    </row>
    <row r="128" spans="2:16" x14ac:dyDescent="0.2">
      <c r="B128" s="181" t="s">
        <v>613</v>
      </c>
      <c r="D128" s="175">
        <f>5.48*D117^2-2.52-2.96*D118^2-8*LN(D118)+8*D117^4*(LN(D117)/(D117^2-1))</f>
        <v>0.15700078506066051</v>
      </c>
      <c r="F128" s="181" t="s">
        <v>613</v>
      </c>
      <c r="H128" s="178">
        <f>-5.46*(1+D117^4/(D117^2+1))-0.81^2+(3/D118^2)</f>
        <v>-1.9134317288757687</v>
      </c>
      <c r="K128" s="178">
        <f>-D118^4</f>
        <v>0.40551933441600002</v>
      </c>
      <c r="O128" s="200"/>
    </row>
    <row r="129" spans="2:19" x14ac:dyDescent="0.2">
      <c r="B129" s="181" t="s">
        <v>614</v>
      </c>
      <c r="D129" s="175">
        <f>D117^2*(-6.82-8*D118^2-21.65*LN(D118)+21.65*D117^2*LN(D117)/(D117^2-1))</f>
        <v>-0.30431860318788423</v>
      </c>
      <c r="F129" s="181" t="s">
        <v>614</v>
      </c>
      <c r="H129" s="178">
        <f>3*D118^2*D117^4-(11.12*D117^4/D118^2)+20.24*D117^4/(D117^2+1)</f>
        <v>-7.7839618357294249E-2</v>
      </c>
      <c r="K129" s="178">
        <f>-D118^2*D128</f>
        <v>9.9978727929768862E-2</v>
      </c>
      <c r="O129" s="200"/>
    </row>
    <row r="130" spans="2:19" x14ac:dyDescent="0.2">
      <c r="B130" s="181" t="s">
        <v>615</v>
      </c>
      <c r="D130" s="175">
        <f>-8*(D117^2)</f>
        <v>-2.8417279999999998</v>
      </c>
      <c r="F130" s="181" t="s">
        <v>615</v>
      </c>
      <c r="H130" s="178">
        <f>12*D117^4</f>
        <v>1.5141408798719995</v>
      </c>
      <c r="K130" s="178">
        <f>-D129*LN(D118)</f>
        <v>-6.8668482937899483E-2</v>
      </c>
      <c r="O130" s="200"/>
    </row>
    <row r="131" spans="2:19" x14ac:dyDescent="0.2">
      <c r="B131" s="181" t="s">
        <v>616</v>
      </c>
      <c r="D131" s="175">
        <f>-(D118^4)+8*D118^2*LN(D118)-D118^2*D132-D133*LN(D118)</f>
        <v>-5.0085164630637706</v>
      </c>
      <c r="F131" s="181" t="s">
        <v>616</v>
      </c>
      <c r="H131" s="178">
        <f>-(D118^4)-D118^2*H132-H133/D118^2-H134*LN(D118)</f>
        <v>3.5536201929085123</v>
      </c>
      <c r="K131" s="178">
        <f>SUM(K127:K130)</f>
        <v>2.8493983748353297E-2</v>
      </c>
      <c r="M131" s="178">
        <f>$D$130*(1.45+2.3*LN(K141))</f>
        <v>-1.2126559662359968</v>
      </c>
      <c r="O131" s="200"/>
    </row>
    <row r="132" spans="2:19" x14ac:dyDescent="0.2">
      <c r="B132" s="181" t="s">
        <v>617</v>
      </c>
      <c r="D132" s="175">
        <f>5.48-2.52*D117^2-2.96*D118^2-8*D117^2*LN(D118)+8*D117^4*LN(D117)/(D117^2-1)</f>
        <v>4.1513258258195354</v>
      </c>
      <c r="F132" s="181" t="s">
        <v>617</v>
      </c>
      <c r="H132" s="178">
        <f>-5.46*(1+D117^4/(D117^2+1))-(0.81*D118^2)+(3*D117^4/(D118^2))</f>
        <v>-5.8897389388005799</v>
      </c>
      <c r="M132" s="178">
        <f>-0.85/K141^2*$D$129</f>
        <v>0.62976996299967891</v>
      </c>
      <c r="O132" s="200"/>
    </row>
    <row r="133" spans="2:19" x14ac:dyDescent="0.2">
      <c r="B133" s="181" t="s">
        <v>618</v>
      </c>
      <c r="D133" s="175">
        <f>-6.82*(D117^2)-8*D118^2+21.65*D117^4*LN(D117)/(D117^2-1)-21.65*D117^2*LN(D118)</f>
        <v>-3.5891268458758852</v>
      </c>
      <c r="F133" s="181" t="s">
        <v>618</v>
      </c>
      <c r="H133" s="178">
        <f>3*D118^2-11.12*D117^4/D118^2+(20.24*D117^4/(D117^2+1))</f>
        <v>1.5915196394262034</v>
      </c>
      <c r="O133" s="200"/>
    </row>
    <row r="134" spans="2:19" x14ac:dyDescent="0.2">
      <c r="B134" s="181" t="s">
        <v>620</v>
      </c>
      <c r="D134" s="175">
        <v>-8</v>
      </c>
      <c r="F134" s="181" t="s">
        <v>620</v>
      </c>
      <c r="H134" s="178">
        <v>12</v>
      </c>
      <c r="I134" s="178"/>
      <c r="K134" s="178">
        <f>$D$134*(1.45+2.3*LN(K141))</f>
        <v>-3.4138551366942842</v>
      </c>
      <c r="O134" s="200"/>
    </row>
    <row r="135" spans="2:19" x14ac:dyDescent="0.2">
      <c r="I135" s="178"/>
      <c r="K135" s="178">
        <f>0.85/K141^2*$D$133</f>
        <v>-7.4274929539319086</v>
      </c>
      <c r="O135" s="200"/>
    </row>
    <row r="136" spans="2:19" x14ac:dyDescent="0.2">
      <c r="B136" s="178" t="s">
        <v>573</v>
      </c>
      <c r="I136" s="178"/>
      <c r="K136" s="178">
        <f>2.3*$D$132</f>
        <v>9.5480493993849311</v>
      </c>
      <c r="O136" s="200"/>
    </row>
    <row r="137" spans="2:19" x14ac:dyDescent="0.2">
      <c r="B137" s="178" t="s">
        <v>129</v>
      </c>
      <c r="C137" s="178">
        <f>H100</f>
        <v>14.83</v>
      </c>
      <c r="D137" s="178" t="s">
        <v>254</v>
      </c>
      <c r="I137" s="178"/>
      <c r="K137" s="178">
        <f>-5.8*K141*K141</f>
        <v>-2.3822836938271603</v>
      </c>
      <c r="O137" s="200"/>
    </row>
    <row r="138" spans="2:19" x14ac:dyDescent="0.2">
      <c r="I138" s="178"/>
      <c r="O138" s="200"/>
    </row>
    <row r="139" spans="2:19" x14ac:dyDescent="0.2">
      <c r="B139" s="178" t="str">
        <f>K139</f>
        <v>f</v>
      </c>
      <c r="C139" s="178" t="s">
        <v>625</v>
      </c>
      <c r="D139" s="178" t="s">
        <v>624</v>
      </c>
      <c r="E139" s="178" t="s">
        <v>649</v>
      </c>
      <c r="I139" s="178"/>
      <c r="K139" s="178" t="s">
        <v>619</v>
      </c>
      <c r="L139" s="178" t="s">
        <v>622</v>
      </c>
      <c r="M139" s="178" t="s">
        <v>640</v>
      </c>
      <c r="N139" s="178" t="s">
        <v>642</v>
      </c>
      <c r="O139" s="178" t="s">
        <v>643</v>
      </c>
      <c r="P139" s="178" t="s">
        <v>644</v>
      </c>
      <c r="Q139" s="178" t="s">
        <v>645</v>
      </c>
      <c r="R139" s="178" t="s">
        <v>671</v>
      </c>
      <c r="S139" s="178" t="s">
        <v>672</v>
      </c>
    </row>
    <row r="140" spans="2:19" x14ac:dyDescent="0.2">
      <c r="B140" s="203">
        <f t="shared" ref="B140:B149" si="0">K140</f>
        <v>0.59599999999999997</v>
      </c>
      <c r="C140" s="178">
        <f>IF(B140&lt;$D$118,L140,M140)</f>
        <v>1.7999999999999999E-2</v>
      </c>
      <c r="D140" s="178">
        <f>IF(B140&lt;$D$118,N140,O140)</f>
        <v>-4.383</v>
      </c>
      <c r="E140" s="178">
        <f>IF(B140&lt;$D$118,P140,Q140)</f>
        <v>0</v>
      </c>
      <c r="I140" s="178"/>
      <c r="K140" s="202">
        <f>$F$120</f>
        <v>0.59599999999999997</v>
      </c>
      <c r="L140" s="178">
        <f>IF(K140&lt;$D$118,ROUND($C$137*$D$116*$D$116/64*(-12.6*K140^2-2.3*$D$128+0.85/K140^2*$D$129-$D$130*(3.15+2.3*LN(K140))),3),0)</f>
        <v>1.7999999999999999E-2</v>
      </c>
      <c r="M140" s="178">
        <f>IF(K140&lt;$D$118,0,ROUND($C$137*$D$116*$D$116/64*(-12.6*K140^2-2.3*$D$132+0.85/K140^2*$D$133-$D$134*(3.15+2.3*LN(K140))),3))</f>
        <v>0</v>
      </c>
      <c r="N140" s="178">
        <f>IF(K140&lt;$D$118,ROUND($C$137*$D$116*$D$116/64*(-5.8*K140*K140-2.3*$D$128-0.85/K140^2*$D$129-$D$130*(1.45+2.3*LN(K140))),3),0)</f>
        <v>-4.383</v>
      </c>
      <c r="O140" s="178">
        <f>IF(K140&lt;$D$118,0,ROUND($C$137*$D$116*$D$116/64*(-5.8*K140*K140-2.3*$D$132-0.85/K140^2*$D$133-$D$134*(1.45+2.3*LN(K140))),3))</f>
        <v>0</v>
      </c>
      <c r="P140" s="178">
        <f>IF(K140&lt;$D$118,ROUND($C$137*$D$116/2/K140*($D$117^2-K140^2),3),0)</f>
        <v>0</v>
      </c>
      <c r="Q140" s="178">
        <f>IF(K140&lt;$D$118,0,ROUND($C$137*$D$116/2/K140*(1-K140^2),3))</f>
        <v>0</v>
      </c>
      <c r="R140" s="178">
        <v>0</v>
      </c>
      <c r="S140" s="178">
        <v>0</v>
      </c>
    </row>
    <row r="141" spans="2:19" x14ac:dyDescent="0.2">
      <c r="B141" s="203">
        <f t="shared" si="0"/>
        <v>0.64088888888888884</v>
      </c>
      <c r="C141" s="178">
        <f t="shared" ref="C141:C149" si="1">IF(B141&lt;$D$118,L141,M141)</f>
        <v>-0.56200000000000006</v>
      </c>
      <c r="D141" s="178">
        <f t="shared" ref="D141:D149" si="2">IF(B141&lt;$D$118,N141,O141)</f>
        <v>-4.1340000000000003</v>
      </c>
      <c r="E141" s="178">
        <f t="shared" ref="E141:E149" si="3">IF(B141&lt;$D$118,P141,Q141)</f>
        <v>-2.859</v>
      </c>
      <c r="I141" s="178"/>
      <c r="K141" s="202">
        <f t="shared" ref="K141:K148" si="4">(K$149-K$140)/9+K140</f>
        <v>0.64088888888888884</v>
      </c>
      <c r="L141" s="178">
        <f t="shared" ref="L141:L149" si="5">IF(K141&lt;$D$118,ROUND($C$137*$D$116*$D$116/64*(-12.6*K141^2-2.3*$D$128+0.85/K141^2*$D$129-$D$130*(3.15+2.3*LN(K141))),3),0)</f>
        <v>-0.56200000000000006</v>
      </c>
      <c r="M141" s="178">
        <f t="shared" ref="M141:M149" si="6">IF(K141&lt;$D$118,0,ROUND($C$137*$D$116*$D$116/64*(-12.6*K141^2-2.3*$D$132+0.85/K141^2*$D$133-$D$134*(3.15+2.3*LN(K141))),3))</f>
        <v>0</v>
      </c>
      <c r="N141" s="178">
        <f t="shared" ref="N141:N149" si="7">IF(K141&lt;$D$118,ROUND($C$137*$D$116*$D$116/64*(-5.8*K141*K141-2.3*$D$128-0.85/K141^2*$D$129-$D$130*(1.45+2.3*LN(K141))),3),0)</f>
        <v>-4.1340000000000003</v>
      </c>
      <c r="O141" s="178">
        <f t="shared" ref="O141:O149" si="8">IF(K141&lt;$D$118,0,ROUND($C$137*$D$116*$D$116/64*(-5.8*K141*K141-2.3*$D$132-0.85/K141^2*$D$133-$D$134*(1.45+2.3*LN(K141))),3))</f>
        <v>0</v>
      </c>
      <c r="P141" s="178">
        <f t="shared" ref="P141:P149" si="9">IF(K141&lt;$D$118,ROUND($C$137*$D$116/2/K141*($D$117^2-K141^2),3),0)</f>
        <v>-2.859</v>
      </c>
      <c r="Q141" s="178">
        <f t="shared" ref="Q141:Q149" si="10">IF(K141&lt;$D$118,0,ROUND($C$137*$D$116/2/K141*(1-K141^2),3))</f>
        <v>0</v>
      </c>
      <c r="R141" s="178">
        <v>0</v>
      </c>
      <c r="S141" s="178">
        <v>0</v>
      </c>
    </row>
    <row r="142" spans="2:19" x14ac:dyDescent="0.2">
      <c r="B142" s="203">
        <f t="shared" si="0"/>
        <v>0.68577777777777771</v>
      </c>
      <c r="C142" s="178">
        <f t="shared" si="1"/>
        <v>-1.609</v>
      </c>
      <c r="D142" s="178">
        <f t="shared" si="2"/>
        <v>-4.0549999999999997</v>
      </c>
      <c r="E142" s="178">
        <f t="shared" si="3"/>
        <v>-5.5369999999999999</v>
      </c>
      <c r="I142" s="178"/>
      <c r="K142" s="202">
        <f t="shared" si="4"/>
        <v>0.68577777777777771</v>
      </c>
      <c r="L142" s="178">
        <f t="shared" si="5"/>
        <v>-1.609</v>
      </c>
      <c r="M142" s="178">
        <f t="shared" si="6"/>
        <v>0</v>
      </c>
      <c r="N142" s="178">
        <f t="shared" si="7"/>
        <v>-4.0549999999999997</v>
      </c>
      <c r="O142" s="178">
        <f t="shared" si="8"/>
        <v>0</v>
      </c>
      <c r="P142" s="178">
        <f t="shared" si="9"/>
        <v>-5.5369999999999999</v>
      </c>
      <c r="Q142" s="178">
        <f t="shared" si="10"/>
        <v>0</v>
      </c>
      <c r="R142" s="178">
        <v>0</v>
      </c>
      <c r="S142" s="178">
        <v>0</v>
      </c>
    </row>
    <row r="143" spans="2:19" x14ac:dyDescent="0.2">
      <c r="B143" s="203">
        <f t="shared" si="0"/>
        <v>0.73066666666666658</v>
      </c>
      <c r="C143" s="178">
        <f t="shared" si="1"/>
        <v>-3.0830000000000002</v>
      </c>
      <c r="D143" s="178">
        <f t="shared" si="2"/>
        <v>-4.1459999999999999</v>
      </c>
      <c r="E143" s="178">
        <f t="shared" si="3"/>
        <v>-8.0679999999999996</v>
      </c>
      <c r="K143" s="202">
        <f t="shared" si="4"/>
        <v>0.73066666666666658</v>
      </c>
      <c r="L143" s="178">
        <f t="shared" si="5"/>
        <v>-3.0830000000000002</v>
      </c>
      <c r="M143" s="178">
        <f t="shared" si="6"/>
        <v>0</v>
      </c>
      <c r="N143" s="178">
        <f t="shared" si="7"/>
        <v>-4.1459999999999999</v>
      </c>
      <c r="O143" s="178">
        <f t="shared" si="8"/>
        <v>0</v>
      </c>
      <c r="P143" s="178">
        <f t="shared" si="9"/>
        <v>-8.0679999999999996</v>
      </c>
      <c r="Q143" s="178">
        <f t="shared" si="10"/>
        <v>0</v>
      </c>
      <c r="R143" s="178">
        <v>0</v>
      </c>
      <c r="S143" s="178">
        <v>0</v>
      </c>
    </row>
    <row r="144" spans="2:19" x14ac:dyDescent="0.2">
      <c r="B144" s="203">
        <f t="shared" si="0"/>
        <v>0.77555555555555544</v>
      </c>
      <c r="C144" s="178">
        <f t="shared" si="1"/>
        <v>-4.9539999999999997</v>
      </c>
      <c r="D144" s="178">
        <f t="shared" si="2"/>
        <v>-4.407</v>
      </c>
      <c r="E144" s="178">
        <f t="shared" si="3"/>
        <v>-10.478</v>
      </c>
      <c r="K144" s="202">
        <f t="shared" si="4"/>
        <v>0.77555555555555544</v>
      </c>
      <c r="L144" s="178">
        <f t="shared" si="5"/>
        <v>-4.9539999999999997</v>
      </c>
      <c r="M144" s="178">
        <f t="shared" si="6"/>
        <v>0</v>
      </c>
      <c r="N144" s="178">
        <f t="shared" si="7"/>
        <v>-4.407</v>
      </c>
      <c r="O144" s="178">
        <f t="shared" si="8"/>
        <v>0</v>
      </c>
      <c r="P144" s="178">
        <f t="shared" si="9"/>
        <v>-10.478</v>
      </c>
      <c r="Q144" s="178">
        <f t="shared" si="10"/>
        <v>0</v>
      </c>
      <c r="R144" s="178">
        <v>0</v>
      </c>
      <c r="S144" s="178">
        <v>0</v>
      </c>
    </row>
    <row r="145" spans="2:19" x14ac:dyDescent="0.2">
      <c r="B145" s="203">
        <f t="shared" si="0"/>
        <v>0.82044444444444431</v>
      </c>
      <c r="C145" s="178">
        <f t="shared" si="1"/>
        <v>-4.6029999999999998</v>
      </c>
      <c r="D145" s="178">
        <f t="shared" si="2"/>
        <v>-4.4119999999999999</v>
      </c>
      <c r="E145" s="178">
        <f t="shared" si="3"/>
        <v>13.146000000000001</v>
      </c>
      <c r="K145" s="202">
        <f t="shared" si="4"/>
        <v>0.82044444444444431</v>
      </c>
      <c r="L145" s="178">
        <f t="shared" si="5"/>
        <v>0</v>
      </c>
      <c r="M145" s="178">
        <f t="shared" si="6"/>
        <v>-4.6029999999999998</v>
      </c>
      <c r="N145" s="178">
        <f t="shared" si="7"/>
        <v>0</v>
      </c>
      <c r="O145" s="178">
        <f t="shared" si="8"/>
        <v>-4.4119999999999999</v>
      </c>
      <c r="P145" s="178">
        <f t="shared" si="9"/>
        <v>0</v>
      </c>
      <c r="Q145" s="178">
        <f t="shared" si="10"/>
        <v>13.146000000000001</v>
      </c>
      <c r="R145" s="178">
        <v>0</v>
      </c>
      <c r="S145" s="178">
        <v>0</v>
      </c>
    </row>
    <row r="146" spans="2:19" x14ac:dyDescent="0.2">
      <c r="B146" s="203">
        <f t="shared" si="0"/>
        <v>0.86533333333333318</v>
      </c>
      <c r="C146" s="178">
        <f t="shared" si="1"/>
        <v>-2.379</v>
      </c>
      <c r="D146" s="178">
        <f t="shared" si="2"/>
        <v>-4.03</v>
      </c>
      <c r="E146" s="178">
        <f t="shared" si="3"/>
        <v>9.5790000000000006</v>
      </c>
      <c r="K146" s="202">
        <f t="shared" si="4"/>
        <v>0.86533333333333318</v>
      </c>
      <c r="L146" s="178">
        <f t="shared" si="5"/>
        <v>0</v>
      </c>
      <c r="M146" s="178">
        <f t="shared" si="6"/>
        <v>-2.379</v>
      </c>
      <c r="N146" s="178">
        <f t="shared" si="7"/>
        <v>0</v>
      </c>
      <c r="O146" s="178">
        <f t="shared" si="8"/>
        <v>-4.03</v>
      </c>
      <c r="P146" s="178">
        <f t="shared" si="9"/>
        <v>0</v>
      </c>
      <c r="Q146" s="178">
        <f>IF(K146&lt;$D$118,0,ROUND($C$137*$D$116/2/K146*(1-K146^2),3))</f>
        <v>9.5790000000000006</v>
      </c>
      <c r="R146" s="178">
        <v>0</v>
      </c>
      <c r="S146" s="178">
        <v>0</v>
      </c>
    </row>
    <row r="147" spans="2:19" x14ac:dyDescent="0.2">
      <c r="B147" s="203">
        <f t="shared" si="0"/>
        <v>0.91022222222222204</v>
      </c>
      <c r="C147" s="178">
        <f t="shared" si="1"/>
        <v>-0.91900000000000004</v>
      </c>
      <c r="D147" s="178">
        <f t="shared" si="2"/>
        <v>-3.68</v>
      </c>
      <c r="E147" s="178">
        <f t="shared" si="3"/>
        <v>6.2169999999999996</v>
      </c>
      <c r="K147" s="202">
        <f t="shared" si="4"/>
        <v>0.91022222222222204</v>
      </c>
      <c r="L147" s="178">
        <f t="shared" si="5"/>
        <v>0</v>
      </c>
      <c r="M147" s="178">
        <f t="shared" si="6"/>
        <v>-0.91900000000000004</v>
      </c>
      <c r="N147" s="178">
        <f t="shared" si="7"/>
        <v>0</v>
      </c>
      <c r="O147" s="178">
        <f t="shared" si="8"/>
        <v>-3.68</v>
      </c>
      <c r="P147" s="178">
        <f t="shared" si="9"/>
        <v>0</v>
      </c>
      <c r="Q147" s="178">
        <f t="shared" si="10"/>
        <v>6.2169999999999996</v>
      </c>
      <c r="R147" s="178">
        <v>0</v>
      </c>
      <c r="S147" s="178">
        <v>0</v>
      </c>
    </row>
    <row r="148" spans="2:19" x14ac:dyDescent="0.2">
      <c r="B148" s="203">
        <f t="shared" si="0"/>
        <v>0.95511111111111091</v>
      </c>
      <c r="C148" s="178">
        <f t="shared" si="1"/>
        <v>-0.14499999999999999</v>
      </c>
      <c r="D148" s="178">
        <f t="shared" si="2"/>
        <v>-3.395</v>
      </c>
      <c r="E148" s="178">
        <f t="shared" si="3"/>
        <v>3.032</v>
      </c>
      <c r="K148" s="202">
        <f t="shared" si="4"/>
        <v>0.95511111111111091</v>
      </c>
      <c r="L148" s="178">
        <f t="shared" si="5"/>
        <v>0</v>
      </c>
      <c r="M148" s="178">
        <f t="shared" si="6"/>
        <v>-0.14499999999999999</v>
      </c>
      <c r="N148" s="178">
        <f t="shared" si="7"/>
        <v>0</v>
      </c>
      <c r="O148" s="178">
        <f t="shared" si="8"/>
        <v>-3.395</v>
      </c>
      <c r="P148" s="178">
        <f t="shared" si="9"/>
        <v>0</v>
      </c>
      <c r="Q148" s="178">
        <f t="shared" si="10"/>
        <v>3.032</v>
      </c>
      <c r="R148" s="178">
        <v>0</v>
      </c>
      <c r="S148" s="178">
        <v>0</v>
      </c>
    </row>
    <row r="149" spans="2:19" x14ac:dyDescent="0.2">
      <c r="B149" s="203">
        <f t="shared" si="0"/>
        <v>1</v>
      </c>
      <c r="C149" s="178">
        <f t="shared" si="1"/>
        <v>5.0000000000000001E-3</v>
      </c>
      <c r="D149" s="178">
        <f t="shared" si="2"/>
        <v>-3.2</v>
      </c>
      <c r="E149" s="178">
        <f t="shared" si="3"/>
        <v>0</v>
      </c>
      <c r="K149" s="202">
        <f>$G$120</f>
        <v>1</v>
      </c>
      <c r="L149" s="178">
        <f t="shared" si="5"/>
        <v>0</v>
      </c>
      <c r="M149" s="178">
        <f t="shared" si="6"/>
        <v>5.0000000000000001E-3</v>
      </c>
      <c r="N149" s="178">
        <f t="shared" si="7"/>
        <v>0</v>
      </c>
      <c r="O149" s="178">
        <f t="shared" si="8"/>
        <v>-3.2</v>
      </c>
      <c r="P149" s="178">
        <f t="shared" si="9"/>
        <v>0</v>
      </c>
      <c r="Q149" s="178">
        <f t="shared" si="10"/>
        <v>0</v>
      </c>
      <c r="R149" s="178">
        <v>0</v>
      </c>
      <c r="S149" s="178">
        <v>0</v>
      </c>
    </row>
    <row r="150" spans="2:19" x14ac:dyDescent="0.2">
      <c r="O150" s="200"/>
    </row>
    <row r="151" spans="2:19" x14ac:dyDescent="0.2">
      <c r="O151" s="200"/>
    </row>
    <row r="152" spans="2:19" x14ac:dyDescent="0.2">
      <c r="O152" s="200"/>
    </row>
    <row r="153" spans="2:19" x14ac:dyDescent="0.2">
      <c r="B153" s="178" t="s">
        <v>475</v>
      </c>
      <c r="O153" s="200"/>
    </row>
    <row r="154" spans="2:19" x14ac:dyDescent="0.2">
      <c r="B154" s="178" t="s">
        <v>641</v>
      </c>
      <c r="C154" s="178">
        <f>G104</f>
        <v>3.722</v>
      </c>
      <c r="O154" s="200"/>
    </row>
    <row r="155" spans="2:19" x14ac:dyDescent="0.2">
      <c r="O155" s="200"/>
    </row>
    <row r="156" spans="2:19" x14ac:dyDescent="0.2">
      <c r="B156" s="178" t="s">
        <v>648</v>
      </c>
      <c r="I156" s="178"/>
      <c r="O156" s="200"/>
    </row>
    <row r="157" spans="2:19" x14ac:dyDescent="0.2">
      <c r="I157" s="178"/>
      <c r="O157" s="200"/>
    </row>
    <row r="158" spans="2:19" x14ac:dyDescent="0.2">
      <c r="B158" s="178" t="s">
        <v>650</v>
      </c>
    </row>
    <row r="160" spans="2:19" x14ac:dyDescent="0.2">
      <c r="B160" s="178" t="s">
        <v>619</v>
      </c>
      <c r="C160" s="178" t="s">
        <v>625</v>
      </c>
      <c r="D160" s="178" t="s">
        <v>624</v>
      </c>
      <c r="E160" s="178" t="s">
        <v>649</v>
      </c>
      <c r="F160" s="178" t="s">
        <v>673</v>
      </c>
      <c r="K160" s="178" t="s">
        <v>619</v>
      </c>
      <c r="L160" s="178" t="s">
        <v>625</v>
      </c>
      <c r="M160" s="178" t="s">
        <v>640</v>
      </c>
      <c r="N160" s="178" t="s">
        <v>642</v>
      </c>
      <c r="O160" s="178" t="s">
        <v>643</v>
      </c>
      <c r="P160" s="178" t="s">
        <v>644</v>
      </c>
      <c r="Q160" s="178" t="s">
        <v>645</v>
      </c>
      <c r="R160" s="178" t="s">
        <v>671</v>
      </c>
      <c r="S160" s="178" t="s">
        <v>672</v>
      </c>
    </row>
    <row r="161" spans="2:19" x14ac:dyDescent="0.2">
      <c r="B161" s="202">
        <f>$F$120</f>
        <v>0.59599999999999997</v>
      </c>
      <c r="C161" s="178">
        <f t="shared" ref="C161:C170" si="11">IF(B161&lt;$D$118,L140+L161,M140+M161)</f>
        <v>0.22</v>
      </c>
      <c r="D161" s="178">
        <f>IF(B161&lt;$D$118,N140+N161,O140+O161)</f>
        <v>-5.0440000000000005</v>
      </c>
      <c r="E161" s="178">
        <f t="shared" ref="E161:E170" si="12">IF(B161&lt;$D$118,P140+P161,Q140+Q161)</f>
        <v>-0.15</v>
      </c>
      <c r="F161" s="178">
        <f>IF(B161&lt;$D$118,R140+R161,S140+S161)</f>
        <v>0.15</v>
      </c>
      <c r="K161" s="202">
        <f>$F$120</f>
        <v>0.59599999999999997</v>
      </c>
      <c r="L161" s="178">
        <f>IF(K161&lt;$D$118,ROUND($C$154*$D$116^2/192*(-20.6*K161^3-6.3*K161*$H$128-1.7*$H$129/K161^3-1.15/K161*$H$130),3),0)</f>
        <v>0.20200000000000001</v>
      </c>
      <c r="M161" s="178">
        <f>IF(K161&lt;$D$118,0,ROUND($C$154*$D$116^2/192*(-20.6*K161^3-6.3*K161*$H$132-1.7*$H$133/K161^3-1.15/K161*$H$134),3))</f>
        <v>0</v>
      </c>
      <c r="N161" s="178">
        <f>IF(K161&lt;$D$118,ROUND($C$154*$D$116^2/192*(-7*K161^3-2.9*K161*$H$128+1.7*$H$129/K161^3-1.15/K161*$H$130),3),0)</f>
        <v>-0.66100000000000003</v>
      </c>
      <c r="O161" s="178">
        <f>IF(K161&lt;$D$118,0,ROUND($C$154*$D$116^2/192*(-7*K161^3-2.9*K161*$H$132+1.7*$H$133/K161^3-1.15/K161*$H$134),3))</f>
        <v>0</v>
      </c>
      <c r="P161" s="178">
        <f>IF(K161&lt;$D$118,ROUND($C$154*$D$116/192*(-72*K161^2-8*$H$128+2/K161^2*$H$130),3),0)</f>
        <v>-0.15</v>
      </c>
      <c r="Q161" s="178">
        <f>IF(K161&lt;$D$118,0,ROUND($C$154*$D$116/192*(-72*K161^2-8*$H$132+2/K161^2*$H$134),3))</f>
        <v>0</v>
      </c>
      <c r="R161" s="178">
        <f>IF(K161&lt;$D$118,ROUND($C$154*$D$116/192*(24*$K161^2+8*$H$128+2/$K161^2*$H$130),3),0)</f>
        <v>0.15</v>
      </c>
      <c r="S161" s="178">
        <f>IF(K161&lt;$D$118,0,ROUND($C$154*$D$116/192*(24*$K161^2+8*$H$132+2/$K161^2*$H$134),3))</f>
        <v>0</v>
      </c>
    </row>
    <row r="162" spans="2:19" x14ac:dyDescent="0.2">
      <c r="B162" s="202">
        <f t="shared" ref="B162:B169" si="13">(K$149-K$140)/9+B161</f>
        <v>0.64088888888888884</v>
      </c>
      <c r="C162" s="178">
        <f t="shared" si="11"/>
        <v>-0.52800000000000002</v>
      </c>
      <c r="D162" s="178">
        <f t="shared" ref="D162:D170" si="14">IF(B162&lt;$D$118,N141+N162,O141+O162)</f>
        <v>-4.7120000000000006</v>
      </c>
      <c r="E162" s="178">
        <f t="shared" si="12"/>
        <v>-3.4539999999999997</v>
      </c>
      <c r="F162" s="178">
        <f>IF(B162&lt;$D$118,R141+R162,S141+S162)</f>
        <v>0.16600000000000001</v>
      </c>
      <c r="K162" s="202">
        <f t="shared" ref="K162:K169" si="15">(K$149-K$140)/9+K161</f>
        <v>0.64088888888888884</v>
      </c>
      <c r="L162" s="178">
        <f t="shared" ref="L162:L170" si="16">IF(K162&lt;$D$118,ROUND($C$154*$D$116^2/192*(-20.6*K162^3-6.3*K162*$H$128-1.7*$H$129/K162^3-1.15/K162*$H$130),3),0)</f>
        <v>3.4000000000000002E-2</v>
      </c>
      <c r="M162" s="178">
        <f t="shared" ref="M162:M170" si="17">IF(K162&lt;$D$118,0,ROUND($C$154*$D$116^2/192*(-20.6*K162^3-6.3*K162*$H$132-1.7*$H$133/K162^3-1.15/K162*$H$134),3))</f>
        <v>0</v>
      </c>
      <c r="N162" s="178">
        <f t="shared" ref="N162:N170" si="18">IF(K162&lt;$D$118,ROUND($C$154*$D$116^2/192*(-7*K162^3-2.9*K162*$H$128+1.7*$H$129/K162^3-1.15/K162*$H$130),3),0)</f>
        <v>-0.57799999999999996</v>
      </c>
      <c r="O162" s="178">
        <f t="shared" ref="O162:O170" si="19">IF(K162&lt;$D$118,0,ROUND($C$154*$D$116^2/192*(-7*K162^3-2.9*K162*$H$132+1.7*$H$133/K162^3-1.15/K162*$H$134),3))</f>
        <v>0</v>
      </c>
      <c r="P162" s="178">
        <f t="shared" ref="P162:P170" si="20">IF(K162&lt;$D$118,ROUND($C$154*$D$116/192*(-72*K162^2-8*$H$128+2/K162^2*$H$130),3),0)</f>
        <v>-0.59499999999999997</v>
      </c>
      <c r="Q162" s="178">
        <f t="shared" ref="Q162:Q170" si="21">IF(K162&lt;$D$118,0,ROUND($C$154*$D$116/192*(-72*K162^2-8*$H$132+2/K162^2*$H$134),3))</f>
        <v>0</v>
      </c>
      <c r="R162" s="178">
        <f t="shared" ref="R162:R170" si="22">IF(K162&lt;$D$118,ROUND($C$154*$D$116/192*(24*$K162^2+8*$H$128+2/$K162^2*$H$130),3),0)</f>
        <v>0.16600000000000001</v>
      </c>
      <c r="S162" s="178">
        <f t="shared" ref="S162:S170" si="23">IF(K162&lt;$D$118,0,ROUND($C$154*$D$116/192*(24*$K162^2+8*$H$132+2/$K162^2*$H$134),3))</f>
        <v>0</v>
      </c>
    </row>
    <row r="163" spans="2:19" x14ac:dyDescent="0.2">
      <c r="B163" s="202">
        <f t="shared" si="13"/>
        <v>0.68577777777777771</v>
      </c>
      <c r="C163" s="178">
        <f t="shared" si="11"/>
        <v>-1.8029999999999999</v>
      </c>
      <c r="D163" s="178">
        <f t="shared" si="14"/>
        <v>-4.593</v>
      </c>
      <c r="E163" s="178">
        <f t="shared" si="12"/>
        <v>-6.5819999999999999</v>
      </c>
      <c r="F163" s="178">
        <f t="shared" ref="F163:F169" si="24">IF(B163&lt;$D$118,R142+R163,S142+S163)</f>
        <v>0.20899999999999999</v>
      </c>
      <c r="K163" s="202">
        <f t="shared" si="15"/>
        <v>0.68577777777777771</v>
      </c>
      <c r="L163" s="178">
        <f t="shared" si="16"/>
        <v>-0.19400000000000001</v>
      </c>
      <c r="M163" s="178">
        <f t="shared" si="17"/>
        <v>0</v>
      </c>
      <c r="N163" s="178">
        <f t="shared" si="18"/>
        <v>-0.53800000000000003</v>
      </c>
      <c r="O163" s="178">
        <f t="shared" si="19"/>
        <v>0</v>
      </c>
      <c r="P163" s="178">
        <f t="shared" si="20"/>
        <v>-1.0449999999999999</v>
      </c>
      <c r="Q163" s="178">
        <f t="shared" si="21"/>
        <v>0</v>
      </c>
      <c r="R163" s="178">
        <f t="shared" si="22"/>
        <v>0.20899999999999999</v>
      </c>
      <c r="S163" s="178">
        <f t="shared" si="23"/>
        <v>0</v>
      </c>
    </row>
    <row r="164" spans="2:19" x14ac:dyDescent="0.2">
      <c r="B164" s="202">
        <f t="shared" si="13"/>
        <v>0.73066666666666658</v>
      </c>
      <c r="C164" s="178">
        <f t="shared" si="11"/>
        <v>-3.5710000000000002</v>
      </c>
      <c r="D164" s="178">
        <f t="shared" si="14"/>
        <v>-4.6829999999999998</v>
      </c>
      <c r="E164" s="178">
        <f>IF(B164&lt;$D$118,P143+P164,Q143+Q164)</f>
        <v>-9.5739999999999998</v>
      </c>
      <c r="F164" s="178">
        <f t="shared" si="24"/>
        <v>0.27400000000000002</v>
      </c>
      <c r="K164" s="202">
        <f t="shared" si="15"/>
        <v>0.73066666666666658</v>
      </c>
      <c r="L164" s="178">
        <f t="shared" si="16"/>
        <v>-0.48799999999999999</v>
      </c>
      <c r="M164" s="178">
        <f>IF(K164&lt;$D$118,0,ROUND($C$154*$D$116^2/192*(-20.6*K164^3-6.3*K164*$H$132-1.7*$H$133/K164^3-1.15/K164*$H$134),3))</f>
        <v>0</v>
      </c>
      <c r="N164" s="178">
        <f t="shared" si="18"/>
        <v>-0.53700000000000003</v>
      </c>
      <c r="O164" s="178">
        <f t="shared" si="19"/>
        <v>0</v>
      </c>
      <c r="P164" s="178">
        <f t="shared" si="20"/>
        <v>-1.506</v>
      </c>
      <c r="Q164" s="178">
        <f t="shared" si="21"/>
        <v>0</v>
      </c>
      <c r="R164" s="178">
        <f t="shared" si="22"/>
        <v>0.27400000000000002</v>
      </c>
      <c r="S164" s="178">
        <f t="shared" si="23"/>
        <v>0</v>
      </c>
    </row>
    <row r="165" spans="2:19" x14ac:dyDescent="0.2">
      <c r="B165" s="202">
        <f t="shared" si="13"/>
        <v>0.77555555555555544</v>
      </c>
      <c r="C165" s="178">
        <f>IF(B165&lt;$D$118,L144+L165,M144+M165)</f>
        <v>-5.8069999999999995</v>
      </c>
      <c r="D165" s="178">
        <f t="shared" si="14"/>
        <v>-4.9790000000000001</v>
      </c>
      <c r="E165" s="178">
        <f t="shared" si="12"/>
        <v>-12.459</v>
      </c>
      <c r="F165" s="178">
        <f t="shared" si="24"/>
        <v>0.35899999999999999</v>
      </c>
      <c r="K165" s="202">
        <f t="shared" si="15"/>
        <v>0.77555555555555544</v>
      </c>
      <c r="L165" s="178">
        <f t="shared" si="16"/>
        <v>-0.85299999999999998</v>
      </c>
      <c r="M165" s="178">
        <f t="shared" si="17"/>
        <v>0</v>
      </c>
      <c r="N165" s="178">
        <f t="shared" si="18"/>
        <v>-0.57199999999999995</v>
      </c>
      <c r="O165" s="178">
        <f t="shared" si="19"/>
        <v>0</v>
      </c>
      <c r="P165" s="178">
        <f t="shared" si="20"/>
        <v>-1.9810000000000001</v>
      </c>
      <c r="Q165" s="178">
        <f t="shared" si="21"/>
        <v>0</v>
      </c>
      <c r="R165" s="178">
        <f t="shared" si="22"/>
        <v>0.35899999999999999</v>
      </c>
      <c r="S165" s="178">
        <f t="shared" si="23"/>
        <v>0</v>
      </c>
    </row>
    <row r="166" spans="2:19" x14ac:dyDescent="0.2">
      <c r="B166" s="202">
        <f t="shared" si="13"/>
        <v>0.82044444444444431</v>
      </c>
      <c r="C166" s="178">
        <f t="shared" si="11"/>
        <v>-5.6209999999999996</v>
      </c>
      <c r="D166" s="178">
        <f t="shared" si="14"/>
        <v>-5.093</v>
      </c>
      <c r="E166" s="178">
        <f t="shared" si="12"/>
        <v>16.105</v>
      </c>
      <c r="F166" s="178">
        <f t="shared" si="24"/>
        <v>0.40500000000000003</v>
      </c>
      <c r="K166" s="202">
        <f t="shared" si="15"/>
        <v>0.82044444444444431</v>
      </c>
      <c r="L166" s="178">
        <f t="shared" si="16"/>
        <v>0</v>
      </c>
      <c r="M166" s="178">
        <f t="shared" si="17"/>
        <v>-1.018</v>
      </c>
      <c r="N166" s="178">
        <f t="shared" si="18"/>
        <v>0</v>
      </c>
      <c r="O166" s="178">
        <f t="shared" si="19"/>
        <v>-0.68100000000000005</v>
      </c>
      <c r="P166" s="178">
        <f t="shared" si="20"/>
        <v>0</v>
      </c>
      <c r="Q166" s="178">
        <f>IF(K166&lt;$D$118,0,ROUND($C$154*$D$116/192*(-72*K166^2-8*$H$132+2/K166^2*$H$134),3))</f>
        <v>2.9590000000000001</v>
      </c>
      <c r="R166" s="178">
        <f t="shared" si="22"/>
        <v>0</v>
      </c>
      <c r="S166" s="178">
        <f t="shared" si="23"/>
        <v>0.40500000000000003</v>
      </c>
    </row>
    <row r="167" spans="2:19" x14ac:dyDescent="0.2">
      <c r="B167" s="202">
        <f t="shared" si="13"/>
        <v>0.86533333333333318</v>
      </c>
      <c r="C167" s="178">
        <f t="shared" si="11"/>
        <v>-2.9020000000000001</v>
      </c>
      <c r="D167" s="178">
        <f t="shared" si="14"/>
        <v>-4.6160000000000005</v>
      </c>
      <c r="E167" s="178">
        <f t="shared" si="12"/>
        <v>11.758000000000001</v>
      </c>
      <c r="F167" s="178">
        <f t="shared" si="24"/>
        <v>0.251</v>
      </c>
      <c r="K167" s="202">
        <f t="shared" si="15"/>
        <v>0.86533333333333318</v>
      </c>
      <c r="L167" s="178">
        <f t="shared" si="16"/>
        <v>0</v>
      </c>
      <c r="M167" s="178">
        <f t="shared" si="17"/>
        <v>-0.52300000000000002</v>
      </c>
      <c r="N167" s="178">
        <f t="shared" si="18"/>
        <v>0</v>
      </c>
      <c r="O167" s="178">
        <f t="shared" si="19"/>
        <v>-0.58599999999999997</v>
      </c>
      <c r="P167" s="178">
        <f t="shared" si="20"/>
        <v>0</v>
      </c>
      <c r="Q167" s="178">
        <f t="shared" si="21"/>
        <v>2.1789999999999998</v>
      </c>
      <c r="R167" s="178">
        <f t="shared" si="22"/>
        <v>0</v>
      </c>
      <c r="S167" s="178">
        <f t="shared" si="23"/>
        <v>0.251</v>
      </c>
    </row>
    <row r="168" spans="2:19" x14ac:dyDescent="0.2">
      <c r="B168" s="202">
        <f t="shared" si="13"/>
        <v>0.91022222222222204</v>
      </c>
      <c r="C168" s="178">
        <f t="shared" si="11"/>
        <v>-1.115</v>
      </c>
      <c r="D168" s="178">
        <f t="shared" si="14"/>
        <v>-4.181</v>
      </c>
      <c r="E168" s="178">
        <f t="shared" si="12"/>
        <v>7.6349999999999998</v>
      </c>
      <c r="F168" s="178">
        <f t="shared" si="24"/>
        <v>0.15</v>
      </c>
      <c r="K168" s="202">
        <f t="shared" si="15"/>
        <v>0.91022222222222204</v>
      </c>
      <c r="L168" s="178">
        <f t="shared" si="16"/>
        <v>0</v>
      </c>
      <c r="M168" s="178">
        <f t="shared" si="17"/>
        <v>-0.19600000000000001</v>
      </c>
      <c r="N168" s="178">
        <f t="shared" si="18"/>
        <v>0</v>
      </c>
      <c r="O168" s="178">
        <f t="shared" si="19"/>
        <v>-0.501</v>
      </c>
      <c r="P168" s="178">
        <f t="shared" si="20"/>
        <v>0</v>
      </c>
      <c r="Q168" s="178">
        <f t="shared" si="21"/>
        <v>1.4179999999999999</v>
      </c>
      <c r="R168" s="178">
        <f t="shared" si="22"/>
        <v>0</v>
      </c>
      <c r="S168" s="178">
        <f t="shared" si="23"/>
        <v>0.15</v>
      </c>
    </row>
    <row r="169" spans="2:19" x14ac:dyDescent="0.2">
      <c r="B169" s="202">
        <f t="shared" si="13"/>
        <v>0.95511111111111091</v>
      </c>
      <c r="C169" s="178">
        <f t="shared" si="11"/>
        <v>-0.16899999999999998</v>
      </c>
      <c r="D169" s="178">
        <f t="shared" si="14"/>
        <v>-3.8279999999999998</v>
      </c>
      <c r="E169" s="178">
        <f t="shared" si="12"/>
        <v>3.7</v>
      </c>
      <c r="F169" s="178">
        <f t="shared" si="24"/>
        <v>9.4E-2</v>
      </c>
      <c r="I169" s="178"/>
      <c r="K169" s="202">
        <f t="shared" si="15"/>
        <v>0.95511111111111091</v>
      </c>
      <c r="L169" s="178">
        <f t="shared" si="16"/>
        <v>0</v>
      </c>
      <c r="M169" s="178">
        <f t="shared" si="17"/>
        <v>-2.4E-2</v>
      </c>
      <c r="N169" s="178">
        <f t="shared" si="18"/>
        <v>0</v>
      </c>
      <c r="O169" s="178">
        <f t="shared" si="19"/>
        <v>-0.433</v>
      </c>
      <c r="P169" s="178">
        <f t="shared" si="20"/>
        <v>0</v>
      </c>
      <c r="Q169" s="178">
        <f t="shared" si="21"/>
        <v>0.66800000000000004</v>
      </c>
      <c r="R169" s="178">
        <f t="shared" si="22"/>
        <v>0</v>
      </c>
      <c r="S169" s="178">
        <f t="shared" si="23"/>
        <v>9.4E-2</v>
      </c>
    </row>
    <row r="170" spans="2:19" x14ac:dyDescent="0.2">
      <c r="B170" s="202">
        <f>$G$120</f>
        <v>1</v>
      </c>
      <c r="C170" s="178">
        <f t="shared" si="11"/>
        <v>5.0000000000000001E-3</v>
      </c>
      <c r="D170" s="178">
        <f t="shared" si="14"/>
        <v>-3.5890000000000004</v>
      </c>
      <c r="E170" s="178">
        <f t="shared" si="12"/>
        <v>-7.5999999999999998E-2</v>
      </c>
      <c r="F170" s="178">
        <f>IF(B170&lt;$D$118,R149+R170,S149+S170)</f>
        <v>7.5999999999999998E-2</v>
      </c>
      <c r="I170" s="178"/>
      <c r="K170" s="202">
        <f>$G$120</f>
        <v>1</v>
      </c>
      <c r="L170" s="178">
        <f t="shared" si="16"/>
        <v>0</v>
      </c>
      <c r="M170" s="178">
        <f t="shared" si="17"/>
        <v>0</v>
      </c>
      <c r="N170" s="178">
        <f t="shared" si="18"/>
        <v>0</v>
      </c>
      <c r="O170" s="178">
        <f t="shared" si="19"/>
        <v>-0.38900000000000001</v>
      </c>
      <c r="P170" s="178">
        <f t="shared" si="20"/>
        <v>0</v>
      </c>
      <c r="Q170" s="178">
        <f t="shared" si="21"/>
        <v>-7.5999999999999998E-2</v>
      </c>
      <c r="R170" s="178">
        <f t="shared" si="22"/>
        <v>0</v>
      </c>
      <c r="S170" s="178">
        <f t="shared" si="23"/>
        <v>7.5999999999999998E-2</v>
      </c>
    </row>
    <row r="171" spans="2:19" x14ac:dyDescent="0.2">
      <c r="O171" s="200"/>
    </row>
    <row r="172" spans="2:19" ht="25.5" x14ac:dyDescent="0.2">
      <c r="B172" s="178" t="s">
        <v>651</v>
      </c>
      <c r="O172" s="200"/>
    </row>
    <row r="173" spans="2:19" x14ac:dyDescent="0.2">
      <c r="B173" s="178" t="s">
        <v>641</v>
      </c>
      <c r="C173" s="178">
        <f>ROUND(G110,2)</f>
        <v>10.32</v>
      </c>
      <c r="D173" s="178" t="s">
        <v>254</v>
      </c>
      <c r="I173" s="178"/>
      <c r="O173" s="200"/>
    </row>
    <row r="174" spans="2:19" x14ac:dyDescent="0.2">
      <c r="I174" s="178"/>
      <c r="O174" s="200"/>
    </row>
    <row r="175" spans="2:19" x14ac:dyDescent="0.2">
      <c r="I175" s="178"/>
      <c r="O175" s="200"/>
    </row>
    <row r="176" spans="2:19" x14ac:dyDescent="0.2">
      <c r="B176" s="178" t="s">
        <v>648</v>
      </c>
      <c r="I176" s="178"/>
      <c r="O176" s="200"/>
    </row>
    <row r="177" spans="2:19" x14ac:dyDescent="0.2">
      <c r="I177" s="178"/>
      <c r="O177" s="200"/>
    </row>
    <row r="178" spans="2:19" x14ac:dyDescent="0.2">
      <c r="B178" s="178" t="s">
        <v>647</v>
      </c>
    </row>
    <row r="180" spans="2:19" x14ac:dyDescent="0.2">
      <c r="B180" s="178" t="s">
        <v>619</v>
      </c>
      <c r="C180" s="178" t="s">
        <v>625</v>
      </c>
      <c r="D180" s="178" t="s">
        <v>624</v>
      </c>
      <c r="E180" s="178" t="s">
        <v>649</v>
      </c>
      <c r="F180" s="178" t="s">
        <v>673</v>
      </c>
      <c r="K180" s="178" t="s">
        <v>619</v>
      </c>
      <c r="L180" s="178" t="s">
        <v>625</v>
      </c>
      <c r="M180" s="178" t="s">
        <v>640</v>
      </c>
      <c r="N180" s="178" t="s">
        <v>642</v>
      </c>
      <c r="O180" s="178" t="s">
        <v>643</v>
      </c>
      <c r="P180" s="178" t="s">
        <v>644</v>
      </c>
      <c r="Q180" s="178" t="s">
        <v>645</v>
      </c>
      <c r="R180" s="178" t="s">
        <v>671</v>
      </c>
      <c r="S180" s="178" t="s">
        <v>672</v>
      </c>
    </row>
    <row r="181" spans="2:19" x14ac:dyDescent="0.2">
      <c r="B181" s="202">
        <f>$F$120</f>
        <v>0.59599999999999997</v>
      </c>
      <c r="C181" s="178">
        <f t="shared" ref="C181:C190" si="25">IF(B181&lt;$D$118,L140+L181,M140+M181)</f>
        <v>0.57900000000000007</v>
      </c>
      <c r="D181" s="178">
        <f t="shared" ref="D181:D190" si="26">IF(B181&lt;$D$118,N140+N181,O140+O181)</f>
        <v>-6.2149999999999999</v>
      </c>
      <c r="E181" s="178">
        <f t="shared" ref="E181:E190" si="27">IF(B181&lt;$D$118,P140+P181,Q140+Q181)</f>
        <v>-0.41699999999999998</v>
      </c>
      <c r="F181" s="178">
        <f>IF(B181&lt;$D$118,R140+R181,S140+S181)</f>
        <v>0.41699999999999998</v>
      </c>
      <c r="K181" s="202">
        <f>$F$120</f>
        <v>0.59599999999999997</v>
      </c>
      <c r="L181" s="178">
        <f>IF(K181&lt;$D$118,ROUND($C$173*$D$116^2/192*(-20.6*K181^3-6.3*K181*$H$128-1.7*$H$129/K181^3-1.15/K181*$H$130),3),0)</f>
        <v>0.56100000000000005</v>
      </c>
      <c r="M181" s="178">
        <f>IF(K181&lt;$D$118,0,ROUND($C$173*$D$116^2/192*(-20.6*K181^3-6.3*K181*$H$132-1.7*$H$133/K181^3-1.15/K181*$H$134),3))</f>
        <v>0</v>
      </c>
      <c r="N181" s="178">
        <f>IF(K181&lt;$D$118,ROUND($C$173*$D$116^2/192*(-7*K181^3-2.9*K181*$H$128+1.7*$H$129/K181^3-1.15/K181*$H$130),3),0)</f>
        <v>-1.8320000000000001</v>
      </c>
      <c r="O181" s="178">
        <f>IF(K181&lt;$D$118,0,ROUND($C$173*$D$116^2/192*(-7*K181^3-2.9*K181*$H$132+1.7*$H$133/K181^3-1.15/K181*$H$134),3))</f>
        <v>0</v>
      </c>
      <c r="P181" s="178">
        <f>IF(K181&lt;$D$118,ROUND($C$173*$D$116/192*(-72*K181^2-8*$H$128+2/K181^2*$H$130),3),0)</f>
        <v>-0.41699999999999998</v>
      </c>
      <c r="Q181" s="178">
        <f>IF(K181&lt;$D$118,0,ROUND($C$173*$D$116/192*(-72*K181^2-8*$H$132+2/K181^2*$H$134),3))</f>
        <v>0</v>
      </c>
      <c r="R181" s="178">
        <f>IF(K181&lt;$D$118,ROUND($C$173*$D$116/192*(24*$K181^2+8*$H$128+2/$K181^2*$H$130),3),0)</f>
        <v>0.41699999999999998</v>
      </c>
      <c r="S181" s="178">
        <f>IF(K181&lt;$D$118,0,ROUND($C$173*$D$116/192*(24*$K181^2+8*$H$132+2/$K181^2*$H$134),3))</f>
        <v>0</v>
      </c>
    </row>
    <row r="182" spans="2:19" x14ac:dyDescent="0.2">
      <c r="B182" s="202">
        <f t="shared" ref="B182:B189" si="28">(K$149-K$140)/9+B181</f>
        <v>0.64088888888888884</v>
      </c>
      <c r="C182" s="178">
        <f t="shared" si="25"/>
        <v>-0.46800000000000008</v>
      </c>
      <c r="D182" s="178">
        <f t="shared" si="26"/>
        <v>-5.7370000000000001</v>
      </c>
      <c r="E182" s="178">
        <f t="shared" si="27"/>
        <v>-4.508</v>
      </c>
      <c r="F182" s="178">
        <f t="shared" ref="F182:F190" si="29">IF(B182&lt;$D$118,R141+R182,S141+S182)</f>
        <v>0.46</v>
      </c>
      <c r="K182" s="202">
        <f t="shared" ref="K182:K189" si="30">(K$149-K$140)/9+K181</f>
        <v>0.64088888888888884</v>
      </c>
      <c r="L182" s="178">
        <f t="shared" ref="L182:L190" si="31">IF(K182&lt;$D$118,ROUND($C$173*$D$116^2/192*(-20.6*K182^3-6.3*K182*$H$128-1.7*$H$129/K182^3-1.15/K182*$H$130),3),0)</f>
        <v>9.4E-2</v>
      </c>
      <c r="M182" s="178">
        <f t="shared" ref="M182:M190" si="32">IF(K182&lt;$D$118,0,ROUND($C$173*$D$116^2/192*(-20.6*K182^3-6.3*K182*$H$132-1.7*$H$133/K182^3-1.15/K182*$H$134),3))</f>
        <v>0</v>
      </c>
      <c r="N182" s="178">
        <f t="shared" ref="N182:N190" si="33">IF(K182&lt;$D$118,ROUND($C$173*$D$116^2/192*(-7*K182^3-2.9*K182*$H$128+1.7*$H$129/K182^3-1.15/K182*$H$130),3),0)</f>
        <v>-1.603</v>
      </c>
      <c r="O182" s="178">
        <f t="shared" ref="O182:O190" si="34">IF(K182&lt;$D$118,0,ROUND($C$173*$D$116^2/192*(-7*K182^3-2.9*K182*$H$132+1.7*$H$133/K182^3-1.15/K182*$H$134),3))</f>
        <v>0</v>
      </c>
      <c r="P182" s="178">
        <f t="shared" ref="P182:P190" si="35">IF(K182&lt;$D$118,ROUND($C$173*$D$116/192*(-72*K182^2-8*$H$128+2/K182^2*$H$130),3),0)</f>
        <v>-1.649</v>
      </c>
      <c r="Q182" s="178">
        <f t="shared" ref="Q182:Q190" si="36">IF(K182&lt;$D$118,0,ROUND($C$173*$D$116/192*(-72*K182^2-8*$H$132+2/K182^2*$H$134),3))</f>
        <v>0</v>
      </c>
      <c r="R182" s="178">
        <f t="shared" ref="R182:R190" si="37">IF(K182&lt;$D$118,ROUND($C$173*$D$116/192*(24*$K182^2+8*$H$128+2/$K182^2*$H$130),3),0)</f>
        <v>0.46</v>
      </c>
      <c r="S182" s="178">
        <f t="shared" ref="S182:S190" si="38">IF(K182&lt;$D$118,0,ROUND($C$173*$D$116/192*(24*$K182^2+8*$H$132+2/$K182^2*$H$134),3))</f>
        <v>0</v>
      </c>
    </row>
    <row r="183" spans="2:19" x14ac:dyDescent="0.2">
      <c r="B183" s="202">
        <f t="shared" si="28"/>
        <v>0.68577777777777771</v>
      </c>
      <c r="C183" s="178">
        <f t="shared" si="25"/>
        <v>-2.1470000000000002</v>
      </c>
      <c r="D183" s="178">
        <f t="shared" si="26"/>
        <v>-5.5469999999999997</v>
      </c>
      <c r="E183" s="178">
        <f t="shared" si="27"/>
        <v>-8.4350000000000005</v>
      </c>
      <c r="F183" s="178">
        <f t="shared" si="29"/>
        <v>0.57899999999999996</v>
      </c>
      <c r="K183" s="202">
        <f t="shared" si="30"/>
        <v>0.68577777777777771</v>
      </c>
      <c r="L183" s="178">
        <f t="shared" si="31"/>
        <v>-0.53800000000000003</v>
      </c>
      <c r="M183" s="178">
        <f t="shared" si="32"/>
        <v>0</v>
      </c>
      <c r="N183" s="178">
        <f t="shared" si="33"/>
        <v>-1.492</v>
      </c>
      <c r="O183" s="178">
        <f t="shared" si="34"/>
        <v>0</v>
      </c>
      <c r="P183" s="178">
        <f t="shared" si="35"/>
        <v>-2.8980000000000001</v>
      </c>
      <c r="Q183" s="178">
        <f t="shared" si="36"/>
        <v>0</v>
      </c>
      <c r="R183" s="178">
        <f t="shared" si="37"/>
        <v>0.57899999999999996</v>
      </c>
      <c r="S183" s="178">
        <f t="shared" si="38"/>
        <v>0</v>
      </c>
    </row>
    <row r="184" spans="2:19" x14ac:dyDescent="0.2">
      <c r="B184" s="202">
        <f t="shared" si="28"/>
        <v>0.73066666666666658</v>
      </c>
      <c r="C184" s="178">
        <f t="shared" si="25"/>
        <v>-4.4370000000000003</v>
      </c>
      <c r="D184" s="178">
        <f t="shared" si="26"/>
        <v>-5.6349999999999998</v>
      </c>
      <c r="E184" s="178">
        <f t="shared" si="27"/>
        <v>-12.244</v>
      </c>
      <c r="F184" s="178">
        <f t="shared" si="29"/>
        <v>0.76</v>
      </c>
      <c r="K184" s="202">
        <f t="shared" si="30"/>
        <v>0.73066666666666658</v>
      </c>
      <c r="L184" s="178">
        <f t="shared" si="31"/>
        <v>-1.3540000000000001</v>
      </c>
      <c r="M184" s="178">
        <f t="shared" si="32"/>
        <v>0</v>
      </c>
      <c r="N184" s="178">
        <f t="shared" si="33"/>
        <v>-1.4890000000000001</v>
      </c>
      <c r="O184" s="178">
        <f t="shared" si="34"/>
        <v>0</v>
      </c>
      <c r="P184" s="178">
        <f t="shared" si="35"/>
        <v>-4.1760000000000002</v>
      </c>
      <c r="Q184" s="178">
        <f t="shared" si="36"/>
        <v>0</v>
      </c>
      <c r="R184" s="178">
        <f t="shared" si="37"/>
        <v>0.76</v>
      </c>
      <c r="S184" s="178">
        <f t="shared" si="38"/>
        <v>0</v>
      </c>
    </row>
    <row r="185" spans="2:19" x14ac:dyDescent="0.2">
      <c r="B185" s="202">
        <f t="shared" si="28"/>
        <v>0.77555555555555544</v>
      </c>
      <c r="C185" s="178">
        <f t="shared" si="25"/>
        <v>-7.319</v>
      </c>
      <c r="D185" s="178">
        <f t="shared" si="26"/>
        <v>-5.9939999999999998</v>
      </c>
      <c r="E185" s="178">
        <f t="shared" si="27"/>
        <v>-15.971</v>
      </c>
      <c r="F185" s="178">
        <f t="shared" si="29"/>
        <v>0.996</v>
      </c>
      <c r="K185" s="202">
        <f t="shared" si="30"/>
        <v>0.77555555555555544</v>
      </c>
      <c r="L185" s="178">
        <f t="shared" si="31"/>
        <v>-2.3650000000000002</v>
      </c>
      <c r="M185" s="178">
        <f t="shared" si="32"/>
        <v>0</v>
      </c>
      <c r="N185" s="178">
        <f t="shared" si="33"/>
        <v>-1.587</v>
      </c>
      <c r="O185" s="178">
        <f t="shared" si="34"/>
        <v>0</v>
      </c>
      <c r="P185" s="178">
        <f t="shared" si="35"/>
        <v>-5.4930000000000003</v>
      </c>
      <c r="Q185" s="178">
        <f t="shared" si="36"/>
        <v>0</v>
      </c>
      <c r="R185" s="178">
        <f t="shared" si="37"/>
        <v>0.996</v>
      </c>
      <c r="S185" s="178">
        <f t="shared" si="38"/>
        <v>0</v>
      </c>
    </row>
    <row r="186" spans="2:19" x14ac:dyDescent="0.2">
      <c r="B186" s="202">
        <f t="shared" si="28"/>
        <v>0.82044444444444431</v>
      </c>
      <c r="C186" s="178">
        <f t="shared" si="25"/>
        <v>-7.4269999999999996</v>
      </c>
      <c r="D186" s="178">
        <f t="shared" si="26"/>
        <v>-6.3</v>
      </c>
      <c r="E186" s="178">
        <f t="shared" si="27"/>
        <v>21.352</v>
      </c>
      <c r="F186" s="178">
        <f t="shared" si="29"/>
        <v>1.1220000000000001</v>
      </c>
      <c r="K186" s="202">
        <f t="shared" si="30"/>
        <v>0.82044444444444431</v>
      </c>
      <c r="L186" s="178">
        <f t="shared" si="31"/>
        <v>0</v>
      </c>
      <c r="M186" s="178">
        <f t="shared" si="32"/>
        <v>-2.8239999999999998</v>
      </c>
      <c r="N186" s="178">
        <f t="shared" si="33"/>
        <v>0</v>
      </c>
      <c r="O186" s="178">
        <f t="shared" si="34"/>
        <v>-1.8879999999999999</v>
      </c>
      <c r="P186" s="178">
        <f t="shared" si="35"/>
        <v>0</v>
      </c>
      <c r="Q186" s="178">
        <f>IF(K186&lt;$D$118,0,ROUND($C$173*$D$116/192*(-72*K186^2-8*$H$132+2/K186^2*$H$134),3))</f>
        <v>8.2059999999999995</v>
      </c>
      <c r="R186" s="178">
        <f t="shared" si="37"/>
        <v>0</v>
      </c>
      <c r="S186" s="178">
        <f t="shared" si="38"/>
        <v>1.1220000000000001</v>
      </c>
    </row>
    <row r="187" spans="2:19" x14ac:dyDescent="0.2">
      <c r="B187" s="202">
        <f t="shared" si="28"/>
        <v>0.86533333333333318</v>
      </c>
      <c r="C187" s="178">
        <f t="shared" si="25"/>
        <v>-3.8289999999999997</v>
      </c>
      <c r="D187" s="178">
        <f t="shared" si="26"/>
        <v>-5.6560000000000006</v>
      </c>
      <c r="E187" s="178">
        <f>IF(B187&lt;$D$118,P146+P187,Q146+Q187)</f>
        <v>15.620000000000001</v>
      </c>
      <c r="F187" s="178">
        <f t="shared" si="29"/>
        <v>0.69499999999999995</v>
      </c>
      <c r="K187" s="202">
        <f t="shared" si="30"/>
        <v>0.86533333333333318</v>
      </c>
      <c r="L187" s="178">
        <f t="shared" si="31"/>
        <v>0</v>
      </c>
      <c r="M187" s="178">
        <f t="shared" si="32"/>
        <v>-1.45</v>
      </c>
      <c r="N187" s="178">
        <f t="shared" si="33"/>
        <v>0</v>
      </c>
      <c r="O187" s="178">
        <f t="shared" si="34"/>
        <v>-1.6259999999999999</v>
      </c>
      <c r="P187" s="178">
        <f t="shared" si="35"/>
        <v>0</v>
      </c>
      <c r="Q187" s="178">
        <f t="shared" si="36"/>
        <v>6.0410000000000004</v>
      </c>
      <c r="R187" s="178">
        <f t="shared" si="37"/>
        <v>0</v>
      </c>
      <c r="S187" s="178">
        <f t="shared" si="38"/>
        <v>0.69499999999999995</v>
      </c>
    </row>
    <row r="188" spans="2:19" x14ac:dyDescent="0.2">
      <c r="B188" s="202">
        <f t="shared" si="28"/>
        <v>0.91022222222222204</v>
      </c>
      <c r="C188" s="178">
        <f t="shared" si="25"/>
        <v>-1.4610000000000001</v>
      </c>
      <c r="D188" s="178">
        <f t="shared" si="26"/>
        <v>-5.07</v>
      </c>
      <c r="E188" s="178">
        <f t="shared" si="27"/>
        <v>10.148</v>
      </c>
      <c r="F188" s="178">
        <f t="shared" si="29"/>
        <v>0.41499999999999998</v>
      </c>
      <c r="K188" s="202">
        <f t="shared" si="30"/>
        <v>0.91022222222222204</v>
      </c>
      <c r="L188" s="178">
        <f t="shared" si="31"/>
        <v>0</v>
      </c>
      <c r="M188" s="178">
        <f t="shared" si="32"/>
        <v>-0.54200000000000004</v>
      </c>
      <c r="N188" s="178">
        <f t="shared" si="33"/>
        <v>0</v>
      </c>
      <c r="O188" s="178">
        <f t="shared" si="34"/>
        <v>-1.39</v>
      </c>
      <c r="P188" s="178">
        <f t="shared" si="35"/>
        <v>0</v>
      </c>
      <c r="Q188" s="178">
        <f t="shared" si="36"/>
        <v>3.931</v>
      </c>
      <c r="R188" s="178">
        <f t="shared" si="37"/>
        <v>0</v>
      </c>
      <c r="S188" s="178">
        <f t="shared" si="38"/>
        <v>0.41499999999999998</v>
      </c>
    </row>
    <row r="189" spans="2:19" x14ac:dyDescent="0.2">
      <c r="B189" s="202">
        <f t="shared" si="28"/>
        <v>0.95511111111111091</v>
      </c>
      <c r="C189" s="178">
        <f t="shared" si="25"/>
        <v>-0.21199999999999999</v>
      </c>
      <c r="D189" s="178">
        <f t="shared" si="26"/>
        <v>-4.5960000000000001</v>
      </c>
      <c r="E189" s="178">
        <f t="shared" si="27"/>
        <v>4.8849999999999998</v>
      </c>
      <c r="F189" s="178">
        <f t="shared" si="29"/>
        <v>0.25900000000000001</v>
      </c>
      <c r="I189" s="178"/>
      <c r="K189" s="202">
        <f t="shared" si="30"/>
        <v>0.95511111111111091</v>
      </c>
      <c r="L189" s="178">
        <f t="shared" si="31"/>
        <v>0</v>
      </c>
      <c r="M189" s="178">
        <f t="shared" si="32"/>
        <v>-6.7000000000000004E-2</v>
      </c>
      <c r="N189" s="178">
        <f t="shared" si="33"/>
        <v>0</v>
      </c>
      <c r="O189" s="178">
        <f t="shared" si="34"/>
        <v>-1.2010000000000001</v>
      </c>
      <c r="P189" s="178">
        <f t="shared" si="35"/>
        <v>0</v>
      </c>
      <c r="Q189" s="178">
        <f t="shared" si="36"/>
        <v>1.853</v>
      </c>
      <c r="R189" s="178">
        <f t="shared" si="37"/>
        <v>0</v>
      </c>
      <c r="S189" s="178">
        <f t="shared" si="38"/>
        <v>0.25900000000000001</v>
      </c>
    </row>
    <row r="190" spans="2:19" x14ac:dyDescent="0.2">
      <c r="B190" s="202">
        <f>$G$120</f>
        <v>1</v>
      </c>
      <c r="C190" s="178">
        <f t="shared" si="25"/>
        <v>5.0000000000000001E-3</v>
      </c>
      <c r="D190" s="178">
        <f t="shared" si="26"/>
        <v>-4.2789999999999999</v>
      </c>
      <c r="E190" s="178">
        <f t="shared" si="27"/>
        <v>-0.21099999999999999</v>
      </c>
      <c r="F190" s="178">
        <f t="shared" si="29"/>
        <v>0.21099999999999999</v>
      </c>
      <c r="I190" s="178"/>
      <c r="K190" s="202">
        <f>$G$120</f>
        <v>1</v>
      </c>
      <c r="L190" s="178">
        <f t="shared" si="31"/>
        <v>0</v>
      </c>
      <c r="M190" s="178">
        <f t="shared" si="32"/>
        <v>0</v>
      </c>
      <c r="N190" s="178">
        <f t="shared" si="33"/>
        <v>0</v>
      </c>
      <c r="O190" s="178">
        <f t="shared" si="34"/>
        <v>-1.079</v>
      </c>
      <c r="P190" s="178">
        <f t="shared" si="35"/>
        <v>0</v>
      </c>
      <c r="Q190" s="178">
        <f t="shared" si="36"/>
        <v>-0.21099999999999999</v>
      </c>
      <c r="R190" s="178">
        <f t="shared" si="37"/>
        <v>0</v>
      </c>
      <c r="S190" s="178">
        <f t="shared" si="38"/>
        <v>0.21099999999999999</v>
      </c>
    </row>
    <row r="191" spans="2:19" x14ac:dyDescent="0.2">
      <c r="I191" s="178"/>
      <c r="O191" s="200"/>
    </row>
    <row r="192" spans="2:19" x14ac:dyDescent="0.2">
      <c r="I192" s="178"/>
      <c r="O192" s="200"/>
    </row>
    <row r="193" spans="2:15" x14ac:dyDescent="0.2">
      <c r="I193" s="178"/>
      <c r="O193" s="200"/>
    </row>
    <row r="194" spans="2:15" x14ac:dyDescent="0.2">
      <c r="H194" s="178">
        <f>H80</f>
        <v>450</v>
      </c>
      <c r="I194" s="178"/>
      <c r="O194" s="200"/>
    </row>
    <row r="195" spans="2:15" x14ac:dyDescent="0.2">
      <c r="I195" s="178"/>
      <c r="O195" s="200"/>
    </row>
    <row r="196" spans="2:15" x14ac:dyDescent="0.2">
      <c r="I196" s="178"/>
      <c r="O196" s="200"/>
    </row>
    <row r="197" spans="2:15" x14ac:dyDescent="0.2">
      <c r="I197" s="178"/>
      <c r="O197" s="200"/>
    </row>
    <row r="198" spans="2:15" ht="14.1" customHeight="1" x14ac:dyDescent="0.2">
      <c r="B198" s="1376" t="s">
        <v>468</v>
      </c>
      <c r="C198" s="1377"/>
      <c r="D198" s="1377"/>
      <c r="E198" s="1377"/>
      <c r="F198" s="1377"/>
      <c r="G198" s="1378"/>
      <c r="H198" s="69"/>
      <c r="I198" s="69"/>
      <c r="J198" s="69"/>
      <c r="K198" s="69"/>
      <c r="O198" s="200"/>
    </row>
    <row r="199" spans="2:15" ht="14.25" x14ac:dyDescent="0.2">
      <c r="B199" s="69"/>
      <c r="C199" s="68"/>
      <c r="D199" s="69"/>
      <c r="E199" s="69"/>
      <c r="F199" s="69"/>
      <c r="G199" s="69"/>
      <c r="H199" s="69"/>
      <c r="I199" s="69"/>
      <c r="J199" s="69"/>
      <c r="K199" s="69"/>
      <c r="O199" s="200"/>
    </row>
    <row r="200" spans="2:15" ht="14.25" x14ac:dyDescent="0.2">
      <c r="B200" s="86" t="s">
        <v>467</v>
      </c>
      <c r="C200" s="85"/>
      <c r="D200" s="83"/>
      <c r="E200" s="83"/>
      <c r="F200" s="84">
        <v>50</v>
      </c>
      <c r="G200" s="83" t="s">
        <v>202</v>
      </c>
      <c r="H200" s="82"/>
      <c r="I200" s="69"/>
      <c r="J200" s="69"/>
      <c r="K200" s="69"/>
      <c r="O200" s="200"/>
    </row>
    <row r="201" spans="2:15" ht="14.25" x14ac:dyDescent="0.2">
      <c r="B201" s="86" t="s">
        <v>466</v>
      </c>
      <c r="C201" s="85"/>
      <c r="D201" s="83"/>
      <c r="E201" s="83"/>
      <c r="F201" s="84">
        <v>20</v>
      </c>
      <c r="G201" s="83" t="s">
        <v>202</v>
      </c>
      <c r="H201" s="82"/>
      <c r="I201" s="69"/>
      <c r="J201" s="69"/>
      <c r="K201" s="69"/>
      <c r="O201" s="200"/>
    </row>
    <row r="202" spans="2:15" ht="14.25" x14ac:dyDescent="0.2">
      <c r="B202" s="86" t="s">
        <v>465</v>
      </c>
      <c r="C202" s="85"/>
      <c r="D202" s="83"/>
      <c r="E202" s="83"/>
      <c r="F202" s="84">
        <v>1.5</v>
      </c>
      <c r="G202" s="83" t="s">
        <v>236</v>
      </c>
      <c r="H202" s="82"/>
      <c r="I202" s="69"/>
      <c r="J202" s="69"/>
      <c r="K202" s="69"/>
      <c r="O202" s="200"/>
    </row>
    <row r="203" spans="2:15" ht="14.25" x14ac:dyDescent="0.2">
      <c r="B203" s="86" t="s">
        <v>464</v>
      </c>
      <c r="C203" s="85"/>
      <c r="D203" s="83"/>
      <c r="E203" s="83"/>
      <c r="F203" s="84">
        <v>2.76</v>
      </c>
      <c r="G203" s="83"/>
      <c r="H203" s="82"/>
      <c r="I203" s="69"/>
      <c r="J203" s="69"/>
      <c r="K203" s="69"/>
      <c r="O203" s="200"/>
    </row>
    <row r="204" spans="2:15" ht="14.25" x14ac:dyDescent="0.2">
      <c r="B204" s="69"/>
      <c r="C204" s="68"/>
      <c r="D204" s="69"/>
      <c r="E204" s="69"/>
      <c r="F204" s="69"/>
      <c r="G204" s="69"/>
      <c r="H204" s="69"/>
      <c r="I204" s="69"/>
      <c r="J204" s="69"/>
      <c r="K204" s="69"/>
      <c r="O204" s="200"/>
    </row>
    <row r="205" spans="2:15" ht="14.25" x14ac:dyDescent="0.2">
      <c r="B205" s="288" t="s">
        <v>463</v>
      </c>
      <c r="C205" s="289"/>
      <c r="D205" s="289"/>
      <c r="E205" s="81">
        <v>350</v>
      </c>
      <c r="F205" s="69" t="s">
        <v>202</v>
      </c>
      <c r="G205" s="69">
        <v>0.06</v>
      </c>
      <c r="H205" s="69" t="s">
        <v>462</v>
      </c>
      <c r="I205" s="69"/>
      <c r="J205" s="69"/>
      <c r="O205" s="200"/>
    </row>
    <row r="206" spans="2:15" ht="14.25" x14ac:dyDescent="0.2">
      <c r="B206" s="69"/>
      <c r="C206" s="68"/>
      <c r="D206" s="69"/>
      <c r="E206" s="69"/>
      <c r="F206" s="69"/>
      <c r="G206" s="69"/>
      <c r="H206" s="67"/>
      <c r="I206" s="67"/>
      <c r="J206" s="80"/>
      <c r="O206" s="200"/>
    </row>
    <row r="207" spans="2:15" ht="14.25" x14ac:dyDescent="0.2">
      <c r="B207" s="69"/>
      <c r="C207" s="68"/>
      <c r="D207" s="69"/>
      <c r="E207" s="69"/>
      <c r="F207" s="69"/>
      <c r="G207" s="69"/>
      <c r="H207" s="67"/>
      <c r="I207" s="67"/>
      <c r="J207" s="80"/>
      <c r="O207" s="200"/>
    </row>
    <row r="208" spans="2:15" ht="14.25" x14ac:dyDescent="0.2">
      <c r="B208" s="288" t="s">
        <v>463</v>
      </c>
      <c r="C208" s="289"/>
      <c r="D208" s="289"/>
      <c r="E208" s="81">
        <v>700</v>
      </c>
      <c r="F208" s="69" t="s">
        <v>202</v>
      </c>
      <c r="G208" s="69">
        <v>0.06</v>
      </c>
      <c r="H208" s="69" t="s">
        <v>462</v>
      </c>
      <c r="I208" s="69"/>
      <c r="J208" s="69"/>
      <c r="O208" s="200"/>
    </row>
    <row r="209" spans="2:15" ht="14.25" x14ac:dyDescent="0.2">
      <c r="B209" s="69"/>
      <c r="C209" s="68"/>
      <c r="D209" s="69"/>
      <c r="E209" s="69"/>
      <c r="F209" s="69"/>
      <c r="G209" s="69"/>
      <c r="H209" s="67"/>
      <c r="I209" s="67"/>
      <c r="J209" s="80"/>
      <c r="O209" s="200"/>
    </row>
    <row r="210" spans="2:15" ht="14.25" x14ac:dyDescent="0.2">
      <c r="B210" s="69"/>
      <c r="C210" s="68"/>
      <c r="D210" s="69"/>
      <c r="E210" s="69"/>
      <c r="F210" s="69"/>
      <c r="G210" s="69"/>
      <c r="H210" s="67"/>
      <c r="I210" s="67"/>
      <c r="J210" s="80"/>
      <c r="O210" s="200"/>
    </row>
    <row r="211" spans="2:15" ht="14.25" x14ac:dyDescent="0.2">
      <c r="B211" s="660" t="s">
        <v>1344</v>
      </c>
      <c r="C211" s="68"/>
      <c r="D211" s="69"/>
      <c r="E211" s="69"/>
      <c r="F211" s="69"/>
      <c r="G211" s="69"/>
      <c r="H211" s="67"/>
      <c r="I211" s="67"/>
      <c r="J211" s="80"/>
      <c r="O211" s="200"/>
    </row>
    <row r="212" spans="2:15" ht="14.25" x14ac:dyDescent="0.2">
      <c r="B212" s="69"/>
      <c r="C212" s="68"/>
      <c r="D212" s="69"/>
      <c r="E212" s="69"/>
      <c r="F212" s="69"/>
      <c r="G212" s="69"/>
      <c r="H212" s="67"/>
      <c r="I212" s="67"/>
      <c r="J212" s="80"/>
      <c r="O212" s="200"/>
    </row>
    <row r="213" spans="2:15" ht="14.25" x14ac:dyDescent="0.2">
      <c r="B213" s="68" t="s">
        <v>238</v>
      </c>
      <c r="C213" s="181" t="s">
        <v>442</v>
      </c>
      <c r="D213" s="69">
        <f>E70/2+H80/1000+H80/2000</f>
        <v>4.2249999999999996</v>
      </c>
      <c r="E213" s="69"/>
      <c r="F213" s="69" t="s">
        <v>1342</v>
      </c>
      <c r="G213" s="69">
        <f>ROUND($C$173*$D$116/192*(-72*D214^2-8*$H$132+2/D214^2*$H$134),3)+ROUND($C$137*$D$116/2/D214*(1-D214^2),3)</f>
        <v>5.54</v>
      </c>
      <c r="H213" s="67"/>
      <c r="I213" s="67"/>
      <c r="J213" s="80"/>
      <c r="O213" s="200"/>
    </row>
    <row r="214" spans="2:15" ht="14.25" x14ac:dyDescent="0.2">
      <c r="B214" s="68" t="s">
        <v>619</v>
      </c>
      <c r="C214" s="181" t="s">
        <v>442</v>
      </c>
      <c r="D214" s="69">
        <f>D213/D116</f>
        <v>0.94943820224719089</v>
      </c>
      <c r="E214" s="69"/>
      <c r="F214" s="181" t="s">
        <v>1343</v>
      </c>
      <c r="G214" s="69">
        <f>ROUND($C$154*$D$116/192*(-72*D214^2-8*$H$132+2/D214^2*$H$134),3)+ROUND($C$137*$D$116/2/D214*(1-D214^2),3)</f>
        <v>4.1880000000000006</v>
      </c>
      <c r="H214" s="67"/>
      <c r="I214" s="67"/>
      <c r="J214" s="80"/>
      <c r="O214" s="200"/>
    </row>
    <row r="215" spans="2:15" ht="14.25" x14ac:dyDescent="0.2">
      <c r="B215" s="69"/>
      <c r="C215" s="68"/>
      <c r="E215" s="69"/>
      <c r="F215" s="69"/>
      <c r="G215" s="69"/>
      <c r="H215" s="67"/>
      <c r="I215" s="67"/>
      <c r="J215" s="80"/>
      <c r="O215" s="200"/>
    </row>
    <row r="216" spans="2:15" ht="14.25" x14ac:dyDescent="0.2">
      <c r="B216" s="69" t="s">
        <v>411</v>
      </c>
      <c r="C216" s="68"/>
      <c r="D216" s="69" t="s">
        <v>442</v>
      </c>
      <c r="E216" s="69"/>
      <c r="F216" s="69"/>
      <c r="G216" s="69">
        <f>MAX(G214,G213)*10/H194</f>
        <v>0.1231111111111111</v>
      </c>
      <c r="H216" s="67"/>
      <c r="I216" s="67"/>
      <c r="J216" s="80"/>
      <c r="O216" s="200"/>
    </row>
    <row r="217" spans="2:15" ht="14.25" x14ac:dyDescent="0.2">
      <c r="E217" s="69"/>
      <c r="F217" s="69"/>
      <c r="G217" s="69"/>
      <c r="H217" s="69"/>
      <c r="I217" s="67"/>
      <c r="J217" s="67"/>
      <c r="K217" s="80"/>
      <c r="O217" s="200"/>
    </row>
    <row r="218" spans="2:15" ht="30" x14ac:dyDescent="0.25">
      <c r="B218" s="77" t="s">
        <v>452</v>
      </c>
      <c r="C218" s="79" t="s">
        <v>460</v>
      </c>
      <c r="D218" s="79" t="s">
        <v>669</v>
      </c>
      <c r="E218" s="294"/>
      <c r="F218" s="69"/>
      <c r="G218" s="69"/>
      <c r="H218" s="69"/>
      <c r="I218" s="68"/>
      <c r="J218" s="69"/>
      <c r="K218" s="69"/>
      <c r="O218" s="200"/>
    </row>
    <row r="219" spans="2:15" ht="28.5" x14ac:dyDescent="0.2">
      <c r="B219" s="85" t="s">
        <v>461</v>
      </c>
      <c r="C219" s="68" t="s">
        <v>458</v>
      </c>
      <c r="D219" s="85" t="s">
        <v>457</v>
      </c>
      <c r="E219" s="68" t="s">
        <v>456</v>
      </c>
      <c r="F219" s="68" t="s">
        <v>455</v>
      </c>
      <c r="G219" s="68" t="s">
        <v>261</v>
      </c>
      <c r="H219" s="68" t="s">
        <v>272</v>
      </c>
      <c r="I219" s="68" t="s">
        <v>454</v>
      </c>
      <c r="J219" s="85" t="s">
        <v>453</v>
      </c>
      <c r="O219" s="200"/>
    </row>
    <row r="220" spans="2:15" ht="14.25" x14ac:dyDescent="0.2">
      <c r="B220" s="67">
        <f>ABS(MAX(MAX($C$181:$C$190),MAX($C$161:$C$170)))</f>
        <v>0.57900000000000007</v>
      </c>
      <c r="C220" s="75">
        <f>$H$194</f>
        <v>450</v>
      </c>
      <c r="D220" s="67">
        <f>C220-$F$200</f>
        <v>400</v>
      </c>
      <c r="E220" s="72">
        <f>$F$202*($B$220*10^7)/(1000*$D$220^2)</f>
        <v>5.428125000000001E-2</v>
      </c>
      <c r="F220" s="74">
        <f>IFERROR(LOOKUP(E220,tc!$C$126:$C$432,tc!$D$126:$D$432),0.12)</f>
        <v>0.12</v>
      </c>
      <c r="G220" s="67">
        <f>$F$220*1000*$D$220/100</f>
        <v>480</v>
      </c>
      <c r="H220" s="73">
        <v>12</v>
      </c>
      <c r="I220" s="73">
        <v>200</v>
      </c>
      <c r="J220" s="66">
        <f>(3.14*H220^2*0.25)/(I220/1000)</f>
        <v>565.20000000000005</v>
      </c>
      <c r="L220" s="178">
        <f>IFERROR(LOOKUP(E220,tc!$C$126:$C$432,tc!$D$126:$D$432),0.12)</f>
        <v>0.12</v>
      </c>
    </row>
    <row r="221" spans="2:15" ht="14.25" x14ac:dyDescent="0.2">
      <c r="B221" s="67"/>
      <c r="C221" s="68"/>
      <c r="D221" s="67"/>
      <c r="E221" s="72"/>
      <c r="F221" s="72"/>
      <c r="G221" s="70" t="s">
        <v>449</v>
      </c>
      <c r="H221" s="67">
        <v>0</v>
      </c>
      <c r="I221" s="67">
        <v>150</v>
      </c>
      <c r="J221" s="66">
        <f>(3.14*H221^2*0.25)/(I221/1000)</f>
        <v>0</v>
      </c>
    </row>
    <row r="222" spans="2:15" ht="14.25" x14ac:dyDescent="0.2">
      <c r="B222" s="71"/>
      <c r="C222" s="68"/>
      <c r="D222" s="67"/>
      <c r="E222" s="67"/>
      <c r="F222" s="67"/>
      <c r="G222" s="70" t="s">
        <v>449</v>
      </c>
      <c r="H222" s="67">
        <v>0</v>
      </c>
      <c r="I222" s="67">
        <v>250</v>
      </c>
      <c r="J222" s="66">
        <f>(3.14*H222^2*0.25)/(I222/1000)</f>
        <v>0</v>
      </c>
    </row>
    <row r="223" spans="2:15" ht="14.25" x14ac:dyDescent="0.2">
      <c r="B223" s="67"/>
      <c r="C223" s="68"/>
      <c r="D223" s="67"/>
      <c r="E223" s="67"/>
      <c r="F223" s="67"/>
      <c r="G223" s="67"/>
      <c r="H223" s="67"/>
      <c r="I223" s="67"/>
      <c r="J223" s="66">
        <f>SUM(J220:J222)</f>
        <v>565.20000000000005</v>
      </c>
      <c r="O223" s="200"/>
    </row>
    <row r="224" spans="2:15" ht="14.25" x14ac:dyDescent="0.2">
      <c r="D224" s="67"/>
      <c r="E224" s="67"/>
      <c r="F224" s="67"/>
      <c r="G224" s="67"/>
      <c r="H224" s="67"/>
      <c r="I224" s="67"/>
      <c r="J224" s="64" t="str">
        <f>IF(J223&gt;G220,"OK"," NOT OK")</f>
        <v>OK</v>
      </c>
      <c r="O224" s="200"/>
    </row>
    <row r="225" spans="2:15" ht="15" x14ac:dyDescent="0.25">
      <c r="B225" s="77"/>
      <c r="C225" s="78"/>
      <c r="D225" s="79" t="s">
        <v>670</v>
      </c>
      <c r="E225" s="67"/>
      <c r="F225" s="67"/>
      <c r="G225" s="67"/>
      <c r="H225" s="67"/>
      <c r="I225" s="67"/>
      <c r="J225" s="66"/>
      <c r="O225" s="200"/>
    </row>
    <row r="226" spans="2:15" ht="14.25" x14ac:dyDescent="0.2">
      <c r="B226" s="67">
        <f>ABS(MIN(MIN($C$181:$C$190),MIN($C$161:$C$170)))</f>
        <v>7.4269999999999996</v>
      </c>
      <c r="C226" s="75">
        <f>$H$194</f>
        <v>450</v>
      </c>
      <c r="D226" s="67">
        <f>C226-$F$200</f>
        <v>400</v>
      </c>
      <c r="E226" s="72">
        <f>$F$202*(B226*10^7)/(1000*D226^2)</f>
        <v>0.69628124999999996</v>
      </c>
      <c r="F226" s="74">
        <f>LOOKUP(E226,tc!$C$126:$C$432,tc!$D$126:$D$432)</f>
        <v>0.16440000000000013</v>
      </c>
      <c r="G226" s="67">
        <f>F226*1000*D226/100</f>
        <v>657.60000000000048</v>
      </c>
      <c r="H226" s="73">
        <v>12</v>
      </c>
      <c r="I226" s="73">
        <v>200</v>
      </c>
      <c r="J226" s="66">
        <f>(3.14*H226^2*0.25)/(I226/1000)</f>
        <v>565.20000000000005</v>
      </c>
      <c r="O226" s="200"/>
    </row>
    <row r="227" spans="2:15" ht="14.25" x14ac:dyDescent="0.2">
      <c r="B227" s="67"/>
      <c r="C227" s="68"/>
      <c r="D227" s="67"/>
      <c r="E227" s="72"/>
      <c r="F227" s="72"/>
      <c r="G227" s="70" t="s">
        <v>449</v>
      </c>
      <c r="H227" s="67">
        <v>12</v>
      </c>
      <c r="I227" s="67">
        <v>400</v>
      </c>
      <c r="J227" s="66">
        <f>(3.14*H227^2*0.25)/(I227/1000)</f>
        <v>282.60000000000002</v>
      </c>
    </row>
    <row r="228" spans="2:15" ht="14.25" x14ac:dyDescent="0.2">
      <c r="B228" s="71"/>
      <c r="C228" s="68"/>
      <c r="D228" s="67"/>
      <c r="E228" s="67"/>
      <c r="F228" s="67"/>
      <c r="G228" s="70" t="s">
        <v>449</v>
      </c>
      <c r="H228" s="67">
        <v>0</v>
      </c>
      <c r="I228" s="67">
        <v>250</v>
      </c>
      <c r="J228" s="66">
        <f>(3.14*H228^2*0.25)/(I228/1000)</f>
        <v>0</v>
      </c>
    </row>
    <row r="229" spans="2:15" ht="14.25" x14ac:dyDescent="0.2">
      <c r="B229" s="67"/>
      <c r="C229" s="68"/>
      <c r="D229" s="67"/>
      <c r="E229" s="67"/>
      <c r="F229" s="67"/>
      <c r="G229" s="67"/>
      <c r="H229" s="67"/>
      <c r="I229" s="67"/>
      <c r="J229" s="66">
        <f>SUM(J226:J228)</f>
        <v>847.80000000000007</v>
      </c>
    </row>
    <row r="230" spans="2:15" ht="14.25" x14ac:dyDescent="0.2">
      <c r="D230" s="67"/>
      <c r="E230" s="67"/>
      <c r="F230" s="67"/>
      <c r="G230" s="67"/>
      <c r="H230" s="67"/>
      <c r="I230" s="67"/>
      <c r="J230" s="64" t="str">
        <f>IF(J229&gt;G226,"OK"," NOT OK")</f>
        <v>OK</v>
      </c>
    </row>
    <row r="231" spans="2:15" ht="15" x14ac:dyDescent="0.25">
      <c r="B231" s="77"/>
      <c r="F231" s="71"/>
      <c r="G231" s="175"/>
      <c r="H231" s="68"/>
      <c r="I231" s="68"/>
      <c r="J231" s="67"/>
      <c r="O231" s="200"/>
    </row>
    <row r="232" spans="2:15" ht="42.75" x14ac:dyDescent="0.2">
      <c r="B232" s="71" t="s">
        <v>450</v>
      </c>
      <c r="C232" s="68">
        <f>G216</f>
        <v>0.1231111111111111</v>
      </c>
      <c r="D232" s="67" t="s">
        <v>291</v>
      </c>
      <c r="E232" s="68">
        <f>J229/1000/D220*100</f>
        <v>0.21195000000000003</v>
      </c>
      <c r="F232" s="67"/>
      <c r="G232" s="67" t="s">
        <v>478</v>
      </c>
      <c r="H232" s="67" t="s">
        <v>160</v>
      </c>
      <c r="I232" s="67">
        <f>LOOKUP(E232,tc!$C$6:$C$42,tc!$E$6:$E$42)</f>
        <v>0.214</v>
      </c>
      <c r="J232" s="64" t="str">
        <f>IF(I232&gt;C232,"ok","rev")</f>
        <v>ok</v>
      </c>
      <c r="O232" s="200"/>
    </row>
    <row r="233" spans="2:15" ht="15" x14ac:dyDescent="0.25">
      <c r="B233" s="77"/>
      <c r="C233" s="78"/>
      <c r="D233" s="67"/>
      <c r="E233" s="67"/>
      <c r="F233" s="67"/>
      <c r="G233" s="67"/>
      <c r="H233" s="67"/>
      <c r="I233" s="67"/>
      <c r="J233" s="66"/>
      <c r="O233" s="200"/>
    </row>
    <row r="234" spans="2:15" ht="30" x14ac:dyDescent="0.25">
      <c r="B234" s="77" t="s">
        <v>452</v>
      </c>
      <c r="C234" s="295" t="s">
        <v>459</v>
      </c>
      <c r="D234" s="79" t="s">
        <v>669</v>
      </c>
      <c r="E234" s="67"/>
      <c r="F234" s="67"/>
      <c r="G234" s="67"/>
      <c r="H234" s="67"/>
      <c r="I234" s="67"/>
      <c r="J234" s="66"/>
      <c r="O234" s="200"/>
    </row>
    <row r="235" spans="2:15" ht="28.5" x14ac:dyDescent="0.2">
      <c r="B235" s="85" t="s">
        <v>461</v>
      </c>
      <c r="C235" s="68" t="s">
        <v>458</v>
      </c>
      <c r="D235" s="85" t="s">
        <v>457</v>
      </c>
      <c r="E235" s="68" t="s">
        <v>456</v>
      </c>
      <c r="F235" s="68" t="s">
        <v>455</v>
      </c>
      <c r="G235" s="68" t="s">
        <v>261</v>
      </c>
      <c r="H235" s="68" t="s">
        <v>272</v>
      </c>
      <c r="I235" s="68" t="s">
        <v>454</v>
      </c>
      <c r="J235" s="85" t="s">
        <v>453</v>
      </c>
      <c r="O235" s="200"/>
    </row>
    <row r="236" spans="2:15" ht="14.25" x14ac:dyDescent="0.2">
      <c r="B236" s="67">
        <f>ABS(MAX(MAX($D$181:$D$190),MAX($D$161:$D$170)))</f>
        <v>3.5890000000000004</v>
      </c>
      <c r="C236" s="75">
        <f>$H$194</f>
        <v>450</v>
      </c>
      <c r="D236" s="67">
        <f>C236-$F$200</f>
        <v>400</v>
      </c>
      <c r="E236" s="72">
        <f>ABS($F$202*($B$236*10^7)/(1000*$D$236^2))</f>
        <v>0.33646875000000009</v>
      </c>
      <c r="F236" s="74">
        <f>LOOKUP(E236,tc!$C$126:$C$432,tc!$D$126:$D$432)</f>
        <v>7.7200000000000005E-2</v>
      </c>
      <c r="G236" s="67">
        <f>F236*1000*D236/100</f>
        <v>308.8</v>
      </c>
      <c r="H236" s="73">
        <v>12</v>
      </c>
      <c r="I236" s="73">
        <v>200</v>
      </c>
      <c r="J236" s="66">
        <f>(3.14*H236^2*0.25)/(I236/1000)</f>
        <v>565.20000000000005</v>
      </c>
      <c r="O236" s="200"/>
    </row>
    <row r="237" spans="2:15" ht="14.25" x14ac:dyDescent="0.2">
      <c r="B237" s="67"/>
      <c r="C237" s="68"/>
      <c r="D237" s="67"/>
      <c r="E237" s="72"/>
      <c r="F237" s="72"/>
      <c r="G237" s="70" t="s">
        <v>449</v>
      </c>
      <c r="H237" s="67"/>
      <c r="I237" s="67">
        <v>150</v>
      </c>
      <c r="J237" s="66">
        <f>(3.14*H237^2*0.25)/(I237/1000)</f>
        <v>0</v>
      </c>
      <c r="O237" s="200"/>
    </row>
    <row r="238" spans="2:15" ht="14.25" x14ac:dyDescent="0.2">
      <c r="B238" s="71"/>
      <c r="C238" s="68"/>
      <c r="D238" s="67"/>
      <c r="E238" s="67"/>
      <c r="F238" s="67"/>
      <c r="G238" s="70" t="s">
        <v>449</v>
      </c>
      <c r="H238" s="67">
        <v>0</v>
      </c>
      <c r="I238" s="67">
        <v>250</v>
      </c>
      <c r="J238" s="66">
        <f>(3.14*H238^2*0.25)/(I238/1000)</f>
        <v>0</v>
      </c>
      <c r="O238" s="200"/>
    </row>
    <row r="239" spans="2:15" ht="14.25" x14ac:dyDescent="0.2">
      <c r="B239" s="67"/>
      <c r="C239" s="68"/>
      <c r="D239" s="67"/>
      <c r="E239" s="67"/>
      <c r="F239" s="67"/>
      <c r="G239" s="67"/>
      <c r="H239" s="67"/>
      <c r="I239" s="67"/>
      <c r="J239" s="66">
        <f>SUM(J236:J238)</f>
        <v>565.20000000000005</v>
      </c>
      <c r="O239" s="200"/>
    </row>
    <row r="240" spans="2:15" ht="14.25" x14ac:dyDescent="0.2">
      <c r="D240" s="67"/>
      <c r="E240" s="67"/>
      <c r="F240" s="67"/>
      <c r="G240" s="67"/>
      <c r="H240" s="67"/>
      <c r="I240" s="67"/>
      <c r="J240" s="64" t="str">
        <f>IF(J239&gt;G236,"OK"," NOT OK")</f>
        <v>OK</v>
      </c>
      <c r="O240" s="200"/>
    </row>
    <row r="241" spans="1:15" ht="15" x14ac:dyDescent="0.25">
      <c r="B241" s="77"/>
      <c r="C241" s="78"/>
      <c r="D241" s="79" t="s">
        <v>670</v>
      </c>
      <c r="E241" s="67"/>
      <c r="F241" s="67"/>
      <c r="G241" s="67"/>
      <c r="H241" s="67"/>
      <c r="I241" s="67"/>
      <c r="J241" s="66"/>
      <c r="O241" s="200"/>
    </row>
    <row r="242" spans="1:15" ht="14.25" x14ac:dyDescent="0.2">
      <c r="B242" s="67">
        <f>ABS(MIN(MIN($D$181:$D$190),MIN($D$161:$D$170)))</f>
        <v>6.3</v>
      </c>
      <c r="C242" s="75">
        <f>$H$194</f>
        <v>450</v>
      </c>
      <c r="D242" s="67">
        <f>C242-$F$200</f>
        <v>400</v>
      </c>
      <c r="E242" s="72">
        <f>$F$202*(B242*10^7)/(1000*D242^2)</f>
        <v>0.59062499999999996</v>
      </c>
      <c r="F242" s="74">
        <f>LOOKUP(E242,tc!$C$126:$C$432,tc!$D$126:$D$432)</f>
        <v>0.13960000000000009</v>
      </c>
      <c r="G242" s="67">
        <f>F242*1000*D242/100</f>
        <v>558.40000000000032</v>
      </c>
      <c r="H242" s="73">
        <v>12</v>
      </c>
      <c r="I242" s="73">
        <v>200</v>
      </c>
      <c r="J242" s="66">
        <f>(3.14*H242^2*0.25)/(I242/1000)</f>
        <v>565.20000000000005</v>
      </c>
      <c r="O242" s="200"/>
    </row>
    <row r="243" spans="1:15" ht="14.25" x14ac:dyDescent="0.2">
      <c r="B243" s="67"/>
      <c r="C243" s="68"/>
      <c r="D243" s="67"/>
      <c r="E243" s="72"/>
      <c r="F243" s="72"/>
      <c r="G243" s="70" t="s">
        <v>449</v>
      </c>
      <c r="H243" s="67">
        <v>12</v>
      </c>
      <c r="I243" s="67">
        <v>400</v>
      </c>
      <c r="J243" s="66">
        <f>(3.14*H243^2*0.25)/(I243/1000)</f>
        <v>282.60000000000002</v>
      </c>
      <c r="O243" s="200"/>
    </row>
    <row r="244" spans="1:15" ht="14.25" x14ac:dyDescent="0.2">
      <c r="B244" s="71"/>
      <c r="C244" s="68"/>
      <c r="D244" s="67"/>
      <c r="E244" s="67"/>
      <c r="F244" s="67"/>
      <c r="G244" s="70" t="s">
        <v>449</v>
      </c>
      <c r="H244" s="67">
        <v>0</v>
      </c>
      <c r="I244" s="67">
        <v>250</v>
      </c>
      <c r="J244" s="66">
        <f>(3.14*H244^2*0.25)/(I244/1000)</f>
        <v>0</v>
      </c>
      <c r="O244" s="200"/>
    </row>
    <row r="245" spans="1:15" ht="14.25" x14ac:dyDescent="0.2">
      <c r="B245" s="67"/>
      <c r="C245" s="68"/>
      <c r="D245" s="67"/>
      <c r="E245" s="67"/>
      <c r="F245" s="67"/>
      <c r="G245" s="67"/>
      <c r="H245" s="67"/>
      <c r="I245" s="67"/>
      <c r="J245" s="66">
        <f>SUM(J242:J244)</f>
        <v>847.80000000000007</v>
      </c>
      <c r="O245" s="200"/>
    </row>
    <row r="246" spans="1:15" ht="14.25" x14ac:dyDescent="0.2">
      <c r="D246" s="67"/>
      <c r="E246" s="67"/>
      <c r="F246" s="67"/>
      <c r="G246" s="67"/>
      <c r="H246" s="67"/>
      <c r="I246" s="67"/>
      <c r="J246" s="64" t="str">
        <f>IF(J245&gt;G242,"OK"," NOT OK")</f>
        <v>OK</v>
      </c>
      <c r="O246" s="200"/>
    </row>
    <row r="247" spans="1:15" ht="15" x14ac:dyDescent="0.25">
      <c r="B247" s="77"/>
      <c r="E247" s="71"/>
      <c r="F247" s="175"/>
      <c r="G247" s="68"/>
      <c r="H247" s="68"/>
      <c r="I247" s="67"/>
      <c r="J247" s="66"/>
      <c r="O247" s="200"/>
    </row>
    <row r="248" spans="1:15" ht="42.75" x14ac:dyDescent="0.2">
      <c r="B248" s="71" t="s">
        <v>450</v>
      </c>
      <c r="C248" s="68">
        <f>ROUND(MAX(MAX($F$161:$F$170),MAX($F$181:$F$190),ABS(MIN($F$161:$F$170)),ABS(MIN($F$181:$F$190)))*10/$H$194,3)</f>
        <v>2.5000000000000001E-2</v>
      </c>
      <c r="D248" s="67" t="s">
        <v>291</v>
      </c>
      <c r="E248" s="68">
        <f>J245/1000/D236*100</f>
        <v>0.21195000000000003</v>
      </c>
      <c r="F248" s="67"/>
      <c r="G248" s="67" t="s">
        <v>478</v>
      </c>
      <c r="H248" s="67" t="s">
        <v>160</v>
      </c>
      <c r="I248" s="67">
        <f>LOOKUP(E248,tc!$C$6:$C$42,tc!$E$6:$E$42)</f>
        <v>0.214</v>
      </c>
      <c r="J248" s="64" t="str">
        <f>IF(I248&gt;C248,"ok","rev")</f>
        <v>ok</v>
      </c>
      <c r="O248" s="200"/>
    </row>
    <row r="249" spans="1:15" x14ac:dyDescent="0.2">
      <c r="I249" s="178"/>
      <c r="O249" s="200"/>
    </row>
    <row r="250" spans="1:15" x14ac:dyDescent="0.2">
      <c r="A250" s="186" t="s">
        <v>1310</v>
      </c>
      <c r="B250" s="1373" t="s">
        <v>1313</v>
      </c>
      <c r="C250" s="1374"/>
      <c r="D250" s="1375"/>
      <c r="I250" s="178"/>
      <c r="O250" s="200"/>
    </row>
    <row r="251" spans="1:15" x14ac:dyDescent="0.2">
      <c r="I251" s="178"/>
      <c r="O251" s="200"/>
    </row>
    <row r="252" spans="1:15" x14ac:dyDescent="0.2">
      <c r="B252" s="178" t="s">
        <v>1235</v>
      </c>
      <c r="H252" s="178">
        <f>E85/1000</f>
        <v>1.8</v>
      </c>
      <c r="I252" s="178" t="s">
        <v>74</v>
      </c>
      <c r="O252" s="200"/>
    </row>
    <row r="253" spans="1:15" ht="14.25" x14ac:dyDescent="0.2">
      <c r="B253" s="181" t="s">
        <v>1311</v>
      </c>
      <c r="C253" s="57"/>
      <c r="D253" s="57"/>
      <c r="E253" s="57"/>
      <c r="F253" s="57"/>
      <c r="H253" s="178">
        <f>H99</f>
        <v>594.98</v>
      </c>
      <c r="I253" s="178" t="s">
        <v>103</v>
      </c>
      <c r="O253" s="200"/>
    </row>
    <row r="254" spans="1:15" x14ac:dyDescent="0.2">
      <c r="I254" s="178"/>
      <c r="O254" s="200"/>
    </row>
    <row r="255" spans="1:15" x14ac:dyDescent="0.2">
      <c r="B255" s="59" t="s">
        <v>281</v>
      </c>
      <c r="E255" s="44" t="str">
        <f>CONCATENATE(Calculation!D923,"*",Calculation!E96,"*",'fdn annular '!H253)</f>
        <v>0.0041*3.55*594.98</v>
      </c>
      <c r="F255" s="181"/>
      <c r="H255" s="178">
        <f>Calculation!D923*Calculation!E96*'fdn annular '!H253</f>
        <v>8.6599339000000004</v>
      </c>
      <c r="I255" s="178" t="s">
        <v>210</v>
      </c>
      <c r="O255" s="200"/>
    </row>
    <row r="256" spans="1:15" ht="39" customHeight="1" x14ac:dyDescent="0.2">
      <c r="B256" s="59" t="s">
        <v>1312</v>
      </c>
      <c r="E256" s="1347" t="str">
        <f>CONCATENATE(Calculation!D895,"*",Calculation!E96,"*",'fdn annular '!H253,"-",H285,"/12*",Calculation!D98,"/2+(",Calculation!D98,"/2)^2*",H253,"/3.14/2/",Calculation!E95)</f>
        <v>0.0083*3.55*594.98-594.98/12*0.5/2+(0.5/2)^2*594.98/3.14/2/4.05</v>
      </c>
      <c r="F256" s="1145"/>
      <c r="H256" s="178">
        <f>Calculation!D895*Calculation!E96*'fdn annular '!H253-H285/12*Calculation!D98/2+(Calculation!D98/2)^2*H253/3.14/2/Calculation!E95</f>
        <v>6.5977375243296352</v>
      </c>
      <c r="I256" s="178" t="s">
        <v>210</v>
      </c>
      <c r="O256" s="200"/>
    </row>
    <row r="257" spans="2:15" ht="30" x14ac:dyDescent="0.2">
      <c r="B257" s="933" t="s">
        <v>1374</v>
      </c>
      <c r="C257" s="178" t="s">
        <v>1234</v>
      </c>
      <c r="D257" s="178">
        <f>$F$78</f>
        <v>750</v>
      </c>
      <c r="E257" s="178" t="s">
        <v>1235</v>
      </c>
      <c r="F257" s="178">
        <f>$E$82</f>
        <v>600</v>
      </c>
      <c r="I257" s="178"/>
      <c r="O257" s="200"/>
    </row>
    <row r="258" spans="2:15" ht="25.5" x14ac:dyDescent="0.2">
      <c r="B258" s="181" t="s">
        <v>1375</v>
      </c>
      <c r="I258" s="178"/>
      <c r="M258" s="181" t="s">
        <v>1427</v>
      </c>
      <c r="O258" s="1015" t="s">
        <v>272</v>
      </c>
    </row>
    <row r="259" spans="2:15" ht="14.25" x14ac:dyDescent="0.2">
      <c r="B259" s="67">
        <f>$H$256</f>
        <v>6.5977375243296352</v>
      </c>
      <c r="C259" s="75">
        <f>D257</f>
        <v>750</v>
      </c>
      <c r="D259" s="67">
        <f>C259-$F$200</f>
        <v>700</v>
      </c>
      <c r="E259" s="72">
        <f>$F$202*(B259*10^7)/(F257*D259^2)</f>
        <v>0.33661926144538956</v>
      </c>
      <c r="F259" s="74">
        <f>VLOOKUP(E259,tc!C6:D42,2)</f>
        <v>0.25559999999999999</v>
      </c>
      <c r="G259" s="67">
        <f>F259*1000*D259/100</f>
        <v>1789.2</v>
      </c>
      <c r="H259" s="73">
        <v>25</v>
      </c>
      <c r="I259" s="73">
        <v>4</v>
      </c>
      <c r="J259" s="66">
        <f>(3.14*H259^2*0.25)*I259</f>
        <v>1962.5</v>
      </c>
      <c r="M259" s="178">
        <v>3</v>
      </c>
      <c r="N259" s="181" t="s">
        <v>1900</v>
      </c>
      <c r="O259" s="200">
        <v>12</v>
      </c>
    </row>
    <row r="260" spans="2:15" ht="14.25" x14ac:dyDescent="0.2">
      <c r="B260" s="67"/>
      <c r="C260" s="68"/>
      <c r="D260" s="67"/>
      <c r="E260" s="72"/>
      <c r="F260" s="72"/>
      <c r="G260" s="70" t="s">
        <v>449</v>
      </c>
      <c r="H260" s="73">
        <v>12</v>
      </c>
      <c r="I260" s="73">
        <v>0</v>
      </c>
      <c r="J260" s="66">
        <f>(3.14*H260^2*0.25)*I260</f>
        <v>0</v>
      </c>
      <c r="M260" s="178">
        <v>4</v>
      </c>
      <c r="N260" s="181" t="s">
        <v>1901</v>
      </c>
      <c r="O260" s="200">
        <v>16</v>
      </c>
    </row>
    <row r="261" spans="2:15" ht="14.25" x14ac:dyDescent="0.2">
      <c r="B261" s="71"/>
      <c r="C261" s="68"/>
      <c r="D261" s="67"/>
      <c r="E261" s="67"/>
      <c r="F261" s="67"/>
      <c r="G261" s="70" t="s">
        <v>449</v>
      </c>
      <c r="H261" s="67">
        <v>0</v>
      </c>
      <c r="I261" s="67">
        <v>250</v>
      </c>
      <c r="J261" s="66">
        <f>(3.14*H261^2*0.25)/(I261/1000)</f>
        <v>0</v>
      </c>
      <c r="M261" s="178">
        <v>5</v>
      </c>
      <c r="N261" s="181" t="s">
        <v>1902</v>
      </c>
      <c r="O261" s="200">
        <v>20</v>
      </c>
    </row>
    <row r="262" spans="2:15" ht="14.25" x14ac:dyDescent="0.2">
      <c r="B262" s="67"/>
      <c r="C262" s="68"/>
      <c r="D262" s="67"/>
      <c r="E262" s="67"/>
      <c r="F262" s="67"/>
      <c r="G262" s="67"/>
      <c r="H262" s="67"/>
      <c r="I262" s="67"/>
      <c r="J262" s="66">
        <f>SUM(J259:J261)</f>
        <v>1962.5</v>
      </c>
      <c r="M262" s="178">
        <v>6</v>
      </c>
      <c r="N262" s="181" t="s">
        <v>1903</v>
      </c>
      <c r="O262" s="200">
        <v>25</v>
      </c>
    </row>
    <row r="263" spans="2:15" ht="14.25" x14ac:dyDescent="0.2">
      <c r="D263" s="67"/>
      <c r="E263" s="67"/>
      <c r="F263" s="67"/>
      <c r="G263" s="67"/>
      <c r="H263" s="67"/>
      <c r="I263" s="67"/>
      <c r="J263" s="64" t="str">
        <f>IF(J262&gt;G259,"OK"," NOT OK")</f>
        <v>OK</v>
      </c>
      <c r="O263" s="200">
        <v>32</v>
      </c>
    </row>
    <row r="264" spans="2:15" ht="14.25" x14ac:dyDescent="0.2">
      <c r="B264" s="181" t="s">
        <v>1376</v>
      </c>
      <c r="D264" s="67"/>
      <c r="E264" s="67"/>
      <c r="F264" s="67"/>
      <c r="G264" s="67"/>
      <c r="H264" s="67"/>
      <c r="I264" s="67"/>
      <c r="J264" s="64"/>
      <c r="O264" s="200"/>
    </row>
    <row r="265" spans="2:15" ht="14.25" x14ac:dyDescent="0.2">
      <c r="B265" s="67">
        <f>$H$255</f>
        <v>8.6599339000000004</v>
      </c>
      <c r="C265" s="75">
        <f>D257</f>
        <v>750</v>
      </c>
      <c r="D265" s="67">
        <f>C265-$F$200</f>
        <v>700</v>
      </c>
      <c r="E265" s="72">
        <f>$F$202*(B265*10^7)/(F257*D265^2)</f>
        <v>0.44183336224489794</v>
      </c>
      <c r="F265" s="74">
        <f>LOOKUP(E265,tc!$C$126:$C$432,tc!$D$126:$D$432)</f>
        <v>0.1036</v>
      </c>
      <c r="G265" s="67">
        <f>F265*1000*D265/100</f>
        <v>725.2</v>
      </c>
      <c r="H265" s="73">
        <v>25</v>
      </c>
      <c r="I265" s="73">
        <v>4</v>
      </c>
      <c r="J265" s="66">
        <f>(3.14*H265^2*0.25)*I265</f>
        <v>1962.5</v>
      </c>
      <c r="O265" s="200"/>
    </row>
    <row r="266" spans="2:15" ht="14.25" x14ac:dyDescent="0.2">
      <c r="B266" s="67"/>
      <c r="C266" s="68"/>
      <c r="D266" s="67"/>
      <c r="E266" s="72"/>
      <c r="F266" s="72"/>
      <c r="G266" s="70" t="s">
        <v>449</v>
      </c>
      <c r="H266" s="73">
        <v>12</v>
      </c>
      <c r="I266" s="73">
        <v>0</v>
      </c>
      <c r="J266" s="66">
        <f>(3.14*H266^2*0.25)*I266</f>
        <v>0</v>
      </c>
      <c r="L266" s="178">
        <v>4</v>
      </c>
      <c r="O266" s="200"/>
    </row>
    <row r="267" spans="2:15" ht="14.25" x14ac:dyDescent="0.2">
      <c r="B267" s="71"/>
      <c r="C267" s="68"/>
      <c r="D267" s="67"/>
      <c r="E267" s="67"/>
      <c r="F267" s="67"/>
      <c r="G267" s="70" t="s">
        <v>449</v>
      </c>
      <c r="H267" s="67">
        <v>0</v>
      </c>
      <c r="I267" s="67">
        <v>250</v>
      </c>
      <c r="J267" s="66">
        <f>(3.14*H267^2*0.25)/(I267/1000)</f>
        <v>0</v>
      </c>
      <c r="O267" s="200"/>
    </row>
    <row r="268" spans="2:15" ht="14.25" x14ac:dyDescent="0.2">
      <c r="B268" s="67"/>
      <c r="C268" s="68"/>
      <c r="D268" s="67"/>
      <c r="E268" s="67"/>
      <c r="F268" s="67"/>
      <c r="G268" s="67"/>
      <c r="H268" s="67"/>
      <c r="I268" s="67"/>
      <c r="J268" s="66">
        <f>SUM(J265:J267)</f>
        <v>1962.5</v>
      </c>
      <c r="O268" s="200"/>
    </row>
    <row r="269" spans="2:15" ht="14.25" x14ac:dyDescent="0.2">
      <c r="D269" s="67"/>
      <c r="E269" s="67"/>
      <c r="F269" s="67"/>
      <c r="G269" s="67"/>
      <c r="H269" s="67"/>
      <c r="I269" s="67"/>
      <c r="J269" s="64" t="str">
        <f>IF(J268&gt;G265,"OK"," NOT OK")</f>
        <v>OK</v>
      </c>
      <c r="O269" s="200"/>
    </row>
    <row r="270" spans="2:15" ht="14.25" x14ac:dyDescent="0.2">
      <c r="D270" s="67"/>
      <c r="E270" s="67"/>
      <c r="F270" s="67"/>
      <c r="G270" s="67"/>
      <c r="H270" s="67"/>
      <c r="I270" s="67"/>
      <c r="J270" s="64"/>
      <c r="O270" s="200"/>
    </row>
    <row r="271" spans="2:15" ht="25.5" x14ac:dyDescent="0.2">
      <c r="B271" s="927" t="s">
        <v>1369</v>
      </c>
      <c r="G271" s="68"/>
      <c r="H271" s="68"/>
      <c r="I271" s="67"/>
      <c r="J271" s="66"/>
      <c r="O271" s="200"/>
    </row>
    <row r="272" spans="2:15" ht="14.25" x14ac:dyDescent="0.2">
      <c r="B272" s="44" t="s">
        <v>411</v>
      </c>
      <c r="D272" s="178">
        <f>(H253*10000/(E82*F78) )/Calculation!F63/2</f>
        <v>0.8263611111111111</v>
      </c>
      <c r="G272" s="67"/>
      <c r="H272" s="67"/>
      <c r="I272" s="67"/>
      <c r="J272" s="64"/>
      <c r="O272" s="200"/>
    </row>
    <row r="273" spans="1:15" ht="25.5" x14ac:dyDescent="0.2">
      <c r="B273" s="178" t="s">
        <v>1370</v>
      </c>
      <c r="D273" s="178">
        <f>J262/(D257-50)/F257*100</f>
        <v>0.46726190476190471</v>
      </c>
      <c r="I273" s="178"/>
      <c r="O273" s="200"/>
    </row>
    <row r="274" spans="1:15" ht="38.25" x14ac:dyDescent="0.2">
      <c r="B274" s="178" t="s">
        <v>1371</v>
      </c>
      <c r="D274" s="178">
        <f>LOOKUP(D273,tc!$C$6:$C$42,tc!$E$6:$E$42)</f>
        <v>0.29720000000000002</v>
      </c>
      <c r="I274" s="178"/>
      <c r="O274" s="200"/>
    </row>
    <row r="275" spans="1:15" x14ac:dyDescent="0.2">
      <c r="B275" s="178" t="s">
        <v>1373</v>
      </c>
      <c r="D275" s="178">
        <f>(D272-D274)*F257*(D257-50)/10000</f>
        <v>22.224766666666667</v>
      </c>
      <c r="E275" s="178" t="s">
        <v>117</v>
      </c>
      <c r="I275" s="178"/>
      <c r="O275" s="200"/>
    </row>
    <row r="276" spans="1:15" x14ac:dyDescent="0.2">
      <c r="I276" s="178"/>
      <c r="O276" s="200"/>
    </row>
    <row r="277" spans="1:15" ht="25.5" x14ac:dyDescent="0.2">
      <c r="B277" s="178" t="s">
        <v>1372</v>
      </c>
      <c r="D277" s="928">
        <v>4</v>
      </c>
      <c r="E277" s="929">
        <v>10</v>
      </c>
      <c r="F277" s="930">
        <v>250</v>
      </c>
      <c r="I277" s="178"/>
      <c r="O277" s="200"/>
    </row>
    <row r="278" spans="1:15" ht="39" x14ac:dyDescent="0.25">
      <c r="B278" s="181" t="s">
        <v>493</v>
      </c>
      <c r="D278" s="931">
        <v>275</v>
      </c>
      <c r="E278" s="569" t="s">
        <v>741</v>
      </c>
      <c r="F278" s="185"/>
      <c r="I278" s="178"/>
      <c r="O278" s="200"/>
    </row>
    <row r="279" spans="1:15" ht="14.25" x14ac:dyDescent="0.2">
      <c r="B279" s="181" t="s">
        <v>159</v>
      </c>
      <c r="D279" s="181">
        <f>3.14*E277*E277/4*1000/F277*D277*D278/10000</f>
        <v>34.54</v>
      </c>
      <c r="E279" s="181" t="s">
        <v>117</v>
      </c>
      <c r="F279" s="595" t="str">
        <f>IF(D279&gt;D275,"ok","revise")</f>
        <v>ok</v>
      </c>
      <c r="I279" s="178"/>
      <c r="O279" s="200"/>
    </row>
    <row r="280" spans="1:15" x14ac:dyDescent="0.2">
      <c r="I280" s="178"/>
      <c r="O280" s="200"/>
    </row>
    <row r="281" spans="1:15" ht="15" x14ac:dyDescent="0.25">
      <c r="B281" s="77"/>
      <c r="E281" s="71"/>
      <c r="F281" s="175"/>
      <c r="I281" s="178"/>
      <c r="O281" s="200"/>
    </row>
    <row r="282" spans="1:15" ht="14.25" x14ac:dyDescent="0.2">
      <c r="B282" s="71"/>
      <c r="C282" s="68"/>
      <c r="D282" s="67"/>
      <c r="E282" s="68"/>
      <c r="F282" s="67"/>
      <c r="I282" s="178"/>
      <c r="O282" s="200"/>
    </row>
    <row r="283" spans="1:15" x14ac:dyDescent="0.2">
      <c r="I283" s="178"/>
      <c r="O283" s="200"/>
    </row>
    <row r="284" spans="1:15" x14ac:dyDescent="0.2">
      <c r="A284" s="186"/>
      <c r="B284" s="1373" t="s">
        <v>502</v>
      </c>
      <c r="C284" s="1374"/>
      <c r="D284" s="1375"/>
      <c r="I284" s="178"/>
      <c r="O284" s="200"/>
    </row>
    <row r="285" spans="1:15" ht="14.25" x14ac:dyDescent="0.2">
      <c r="B285" s="57" t="s">
        <v>503</v>
      </c>
      <c r="C285" s="57"/>
      <c r="G285" s="57"/>
      <c r="H285" s="58">
        <f>ROUND('Earthquake &amp; wind'!K47,2)</f>
        <v>594.98</v>
      </c>
      <c r="I285" s="57" t="s">
        <v>229</v>
      </c>
      <c r="O285" s="200"/>
    </row>
    <row r="286" spans="1:15" ht="14.25" x14ac:dyDescent="0.2">
      <c r="G286" s="57"/>
      <c r="H286" s="57"/>
      <c r="I286" s="57"/>
      <c r="O286" s="200"/>
    </row>
    <row r="287" spans="1:15" ht="14.25" x14ac:dyDescent="0.2">
      <c r="B287" s="57" t="s">
        <v>505</v>
      </c>
      <c r="C287" s="57"/>
      <c r="G287" s="57"/>
      <c r="H287" s="57">
        <f>ROUND(('Earthquake &amp; wind'!$K$125),2)</f>
        <v>38.78</v>
      </c>
      <c r="I287" s="57" t="s">
        <v>229</v>
      </c>
      <c r="O287" s="200"/>
    </row>
    <row r="288" spans="1:15" ht="14.25" x14ac:dyDescent="0.2">
      <c r="G288" s="57"/>
      <c r="H288" s="57"/>
      <c r="I288" s="57"/>
      <c r="O288" s="200"/>
    </row>
    <row r="289" spans="1:15" ht="14.25" x14ac:dyDescent="0.2">
      <c r="B289" s="57" t="s">
        <v>506</v>
      </c>
      <c r="C289" s="57"/>
      <c r="D289" s="57"/>
      <c r="E289" s="57" t="str">
        <f>"(ROUND((("&amp;'Earthquake &amp; wind'!$K$57&amp;"+"&amp;'Earthquake &amp; wind'!$G$22&amp;")*"&amp;H287&amp;"),3))"</f>
        <v>(ROUND(((4.02+10)*38.78),3))</v>
      </c>
      <c r="F289" s="57"/>
      <c r="G289" s="932"/>
      <c r="H289" s="57">
        <f>ROUND((('Earthquake &amp; wind'!$K$57+'Earthquake &amp; wind'!$G$22)*H287),3)</f>
        <v>543.69600000000003</v>
      </c>
      <c r="I289" s="57" t="s">
        <v>507</v>
      </c>
      <c r="O289" s="200"/>
    </row>
    <row r="290" spans="1:15" ht="14.25" x14ac:dyDescent="0.2">
      <c r="G290" s="57"/>
      <c r="H290" s="57"/>
      <c r="I290" s="57"/>
      <c r="O290" s="200"/>
    </row>
    <row r="291" spans="1:15" ht="14.25" x14ac:dyDescent="0.2">
      <c r="B291" s="57" t="s">
        <v>508</v>
      </c>
      <c r="C291" s="57"/>
      <c r="G291" s="57"/>
      <c r="H291" s="290">
        <v>0.45</v>
      </c>
      <c r="I291" s="57"/>
      <c r="O291" s="200"/>
    </row>
    <row r="292" spans="1:15" ht="14.25" x14ac:dyDescent="0.2">
      <c r="G292" s="57"/>
      <c r="H292" s="57"/>
      <c r="I292" s="57"/>
      <c r="O292" s="200"/>
    </row>
    <row r="293" spans="1:15" x14ac:dyDescent="0.2">
      <c r="A293" s="186"/>
      <c r="B293" s="1373" t="s">
        <v>509</v>
      </c>
      <c r="C293" s="1374"/>
      <c r="D293" s="1375"/>
      <c r="I293" s="178"/>
      <c r="O293" s="200"/>
    </row>
    <row r="294" spans="1:15" ht="14.25" x14ac:dyDescent="0.2">
      <c r="G294" s="57"/>
      <c r="H294" s="57"/>
      <c r="I294" s="57"/>
      <c r="O294" s="200"/>
    </row>
    <row r="295" spans="1:15" ht="14.25" x14ac:dyDescent="0.2">
      <c r="B295" s="57" t="s">
        <v>510</v>
      </c>
      <c r="C295" s="57"/>
      <c r="D295" s="57"/>
      <c r="E295" s="57" t="str">
        <f>"("&amp;H285&amp;"*"&amp;H291&amp;")"</f>
        <v>(594.98*0.45)</v>
      </c>
      <c r="F295" s="57"/>
      <c r="G295" s="57"/>
      <c r="H295" s="58">
        <f>H285*H291</f>
        <v>267.74100000000004</v>
      </c>
      <c r="I295" s="57" t="s">
        <v>229</v>
      </c>
      <c r="O295" s="200"/>
    </row>
    <row r="296" spans="1:15" ht="14.25" x14ac:dyDescent="0.2">
      <c r="B296" s="57"/>
      <c r="C296" s="57"/>
      <c r="D296" s="57"/>
      <c r="E296" s="57"/>
      <c r="F296" s="57"/>
      <c r="G296" s="57"/>
      <c r="H296" s="57"/>
      <c r="I296" s="57"/>
      <c r="O296" s="200"/>
    </row>
    <row r="297" spans="1:15" ht="14.25" x14ac:dyDescent="0.2">
      <c r="B297" s="57" t="s">
        <v>511</v>
      </c>
      <c r="C297" s="57"/>
      <c r="D297" s="57"/>
      <c r="E297" s="57" t="str">
        <f>"("&amp;H295&amp;"/"&amp;H287&amp;")"</f>
        <v>(267.741/38.78)</v>
      </c>
      <c r="F297" s="57"/>
      <c r="G297" s="57"/>
      <c r="H297" s="58">
        <f>H295/H287</f>
        <v>6.9041000515729767</v>
      </c>
      <c r="I297" s="64" t="str">
        <f>IF(H297&gt;1.5,"ok","rev")</f>
        <v>ok</v>
      </c>
      <c r="O297" s="200"/>
    </row>
    <row r="298" spans="1:15" ht="14.25" x14ac:dyDescent="0.2">
      <c r="B298" s="57"/>
      <c r="C298" s="57"/>
      <c r="D298" s="57"/>
      <c r="E298" s="57"/>
      <c r="F298" s="57"/>
      <c r="G298" s="57"/>
      <c r="H298" s="57"/>
      <c r="I298" s="57"/>
      <c r="O298" s="200"/>
    </row>
    <row r="299" spans="1:15" ht="14.25" customHeight="1" x14ac:dyDescent="0.2">
      <c r="B299" s="57" t="s">
        <v>512</v>
      </c>
      <c r="C299" s="57"/>
      <c r="D299" s="57"/>
      <c r="E299" s="1337" t="str">
        <f>"("&amp;H285&amp;"*"&amp;E67&amp;"/2/"&amp;H289&amp;")"</f>
        <v>(594.98*8.9/2/543.696)</v>
      </c>
      <c r="F299" s="1338"/>
      <c r="G299" s="1339"/>
      <c r="H299" s="133">
        <f>H285*E67/2/H289</f>
        <v>4.869745225272947</v>
      </c>
      <c r="I299" s="64" t="str">
        <f>IF(H299&gt;1.5,"ok","rev")</f>
        <v>ok</v>
      </c>
      <c r="O299" s="200"/>
    </row>
    <row r="300" spans="1:15" ht="14.25" x14ac:dyDescent="0.2">
      <c r="B300" s="57"/>
      <c r="C300" s="57"/>
      <c r="D300" s="57"/>
      <c r="E300" s="1340"/>
      <c r="F300" s="1341"/>
      <c r="G300" s="1342"/>
      <c r="I300" s="178"/>
      <c r="O300" s="200"/>
    </row>
    <row r="301" spans="1:15" ht="14.25" x14ac:dyDescent="0.2">
      <c r="D301" s="57"/>
      <c r="E301" s="57"/>
      <c r="F301" s="57"/>
      <c r="G301" s="181"/>
      <c r="I301" s="178"/>
      <c r="O301" s="200"/>
    </row>
    <row r="302" spans="1:15" ht="14.25" x14ac:dyDescent="0.2">
      <c r="B302" s="57"/>
      <c r="C302" s="57"/>
      <c r="D302" s="57"/>
      <c r="E302" s="57"/>
      <c r="F302" s="57"/>
      <c r="G302" s="181"/>
      <c r="I302" s="178"/>
      <c r="O302" s="200"/>
    </row>
    <row r="303" spans="1:15" ht="14.25" x14ac:dyDescent="0.2">
      <c r="D303" s="57"/>
      <c r="E303" s="57"/>
      <c r="F303" s="57"/>
      <c r="G303" s="181"/>
      <c r="I303" s="178"/>
      <c r="O303" s="200"/>
    </row>
    <row r="304" spans="1:15" ht="14.25" x14ac:dyDescent="0.2">
      <c r="B304" s="57"/>
      <c r="C304" s="57"/>
      <c r="D304" s="57"/>
      <c r="E304" s="57"/>
      <c r="F304" s="57"/>
      <c r="G304" s="181"/>
      <c r="I304" s="178"/>
      <c r="O304" s="200"/>
    </row>
    <row r="305" spans="2:15" x14ac:dyDescent="0.2">
      <c r="I305" s="178"/>
      <c r="O305" s="200"/>
    </row>
    <row r="306" spans="2:15" x14ac:dyDescent="0.2">
      <c r="I306" s="185"/>
      <c r="O306" s="200"/>
    </row>
    <row r="307" spans="2:15" x14ac:dyDescent="0.2">
      <c r="B307" s="181"/>
      <c r="F307" s="181"/>
      <c r="I307" s="178"/>
      <c r="O307" s="200"/>
    </row>
    <row r="308" spans="2:15" x14ac:dyDescent="0.2">
      <c r="I308" s="178"/>
      <c r="O308" s="200"/>
    </row>
    <row r="309" spans="2:15" x14ac:dyDescent="0.2">
      <c r="I309" s="178"/>
      <c r="O309" s="200"/>
    </row>
    <row r="310" spans="2:15" ht="15" x14ac:dyDescent="0.2">
      <c r="B310" s="596"/>
      <c r="C310" s="5"/>
      <c r="D310" s="6"/>
      <c r="E310" s="19"/>
      <c r="G310" s="181"/>
      <c r="O310" s="200"/>
    </row>
    <row r="311" spans="2:15" ht="15" x14ac:dyDescent="0.25">
      <c r="B311" s="20"/>
      <c r="C311" s="569"/>
      <c r="D311" s="569"/>
      <c r="E311" s="19"/>
      <c r="G311" s="181"/>
      <c r="O311" s="200"/>
    </row>
    <row r="312" spans="2:15" ht="15" x14ac:dyDescent="0.25">
      <c r="B312" s="634"/>
      <c r="C312" s="581"/>
      <c r="D312" s="581"/>
      <c r="E312" s="19"/>
      <c r="G312" s="181"/>
      <c r="O312" s="200"/>
    </row>
    <row r="313" spans="2:15" ht="15" x14ac:dyDescent="0.25">
      <c r="B313" s="20"/>
      <c r="C313" s="581"/>
      <c r="D313" s="581"/>
      <c r="E313" s="19"/>
      <c r="G313" s="181"/>
      <c r="O313" s="200"/>
    </row>
    <row r="314" spans="2:15" ht="15" x14ac:dyDescent="0.25">
      <c r="B314" s="277"/>
      <c r="C314" s="273"/>
      <c r="D314" s="271"/>
      <c r="E314" s="278"/>
      <c r="G314" s="181"/>
      <c r="O314" s="200"/>
    </row>
    <row r="315" spans="2:15" x14ac:dyDescent="0.2">
      <c r="G315" s="181"/>
      <c r="O315" s="200"/>
    </row>
    <row r="316" spans="2:15" x14ac:dyDescent="0.2">
      <c r="G316" s="181"/>
      <c r="O316" s="200"/>
    </row>
    <row r="317" spans="2:15" x14ac:dyDescent="0.2">
      <c r="G317" s="181"/>
      <c r="O317" s="200"/>
    </row>
    <row r="318" spans="2:15" x14ac:dyDescent="0.2">
      <c r="G318" s="181"/>
      <c r="O318" s="200"/>
    </row>
    <row r="319" spans="2:15" x14ac:dyDescent="0.2">
      <c r="G319" s="181"/>
      <c r="O319" s="200"/>
    </row>
    <row r="320" spans="2:15" x14ac:dyDescent="0.2">
      <c r="G320" s="181"/>
      <c r="O320" s="200"/>
    </row>
    <row r="321" spans="7:15" x14ac:dyDescent="0.2">
      <c r="G321" s="181"/>
      <c r="O321" s="200"/>
    </row>
    <row r="322" spans="7:15" x14ac:dyDescent="0.2">
      <c r="G322" s="181"/>
      <c r="O322" s="200"/>
    </row>
    <row r="323" spans="7:15" x14ac:dyDescent="0.2">
      <c r="G323" s="181"/>
      <c r="O323" s="200"/>
    </row>
    <row r="324" spans="7:15" x14ac:dyDescent="0.2">
      <c r="G324" s="181"/>
      <c r="O324" s="200"/>
    </row>
    <row r="325" spans="7:15" x14ac:dyDescent="0.2">
      <c r="G325" s="181"/>
      <c r="O325" s="200"/>
    </row>
    <row r="326" spans="7:15" x14ac:dyDescent="0.2">
      <c r="G326" s="181"/>
      <c r="O326" s="200"/>
    </row>
    <row r="327" spans="7:15" x14ac:dyDescent="0.2">
      <c r="G327" s="181"/>
      <c r="O327" s="200"/>
    </row>
    <row r="328" spans="7:15" x14ac:dyDescent="0.2">
      <c r="G328" s="181"/>
      <c r="O328" s="200"/>
    </row>
    <row r="329" spans="7:15" x14ac:dyDescent="0.2">
      <c r="G329" s="181"/>
      <c r="O329" s="200"/>
    </row>
    <row r="330" spans="7:15" x14ac:dyDescent="0.2">
      <c r="G330" s="181"/>
      <c r="O330" s="200"/>
    </row>
    <row r="331" spans="7:15" x14ac:dyDescent="0.2">
      <c r="G331" s="181"/>
      <c r="O331" s="200"/>
    </row>
    <row r="332" spans="7:15" x14ac:dyDescent="0.2">
      <c r="G332" s="181"/>
      <c r="O332" s="200"/>
    </row>
    <row r="333" spans="7:15" x14ac:dyDescent="0.2">
      <c r="G333" s="181"/>
      <c r="O333" s="200"/>
    </row>
    <row r="334" spans="7:15" x14ac:dyDescent="0.2">
      <c r="G334" s="181"/>
      <c r="O334" s="200"/>
    </row>
    <row r="335" spans="7:15" x14ac:dyDescent="0.2">
      <c r="G335" s="181"/>
      <c r="O335" s="200"/>
    </row>
    <row r="336" spans="7:15" x14ac:dyDescent="0.2">
      <c r="G336" s="181"/>
      <c r="O336" s="200"/>
    </row>
    <row r="337" spans="7:25" x14ac:dyDescent="0.2">
      <c r="G337" s="181"/>
      <c r="O337" s="200"/>
    </row>
    <row r="338" spans="7:25" x14ac:dyDescent="0.2">
      <c r="G338" s="181"/>
      <c r="O338" s="200"/>
    </row>
    <row r="339" spans="7:25" x14ac:dyDescent="0.2">
      <c r="G339" s="181"/>
      <c r="O339" s="200"/>
    </row>
    <row r="340" spans="7:25" x14ac:dyDescent="0.2">
      <c r="G340" s="181"/>
      <c r="O340" s="200"/>
    </row>
    <row r="341" spans="7:25" x14ac:dyDescent="0.2">
      <c r="G341" s="181"/>
      <c r="O341" s="200"/>
    </row>
    <row r="342" spans="7:25" x14ac:dyDescent="0.2">
      <c r="G342" s="181"/>
      <c r="O342" s="200"/>
    </row>
    <row r="343" spans="7:25" x14ac:dyDescent="0.2">
      <c r="G343" s="181"/>
      <c r="O343" s="200"/>
    </row>
    <row r="344" spans="7:25" x14ac:dyDescent="0.2">
      <c r="G344" s="181"/>
      <c r="O344" s="200"/>
    </row>
    <row r="345" spans="7:25" x14ac:dyDescent="0.2">
      <c r="G345" s="181"/>
      <c r="O345" s="200"/>
    </row>
    <row r="346" spans="7:25" x14ac:dyDescent="0.2">
      <c r="G346" s="181"/>
      <c r="O346" s="200"/>
    </row>
    <row r="347" spans="7:25" x14ac:dyDescent="0.2">
      <c r="G347" s="181"/>
      <c r="O347" s="200"/>
    </row>
    <row r="348" spans="7:25" ht="13.5" thickBot="1" x14ac:dyDescent="0.25">
      <c r="G348" s="181"/>
      <c r="M348" s="181" t="s">
        <v>633</v>
      </c>
      <c r="O348" s="195">
        <v>0.4</v>
      </c>
      <c r="P348" s="44">
        <v>0.45</v>
      </c>
      <c r="Q348" s="44">
        <v>0.5</v>
      </c>
      <c r="R348" s="44">
        <v>0.55000000000000004</v>
      </c>
      <c r="S348" s="44">
        <v>0.6</v>
      </c>
      <c r="T348" s="44">
        <v>0.65</v>
      </c>
      <c r="U348" s="44">
        <v>0.7</v>
      </c>
      <c r="V348" s="44">
        <v>0.75</v>
      </c>
      <c r="W348" s="44">
        <v>0.8</v>
      </c>
      <c r="X348" s="44">
        <v>0.85</v>
      </c>
      <c r="Y348" s="44">
        <v>0.9</v>
      </c>
    </row>
    <row r="349" spans="7:25" ht="13.5" thickBot="1" x14ac:dyDescent="0.25">
      <c r="G349" s="181"/>
      <c r="N349" s="44">
        <v>0.3</v>
      </c>
      <c r="O349" s="194">
        <v>-10.952</v>
      </c>
      <c r="P349" s="44">
        <v>-9.4390000000000001</v>
      </c>
      <c r="Q349" s="44">
        <v>-7.8849999999999998</v>
      </c>
      <c r="R349" s="44">
        <v>-6.2759999999999998</v>
      </c>
      <c r="S349" s="44">
        <v>-4.6040000000000001</v>
      </c>
      <c r="T349" s="44">
        <v>-2.8610000000000002</v>
      </c>
      <c r="U349" s="44">
        <v>-1.0429999999999999</v>
      </c>
      <c r="V349" s="44">
        <v>0.85399999999999998</v>
      </c>
      <c r="W349" s="44">
        <v>2.835</v>
      </c>
      <c r="X349" s="44">
        <v>4.9020000000000001</v>
      </c>
      <c r="Y349" s="44">
        <v>7.0570000000000004</v>
      </c>
    </row>
    <row r="350" spans="7:25" ht="13.5" thickBot="1" x14ac:dyDescent="0.25">
      <c r="G350" s="181"/>
      <c r="N350" s="44">
        <v>0.35</v>
      </c>
      <c r="O350" s="193"/>
      <c r="P350" s="192">
        <v>-10.757999999999999</v>
      </c>
      <c r="Q350" s="44">
        <v>-9.0069999999999997</v>
      </c>
      <c r="R350" s="44">
        <v>-7.22</v>
      </c>
      <c r="S350" s="44">
        <v>-5.3849999999999998</v>
      </c>
      <c r="T350" s="44">
        <v>-3.4929999999999999</v>
      </c>
      <c r="U350" s="44">
        <v>-1.5369999999999999</v>
      </c>
      <c r="V350" s="44">
        <v>0.49</v>
      </c>
      <c r="W350" s="44">
        <v>2.5910000000000002</v>
      </c>
      <c r="X350" s="44">
        <v>4.7709999999999999</v>
      </c>
      <c r="Y350" s="44">
        <v>7.0330000000000004</v>
      </c>
    </row>
    <row r="351" spans="7:25" ht="13.5" thickBot="1" x14ac:dyDescent="0.25">
      <c r="G351" s="181"/>
      <c r="N351" s="44">
        <v>0.4</v>
      </c>
      <c r="O351" s="44"/>
      <c r="P351" s="193"/>
      <c r="Q351" s="192">
        <v>-10.39</v>
      </c>
      <c r="R351" s="44">
        <v>-8.4009999999999998</v>
      </c>
      <c r="S351" s="44">
        <v>-6.3789999999999996</v>
      </c>
      <c r="T351" s="44">
        <v>-4.3140000000000001</v>
      </c>
      <c r="U351" s="44">
        <v>-2.1989999999999998</v>
      </c>
      <c r="V351" s="44">
        <v>-2.3E-2</v>
      </c>
      <c r="W351" s="44">
        <v>2.218</v>
      </c>
      <c r="X351" s="44">
        <v>4.5279999999999996</v>
      </c>
      <c r="Y351" s="44">
        <v>6.9139999999999997</v>
      </c>
    </row>
    <row r="352" spans="7:25" ht="10.5" customHeight="1" thickBot="1" x14ac:dyDescent="0.25">
      <c r="G352" s="181"/>
      <c r="K352" s="181" t="s">
        <v>635</v>
      </c>
      <c r="N352" s="44">
        <v>0.45</v>
      </c>
      <c r="O352" s="44"/>
      <c r="P352" s="44"/>
      <c r="Q352" s="193"/>
      <c r="R352" s="192">
        <v>-9.8480000000000008</v>
      </c>
      <c r="S352" s="44">
        <v>-7.6120000000000001</v>
      </c>
      <c r="T352" s="44">
        <v>-5.3520000000000003</v>
      </c>
      <c r="U352" s="44">
        <v>-3.0550000000000002</v>
      </c>
      <c r="V352" s="44">
        <v>-0.71099999999999997</v>
      </c>
      <c r="W352" s="44">
        <v>1.6870000000000001</v>
      </c>
      <c r="X352" s="44">
        <v>4.1449999999999996</v>
      </c>
      <c r="Y352" s="44">
        <v>6.6710000000000003</v>
      </c>
    </row>
    <row r="353" spans="11:26" ht="13.5" thickBot="1" x14ac:dyDescent="0.25">
      <c r="N353" s="44">
        <v>0.5</v>
      </c>
      <c r="O353" s="44"/>
      <c r="P353" s="44"/>
      <c r="Q353" s="44"/>
      <c r="R353" s="193"/>
      <c r="S353" s="192">
        <v>-9.1069999999999993</v>
      </c>
      <c r="T353" s="44">
        <v>-6.6280000000000001</v>
      </c>
      <c r="U353" s="44">
        <v>-4.1289999999999996</v>
      </c>
      <c r="V353" s="44">
        <v>-1.6</v>
      </c>
      <c r="W353" s="44">
        <v>0.97799999999999998</v>
      </c>
      <c r="X353" s="44">
        <v>3.6030000000000002</v>
      </c>
      <c r="Y353" s="44">
        <v>6.2839999999999998</v>
      </c>
    </row>
    <row r="354" spans="11:26" ht="13.5" thickBot="1" x14ac:dyDescent="0.25">
      <c r="K354" s="181" t="s">
        <v>627</v>
      </c>
      <c r="L354" s="181" t="s">
        <v>628</v>
      </c>
      <c r="M354" s="178">
        <f ca="1">FORECAST(D$118,OFFSET(tt,MATCH($D117,yy),MATCH(D$118,xx),,2),OFFSET(tt,,MATCH(D$118,xx),,2))-((FORECAST(D$118,OFFSET(tt,MATCH($D117,yy),MATCH(D$118,xx),,2),OFFSET(tt,,MATCH(D$118,xx),,2))-FORECAST(D$118,OFFSET(tt,MATCH($D117,yy)+1,MATCH(D$118,xx),,2),OFFSET(tt,,MATCH(D$118,xx),,2)))*($D117-INDEX(yy,MATCH($D117,yy)))/(INDEX(yy,MATCH($D117,yy)+1)-INDEX(yy,MATCH($D117,yy))))</f>
        <v>-2.0500191999999999</v>
      </c>
      <c r="N354" s="44">
        <v>0.55000000000000004</v>
      </c>
      <c r="O354" s="44"/>
      <c r="P354" s="44"/>
      <c r="Q354" s="44"/>
      <c r="R354" s="44"/>
      <c r="S354" s="193"/>
      <c r="T354" s="192">
        <v>-8.1660000000000004</v>
      </c>
      <c r="U354" s="44">
        <v>-5.4420000000000002</v>
      </c>
      <c r="V354" s="44">
        <v>-2.702</v>
      </c>
      <c r="W354" s="44">
        <v>6.8000000000000005E-2</v>
      </c>
      <c r="X354" s="44">
        <v>2.875</v>
      </c>
      <c r="Y354" s="44">
        <v>5.7290000000000001</v>
      </c>
    </row>
    <row r="355" spans="11:26" ht="13.5" thickBot="1" x14ac:dyDescent="0.25">
      <c r="K355" s="181" t="s">
        <v>629</v>
      </c>
      <c r="L355" s="181" t="s">
        <v>628</v>
      </c>
      <c r="M355" s="178">
        <f ca="1">FORECAST(D$118,OFFSET(t,MATCH($D117,y),MATCH(D$118,x),,2),OFFSET(t,,MATCH(D$118,x),,2))-((FORECAST(D$118,OFFSET(t,MATCH($D117,y),MATCH(D$118,x),,2),OFFSET(t,,MATCH(D$118,x),,2))-FORECAST(D$118,OFFSET(t,MATCH($D117,y)+1,MATCH(D$118,x),,2),OFFSET(t,,MATCH(D$118,x),,2)))*($D117-INDEX(y,MATCH($D117,y)))/(INDEX(y,MATCH($D117,y)+1)-INDEX(y,MATCH($D117,y))))</f>
        <v>-1.0939183999999973</v>
      </c>
      <c r="N355" s="44">
        <v>0.6</v>
      </c>
      <c r="O355" s="44"/>
      <c r="P355" s="44"/>
      <c r="Q355" s="44"/>
      <c r="R355" s="44"/>
      <c r="S355" s="44"/>
      <c r="T355" s="193"/>
      <c r="U355" s="192">
        <v>-7.0170000000000003</v>
      </c>
      <c r="V355" s="44">
        <v>-4.0490000000000004</v>
      </c>
      <c r="W355" s="44">
        <v>-1.0660000000000001</v>
      </c>
      <c r="X355" s="44">
        <v>1.9419999999999999</v>
      </c>
      <c r="Y355" s="44">
        <v>4.9850000000000003</v>
      </c>
    </row>
    <row r="356" spans="11:26" ht="13.5" thickBot="1" x14ac:dyDescent="0.25">
      <c r="N356" s="44">
        <v>0.65</v>
      </c>
      <c r="O356" s="44"/>
      <c r="P356" s="44"/>
      <c r="Q356" s="44"/>
      <c r="R356" s="44"/>
      <c r="S356" s="44"/>
      <c r="T356" s="44"/>
      <c r="U356" s="193"/>
      <c r="V356" s="192">
        <v>-5.6580000000000004</v>
      </c>
      <c r="W356" s="44">
        <v>-2.4430000000000001</v>
      </c>
      <c r="X356" s="44">
        <v>0.78300000000000003</v>
      </c>
      <c r="Y356" s="44">
        <v>4.0309999999999997</v>
      </c>
    </row>
    <row r="357" spans="11:26" ht="13.5" thickBot="1" x14ac:dyDescent="0.25">
      <c r="K357" s="181" t="s">
        <v>630</v>
      </c>
      <c r="L357" s="181" t="s">
        <v>628</v>
      </c>
      <c r="M357" s="178">
        <f ca="1">FORECAST(D$118,OFFSET(ttt,MATCH($D117,yyy),MATCH(D$118,xxx),,2),OFFSET(ttt,,MATCH(D$118,xxx),,2))-((FORECAST(D$118,OFFSET(ttt,MATCH($D117,yyy),MATCH(D$118,xxx),,2),OFFSET(ttt,,MATCH(D$118,xxx),,2))-FORECAST(D$118,OFFSET(ttt,MATCH($D117,yyy)+1,MATCH(D$118,xxx),,2),OFFSET(ttt,,MATCH(D$118,xxx),,2)))*($D117-INDEX(yyy,MATCH($D117,yyy)))/(INDEX(yyy,MATCH($D117,yyy)+1)-INDEX(yyy,MATCH($D117,yyy))))</f>
        <v>-1.5832191999999905</v>
      </c>
      <c r="N357" s="44">
        <v>0.7</v>
      </c>
      <c r="O357" s="44"/>
      <c r="P357" s="44"/>
      <c r="Q357" s="44"/>
      <c r="R357" s="44"/>
      <c r="S357" s="44"/>
      <c r="T357" s="44"/>
      <c r="U357" s="44"/>
      <c r="V357" s="193"/>
      <c r="W357" s="192">
        <v>-4.085</v>
      </c>
      <c r="X357" s="44">
        <v>-0.623</v>
      </c>
      <c r="Y357" s="44">
        <v>2.847</v>
      </c>
    </row>
    <row r="358" spans="11:26" ht="13.5" thickBot="1" x14ac:dyDescent="0.25">
      <c r="K358" s="181" t="s">
        <v>631</v>
      </c>
      <c r="L358" s="181" t="s">
        <v>628</v>
      </c>
      <c r="M358" s="178">
        <f ca="1">FORECAST(D$118,OFFSET(tttt,MATCH($D117,yyyy),MATCH(D$118,xxxx),,2),OFFSET(tttt,,MATCH(D$118,xxxx),,2))-((FORECAST(D$118,OFFSET(tttt,MATCH($D117,yyyy),MATCH(D$118,xxxx),,2),OFFSET(tttt,,MATCH(D$118,xxxx),,2))-FORECAST(D$118,OFFSET(tttt,MATCH($D117,yyyy)+1,MATCH(D$118,xxxx),,2),OFFSET(tttt,,MATCH(D$118,xxxx),,2)))*($D117-INDEX(yyyy,MATCH($D117,yyyy)))/(INDEX(yyyy,MATCH($D117,yyyy)+1)-INDEX(yyyy,MATCH($D117,yyyy))))</f>
        <v>-1.4873999999999947</v>
      </c>
      <c r="N358" s="44">
        <v>0.75</v>
      </c>
      <c r="R358" s="44"/>
      <c r="U358" s="44"/>
      <c r="V358" s="44"/>
      <c r="W358" s="193"/>
      <c r="X358" s="192">
        <v>-2.2949999999999999</v>
      </c>
      <c r="Y358" s="44">
        <v>1.413</v>
      </c>
    </row>
    <row r="359" spans="11:26" ht="13.5" thickBot="1" x14ac:dyDescent="0.25">
      <c r="N359" s="192">
        <v>0.8</v>
      </c>
      <c r="Q359" s="44"/>
      <c r="R359" s="44"/>
      <c r="U359" s="44"/>
      <c r="V359" s="44"/>
      <c r="W359" s="44"/>
      <c r="X359" s="193"/>
      <c r="Y359" s="192">
        <v>-0.28699999999999998</v>
      </c>
    </row>
    <row r="361" spans="11:26" x14ac:dyDescent="0.2">
      <c r="K361" s="181" t="s">
        <v>636</v>
      </c>
    </row>
    <row r="363" spans="11:26" x14ac:dyDescent="0.2">
      <c r="N363" s="44"/>
      <c r="O363" s="44">
        <v>0.4</v>
      </c>
      <c r="P363" s="44">
        <v>0.45</v>
      </c>
      <c r="Q363" s="44">
        <v>0.5</v>
      </c>
      <c r="R363" s="44">
        <v>0.55000000000000004</v>
      </c>
      <c r="S363" s="44">
        <v>0.6</v>
      </c>
      <c r="T363" s="44">
        <v>0.65</v>
      </c>
      <c r="U363" s="44">
        <v>0.7</v>
      </c>
      <c r="V363" s="44">
        <v>0.75</v>
      </c>
      <c r="W363" s="44">
        <v>0.8</v>
      </c>
      <c r="X363" s="44">
        <v>0.85</v>
      </c>
      <c r="Y363" s="44">
        <v>0.9</v>
      </c>
      <c r="Z363" s="44"/>
    </row>
    <row r="364" spans="11:26" ht="13.5" thickBot="1" x14ac:dyDescent="0.25">
      <c r="N364" s="44">
        <v>0.3</v>
      </c>
      <c r="O364" s="191">
        <v>-8.9480000000000004</v>
      </c>
      <c r="P364" s="44">
        <v>-9.5920000000000005</v>
      </c>
      <c r="Q364" s="44">
        <v>-9.2729999999999997</v>
      </c>
      <c r="R364" s="44">
        <v>-8.4700000000000006</v>
      </c>
      <c r="S364" s="44">
        <v>-7.4390000000000001</v>
      </c>
      <c r="T364" s="44">
        <v>-6.3220000000000001</v>
      </c>
      <c r="U364" s="44">
        <v>-5.2</v>
      </c>
      <c r="V364" s="44">
        <v>-4.1219999999999999</v>
      </c>
      <c r="W364" s="44">
        <v>-3.1139999999999999</v>
      </c>
      <c r="X364" s="44">
        <v>-2.1909999999999998</v>
      </c>
      <c r="Y364" s="44">
        <v>-1.3620000000000001</v>
      </c>
    </row>
    <row r="365" spans="11:26" ht="13.5" thickBot="1" x14ac:dyDescent="0.25">
      <c r="N365" s="44">
        <v>0.35</v>
      </c>
      <c r="O365" s="192"/>
      <c r="P365" s="193">
        <v>-6.9930000000000003</v>
      </c>
      <c r="Q365" s="44">
        <v>-7.5890000000000004</v>
      </c>
      <c r="R365" s="44">
        <v>-7.3810000000000002</v>
      </c>
      <c r="S365" s="44">
        <v>-6.7439999999999998</v>
      </c>
      <c r="T365" s="44">
        <v>-5.8390000000000004</v>
      </c>
      <c r="U365" s="44">
        <v>-4.9429999999999996</v>
      </c>
      <c r="V365" s="44">
        <v>-3.98</v>
      </c>
      <c r="W365" s="44">
        <v>-3.0449999999999999</v>
      </c>
      <c r="X365" s="44">
        <v>-2.1659999999999999</v>
      </c>
      <c r="Y365" s="44">
        <v>-1.36</v>
      </c>
    </row>
    <row r="366" spans="11:26" ht="13.5" thickBot="1" x14ac:dyDescent="0.25">
      <c r="N366" s="44">
        <v>0.4</v>
      </c>
      <c r="O366" s="44"/>
      <c r="P366" s="192"/>
      <c r="Q366" s="193">
        <v>-5.5069999999999997</v>
      </c>
      <c r="R366" s="44">
        <v>-6.0049999999999999</v>
      </c>
      <c r="S366" s="44">
        <v>-5.859</v>
      </c>
      <c r="T366" s="44">
        <v>-5.3140000000000001</v>
      </c>
      <c r="U366" s="44">
        <v>-4.5979999999999999</v>
      </c>
      <c r="V366" s="44">
        <v>-3.78</v>
      </c>
      <c r="W366" s="44">
        <v>-2.9390000000000001</v>
      </c>
      <c r="X366" s="44">
        <v>-2.1190000000000002</v>
      </c>
      <c r="Y366" s="44">
        <v>-1.345</v>
      </c>
    </row>
    <row r="367" spans="11:26" ht="13.5" thickBot="1" x14ac:dyDescent="0.25">
      <c r="N367" s="44">
        <v>0.45</v>
      </c>
      <c r="O367" s="44"/>
      <c r="P367" s="44"/>
      <c r="Q367" s="192"/>
      <c r="R367" s="193">
        <v>-4.3330000000000002</v>
      </c>
      <c r="S367" s="44">
        <v>-4.7629999999999999</v>
      </c>
      <c r="T367" s="44">
        <v>-4.6120000000000001</v>
      </c>
      <c r="U367" s="44">
        <v>-4.1520000000000001</v>
      </c>
      <c r="V367" s="44">
        <v>-3.512</v>
      </c>
      <c r="W367" s="44">
        <v>-2.79</v>
      </c>
      <c r="X367" s="44">
        <v>-2.0449999999999999</v>
      </c>
      <c r="Y367" s="44">
        <v>-1.3160000000000001</v>
      </c>
    </row>
    <row r="368" spans="11:26" ht="13.5" thickBot="1" x14ac:dyDescent="0.25">
      <c r="N368" s="44">
        <v>0.5</v>
      </c>
      <c r="O368" s="44"/>
      <c r="P368" s="44"/>
      <c r="Q368" s="44"/>
      <c r="R368" s="192"/>
      <c r="S368" s="193">
        <v>-3.4340000000000002</v>
      </c>
      <c r="T368" s="44">
        <v>-3.7370000000000001</v>
      </c>
      <c r="U368" s="44">
        <v>-3.5939999999999999</v>
      </c>
      <c r="V368" s="44">
        <v>-3.1680000000000001</v>
      </c>
      <c r="W368" s="44">
        <v>-2.5910000000000002</v>
      </c>
      <c r="X368" s="44">
        <v>-1.9410000000000001</v>
      </c>
      <c r="Y368" s="44">
        <v>-1.2709999999999999</v>
      </c>
    </row>
    <row r="369" spans="7:26" ht="13.5" thickBot="1" x14ac:dyDescent="0.25">
      <c r="N369" s="44">
        <v>0.55000000000000004</v>
      </c>
      <c r="O369" s="44"/>
      <c r="P369" s="44"/>
      <c r="Q369" s="44"/>
      <c r="R369" s="44"/>
      <c r="S369" s="192"/>
      <c r="T369" s="193">
        <v>-2.6819999999999999</v>
      </c>
      <c r="U369" s="44">
        <v>-2.91</v>
      </c>
      <c r="V369" s="44">
        <v>-2.738</v>
      </c>
      <c r="W369" s="44">
        <v>-2.3340000000000001</v>
      </c>
      <c r="X369" s="44">
        <v>-1.8009999999999999</v>
      </c>
      <c r="Y369" s="44">
        <v>-1.206</v>
      </c>
    </row>
    <row r="370" spans="7:26" ht="13.5" thickBot="1" x14ac:dyDescent="0.25">
      <c r="N370" s="44">
        <v>0.6</v>
      </c>
      <c r="O370" s="44"/>
      <c r="P370" s="44"/>
      <c r="Q370" s="44"/>
      <c r="R370" s="44"/>
      <c r="S370" s="44"/>
      <c r="T370" s="192"/>
      <c r="U370" s="193">
        <v>-2.09</v>
      </c>
      <c r="V370" s="44">
        <v>-2.214</v>
      </c>
      <c r="W370" s="44">
        <v>-2.016</v>
      </c>
      <c r="X370" s="44">
        <v>-1.6220000000000001</v>
      </c>
      <c r="Y370" s="44">
        <v>-1.119</v>
      </c>
    </row>
    <row r="371" spans="7:26" ht="13.5" thickBot="1" x14ac:dyDescent="0.25">
      <c r="G371" s="181"/>
      <c r="N371" s="44">
        <v>0.65</v>
      </c>
      <c r="O371" s="44"/>
      <c r="P371" s="44"/>
      <c r="Q371" s="44"/>
      <c r="R371" s="44"/>
      <c r="S371" s="44"/>
      <c r="T371" s="44"/>
      <c r="U371" s="192"/>
      <c r="V371" s="193">
        <v>-1.5880000000000001</v>
      </c>
      <c r="W371" s="44">
        <v>-1.6279999999999999</v>
      </c>
      <c r="X371" s="44">
        <v>-1.399</v>
      </c>
      <c r="Y371" s="44">
        <v>-1.0069999999999999</v>
      </c>
    </row>
    <row r="372" spans="7:26" ht="13.5" thickBot="1" x14ac:dyDescent="0.25">
      <c r="G372" s="181"/>
      <c r="N372" s="44">
        <v>0.7</v>
      </c>
      <c r="O372" s="44"/>
      <c r="P372" s="44"/>
      <c r="Q372" s="44"/>
      <c r="R372" s="44"/>
      <c r="S372" s="44"/>
      <c r="T372" s="44"/>
      <c r="U372" s="44"/>
      <c r="V372" s="192"/>
      <c r="W372" s="193">
        <v>-1.167</v>
      </c>
      <c r="X372" s="44">
        <v>-1.129</v>
      </c>
      <c r="Y372" s="44">
        <v>-0.86799999999999999</v>
      </c>
    </row>
    <row r="373" spans="7:26" ht="13.5" thickBot="1" x14ac:dyDescent="0.25">
      <c r="G373" s="181"/>
      <c r="N373" s="44">
        <v>0.75</v>
      </c>
      <c r="O373" s="44"/>
      <c r="P373" s="44"/>
      <c r="Q373" s="44"/>
      <c r="R373" s="44"/>
      <c r="S373" s="44"/>
      <c r="T373" s="44"/>
      <c r="U373" s="44"/>
      <c r="V373" s="44"/>
      <c r="W373" s="192"/>
      <c r="X373" s="193">
        <v>-0.80800000000000005</v>
      </c>
      <c r="Y373" s="44">
        <v>-0.7</v>
      </c>
    </row>
    <row r="374" spans="7:26" ht="13.5" thickBot="1" x14ac:dyDescent="0.25">
      <c r="G374" s="181"/>
      <c r="N374" s="193">
        <v>0.8</v>
      </c>
      <c r="O374" s="44"/>
      <c r="P374" s="44"/>
      <c r="Q374" s="44"/>
      <c r="R374" s="44"/>
      <c r="S374" s="44"/>
      <c r="T374" s="44"/>
      <c r="U374" s="44"/>
      <c r="V374" s="44"/>
      <c r="W374" s="44"/>
      <c r="X374" s="192"/>
      <c r="Y374" s="193">
        <v>-0.5</v>
      </c>
    </row>
    <row r="375" spans="7:26" x14ac:dyDescent="0.2">
      <c r="G375" s="181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194"/>
      <c r="Z375" s="190"/>
    </row>
    <row r="376" spans="7:26" x14ac:dyDescent="0.2">
      <c r="G376" s="181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195"/>
      <c r="Z376" s="196"/>
    </row>
    <row r="377" spans="7:26" ht="15" x14ac:dyDescent="0.25">
      <c r="G377" s="181"/>
      <c r="N377" s="201" t="s">
        <v>469</v>
      </c>
      <c r="O377" s="201"/>
      <c r="P377" s="201"/>
      <c r="Q377" s="201"/>
      <c r="R377" s="201"/>
      <c r="S377" s="201"/>
      <c r="T377" s="201"/>
      <c r="U377" s="201"/>
      <c r="V377" s="201"/>
      <c r="W377" s="201"/>
      <c r="X377" s="201"/>
      <c r="Y377" s="201"/>
      <c r="Z377" s="201"/>
    </row>
    <row r="378" spans="7:26" ht="15" x14ac:dyDescent="0.25">
      <c r="G378" s="181"/>
      <c r="N378" s="201" t="s">
        <v>632</v>
      </c>
      <c r="O378" s="201"/>
      <c r="P378" s="201"/>
      <c r="Q378" s="201"/>
      <c r="R378" s="201"/>
      <c r="S378" s="201"/>
      <c r="T378" s="201"/>
      <c r="U378" s="201"/>
      <c r="V378" s="201"/>
      <c r="W378" s="201"/>
      <c r="X378" s="201"/>
      <c r="Y378" s="201"/>
      <c r="Z378" s="201"/>
    </row>
    <row r="379" spans="7:26" ht="25.5" x14ac:dyDescent="0.2">
      <c r="G379" s="181"/>
      <c r="M379" s="181" t="s">
        <v>634</v>
      </c>
      <c r="N379" s="44"/>
      <c r="O379" s="44">
        <v>0.4</v>
      </c>
      <c r="P379" s="44">
        <v>0.45</v>
      </c>
      <c r="Q379" s="44">
        <v>0.5</v>
      </c>
      <c r="R379" s="44">
        <v>0.55000000000000004</v>
      </c>
      <c r="S379" s="44">
        <v>0.6</v>
      </c>
      <c r="T379" s="44">
        <v>0.65</v>
      </c>
      <c r="U379" s="44">
        <v>0.7</v>
      </c>
      <c r="V379" s="44">
        <v>0.75</v>
      </c>
      <c r="W379" s="44">
        <v>0.8</v>
      </c>
      <c r="X379" s="44">
        <v>0.85</v>
      </c>
      <c r="Y379" s="44">
        <v>0.9</v>
      </c>
    </row>
    <row r="380" spans="7:26" ht="13.5" thickBot="1" x14ac:dyDescent="0.25">
      <c r="G380" s="181"/>
      <c r="N380" s="44">
        <v>0.3</v>
      </c>
      <c r="O380" s="191">
        <v>-30.54</v>
      </c>
      <c r="P380" s="44">
        <v>-22.834</v>
      </c>
      <c r="Q380" s="44">
        <v>-16.905000000000001</v>
      </c>
      <c r="R380" s="44">
        <v>-12.128</v>
      </c>
      <c r="S380" s="44">
        <v>-8.1370000000000005</v>
      </c>
      <c r="T380" s="44">
        <v>-4.7069999999999999</v>
      </c>
      <c r="U380" s="44">
        <v>-1.6890000000000001</v>
      </c>
      <c r="V380" s="44">
        <v>1.0129999999999999</v>
      </c>
      <c r="W380" s="44">
        <v>3.468</v>
      </c>
      <c r="X380" s="44">
        <v>5.726</v>
      </c>
      <c r="Y380" s="44">
        <v>7.8239999999999998</v>
      </c>
    </row>
    <row r="381" spans="7:26" ht="13.5" thickBot="1" x14ac:dyDescent="0.25">
      <c r="G381" s="181"/>
      <c r="N381" s="44">
        <v>0.35</v>
      </c>
      <c r="O381" s="192"/>
      <c r="P381" s="193">
        <v>-26.751000000000001</v>
      </c>
      <c r="Q381" s="44">
        <v>-19.710999999999999</v>
      </c>
      <c r="R381" s="44">
        <v>-14.161</v>
      </c>
      <c r="S381" s="44">
        <v>-9.6140000000000008</v>
      </c>
      <c r="T381" s="44">
        <v>-5.7709999999999999</v>
      </c>
      <c r="U381" s="44">
        <v>-2.44</v>
      </c>
      <c r="V381" s="44">
        <v>0.50600000000000001</v>
      </c>
      <c r="W381" s="44">
        <v>3.1549999999999998</v>
      </c>
      <c r="X381" s="44">
        <v>5.5709999999999997</v>
      </c>
      <c r="Y381" s="44">
        <v>7.7969999999999997</v>
      </c>
    </row>
    <row r="382" spans="7:26" ht="13.5" thickBot="1" x14ac:dyDescent="0.25">
      <c r="G382" s="181"/>
      <c r="N382" s="44">
        <v>0.4</v>
      </c>
      <c r="O382" s="44"/>
      <c r="P382" s="192"/>
      <c r="Q382" s="193">
        <v>-23.18</v>
      </c>
      <c r="R382" s="44">
        <v>-16.73</v>
      </c>
      <c r="S382" s="44">
        <v>-11.49</v>
      </c>
      <c r="T382" s="44">
        <v>-7.1669999999999998</v>
      </c>
      <c r="U382" s="44">
        <v>-3.4470000000000001</v>
      </c>
      <c r="V382" s="44">
        <v>-0.20699999999999999</v>
      </c>
      <c r="W382" s="44">
        <v>2.6760000000000002</v>
      </c>
      <c r="X382" s="44">
        <v>5.28</v>
      </c>
      <c r="Y382" s="44">
        <v>7.6630000000000003</v>
      </c>
    </row>
    <row r="383" spans="7:26" ht="13.5" thickBot="1" x14ac:dyDescent="0.25">
      <c r="G383" s="181"/>
      <c r="N383" s="44">
        <v>0.45</v>
      </c>
      <c r="O383" s="44"/>
      <c r="P383" s="44"/>
      <c r="Q383" s="192"/>
      <c r="R383" s="193">
        <v>-19.850000000000001</v>
      </c>
      <c r="S383" s="44">
        <f>-13.82</f>
        <v>-13.82</v>
      </c>
      <c r="T383" s="44">
        <v>-8.9169999999999998</v>
      </c>
      <c r="U383" s="44">
        <v>-4.7489999999999997</v>
      </c>
      <c r="V383" s="44">
        <v>-1.1619999999999999</v>
      </c>
      <c r="W383" s="44">
        <v>1.9970000000000001</v>
      </c>
      <c r="X383" s="44">
        <v>4.8250000000000002</v>
      </c>
      <c r="Y383" s="44">
        <v>7.3920000000000003</v>
      </c>
    </row>
    <row r="384" spans="7:26" ht="13.5" thickBot="1" x14ac:dyDescent="0.25">
      <c r="G384" s="181"/>
      <c r="N384" s="44">
        <v>0.5</v>
      </c>
      <c r="O384" s="44"/>
      <c r="P384" s="44"/>
      <c r="Q384" s="44"/>
      <c r="R384" s="192"/>
      <c r="S384" s="193">
        <v>-16.64</v>
      </c>
      <c r="T384" s="44">
        <v>-11.07</v>
      </c>
      <c r="U384" s="44">
        <v>-6.3810000000000002</v>
      </c>
      <c r="V384" s="44">
        <v>-2.3919999999999999</v>
      </c>
      <c r="W384" s="44">
        <v>1.089</v>
      </c>
      <c r="X384" s="44">
        <v>4.1769999999999996</v>
      </c>
      <c r="Y384" s="44">
        <v>6.96</v>
      </c>
    </row>
    <row r="385" spans="7:27" ht="13.5" thickBot="1" x14ac:dyDescent="0.25">
      <c r="G385" s="181"/>
      <c r="N385" s="44">
        <v>0.55000000000000004</v>
      </c>
      <c r="O385" s="44"/>
      <c r="P385" s="44"/>
      <c r="Q385" s="44"/>
      <c r="R385" s="44"/>
      <c r="S385" s="192"/>
      <c r="T385" s="193">
        <v>-13.66</v>
      </c>
      <c r="U385" s="44">
        <v>-8.3780000000000001</v>
      </c>
      <c r="V385" s="44">
        <v>-3.927</v>
      </c>
      <c r="W385" s="44">
        <v>-7.8E-2</v>
      </c>
      <c r="X385" s="44">
        <v>3.31</v>
      </c>
      <c r="Y385" s="44">
        <v>6.34</v>
      </c>
    </row>
    <row r="386" spans="7:27" ht="13.5" thickBot="1" x14ac:dyDescent="0.25">
      <c r="G386" s="181"/>
      <c r="N386" s="44">
        <v>0.6</v>
      </c>
      <c r="O386" s="44"/>
      <c r="P386" s="44"/>
      <c r="Q386" s="44"/>
      <c r="R386" s="44"/>
      <c r="S386" s="44"/>
      <c r="T386" s="192"/>
      <c r="U386" s="193">
        <v>-10.77</v>
      </c>
      <c r="V386" s="44">
        <v>-5.798</v>
      </c>
      <c r="W386" s="44">
        <v>-1.53</v>
      </c>
      <c r="X386" s="44">
        <v>2.1930000000000001</v>
      </c>
      <c r="Y386" s="44">
        <v>5.508</v>
      </c>
    </row>
    <row r="387" spans="7:27" ht="13.5" thickBot="1" x14ac:dyDescent="0.25">
      <c r="G387" s="181"/>
      <c r="N387" s="44">
        <v>0.65</v>
      </c>
      <c r="O387" s="44"/>
      <c r="P387" s="44"/>
      <c r="Q387" s="44"/>
      <c r="R387" s="44"/>
      <c r="S387" s="44"/>
      <c r="T387" s="44"/>
      <c r="U387" s="192"/>
      <c r="V387" s="193">
        <v>-8.0329999999999995</v>
      </c>
      <c r="W387" s="44">
        <v>-3.2949999999999999</v>
      </c>
      <c r="X387" s="44">
        <v>0.81599999999999995</v>
      </c>
      <c r="Y387" s="44">
        <v>2.4420000000000002</v>
      </c>
    </row>
    <row r="388" spans="7:27" ht="13.5" thickBot="1" x14ac:dyDescent="0.25">
      <c r="G388" s="181"/>
      <c r="N388" s="44">
        <v>0.7</v>
      </c>
      <c r="O388" s="44"/>
      <c r="P388" s="44"/>
      <c r="Q388" s="44"/>
      <c r="R388" s="44"/>
      <c r="S388" s="44"/>
      <c r="T388" s="44"/>
      <c r="U388" s="44"/>
      <c r="V388" s="192"/>
      <c r="W388" s="193">
        <v>-5.3979999999999997</v>
      </c>
      <c r="X388" s="44">
        <v>-0.86099999999999999</v>
      </c>
      <c r="Y388" s="44">
        <v>3.1190000000000002</v>
      </c>
    </row>
    <row r="389" spans="7:27" ht="13.5" thickBot="1" x14ac:dyDescent="0.25">
      <c r="G389" s="181"/>
      <c r="N389" s="44">
        <v>0.75</v>
      </c>
      <c r="O389" s="44"/>
      <c r="P389" s="44"/>
      <c r="Q389" s="44"/>
      <c r="R389" s="44"/>
      <c r="S389" s="44"/>
      <c r="T389" s="44"/>
      <c r="U389" s="44"/>
      <c r="V389" s="44"/>
      <c r="W389" s="192"/>
      <c r="X389" s="193">
        <v>-2.8530000000000002</v>
      </c>
      <c r="Y389" s="44">
        <v>1.518</v>
      </c>
    </row>
    <row r="390" spans="7:27" ht="13.5" thickBot="1" x14ac:dyDescent="0.25">
      <c r="G390" s="181"/>
      <c r="N390" s="193">
        <v>0.8</v>
      </c>
      <c r="O390" s="44"/>
      <c r="P390" s="44"/>
      <c r="Q390" s="44"/>
      <c r="R390" s="44"/>
      <c r="S390" s="44"/>
      <c r="T390" s="44"/>
      <c r="U390" s="44"/>
      <c r="V390" s="44"/>
      <c r="W390" s="44"/>
      <c r="X390" s="192"/>
      <c r="Y390" s="193">
        <v>-0.38200000000000001</v>
      </c>
    </row>
    <row r="391" spans="7:27" x14ac:dyDescent="0.2">
      <c r="G391" s="181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194"/>
      <c r="Z391" s="190"/>
    </row>
    <row r="392" spans="7:27" x14ac:dyDescent="0.2">
      <c r="G392" s="181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195"/>
      <c r="Z392" s="196"/>
    </row>
    <row r="393" spans="7:27" ht="13.5" thickBot="1" x14ac:dyDescent="0.25">
      <c r="G393" s="181"/>
      <c r="O393" s="195">
        <v>0.4</v>
      </c>
      <c r="P393" s="44">
        <v>0.45</v>
      </c>
      <c r="Q393" s="44">
        <v>0.5</v>
      </c>
      <c r="R393" s="44">
        <v>0.55000000000000004</v>
      </c>
      <c r="S393" s="44">
        <v>0.6</v>
      </c>
      <c r="T393" s="44">
        <v>0.65</v>
      </c>
      <c r="U393" s="44">
        <v>0.7</v>
      </c>
      <c r="V393" s="44">
        <v>0.75</v>
      </c>
      <c r="W393" s="44">
        <v>0.8</v>
      </c>
      <c r="X393" s="44">
        <v>0.85</v>
      </c>
      <c r="Y393" s="44">
        <v>0.9</v>
      </c>
    </row>
    <row r="394" spans="7:27" ht="13.5" thickBot="1" x14ac:dyDescent="0.25">
      <c r="G394" s="181"/>
      <c r="N394" s="44">
        <v>0.3</v>
      </c>
      <c r="O394" s="194">
        <v>-40.1</v>
      </c>
      <c r="P394" s="44">
        <v>-32.43</v>
      </c>
      <c r="Q394" s="44">
        <v>-25.36</v>
      </c>
      <c r="R394" s="44">
        <v>-18.760000000000002</v>
      </c>
      <c r="S394" s="44">
        <v>-12.54</v>
      </c>
      <c r="T394" s="44">
        <v>-6.6070000000000002</v>
      </c>
      <c r="U394" s="44">
        <v>-0.91200000000000003</v>
      </c>
      <c r="V394" s="44">
        <v>4.5960000000000001</v>
      </c>
      <c r="W394" s="44">
        <v>9.9540000000000006</v>
      </c>
      <c r="X394" s="44">
        <v>15.193</v>
      </c>
      <c r="Y394" s="44">
        <v>20.338999999999999</v>
      </c>
    </row>
    <row r="395" spans="7:27" ht="25.5" customHeight="1" thickBot="1" x14ac:dyDescent="0.25">
      <c r="G395" s="181"/>
      <c r="N395" s="44">
        <v>0.35</v>
      </c>
      <c r="O395" s="193"/>
      <c r="P395" s="192">
        <v>-34.31</v>
      </c>
      <c r="Q395" s="44">
        <v>-27.25</v>
      </c>
      <c r="R395" s="44">
        <v>-20.65</v>
      </c>
      <c r="S395" s="44">
        <v>-14.42</v>
      </c>
      <c r="T395" s="44">
        <v>-8.4939999999999998</v>
      </c>
      <c r="U395" s="44">
        <v>-2.7989999999999999</v>
      </c>
      <c r="V395" s="44">
        <v>2.7090000000000001</v>
      </c>
      <c r="W395" s="44">
        <v>8.0670000000000002</v>
      </c>
      <c r="X395" s="44">
        <v>13.31</v>
      </c>
      <c r="Y395" s="44">
        <v>18.45</v>
      </c>
    </row>
    <row r="396" spans="7:27" ht="13.5" thickBot="1" x14ac:dyDescent="0.25">
      <c r="G396" s="181"/>
      <c r="N396" s="44">
        <v>0.4</v>
      </c>
      <c r="P396" s="193"/>
      <c r="Q396" s="192">
        <v>-28.15</v>
      </c>
      <c r="R396" s="44">
        <v>-21.56</v>
      </c>
      <c r="S396" s="44">
        <v>-15.33</v>
      </c>
      <c r="T396" s="44">
        <v>-9.4049999999999994</v>
      </c>
      <c r="U396" s="44">
        <v>-3.706</v>
      </c>
      <c r="V396" s="44">
        <v>1.802</v>
      </c>
      <c r="W396" s="44">
        <v>7.16</v>
      </c>
      <c r="X396" s="44">
        <v>12.4</v>
      </c>
      <c r="Y396" s="44">
        <v>17.55</v>
      </c>
      <c r="AA396" s="178" t="e">
        <f ca="1">OFFSET(AA$396,(-1)*ROW(N425),0)</f>
        <v>#REF!</v>
      </c>
    </row>
    <row r="397" spans="7:27" ht="13.5" thickBot="1" x14ac:dyDescent="0.25">
      <c r="G397" s="181"/>
      <c r="N397" s="44">
        <v>0.45</v>
      </c>
      <c r="Q397" s="193"/>
      <c r="R397" s="192">
        <v>-23.64</v>
      </c>
      <c r="S397" s="44">
        <v>-17.41</v>
      </c>
      <c r="T397" s="44">
        <v>-11.48</v>
      </c>
      <c r="U397" s="44">
        <v>-5.78</v>
      </c>
      <c r="V397" s="44">
        <v>-0.27200000000000002</v>
      </c>
      <c r="W397" s="44">
        <v>5.0860000000000003</v>
      </c>
      <c r="X397" s="44">
        <v>10.32</v>
      </c>
      <c r="Y397" s="44">
        <v>15.47</v>
      </c>
      <c r="AA397" s="178" t="e">
        <f ca="1">OFFSET(AA$396,(-1)*ROW(N426),0)</f>
        <v>#REF!</v>
      </c>
    </row>
    <row r="398" spans="7:27" ht="13.5" thickBot="1" x14ac:dyDescent="0.25">
      <c r="G398" s="181"/>
      <c r="N398" s="44">
        <v>0.5</v>
      </c>
      <c r="S398" s="192">
        <v>-19.54</v>
      </c>
      <c r="T398" s="44">
        <v>-13.61</v>
      </c>
      <c r="U398" s="44">
        <v>-7.9109999999999996</v>
      </c>
      <c r="V398" s="44">
        <v>-2.4039999999999999</v>
      </c>
      <c r="W398" s="44">
        <v>2.9540000000000002</v>
      </c>
      <c r="X398" s="44">
        <v>8.1929999999999996</v>
      </c>
      <c r="Y398" s="44">
        <v>13.34</v>
      </c>
    </row>
    <row r="399" spans="7:27" ht="13.5" thickBot="1" x14ac:dyDescent="0.25">
      <c r="G399" s="181"/>
      <c r="N399" s="44">
        <v>0.55000000000000004</v>
      </c>
      <c r="R399" s="44"/>
      <c r="S399" s="193"/>
      <c r="T399" s="192">
        <v>-15.79</v>
      </c>
      <c r="U399" s="44">
        <v>-10.09</v>
      </c>
      <c r="V399" s="44">
        <v>-4.585</v>
      </c>
      <c r="W399" s="44">
        <v>0.77300000000000002</v>
      </c>
      <c r="X399" s="44">
        <v>6.0119999999999996</v>
      </c>
      <c r="Y399" s="44">
        <v>11.16</v>
      </c>
    </row>
    <row r="400" spans="7:27" ht="13.5" thickBot="1" x14ac:dyDescent="0.25">
      <c r="G400" s="181"/>
      <c r="N400" s="44">
        <v>0.6</v>
      </c>
      <c r="S400" s="44"/>
      <c r="T400" s="193"/>
      <c r="U400" s="192">
        <v>-12.32</v>
      </c>
      <c r="V400" s="44">
        <v>-6.8090000000000002</v>
      </c>
      <c r="W400" s="44">
        <v>-1.4510000000000001</v>
      </c>
      <c r="X400" s="44">
        <v>3.7879999999999998</v>
      </c>
      <c r="Y400" s="44">
        <v>8.9339999999999993</v>
      </c>
    </row>
    <row r="401" spans="7:25" ht="13.5" thickBot="1" x14ac:dyDescent="0.25">
      <c r="G401" s="181"/>
      <c r="N401" s="44">
        <v>0.65</v>
      </c>
      <c r="T401" s="44"/>
      <c r="U401" s="193"/>
      <c r="V401" s="192">
        <v>-9.0730000000000004</v>
      </c>
      <c r="W401" s="44">
        <v>-3.7149999999999999</v>
      </c>
      <c r="X401" s="44">
        <v>1.524</v>
      </c>
      <c r="Y401" s="44">
        <v>6.67</v>
      </c>
    </row>
    <row r="402" spans="7:25" ht="13.5" thickBot="1" x14ac:dyDescent="0.25">
      <c r="G402" s="181"/>
      <c r="N402" s="44">
        <v>0.7</v>
      </c>
      <c r="O402" s="44"/>
      <c r="T402" s="44"/>
      <c r="U402" s="44"/>
      <c r="V402" s="193"/>
      <c r="W402" s="192">
        <v>-6.0149999999999997</v>
      </c>
      <c r="X402" s="44">
        <v>-0.77600000000000002</v>
      </c>
      <c r="Y402" s="44">
        <v>4.37</v>
      </c>
    </row>
    <row r="403" spans="7:25" ht="13.5" thickBot="1" x14ac:dyDescent="0.25">
      <c r="G403" s="181"/>
      <c r="N403" s="44">
        <v>0.75</v>
      </c>
      <c r="V403" s="44"/>
      <c r="W403" s="193"/>
      <c r="X403" s="192">
        <v>-3.11</v>
      </c>
      <c r="Y403" s="44">
        <v>2.0369999999999999</v>
      </c>
    </row>
    <row r="404" spans="7:25" ht="13.5" thickBot="1" x14ac:dyDescent="0.25">
      <c r="G404" s="181"/>
      <c r="N404" s="192">
        <v>0.8</v>
      </c>
      <c r="W404" s="44"/>
      <c r="X404" s="193"/>
      <c r="Y404" s="192">
        <v>-0.32900000000000001</v>
      </c>
    </row>
    <row r="405" spans="7:25" x14ac:dyDescent="0.2">
      <c r="G405" s="181"/>
    </row>
    <row r="406" spans="7:25" x14ac:dyDescent="0.2">
      <c r="G406" s="181"/>
    </row>
    <row r="407" spans="7:25" x14ac:dyDescent="0.2">
      <c r="G407" s="181"/>
      <c r="M407" s="181" t="s">
        <v>637</v>
      </c>
    </row>
    <row r="408" spans="7:25" x14ac:dyDescent="0.2">
      <c r="G408" s="181"/>
      <c r="V408" s="44"/>
    </row>
    <row r="409" spans="7:25" x14ac:dyDescent="0.2">
      <c r="G409" s="181"/>
      <c r="N409" s="44"/>
      <c r="O409" s="44">
        <v>0.4</v>
      </c>
      <c r="P409" s="44">
        <v>0.45</v>
      </c>
      <c r="Q409" s="44">
        <v>0.5</v>
      </c>
      <c r="R409" s="44">
        <v>0.55000000000000004</v>
      </c>
      <c r="S409" s="44">
        <v>0.6</v>
      </c>
      <c r="T409" s="44">
        <v>0.65</v>
      </c>
      <c r="U409" s="44">
        <v>0.7</v>
      </c>
      <c r="V409" s="44">
        <v>0.75</v>
      </c>
      <c r="W409" s="44">
        <v>0.8</v>
      </c>
      <c r="X409" s="44">
        <v>0.85</v>
      </c>
      <c r="Y409" s="44">
        <v>0.9</v>
      </c>
    </row>
    <row r="410" spans="7:25" ht="13.5" thickBot="1" x14ac:dyDescent="0.25">
      <c r="G410" s="181"/>
      <c r="N410" s="44">
        <v>0.3</v>
      </c>
      <c r="O410" s="191">
        <v>-12.4</v>
      </c>
      <c r="P410" s="44">
        <v>-11.81</v>
      </c>
      <c r="Q410" s="44">
        <v>-10.34</v>
      </c>
      <c r="R410" s="44">
        <v>-8.6739999999999995</v>
      </c>
      <c r="S410" s="44">
        <v>-7.0439999999999996</v>
      </c>
      <c r="T410" s="44">
        <v>-5.5490000000000004</v>
      </c>
      <c r="U410" s="44">
        <v>-4.2240000000000002</v>
      </c>
      <c r="V410" s="44">
        <v>-3.0790000000000002</v>
      </c>
      <c r="W410" s="44">
        <v>-2.1150000000000002</v>
      </c>
      <c r="X410" s="44">
        <v>-1.327</v>
      </c>
      <c r="Y410" s="44">
        <v>-0.71399999999999997</v>
      </c>
    </row>
    <row r="411" spans="7:25" ht="13.5" thickBot="1" x14ac:dyDescent="0.25">
      <c r="G411" s="181"/>
      <c r="N411" s="44">
        <v>0.35</v>
      </c>
      <c r="O411" s="192"/>
      <c r="P411" s="193">
        <v>-9.391</v>
      </c>
      <c r="Q411" s="44">
        <v>-9.1039999999999992</v>
      </c>
      <c r="R411" s="44">
        <v>-8.0259999999999998</v>
      </c>
      <c r="S411" s="44">
        <v>-6.7119999999999997</v>
      </c>
      <c r="T411" s="44">
        <v>-5.3860000000000001</v>
      </c>
      <c r="U411" s="44">
        <v>-4.1529999999999996</v>
      </c>
      <c r="V411" s="44">
        <v>-3.056</v>
      </c>
      <c r="W411" s="44">
        <v>-2.1150000000000002</v>
      </c>
      <c r="X411" s="44">
        <v>-1.337</v>
      </c>
      <c r="Y411" s="44">
        <v>-0.72499999999999998</v>
      </c>
    </row>
    <row r="412" spans="7:25" ht="13.5" thickBot="1" x14ac:dyDescent="0.25">
      <c r="G412" s="181"/>
      <c r="N412" s="44">
        <v>0.4</v>
      </c>
      <c r="O412" s="44"/>
      <c r="P412" s="192"/>
      <c r="Q412" s="193">
        <v>-7.1440000000000001</v>
      </c>
      <c r="R412" s="44">
        <v>-6.9969999999999999</v>
      </c>
      <c r="S412" s="44">
        <v>-6.173</v>
      </c>
      <c r="T412" s="44">
        <v>-5.1139999999999999</v>
      </c>
      <c r="U412" s="44">
        <v>-4.0270000000000001</v>
      </c>
      <c r="V412" s="44">
        <v>-3.008</v>
      </c>
      <c r="W412" s="44">
        <v>-2.1070000000000002</v>
      </c>
      <c r="X412" s="44">
        <v>-1.3460000000000001</v>
      </c>
      <c r="Y412" s="44">
        <v>-0.73699999999999999</v>
      </c>
    </row>
    <row r="413" spans="7:25" ht="13.5" thickBot="1" x14ac:dyDescent="0.25">
      <c r="G413" s="181"/>
      <c r="N413" s="44">
        <v>0.45</v>
      </c>
      <c r="O413" s="44"/>
      <c r="P413" s="44"/>
      <c r="Q413" s="192"/>
      <c r="R413" s="193">
        <v>-5.4370000000000003</v>
      </c>
      <c r="S413" s="44">
        <v>-5.3440000000000003</v>
      </c>
      <c r="T413" s="44">
        <v>-4.6849999999999996</v>
      </c>
      <c r="U413" s="44">
        <v>-3.819</v>
      </c>
      <c r="V413" s="44">
        <v>-2.9209999999999998</v>
      </c>
      <c r="W413" s="44">
        <v>-2.0819999999999999</v>
      </c>
      <c r="X413" s="44">
        <v>-1.35</v>
      </c>
      <c r="Y413" s="44">
        <v>-0.751</v>
      </c>
    </row>
    <row r="414" spans="7:25" ht="13.5" thickBot="1" x14ac:dyDescent="0.25">
      <c r="G414" s="181"/>
      <c r="N414" s="44">
        <v>0.5</v>
      </c>
      <c r="O414" s="44"/>
      <c r="P414" s="44"/>
      <c r="Q414" s="44"/>
      <c r="R414" s="192"/>
      <c r="S414" s="193">
        <v>-4.4429999999999996</v>
      </c>
      <c r="T414" s="44">
        <v>-4.0389999999999997</v>
      </c>
      <c r="U414" s="44">
        <v>-3.4929999999999999</v>
      </c>
      <c r="V414" s="44">
        <v>-2.7730000000000001</v>
      </c>
      <c r="W414" s="44">
        <v>-2.0289999999999999</v>
      </c>
      <c r="X414" s="44">
        <v>-1.3440000000000001</v>
      </c>
      <c r="Y414" s="44">
        <v>-0.76200000000000001</v>
      </c>
    </row>
    <row r="415" spans="7:25" ht="13.5" thickBot="1" x14ac:dyDescent="0.25">
      <c r="G415" s="181"/>
      <c r="N415" s="44">
        <v>0.55000000000000004</v>
      </c>
      <c r="O415" s="44"/>
      <c r="P415" s="44"/>
      <c r="Q415" s="44"/>
      <c r="R415" s="44"/>
      <c r="S415" s="192"/>
      <c r="T415" s="193">
        <v>-3.1030000000000002</v>
      </c>
      <c r="U415" s="44">
        <v>-3.0059999999999998</v>
      </c>
      <c r="V415" s="44">
        <v>-2.5379999999999998</v>
      </c>
      <c r="W415" s="44">
        <v>-1.9330000000000001</v>
      </c>
      <c r="X415" s="44">
        <v>-1.319</v>
      </c>
      <c r="Y415" s="44">
        <v>-0.76700000000000002</v>
      </c>
    </row>
    <row r="416" spans="7:25" ht="13.5" thickBot="1" x14ac:dyDescent="0.25">
      <c r="G416" s="181"/>
      <c r="N416" s="44">
        <v>0.6</v>
      </c>
      <c r="O416" s="44"/>
      <c r="P416" s="44"/>
      <c r="Q416" s="44"/>
      <c r="R416" s="44"/>
      <c r="S416" s="44"/>
      <c r="T416" s="192"/>
      <c r="U416" s="193">
        <v>-2.3039999999999998</v>
      </c>
      <c r="V416" s="44">
        <v>-2.1850000000000001</v>
      </c>
      <c r="W416" s="44">
        <v>-1.7749999999999999</v>
      </c>
      <c r="X416" s="44">
        <v>-1.264</v>
      </c>
      <c r="Y416" s="44">
        <v>-0.76</v>
      </c>
    </row>
    <row r="417" spans="7:26" ht="13.5" thickBot="1" x14ac:dyDescent="0.25">
      <c r="G417" s="181"/>
      <c r="N417" s="44">
        <v>0.65</v>
      </c>
      <c r="O417" s="44"/>
      <c r="P417" s="44"/>
      <c r="Q417" s="44"/>
      <c r="R417" s="44"/>
      <c r="S417" s="44"/>
      <c r="T417" s="44"/>
      <c r="U417" s="192"/>
      <c r="V417" s="193">
        <v>-1.675</v>
      </c>
      <c r="W417" s="44">
        <v>-1.5309999999999999</v>
      </c>
      <c r="X417" s="44">
        <v>-1.167</v>
      </c>
      <c r="Y417" s="44">
        <v>-0.73499999999999999</v>
      </c>
    </row>
    <row r="418" spans="7:26" ht="13.5" thickBot="1" x14ac:dyDescent="0.25">
      <c r="G418" s="181"/>
      <c r="N418" s="44">
        <v>0.7</v>
      </c>
      <c r="O418" s="44"/>
      <c r="P418" s="44"/>
      <c r="Q418" s="44"/>
      <c r="R418" s="44"/>
      <c r="S418" s="44"/>
      <c r="T418" s="44"/>
      <c r="U418" s="44"/>
      <c r="V418" s="192"/>
      <c r="W418" s="193">
        <v>-1.1759999999999999</v>
      </c>
      <c r="X418" s="44">
        <v>-1.0109999999999999</v>
      </c>
      <c r="Y418" s="44">
        <v>-0.68300000000000005</v>
      </c>
    </row>
    <row r="419" spans="7:26" ht="13.5" thickBot="1" x14ac:dyDescent="0.25">
      <c r="G419" s="181"/>
      <c r="N419" s="44">
        <v>0.75</v>
      </c>
      <c r="O419" s="44"/>
      <c r="P419" s="44"/>
      <c r="Q419" s="44"/>
      <c r="R419" s="44"/>
      <c r="S419" s="44"/>
      <c r="T419" s="44"/>
      <c r="U419" s="44"/>
      <c r="V419" s="44"/>
      <c r="W419" s="192"/>
      <c r="X419" s="193">
        <v>-0.77800000000000002</v>
      </c>
      <c r="Y419" s="44">
        <v>-0.59499999999999997</v>
      </c>
    </row>
    <row r="420" spans="7:26" ht="13.5" thickBot="1" x14ac:dyDescent="0.25">
      <c r="G420" s="181"/>
      <c r="N420" s="193">
        <v>0.8</v>
      </c>
      <c r="O420" s="44"/>
      <c r="P420" s="44"/>
      <c r="Q420" s="44"/>
      <c r="R420" s="44"/>
      <c r="S420" s="44"/>
      <c r="T420" s="44"/>
      <c r="U420" s="44"/>
      <c r="V420" s="44"/>
      <c r="W420" s="44"/>
      <c r="X420" s="192"/>
      <c r="Y420" s="193">
        <v>-0.46</v>
      </c>
    </row>
    <row r="421" spans="7:26" x14ac:dyDescent="0.2">
      <c r="G421" s="181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194"/>
      <c r="Z421" s="197"/>
    </row>
    <row r="422" spans="7:26" x14ac:dyDescent="0.2">
      <c r="G422" s="181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195"/>
      <c r="Z422" s="199"/>
    </row>
    <row r="423" spans="7:26" x14ac:dyDescent="0.2">
      <c r="G423" s="181"/>
    </row>
    <row r="424" spans="7:26" x14ac:dyDescent="0.2">
      <c r="G424" s="181"/>
      <c r="N424" s="197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7:26" ht="13.5" thickBot="1" x14ac:dyDescent="0.25">
      <c r="G425" s="181"/>
      <c r="N425" s="198"/>
      <c r="O425" s="191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7:26" ht="13.5" thickBot="1" x14ac:dyDescent="0.25">
      <c r="G426" s="181"/>
      <c r="N426" s="192">
        <v>0.8</v>
      </c>
      <c r="O426" s="192">
        <v>-0.17799999999999999</v>
      </c>
      <c r="P426" s="193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7:26" ht="13.5" thickBot="1" x14ac:dyDescent="0.25">
      <c r="G427" s="181"/>
      <c r="N427" s="44">
        <v>0.75</v>
      </c>
      <c r="O427" s="44">
        <v>0.23899999999999999</v>
      </c>
      <c r="P427" s="192">
        <v>-0.78</v>
      </c>
      <c r="Q427" s="193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7:26" ht="13.5" thickBot="1" x14ac:dyDescent="0.25">
      <c r="G428" s="181"/>
      <c r="N428" s="44">
        <v>0.7</v>
      </c>
      <c r="O428" s="44">
        <v>0.51100000000000001</v>
      </c>
      <c r="P428" s="44">
        <v>-0.34399999999999997</v>
      </c>
      <c r="Q428" s="192">
        <v>-1.28</v>
      </c>
      <c r="R428" s="193"/>
      <c r="S428" s="44"/>
      <c r="T428" s="44"/>
      <c r="U428" s="44"/>
      <c r="V428" s="44"/>
      <c r="W428" s="44"/>
      <c r="X428" s="44"/>
      <c r="Y428" s="44"/>
      <c r="Z428" s="44"/>
    </row>
    <row r="429" spans="7:26" ht="13.5" thickBot="1" x14ac:dyDescent="0.25">
      <c r="G429" s="181"/>
      <c r="N429" s="44">
        <v>0.65</v>
      </c>
      <c r="O429" s="44">
        <v>0.67100000000000004</v>
      </c>
      <c r="P429" s="44">
        <v>-5.1999999999999998E-2</v>
      </c>
      <c r="Q429" s="44">
        <v>-0.83</v>
      </c>
      <c r="R429" s="192">
        <v>-1.6830000000000001</v>
      </c>
      <c r="S429" s="193"/>
      <c r="T429" s="44"/>
      <c r="U429" s="44"/>
      <c r="V429" s="44"/>
      <c r="W429" s="44"/>
      <c r="X429" s="44"/>
      <c r="Y429" s="44"/>
      <c r="Z429" s="44"/>
    </row>
    <row r="430" spans="7:26" ht="13.5" thickBot="1" x14ac:dyDescent="0.25">
      <c r="G430" s="181"/>
      <c r="N430" s="44">
        <v>0.6</v>
      </c>
      <c r="O430" s="44">
        <v>0.749</v>
      </c>
      <c r="P430" s="44">
        <v>0.13100000000000001</v>
      </c>
      <c r="Q430" s="44">
        <v>-0.52100000000000002</v>
      </c>
      <c r="R430" s="44">
        <v>-1.2230000000000001</v>
      </c>
      <c r="S430" s="192">
        <v>-1.994</v>
      </c>
      <c r="T430" s="193"/>
      <c r="U430" s="44"/>
      <c r="V430" s="44"/>
      <c r="W430" s="44"/>
      <c r="X430" s="44"/>
      <c r="Y430" s="44"/>
      <c r="Z430" s="44"/>
    </row>
    <row r="431" spans="7:26" ht="13.5" thickBot="1" x14ac:dyDescent="0.25">
      <c r="G431" s="181"/>
      <c r="N431" s="44">
        <v>0.55000000000000004</v>
      </c>
      <c r="O431" s="44">
        <v>0.77</v>
      </c>
      <c r="P431" s="44">
        <v>0.23400000000000001</v>
      </c>
      <c r="Q431" s="44">
        <v>-0.32100000000000001</v>
      </c>
      <c r="R431" s="44">
        <v>-0.90400000000000003</v>
      </c>
      <c r="S431" s="44">
        <v>-1.532</v>
      </c>
      <c r="T431" s="192">
        <v>-2.222</v>
      </c>
      <c r="U431" s="193"/>
      <c r="V431" s="44"/>
      <c r="W431" s="44"/>
      <c r="X431" s="44"/>
      <c r="Y431" s="44"/>
      <c r="Z431" s="44"/>
    </row>
    <row r="432" spans="7:26" ht="13.5" thickBot="1" x14ac:dyDescent="0.25">
      <c r="G432" s="181"/>
      <c r="N432" s="44">
        <v>0.5</v>
      </c>
      <c r="O432" s="44">
        <v>0.755</v>
      </c>
      <c r="P432" s="44">
        <v>0.28100000000000003</v>
      </c>
      <c r="Q432" s="44">
        <v>-0.19900000000000001</v>
      </c>
      <c r="R432" s="44">
        <v>-0.69299999999999995</v>
      </c>
      <c r="S432" s="44">
        <v>-1.2110000000000001</v>
      </c>
      <c r="T432" s="44">
        <v>-1.7649999999999999</v>
      </c>
      <c r="U432" s="192">
        <v>-2.3769999999999998</v>
      </c>
      <c r="V432" s="193"/>
      <c r="W432" s="44"/>
      <c r="X432" s="44"/>
      <c r="Y432" s="44"/>
      <c r="Z432" s="44"/>
    </row>
    <row r="433" spans="7:26" ht="13.5" thickBot="1" x14ac:dyDescent="0.25">
      <c r="G433" s="181"/>
      <c r="N433" s="44">
        <v>0.45</v>
      </c>
      <c r="O433" s="44">
        <v>0.72099999999999997</v>
      </c>
      <c r="P433" s="44">
        <v>0.29299999999999998</v>
      </c>
      <c r="Q433" s="44">
        <v>-0.13200000000000001</v>
      </c>
      <c r="R433" s="44">
        <v>-0.56000000000000005</v>
      </c>
      <c r="S433" s="44">
        <v>-0.996</v>
      </c>
      <c r="T433" s="44">
        <v>-1.45</v>
      </c>
      <c r="U433" s="44">
        <v>-1.9350000000000001</v>
      </c>
      <c r="V433" s="192">
        <v>-2.4689999999999999</v>
      </c>
      <c r="W433" s="193"/>
      <c r="X433" s="44"/>
      <c r="Y433" s="44"/>
      <c r="Z433" s="44"/>
    </row>
    <row r="434" spans="7:26" ht="13.5" thickBot="1" x14ac:dyDescent="0.25">
      <c r="G434" s="181"/>
      <c r="N434" s="44">
        <v>0.4</v>
      </c>
      <c r="O434" s="44">
        <v>0.67900000000000005</v>
      </c>
      <c r="P434" s="44">
        <v>0.28499999999999998</v>
      </c>
      <c r="Q434" s="44">
        <v>-0.10100000000000001</v>
      </c>
      <c r="R434" s="44">
        <v>-0.48099999999999998</v>
      </c>
      <c r="S434" s="44">
        <v>-0.85899999999999999</v>
      </c>
      <c r="T434" s="44">
        <v>-1.2410000000000001</v>
      </c>
      <c r="U434" s="44">
        <v>-1.6339999999999999</v>
      </c>
      <c r="V434" s="44">
        <v>-2.052</v>
      </c>
      <c r="W434" s="192">
        <v>-2.5110000000000001</v>
      </c>
      <c r="X434" s="193"/>
      <c r="Y434" s="44"/>
      <c r="Z434" s="44"/>
    </row>
    <row r="435" spans="7:26" ht="13.5" thickBot="1" x14ac:dyDescent="0.25">
      <c r="G435" s="181"/>
      <c r="N435" s="44">
        <v>0.35</v>
      </c>
      <c r="O435" s="44">
        <v>0.64</v>
      </c>
      <c r="P435" s="44">
        <v>0.26700000000000002</v>
      </c>
      <c r="Q435" s="44">
        <v>-9.0999999999999998E-2</v>
      </c>
      <c r="R435" s="44">
        <v>-0.438</v>
      </c>
      <c r="S435" s="44">
        <v>-0.77600000000000002</v>
      </c>
      <c r="T435" s="44">
        <v>-1.1080000000000001</v>
      </c>
      <c r="U435" s="44">
        <v>-1.4390000000000001</v>
      </c>
      <c r="V435" s="44">
        <v>-1.776</v>
      </c>
      <c r="W435" s="44">
        <v>-2.129</v>
      </c>
      <c r="X435" s="192">
        <v>-2.516</v>
      </c>
      <c r="Y435" s="193"/>
      <c r="Z435" s="193"/>
    </row>
    <row r="436" spans="7:26" x14ac:dyDescent="0.2">
      <c r="G436" s="181"/>
      <c r="N436" s="44">
        <v>0.3</v>
      </c>
      <c r="O436" s="44">
        <v>0.60699999999999998</v>
      </c>
      <c r="P436" s="44">
        <v>0.25</v>
      </c>
      <c r="Q436" s="44">
        <v>-9.0999999999999998E-2</v>
      </c>
      <c r="R436" s="44">
        <v>-0.41699999999999998</v>
      </c>
      <c r="S436" s="44">
        <v>-0.72799999999999998</v>
      </c>
      <c r="T436" s="44">
        <v>-1.028</v>
      </c>
      <c r="U436" s="44">
        <v>-1.319</v>
      </c>
      <c r="V436" s="44">
        <v>-1.603</v>
      </c>
      <c r="W436" s="44">
        <v>-1.8859999999999999</v>
      </c>
      <c r="X436" s="44">
        <v>-2.181</v>
      </c>
      <c r="Y436" s="194">
        <v>-2.4990000000000001</v>
      </c>
      <c r="Z436" s="197"/>
    </row>
    <row r="437" spans="7:26" x14ac:dyDescent="0.2">
      <c r="G437" s="181"/>
      <c r="N437" s="44"/>
      <c r="O437" s="44">
        <v>0.9</v>
      </c>
      <c r="P437" s="44">
        <v>0.85</v>
      </c>
      <c r="Q437" s="44">
        <v>0.8</v>
      </c>
      <c r="R437" s="44">
        <v>0.75</v>
      </c>
      <c r="S437" s="44">
        <v>0.7</v>
      </c>
      <c r="T437" s="44">
        <v>0.65</v>
      </c>
      <c r="U437" s="44">
        <v>0.6</v>
      </c>
      <c r="V437" s="44">
        <v>0.55000000000000004</v>
      </c>
      <c r="W437" s="44">
        <v>0.5</v>
      </c>
      <c r="X437" s="44">
        <v>0.45</v>
      </c>
      <c r="Y437" s="195">
        <v>0.4</v>
      </c>
      <c r="Z437" s="199"/>
    </row>
    <row r="438" spans="7:26" x14ac:dyDescent="0.2">
      <c r="G438" s="181"/>
    </row>
    <row r="439" spans="7:26" x14ac:dyDescent="0.2">
      <c r="G439" s="181"/>
    </row>
    <row r="440" spans="7:26" x14ac:dyDescent="0.2">
      <c r="G440" s="181"/>
    </row>
  </sheetData>
  <mergeCells count="23">
    <mergeCell ref="H3:I3"/>
    <mergeCell ref="H4:I4"/>
    <mergeCell ref="B284:D284"/>
    <mergeCell ref="B293:D293"/>
    <mergeCell ref="E256:F256"/>
    <mergeCell ref="B250:D250"/>
    <mergeCell ref="B198:G198"/>
    <mergeCell ref="E299:G300"/>
    <mergeCell ref="A1:B2"/>
    <mergeCell ref="M122:P122"/>
    <mergeCell ref="N60:Z60"/>
    <mergeCell ref="N61:Z61"/>
    <mergeCell ref="B91:F91"/>
    <mergeCell ref="E106:G106"/>
    <mergeCell ref="J1:J2"/>
    <mergeCell ref="C1:I2"/>
    <mergeCell ref="E112:G112"/>
    <mergeCell ref="D97:J97"/>
    <mergeCell ref="C3:G4"/>
    <mergeCell ref="C5:G6"/>
    <mergeCell ref="A3:B4"/>
    <mergeCell ref="A5:B6"/>
    <mergeCell ref="C20:D20"/>
  </mergeCells>
  <dataValidations count="2">
    <dataValidation type="list" allowBlank="1" showInputMessage="1" showErrorMessage="1" sqref="I259" xr:uid="{00000000-0002-0000-0600-000000000000}">
      <formula1>$M$259:$M$262</formula1>
    </dataValidation>
    <dataValidation type="list" allowBlank="1" showInputMessage="1" showErrorMessage="1" sqref="H259" xr:uid="{00000000-0002-0000-0600-000001000000}">
      <formula1>$O$259:$O$263</formula1>
    </dataValidation>
  </dataValidations>
  <pageMargins left="0.19685039370078741" right="0.19685039370078741" top="0.23622047244094488" bottom="0.23622047244094488" header="0.31496062992125984" footer="0.31496062992125984"/>
  <pageSetup paperSize="9" scale="77" orientation="portrait" r:id="rId1"/>
  <rowBreaks count="5" manualBreakCount="5">
    <brk id="51" max="9" man="1"/>
    <brk id="101" max="9" man="1"/>
    <brk id="153" max="9" man="1"/>
    <brk id="207" max="9" man="1"/>
    <brk id="248" max="9" man="1"/>
  </rowBreaks>
  <ignoredErrors>
    <ignoredError sqref="C3 C5 J4 H4" unlockedFormula="1"/>
  </ignoredErrors>
  <drawing r:id="rId2"/>
  <legacyDrawing r:id="rId3"/>
  <oleObjects>
    <mc:AlternateContent xmlns:mc="http://schemas.openxmlformats.org/markup-compatibility/2006">
      <mc:Choice Requires="x14">
        <oleObject progId="StaticMetafile" shapeId="1461249" r:id="rId4">
          <objectPr defaultSize="0" autoPict="0" r:id="rId5">
            <anchor moveWithCells="1" sizeWithCells="1">
              <from>
                <xdr:col>3</xdr:col>
                <xdr:colOff>495300</xdr:colOff>
                <xdr:row>0</xdr:row>
                <xdr:rowOff>142875</xdr:rowOff>
              </from>
              <to>
                <xdr:col>4</xdr:col>
                <xdr:colOff>152400</xdr:colOff>
                <xdr:row>1</xdr:row>
                <xdr:rowOff>342900</xdr:rowOff>
              </to>
            </anchor>
          </objectPr>
        </oleObject>
      </mc:Choice>
      <mc:Fallback>
        <oleObject progId="StaticMetafile" shapeId="1461249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J35"/>
  <sheetViews>
    <sheetView workbookViewId="0">
      <selection activeCell="C2" sqref="C2:C3"/>
    </sheetView>
  </sheetViews>
  <sheetFormatPr defaultColWidth="8.7109375" defaultRowHeight="12.75" x14ac:dyDescent="0.2"/>
  <cols>
    <col min="1" max="16384" width="8.7109375" style="27"/>
  </cols>
  <sheetData>
    <row r="1" spans="1:10" s="1024" customFormat="1" ht="78.75" x14ac:dyDescent="0.25">
      <c r="A1" s="1023" t="s">
        <v>1929</v>
      </c>
      <c r="B1" s="1023" t="s">
        <v>1930</v>
      </c>
      <c r="C1" s="1023" t="s">
        <v>1931</v>
      </c>
      <c r="D1" s="1023" t="s">
        <v>1932</v>
      </c>
      <c r="E1" s="1379" t="s">
        <v>1933</v>
      </c>
      <c r="F1" s="1380"/>
      <c r="G1" s="1379" t="s">
        <v>1934</v>
      </c>
      <c r="H1" s="1380"/>
      <c r="I1" s="1379" t="s">
        <v>1935</v>
      </c>
      <c r="J1" s="1380"/>
    </row>
    <row r="2" spans="1:10" x14ac:dyDescent="0.2">
      <c r="A2" s="1020">
        <v>120</v>
      </c>
      <c r="B2" s="1021">
        <v>4</v>
      </c>
      <c r="C2" s="1021">
        <v>7.3</v>
      </c>
      <c r="D2" s="1021">
        <v>3.75</v>
      </c>
      <c r="E2" s="63">
        <v>300</v>
      </c>
      <c r="F2" s="63">
        <v>300</v>
      </c>
      <c r="G2" s="63">
        <v>500</v>
      </c>
      <c r="H2" s="63">
        <v>300</v>
      </c>
      <c r="I2" s="63">
        <v>400</v>
      </c>
      <c r="J2" s="63">
        <v>600</v>
      </c>
    </row>
    <row r="3" spans="1:10" x14ac:dyDescent="0.2">
      <c r="A3" s="1020">
        <v>180</v>
      </c>
      <c r="B3" s="1021">
        <v>4.75</v>
      </c>
      <c r="C3" s="1021">
        <v>8.75</v>
      </c>
      <c r="D3" s="1021">
        <v>4</v>
      </c>
      <c r="E3" s="63">
        <v>300</v>
      </c>
      <c r="F3" s="63">
        <v>300</v>
      </c>
      <c r="G3" s="63">
        <v>500</v>
      </c>
      <c r="H3" s="63">
        <v>300</v>
      </c>
      <c r="I3" s="63">
        <v>400</v>
      </c>
      <c r="J3" s="63">
        <v>750</v>
      </c>
    </row>
    <row r="4" spans="1:10" x14ac:dyDescent="0.2">
      <c r="A4" s="1020">
        <v>240</v>
      </c>
      <c r="B4" s="1021">
        <v>5.75</v>
      </c>
      <c r="C4" s="1021">
        <v>8.75</v>
      </c>
      <c r="D4" s="1021">
        <v>4.9000000000000004</v>
      </c>
      <c r="E4" s="63">
        <v>300</v>
      </c>
      <c r="F4" s="63">
        <v>300</v>
      </c>
      <c r="G4" s="63">
        <v>550</v>
      </c>
      <c r="H4" s="63">
        <v>400</v>
      </c>
      <c r="I4" s="63">
        <v>550</v>
      </c>
      <c r="J4" s="63">
        <v>800</v>
      </c>
    </row>
    <row r="5" spans="1:10" x14ac:dyDescent="0.2">
      <c r="A5" s="1020">
        <v>270</v>
      </c>
      <c r="B5" s="1021">
        <v>5.75</v>
      </c>
      <c r="C5" s="1021">
        <v>9.15</v>
      </c>
      <c r="D5" s="1021">
        <v>5</v>
      </c>
      <c r="E5" s="63">
        <v>300</v>
      </c>
      <c r="F5" s="63">
        <v>300</v>
      </c>
      <c r="G5" s="63">
        <v>600</v>
      </c>
      <c r="H5" s="63">
        <v>400</v>
      </c>
      <c r="I5" s="63">
        <v>550</v>
      </c>
      <c r="J5" s="63">
        <v>800</v>
      </c>
    </row>
    <row r="6" spans="1:10" x14ac:dyDescent="0.2">
      <c r="A6" s="1020">
        <v>280</v>
      </c>
      <c r="B6" s="1021">
        <v>5.75</v>
      </c>
      <c r="C6" s="1021">
        <v>9.35</v>
      </c>
      <c r="D6" s="1021">
        <v>5</v>
      </c>
      <c r="E6" s="63">
        <v>300</v>
      </c>
      <c r="F6" s="63">
        <v>300</v>
      </c>
      <c r="G6" s="63">
        <v>600</v>
      </c>
      <c r="H6" s="63">
        <v>400</v>
      </c>
      <c r="I6" s="63">
        <v>550</v>
      </c>
      <c r="J6" s="63">
        <v>800</v>
      </c>
    </row>
    <row r="7" spans="1:10" x14ac:dyDescent="0.2">
      <c r="A7" s="1020">
        <v>300</v>
      </c>
      <c r="B7" s="1021">
        <v>5.75</v>
      </c>
      <c r="C7" s="1021">
        <v>9.8000000000000007</v>
      </c>
      <c r="D7" s="1021">
        <v>5</v>
      </c>
      <c r="E7" s="63">
        <v>300</v>
      </c>
      <c r="F7" s="63">
        <v>300</v>
      </c>
      <c r="G7" s="63">
        <v>675</v>
      </c>
      <c r="H7" s="63">
        <v>400</v>
      </c>
      <c r="I7" s="63">
        <v>550</v>
      </c>
      <c r="J7" s="63">
        <v>900</v>
      </c>
    </row>
    <row r="8" spans="1:10" x14ac:dyDescent="0.2">
      <c r="A8" s="1020">
        <v>310</v>
      </c>
      <c r="B8" s="1021">
        <v>5.75</v>
      </c>
      <c r="C8" s="1021">
        <v>10</v>
      </c>
      <c r="D8" s="1021">
        <v>5</v>
      </c>
      <c r="E8" s="63">
        <v>300</v>
      </c>
      <c r="F8" s="63">
        <v>300</v>
      </c>
      <c r="G8" s="63">
        <v>675</v>
      </c>
      <c r="H8" s="63">
        <v>400</v>
      </c>
      <c r="I8" s="63">
        <v>550</v>
      </c>
      <c r="J8" s="63">
        <v>900</v>
      </c>
    </row>
    <row r="9" spans="1:10" x14ac:dyDescent="0.2">
      <c r="A9" s="1020">
        <v>325</v>
      </c>
      <c r="B9" s="1021">
        <v>5.75</v>
      </c>
      <c r="C9" s="1021">
        <v>9.9</v>
      </c>
      <c r="D9" s="1021">
        <v>5.25</v>
      </c>
      <c r="E9" s="63">
        <v>300</v>
      </c>
      <c r="F9" s="63">
        <v>300</v>
      </c>
      <c r="G9" s="63">
        <v>650</v>
      </c>
      <c r="H9" s="63">
        <v>400</v>
      </c>
      <c r="I9" s="63">
        <v>550</v>
      </c>
      <c r="J9" s="63">
        <v>900</v>
      </c>
    </row>
    <row r="10" spans="1:10" x14ac:dyDescent="0.2">
      <c r="A10" s="1020">
        <v>350</v>
      </c>
      <c r="B10" s="1021">
        <v>6</v>
      </c>
      <c r="C10" s="1021">
        <v>10.5</v>
      </c>
      <c r="D10" s="1021">
        <v>5.25</v>
      </c>
      <c r="E10" s="63">
        <v>300</v>
      </c>
      <c r="F10" s="63">
        <v>300</v>
      </c>
      <c r="G10" s="63">
        <v>600</v>
      </c>
      <c r="H10" s="63">
        <v>500</v>
      </c>
      <c r="I10" s="63">
        <v>600</v>
      </c>
      <c r="J10" s="63">
        <v>900</v>
      </c>
    </row>
    <row r="11" spans="1:10" x14ac:dyDescent="0.2">
      <c r="A11" s="1020">
        <v>375</v>
      </c>
      <c r="B11" s="1021">
        <v>6.25</v>
      </c>
      <c r="C11" s="1021">
        <v>10.5</v>
      </c>
      <c r="D11" s="1021">
        <v>5.4</v>
      </c>
      <c r="E11" s="63">
        <v>300</v>
      </c>
      <c r="F11" s="63">
        <v>300</v>
      </c>
      <c r="G11" s="63">
        <v>650</v>
      </c>
      <c r="H11" s="63">
        <v>500</v>
      </c>
      <c r="I11" s="63">
        <v>600</v>
      </c>
      <c r="J11" s="63">
        <v>900</v>
      </c>
    </row>
    <row r="12" spans="1:10" x14ac:dyDescent="0.2">
      <c r="A12" s="1020">
        <v>400</v>
      </c>
      <c r="B12" s="1021">
        <v>6.5</v>
      </c>
      <c r="C12" s="1021">
        <v>11.04</v>
      </c>
      <c r="D12" s="1021">
        <v>5.3</v>
      </c>
      <c r="E12" s="63">
        <v>350</v>
      </c>
      <c r="F12" s="63">
        <v>350</v>
      </c>
      <c r="G12" s="63">
        <v>650</v>
      </c>
      <c r="H12" s="63">
        <v>500</v>
      </c>
      <c r="I12" s="63">
        <v>600</v>
      </c>
      <c r="J12" s="63">
        <v>950</v>
      </c>
    </row>
    <row r="13" spans="1:10" x14ac:dyDescent="0.2">
      <c r="A13" s="1020">
        <v>425</v>
      </c>
      <c r="B13" s="1021">
        <v>6.75</v>
      </c>
      <c r="C13" s="1021">
        <v>11.25</v>
      </c>
      <c r="D13" s="1021">
        <v>5.4</v>
      </c>
      <c r="E13" s="63">
        <v>350</v>
      </c>
      <c r="F13" s="63">
        <v>350</v>
      </c>
      <c r="G13" s="63">
        <v>650</v>
      </c>
      <c r="H13" s="63">
        <v>500</v>
      </c>
      <c r="I13" s="63">
        <v>600</v>
      </c>
      <c r="J13" s="63">
        <v>950</v>
      </c>
    </row>
    <row r="14" spans="1:10" x14ac:dyDescent="0.2">
      <c r="A14" s="1020">
        <v>450</v>
      </c>
      <c r="B14" s="1021">
        <v>7</v>
      </c>
      <c r="C14" s="1021">
        <v>11.5</v>
      </c>
      <c r="D14" s="1021">
        <v>5.5</v>
      </c>
      <c r="E14" s="63">
        <v>350</v>
      </c>
      <c r="F14" s="63">
        <v>350</v>
      </c>
      <c r="G14" s="63">
        <v>700</v>
      </c>
      <c r="H14" s="63">
        <v>600</v>
      </c>
      <c r="I14" s="63">
        <v>600</v>
      </c>
      <c r="J14" s="63">
        <v>950</v>
      </c>
    </row>
    <row r="15" spans="1:10" x14ac:dyDescent="0.2">
      <c r="A15" s="1020">
        <v>500</v>
      </c>
      <c r="B15" s="1021">
        <v>8</v>
      </c>
      <c r="C15" s="1021">
        <v>12.3</v>
      </c>
      <c r="D15" s="1021">
        <v>5.3</v>
      </c>
      <c r="E15" s="63">
        <v>350</v>
      </c>
      <c r="F15" s="63">
        <v>350</v>
      </c>
      <c r="G15" s="63">
        <v>700</v>
      </c>
      <c r="H15" s="63">
        <v>600</v>
      </c>
      <c r="I15" s="63">
        <v>650</v>
      </c>
      <c r="J15" s="63">
        <v>950</v>
      </c>
    </row>
    <row r="16" spans="1:10" x14ac:dyDescent="0.2">
      <c r="A16" s="1020">
        <v>525</v>
      </c>
      <c r="B16" s="1021">
        <v>8</v>
      </c>
      <c r="C16" s="1021">
        <v>12.5</v>
      </c>
      <c r="D16" s="1021">
        <v>5.5</v>
      </c>
      <c r="E16" s="63">
        <v>350</v>
      </c>
      <c r="F16" s="63">
        <v>350</v>
      </c>
      <c r="G16" s="63">
        <v>700</v>
      </c>
      <c r="H16" s="63">
        <v>600</v>
      </c>
      <c r="I16" s="63">
        <v>650</v>
      </c>
      <c r="J16" s="63">
        <v>1200</v>
      </c>
    </row>
    <row r="17" spans="1:10" x14ac:dyDescent="0.2">
      <c r="A17" s="1020">
        <v>550</v>
      </c>
      <c r="B17" s="1021">
        <v>8.25</v>
      </c>
      <c r="C17" s="1021">
        <v>12.75</v>
      </c>
      <c r="D17" s="1021">
        <v>5.5</v>
      </c>
      <c r="E17" s="63">
        <v>400</v>
      </c>
      <c r="F17" s="63">
        <v>400</v>
      </c>
      <c r="G17" s="63">
        <v>750</v>
      </c>
      <c r="H17" s="63">
        <v>650</v>
      </c>
      <c r="I17" s="63">
        <v>650</v>
      </c>
      <c r="J17" s="63">
        <v>1250</v>
      </c>
    </row>
    <row r="18" spans="1:10" x14ac:dyDescent="0.2">
      <c r="A18" s="1020">
        <v>575</v>
      </c>
      <c r="B18" s="1021">
        <v>8.5</v>
      </c>
      <c r="C18" s="1021">
        <v>13</v>
      </c>
      <c r="D18" s="1021">
        <v>5.5</v>
      </c>
      <c r="E18" s="63">
        <v>400</v>
      </c>
      <c r="F18" s="63">
        <v>400</v>
      </c>
      <c r="G18" s="63">
        <v>750</v>
      </c>
      <c r="H18" s="63">
        <v>700</v>
      </c>
      <c r="I18" s="63">
        <v>700</v>
      </c>
      <c r="J18" s="63">
        <v>1300</v>
      </c>
    </row>
    <row r="19" spans="1:10" x14ac:dyDescent="0.2">
      <c r="A19" s="1020">
        <v>625</v>
      </c>
      <c r="B19" s="1021">
        <v>8.75</v>
      </c>
      <c r="C19" s="1021">
        <v>13.5</v>
      </c>
      <c r="D19" s="1021">
        <v>5.6</v>
      </c>
      <c r="E19" s="63">
        <v>400</v>
      </c>
      <c r="F19" s="63">
        <v>400</v>
      </c>
      <c r="G19" s="63">
        <v>800</v>
      </c>
      <c r="H19" s="63">
        <v>700</v>
      </c>
      <c r="I19" s="63">
        <v>650</v>
      </c>
      <c r="J19" s="63">
        <v>1300</v>
      </c>
    </row>
    <row r="20" spans="1:10" x14ac:dyDescent="0.2">
      <c r="A20" s="1022">
        <v>750</v>
      </c>
      <c r="B20" s="1021">
        <v>9</v>
      </c>
      <c r="C20" s="1021">
        <v>14</v>
      </c>
      <c r="D20" s="1021">
        <v>6.8</v>
      </c>
      <c r="E20" s="63">
        <v>300</v>
      </c>
      <c r="F20" s="63">
        <v>400</v>
      </c>
      <c r="G20" s="63">
        <v>800</v>
      </c>
      <c r="H20" s="63">
        <v>650</v>
      </c>
      <c r="I20" s="63">
        <v>500</v>
      </c>
      <c r="J20" s="63">
        <v>900</v>
      </c>
    </row>
    <row r="21" spans="1:10" x14ac:dyDescent="0.2">
      <c r="A21" s="1022">
        <v>1000</v>
      </c>
      <c r="B21" s="1021">
        <v>10</v>
      </c>
      <c r="C21" s="1021">
        <v>15</v>
      </c>
      <c r="D21" s="1021">
        <v>7.7</v>
      </c>
      <c r="E21" s="63">
        <v>500</v>
      </c>
      <c r="F21" s="63">
        <v>300</v>
      </c>
      <c r="G21" s="63">
        <v>800</v>
      </c>
      <c r="H21" s="63">
        <v>650</v>
      </c>
      <c r="I21" s="63">
        <v>500</v>
      </c>
      <c r="J21" s="63">
        <v>900</v>
      </c>
    </row>
    <row r="22" spans="1:10" x14ac:dyDescent="0.2">
      <c r="A22" s="1022">
        <v>1500</v>
      </c>
      <c r="B22" s="1021">
        <v>11</v>
      </c>
      <c r="C22" s="1021">
        <v>16.850000000000001</v>
      </c>
      <c r="D22" s="1021">
        <v>8.9499999999999993</v>
      </c>
      <c r="E22" s="63">
        <v>650</v>
      </c>
      <c r="F22" s="63">
        <v>500</v>
      </c>
      <c r="G22" s="63">
        <v>1100</v>
      </c>
      <c r="H22" s="63">
        <v>950</v>
      </c>
      <c r="I22" s="63">
        <v>500</v>
      </c>
      <c r="J22" s="63">
        <v>1500</v>
      </c>
    </row>
    <row r="23" spans="1:10" x14ac:dyDescent="0.2">
      <c r="A23" s="1022">
        <v>2000</v>
      </c>
      <c r="B23" s="1021">
        <v>14</v>
      </c>
      <c r="C23" s="1021">
        <v>21</v>
      </c>
      <c r="D23" s="1021">
        <v>8.6</v>
      </c>
      <c r="E23" s="63">
        <v>650</v>
      </c>
      <c r="F23" s="63">
        <v>500</v>
      </c>
      <c r="G23" s="63">
        <v>1100</v>
      </c>
      <c r="H23" s="63">
        <v>1000</v>
      </c>
      <c r="I23" s="63">
        <v>500</v>
      </c>
      <c r="J23" s="63">
        <v>1500</v>
      </c>
    </row>
    <row r="24" spans="1:10" x14ac:dyDescent="0.2">
      <c r="A24" s="1022">
        <v>2500</v>
      </c>
      <c r="B24" s="1021">
        <v>14</v>
      </c>
      <c r="C24" s="1021">
        <v>21.8</v>
      </c>
      <c r="D24" s="1021">
        <v>9.35</v>
      </c>
      <c r="E24" s="63">
        <v>650</v>
      </c>
      <c r="F24" s="63">
        <v>500</v>
      </c>
      <c r="G24" s="63">
        <v>1100</v>
      </c>
      <c r="H24" s="63">
        <v>1000</v>
      </c>
      <c r="I24" s="63">
        <v>500</v>
      </c>
      <c r="J24" s="63">
        <v>1500</v>
      </c>
    </row>
    <row r="25" spans="1:10" x14ac:dyDescent="0.2">
      <c r="A25" s="1020"/>
      <c r="B25" s="1021"/>
      <c r="C25" s="1021"/>
      <c r="D25" s="1021"/>
      <c r="E25" s="63"/>
      <c r="F25" s="63"/>
      <c r="G25" s="63"/>
      <c r="H25" s="63"/>
      <c r="I25" s="63"/>
      <c r="J25" s="63"/>
    </row>
    <row r="26" spans="1:10" x14ac:dyDescent="0.2">
      <c r="A26" s="1020"/>
      <c r="B26" s="1021"/>
      <c r="C26" s="1021"/>
      <c r="D26" s="1021"/>
      <c r="E26" s="63"/>
      <c r="F26" s="63"/>
      <c r="G26" s="63"/>
      <c r="H26" s="63"/>
      <c r="I26" s="63"/>
      <c r="J26" s="63"/>
    </row>
    <row r="27" spans="1:10" x14ac:dyDescent="0.2">
      <c r="A27" s="1020"/>
      <c r="B27" s="1021"/>
      <c r="C27" s="1021"/>
      <c r="D27" s="1021"/>
      <c r="E27" s="63"/>
      <c r="F27" s="63"/>
      <c r="G27" s="63"/>
      <c r="H27" s="63"/>
      <c r="I27" s="63"/>
      <c r="J27" s="63"/>
    </row>
    <row r="28" spans="1:10" x14ac:dyDescent="0.2">
      <c r="A28" s="1020"/>
      <c r="B28" s="1021"/>
      <c r="C28" s="1021"/>
      <c r="D28" s="1021"/>
      <c r="E28" s="63"/>
      <c r="F28" s="63"/>
      <c r="G28" s="63"/>
      <c r="H28" s="63"/>
      <c r="I28" s="63"/>
      <c r="J28" s="63"/>
    </row>
    <row r="29" spans="1:10" x14ac:dyDescent="0.2">
      <c r="A29" s="1020"/>
      <c r="B29" s="1021"/>
      <c r="C29" s="1021"/>
      <c r="D29" s="1021"/>
      <c r="E29" s="63"/>
      <c r="F29" s="63"/>
      <c r="G29" s="63"/>
      <c r="H29" s="63"/>
      <c r="I29" s="63"/>
      <c r="J29" s="63"/>
    </row>
    <row r="30" spans="1:10" x14ac:dyDescent="0.2">
      <c r="A30" s="1020"/>
      <c r="B30" s="1021"/>
      <c r="C30" s="1021"/>
      <c r="D30" s="1021"/>
      <c r="E30" s="63"/>
      <c r="F30" s="63"/>
      <c r="G30" s="63"/>
      <c r="H30" s="63"/>
      <c r="I30" s="63"/>
      <c r="J30" s="63"/>
    </row>
    <row r="31" spans="1:10" x14ac:dyDescent="0.2">
      <c r="A31" s="1020"/>
      <c r="B31" s="1021"/>
      <c r="C31" s="1021"/>
      <c r="D31" s="1021"/>
      <c r="E31" s="63"/>
      <c r="F31" s="63"/>
      <c r="G31" s="63"/>
      <c r="H31" s="63"/>
      <c r="I31" s="63"/>
      <c r="J31" s="63"/>
    </row>
    <row r="32" spans="1:10" x14ac:dyDescent="0.2">
      <c r="A32" s="1020"/>
      <c r="B32" s="1021"/>
      <c r="C32" s="1021"/>
      <c r="D32" s="1021"/>
      <c r="E32" s="63"/>
      <c r="F32" s="63"/>
      <c r="G32" s="63"/>
      <c r="H32" s="63"/>
      <c r="I32" s="63"/>
      <c r="J32" s="63"/>
    </row>
    <row r="33" spans="1:10" x14ac:dyDescent="0.2">
      <c r="A33" s="1020"/>
      <c r="B33" s="1021"/>
      <c r="C33" s="1021"/>
      <c r="D33" s="1021"/>
      <c r="E33" s="63"/>
      <c r="F33" s="63"/>
      <c r="G33" s="63"/>
      <c r="H33" s="63"/>
      <c r="I33" s="63"/>
      <c r="J33" s="63"/>
    </row>
    <row r="34" spans="1:10" x14ac:dyDescent="0.2">
      <c r="A34" s="1020"/>
      <c r="B34" s="1021"/>
      <c r="C34" s="1021"/>
      <c r="D34" s="1021"/>
      <c r="E34" s="63"/>
      <c r="F34" s="63"/>
      <c r="G34" s="63"/>
      <c r="H34" s="63"/>
      <c r="I34" s="63"/>
      <c r="J34" s="63"/>
    </row>
    <row r="35" spans="1:10" x14ac:dyDescent="0.2">
      <c r="A35" s="1020"/>
      <c r="B35" s="1021"/>
      <c r="C35" s="1021"/>
      <c r="D35" s="1021"/>
      <c r="E35" s="63"/>
      <c r="F35" s="63"/>
      <c r="G35" s="63"/>
      <c r="H35" s="63"/>
      <c r="I35" s="63"/>
      <c r="J35" s="63"/>
    </row>
  </sheetData>
  <mergeCells count="3">
    <mergeCell ref="E1:F1"/>
    <mergeCell ref="G1:H1"/>
    <mergeCell ref="I1:J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4:H432"/>
  <sheetViews>
    <sheetView topLeftCell="A24" workbookViewId="0">
      <selection activeCell="J33" sqref="J33"/>
    </sheetView>
  </sheetViews>
  <sheetFormatPr defaultRowHeight="12.75" x14ac:dyDescent="0.2"/>
  <sheetData>
    <row r="4" spans="2:5" ht="15" x14ac:dyDescent="0.2">
      <c r="B4" s="26" t="s">
        <v>292</v>
      </c>
    </row>
    <row r="5" spans="2:5" x14ac:dyDescent="0.2">
      <c r="B5" s="27"/>
      <c r="C5" s="27" t="s">
        <v>293</v>
      </c>
      <c r="D5" t="s">
        <v>294</v>
      </c>
      <c r="E5" s="164" t="s">
        <v>555</v>
      </c>
    </row>
    <row r="6" spans="2:5" x14ac:dyDescent="0.2">
      <c r="B6" s="27"/>
      <c r="C6" s="27">
        <v>0</v>
      </c>
      <c r="D6" s="28">
        <v>0.2</v>
      </c>
      <c r="E6" s="28">
        <v>0.19</v>
      </c>
    </row>
    <row r="7" spans="2:5" x14ac:dyDescent="0.2">
      <c r="B7" s="28"/>
      <c r="C7" s="28">
        <v>0.15</v>
      </c>
      <c r="D7" s="28">
        <v>0.2</v>
      </c>
      <c r="E7" s="28">
        <v>0.19</v>
      </c>
    </row>
    <row r="8" spans="2:5" x14ac:dyDescent="0.2">
      <c r="B8" s="27"/>
      <c r="C8" s="29">
        <v>0.16</v>
      </c>
      <c r="D8" s="29">
        <f>(D17-D7)*(C8-C7)/(C17-C7)+D7</f>
        <v>0.20300000000000001</v>
      </c>
      <c r="E8" s="29">
        <f>(E17-E7)*(D8-D7)/(D17-D7)+E7</f>
        <v>0.19400000000000001</v>
      </c>
    </row>
    <row r="9" spans="2:5" x14ac:dyDescent="0.2">
      <c r="B9" s="27"/>
      <c r="C9" s="29">
        <v>0.17</v>
      </c>
      <c r="D9" s="29">
        <f>(D17-D7)*(C9-C7)/(C17-C7)+D7</f>
        <v>0.20600000000000002</v>
      </c>
      <c r="E9" s="29">
        <f>(E17-E7)*(D9-D7)/(D17-D7)+E7</f>
        <v>0.19800000000000001</v>
      </c>
    </row>
    <row r="10" spans="2:5" x14ac:dyDescent="0.2">
      <c r="B10" s="27"/>
      <c r="C10" s="29">
        <v>0.18</v>
      </c>
      <c r="D10" s="29">
        <f>(D17-D7)*(C10-C7)/(C17-C7)+D7</f>
        <v>0.20900000000000002</v>
      </c>
      <c r="E10" s="29">
        <f>(E17-E7)*(D10-D7)/(D17-D7)+E7</f>
        <v>0.20200000000000001</v>
      </c>
    </row>
    <row r="11" spans="2:5" x14ac:dyDescent="0.2">
      <c r="B11" s="27"/>
      <c r="C11" s="29">
        <v>0.19</v>
      </c>
      <c r="D11" s="29">
        <f>(D17-D7)*(C11-C7)/(C17-C7)+D7</f>
        <v>0.21200000000000002</v>
      </c>
      <c r="E11" s="29">
        <f>(E17-E7)*(D11-D7)/(D17-D7)+E7</f>
        <v>0.20600000000000002</v>
      </c>
    </row>
    <row r="12" spans="2:5" x14ac:dyDescent="0.2">
      <c r="B12" s="30"/>
      <c r="C12" s="31">
        <v>0.2</v>
      </c>
      <c r="D12" s="29">
        <f>(D17-D7)*(C12-C7)/(C17-C7)+D7</f>
        <v>0.21500000000000002</v>
      </c>
      <c r="E12" s="29">
        <f>(E17-E7)*(D12-D7)/(D17-D7)+E7</f>
        <v>0.21000000000000002</v>
      </c>
    </row>
    <row r="13" spans="2:5" x14ac:dyDescent="0.2">
      <c r="B13" s="27"/>
      <c r="C13" s="29">
        <v>0.21</v>
      </c>
      <c r="D13" s="29">
        <f>(D17-D7)*(C13-C7)/(C17-C7)+D7</f>
        <v>0.218</v>
      </c>
      <c r="E13" s="29">
        <f>(E17-E7)*(D13-D7)/(D17-D7)+E7</f>
        <v>0.214</v>
      </c>
    </row>
    <row r="14" spans="2:5" x14ac:dyDescent="0.2">
      <c r="B14" s="27"/>
      <c r="C14" s="29">
        <v>0.22</v>
      </c>
      <c r="D14" s="29">
        <f>(D17-D7)*(C14-C7)/(C17-C7)+D7</f>
        <v>0.221</v>
      </c>
      <c r="E14" s="29">
        <f>(E17-E7)*(D14-D7)/(D17-D7)+E7</f>
        <v>0.218</v>
      </c>
    </row>
    <row r="15" spans="2:5" x14ac:dyDescent="0.2">
      <c r="B15" s="27"/>
      <c r="C15" s="29">
        <v>0.23</v>
      </c>
      <c r="D15" s="29">
        <f>(D17-D7)*(C15-C7)/(C17-C7)+D7</f>
        <v>0.224</v>
      </c>
      <c r="E15" s="29">
        <f>(E17-E7)*(D15-D7)/(D17-D7)+E7</f>
        <v>0.222</v>
      </c>
    </row>
    <row r="16" spans="2:5" x14ac:dyDescent="0.2">
      <c r="B16" s="27"/>
      <c r="C16" s="29">
        <v>0.24</v>
      </c>
      <c r="D16" s="29">
        <f>(D17-D7)*(C16-C7)/(C17-C7)+D7</f>
        <v>0.22700000000000001</v>
      </c>
      <c r="E16" s="29">
        <f>(E17-E7)*(D16-D7)/(D17-D7)+E7</f>
        <v>0.22600000000000001</v>
      </c>
    </row>
    <row r="17" spans="2:5" x14ac:dyDescent="0.2">
      <c r="B17" s="28"/>
      <c r="C17" s="28">
        <v>0.25</v>
      </c>
      <c r="D17" s="28">
        <v>0.23</v>
      </c>
      <c r="E17" s="28">
        <v>0.23</v>
      </c>
    </row>
    <row r="18" spans="2:5" x14ac:dyDescent="0.2">
      <c r="B18" s="27"/>
      <c r="C18" s="27">
        <v>0.26</v>
      </c>
      <c r="D18" s="27">
        <f>(D42-D17)*(C18-C17)/(C42-C17)+D17</f>
        <v>0.23320000000000002</v>
      </c>
      <c r="E18" s="27">
        <f>(E42-E17)*(D18-D17)/(D42-D17)+E17</f>
        <v>0.23320000000000002</v>
      </c>
    </row>
    <row r="19" spans="2:5" x14ac:dyDescent="0.2">
      <c r="B19" s="27"/>
      <c r="C19" s="27">
        <v>0.27</v>
      </c>
      <c r="D19" s="27">
        <f>(D42-D17)*(C19-C17)/(C42-C17)+D17</f>
        <v>0.23640000000000003</v>
      </c>
      <c r="E19" s="27">
        <f>(E42-E17)*(D19-D17)/(D42-D17)+E17</f>
        <v>0.23640000000000003</v>
      </c>
    </row>
    <row r="20" spans="2:5" x14ac:dyDescent="0.2">
      <c r="B20" s="27"/>
      <c r="C20" s="27">
        <v>0.28000000000000003</v>
      </c>
      <c r="D20" s="27">
        <f>(D42-D17)*(C20-C17)/(C42-C17)+D17</f>
        <v>0.23960000000000001</v>
      </c>
      <c r="E20" s="27">
        <f>(E42-E17)*(D20-D17)/(D42-D17)+E17</f>
        <v>0.23960000000000001</v>
      </c>
    </row>
    <row r="21" spans="2:5" x14ac:dyDescent="0.2">
      <c r="B21" s="27"/>
      <c r="C21" s="27">
        <v>0.28999999999999998</v>
      </c>
      <c r="D21" s="27">
        <f>(D42-D17)*(C21-C17)/(C42-C17)+D17</f>
        <v>0.24280000000000002</v>
      </c>
      <c r="E21" s="27">
        <f>(E42-E17)*(D21-D17)/(D42-D17)+E17</f>
        <v>0.24280000000000002</v>
      </c>
    </row>
    <row r="22" spans="2:5" x14ac:dyDescent="0.2">
      <c r="B22" s="27"/>
      <c r="C22" s="27">
        <v>0.3</v>
      </c>
      <c r="D22" s="27">
        <f>(D42-D17)*(C22-C17)/(C42-C17)+D17</f>
        <v>0.246</v>
      </c>
      <c r="E22" s="27">
        <f>(E42-E17)*(D22-D17)/(D42-D17)+E17</f>
        <v>0.246</v>
      </c>
    </row>
    <row r="23" spans="2:5" x14ac:dyDescent="0.2">
      <c r="B23" s="27"/>
      <c r="C23" s="27">
        <v>0.31</v>
      </c>
      <c r="D23" s="27">
        <f>(D42-D17)*(C23-C17)/(C42-C17)+D17</f>
        <v>0.2492</v>
      </c>
      <c r="E23" s="27">
        <f>(E42-E17)*(D23-D17)/(D42-D17)+E17</f>
        <v>0.2492</v>
      </c>
    </row>
    <row r="24" spans="2:5" x14ac:dyDescent="0.2">
      <c r="B24" s="27"/>
      <c r="C24" s="27">
        <v>0.32</v>
      </c>
      <c r="D24" s="27">
        <f>(D42-D17)*(C24-C17)/(C42-C17)+D17</f>
        <v>0.25240000000000001</v>
      </c>
      <c r="E24" s="27">
        <f>(E42-E17)*(D24-D17)/(D42-D17)+E17</f>
        <v>0.25240000000000001</v>
      </c>
    </row>
    <row r="25" spans="2:5" x14ac:dyDescent="0.2">
      <c r="B25" s="27"/>
      <c r="C25" s="27">
        <v>0.33</v>
      </c>
      <c r="D25" s="27">
        <f>(D42-D17)*(C25-C17)/(C42-C17)+D17</f>
        <v>0.25559999999999999</v>
      </c>
      <c r="E25" s="27">
        <f>(E42-E17)*(D25-D17)/(D42-D17)+E17</f>
        <v>0.25559999999999999</v>
      </c>
    </row>
    <row r="26" spans="2:5" x14ac:dyDescent="0.2">
      <c r="B26" s="27"/>
      <c r="C26" s="27">
        <v>0.34</v>
      </c>
      <c r="D26" s="27">
        <f>(D42-D17)*(C26-C17)/(C42-C17)+D17</f>
        <v>0.25880000000000003</v>
      </c>
      <c r="E26" s="27">
        <f>(E42-E17)*(D26-D17)/(D42-D17)+E17</f>
        <v>0.25880000000000003</v>
      </c>
    </row>
    <row r="27" spans="2:5" x14ac:dyDescent="0.2">
      <c r="B27" s="27"/>
      <c r="C27" s="27">
        <v>0.35</v>
      </c>
      <c r="D27" s="27">
        <f>(D42-D17)*(C27-C17)/(C42-C17)+D17</f>
        <v>0.26200000000000001</v>
      </c>
      <c r="E27" s="27">
        <f>(E42-E17)*(D27-D17)/(D42-D17)+E17</f>
        <v>0.26200000000000001</v>
      </c>
    </row>
    <row r="28" spans="2:5" x14ac:dyDescent="0.2">
      <c r="B28" s="27"/>
      <c r="C28" s="27">
        <v>0.36</v>
      </c>
      <c r="D28" s="27">
        <f>(D42-D17)*(C28-C17)/(C42-C17)+D17</f>
        <v>0.26519999999999999</v>
      </c>
      <c r="E28" s="27">
        <f>(E42-E17)*(D28-D17)/(D42-D17)+E17</f>
        <v>0.26519999999999999</v>
      </c>
    </row>
    <row r="29" spans="2:5" x14ac:dyDescent="0.2">
      <c r="B29" s="27"/>
      <c r="C29" s="27">
        <v>0.37</v>
      </c>
      <c r="D29" s="27">
        <f>(D42-D17)*(C29-C17)/(C42-C17)+D17</f>
        <v>0.26839999999999997</v>
      </c>
      <c r="E29" s="27">
        <f>(E42-E17)*(D29-D17)/(D42-D17)+E17</f>
        <v>0.26839999999999997</v>
      </c>
    </row>
    <row r="30" spans="2:5" x14ac:dyDescent="0.2">
      <c r="B30" s="27"/>
      <c r="C30" s="27">
        <v>0.38</v>
      </c>
      <c r="D30" s="27">
        <f>(D42-D17)*(C30-C17)/(C42-C17)+D17</f>
        <v>0.27160000000000001</v>
      </c>
      <c r="E30" s="27">
        <f>(E42-E17)*(D30-D17)/(D42-D17)+E17</f>
        <v>0.27160000000000001</v>
      </c>
    </row>
    <row r="31" spans="2:5" x14ac:dyDescent="0.2">
      <c r="B31" s="27"/>
      <c r="C31" s="27">
        <v>0.39</v>
      </c>
      <c r="D31" s="27">
        <f>(D42-D17)*(C31-C17)/(C42-C17)+D17</f>
        <v>0.27479999999999999</v>
      </c>
      <c r="E31" s="27">
        <f>(E42-E17)*(D31-D17)/(D42-D17)+E17</f>
        <v>0.27479999999999999</v>
      </c>
    </row>
    <row r="32" spans="2:5" x14ac:dyDescent="0.2">
      <c r="B32" s="31"/>
      <c r="C32" s="31">
        <v>0.4</v>
      </c>
      <c r="D32" s="32">
        <f>(D42-D17)*(C32-C17)/(C42-C17)+D17</f>
        <v>0.27800000000000002</v>
      </c>
      <c r="E32" s="32">
        <f>(E42-E17)*(D32-D17)/(D42-D17)+E17</f>
        <v>0.27800000000000002</v>
      </c>
    </row>
    <row r="33" spans="2:5" x14ac:dyDescent="0.2">
      <c r="B33" s="27"/>
      <c r="C33" s="27">
        <v>0.41</v>
      </c>
      <c r="D33" s="27">
        <f>(D42-D17)*(C33-C17)/(C42-C17)+D17</f>
        <v>0.28120000000000001</v>
      </c>
      <c r="E33" s="27">
        <f>(E42-E17)*(D33-D17)/(D42-D17)+E17</f>
        <v>0.28120000000000001</v>
      </c>
    </row>
    <row r="34" spans="2:5" x14ac:dyDescent="0.2">
      <c r="B34" s="27"/>
      <c r="C34" s="27">
        <v>0.42</v>
      </c>
      <c r="D34" s="27">
        <f>(D42-D17)*(C34-C17)/(C42-C17)+D17</f>
        <v>0.28439999999999999</v>
      </c>
      <c r="E34" s="27">
        <f>(E42-E17)*(D34-D17)/(D42-D17)+E17</f>
        <v>0.28439999999999999</v>
      </c>
    </row>
    <row r="35" spans="2:5" x14ac:dyDescent="0.2">
      <c r="B35" s="27"/>
      <c r="C35" s="27">
        <v>0.43</v>
      </c>
      <c r="D35" s="27">
        <f>(D42-D17)*(C35-C17)/(C42-C17)+D17</f>
        <v>0.28760000000000002</v>
      </c>
      <c r="E35" s="27">
        <f>(E42-E17)*(D35-D17)/(D42-D17)+E17</f>
        <v>0.28760000000000002</v>
      </c>
    </row>
    <row r="36" spans="2:5" x14ac:dyDescent="0.2">
      <c r="B36" s="27"/>
      <c r="C36" s="27">
        <v>0.44</v>
      </c>
      <c r="D36" s="27">
        <f>(D42-D17)*(C36-C17)/(C42-C17)+D17</f>
        <v>0.2908</v>
      </c>
      <c r="E36" s="27">
        <f>(E42-E17)*(D36-D17)/(D42-D17)+E17</f>
        <v>0.2908</v>
      </c>
    </row>
    <row r="37" spans="2:5" x14ac:dyDescent="0.2">
      <c r="B37" s="27"/>
      <c r="C37" s="27">
        <v>0.45</v>
      </c>
      <c r="D37" s="33">
        <f>(D42-D17)*(C37-C17)/(C42-C17)+D17</f>
        <v>0.29399999999999998</v>
      </c>
      <c r="E37" s="33">
        <f>(E42-E17)*(D37-D17)/(D42-D17)+E17</f>
        <v>0.29399999999999998</v>
      </c>
    </row>
    <row r="38" spans="2:5" x14ac:dyDescent="0.2">
      <c r="B38" s="27"/>
      <c r="C38" s="27">
        <v>0.46</v>
      </c>
      <c r="D38" s="27">
        <f>(D42-D17)*(C38-C17)/(C42-C17)+D17</f>
        <v>0.29720000000000002</v>
      </c>
      <c r="E38" s="27">
        <f>(E42-E17)*(D38-D17)/(D42-D17)+E17</f>
        <v>0.29720000000000002</v>
      </c>
    </row>
    <row r="39" spans="2:5" x14ac:dyDescent="0.2">
      <c r="B39" s="27"/>
      <c r="C39" s="27">
        <v>0.47</v>
      </c>
      <c r="D39" s="27">
        <f>(D42-D17)*(C39-C17)/(C42-C17)+D17</f>
        <v>0.3004</v>
      </c>
      <c r="E39" s="27">
        <f>(E42-E17)*(D39-D17)/(D42-D17)+E17</f>
        <v>0.3004</v>
      </c>
    </row>
    <row r="40" spans="2:5" x14ac:dyDescent="0.2">
      <c r="B40" s="27"/>
      <c r="C40" s="27">
        <v>0.48</v>
      </c>
      <c r="D40" s="27">
        <f>(D42-D17)*(C40-C17)/(C42-C17)+D17</f>
        <v>0.30359999999999998</v>
      </c>
      <c r="E40" s="27">
        <f>(E42-E17)*(D40-D17)/(D42-D17)+E17</f>
        <v>0.30359999999999998</v>
      </c>
    </row>
    <row r="41" spans="2:5" x14ac:dyDescent="0.2">
      <c r="B41" s="27"/>
      <c r="C41" s="27">
        <v>0.49</v>
      </c>
      <c r="D41" s="27">
        <f>(D42-D17)*(C41-C17)/(C42-C17)+D17</f>
        <v>0.30679999999999996</v>
      </c>
      <c r="E41" s="27">
        <f>(E42-E17)*(D41-D17)/(D42-D17)+E17</f>
        <v>0.30679999999999996</v>
      </c>
    </row>
    <row r="42" spans="2:5" x14ac:dyDescent="0.2">
      <c r="B42" s="34"/>
      <c r="C42" s="34">
        <v>0.5</v>
      </c>
      <c r="D42" s="35">
        <v>0.31</v>
      </c>
      <c r="E42" s="35">
        <v>0.31</v>
      </c>
    </row>
    <row r="43" spans="2:5" x14ac:dyDescent="0.2">
      <c r="C43" s="167">
        <f>+C42+0.01</f>
        <v>0.51</v>
      </c>
      <c r="E43" s="27">
        <f>(E44-E19)*(D43-D19)/(D44-D19)+E19</f>
        <v>0</v>
      </c>
    </row>
    <row r="44" spans="2:5" x14ac:dyDescent="0.2">
      <c r="C44" s="167">
        <f t="shared" ref="C44:C70" si="0">+C43+0.01</f>
        <v>0.52</v>
      </c>
      <c r="E44" s="27">
        <f t="shared" ref="E44:E50" si="1">(E45-E20)*(D44-D20)/(D45-D20)+E20</f>
        <v>0</v>
      </c>
    </row>
    <row r="45" spans="2:5" x14ac:dyDescent="0.2">
      <c r="C45" s="167">
        <f t="shared" si="0"/>
        <v>0.53</v>
      </c>
      <c r="E45" s="27">
        <f t="shared" si="1"/>
        <v>0</v>
      </c>
    </row>
    <row r="46" spans="2:5" x14ac:dyDescent="0.2">
      <c r="C46" s="167">
        <f t="shared" si="0"/>
        <v>0.54</v>
      </c>
      <c r="E46" s="27">
        <f t="shared" si="1"/>
        <v>0</v>
      </c>
    </row>
    <row r="47" spans="2:5" x14ac:dyDescent="0.2">
      <c r="C47" s="167">
        <f t="shared" si="0"/>
        <v>0.55000000000000004</v>
      </c>
      <c r="E47" s="27">
        <f t="shared" si="1"/>
        <v>0</v>
      </c>
    </row>
    <row r="48" spans="2:5" x14ac:dyDescent="0.2">
      <c r="C48" s="167">
        <f t="shared" si="0"/>
        <v>0.56000000000000005</v>
      </c>
      <c r="E48" s="27">
        <f t="shared" si="1"/>
        <v>0</v>
      </c>
    </row>
    <row r="49" spans="3:5" x14ac:dyDescent="0.2">
      <c r="C49" s="167">
        <f t="shared" si="0"/>
        <v>0.57000000000000006</v>
      </c>
      <c r="E49" s="27">
        <f t="shared" si="1"/>
        <v>0</v>
      </c>
    </row>
    <row r="50" spans="3:5" x14ac:dyDescent="0.2">
      <c r="C50" s="167">
        <f t="shared" si="0"/>
        <v>0.58000000000000007</v>
      </c>
      <c r="E50" s="27">
        <f t="shared" si="1"/>
        <v>0</v>
      </c>
    </row>
    <row r="51" spans="3:5" x14ac:dyDescent="0.2">
      <c r="C51" s="167">
        <f t="shared" si="0"/>
        <v>0.59000000000000008</v>
      </c>
    </row>
    <row r="52" spans="3:5" x14ac:dyDescent="0.2">
      <c r="C52" s="167">
        <f t="shared" si="0"/>
        <v>0.60000000000000009</v>
      </c>
    </row>
    <row r="53" spans="3:5" x14ac:dyDescent="0.2">
      <c r="C53" s="167">
        <f t="shared" si="0"/>
        <v>0.6100000000000001</v>
      </c>
    </row>
    <row r="54" spans="3:5" x14ac:dyDescent="0.2">
      <c r="C54" s="167">
        <f t="shared" si="0"/>
        <v>0.62000000000000011</v>
      </c>
    </row>
    <row r="55" spans="3:5" x14ac:dyDescent="0.2">
      <c r="C55" s="167">
        <f t="shared" si="0"/>
        <v>0.63000000000000012</v>
      </c>
    </row>
    <row r="56" spans="3:5" x14ac:dyDescent="0.2">
      <c r="C56" s="167">
        <f t="shared" si="0"/>
        <v>0.64000000000000012</v>
      </c>
    </row>
    <row r="57" spans="3:5" x14ac:dyDescent="0.2">
      <c r="C57" s="167">
        <f t="shared" si="0"/>
        <v>0.65000000000000013</v>
      </c>
    </row>
    <row r="58" spans="3:5" x14ac:dyDescent="0.2">
      <c r="C58" s="167">
        <f t="shared" si="0"/>
        <v>0.66000000000000014</v>
      </c>
    </row>
    <row r="59" spans="3:5" x14ac:dyDescent="0.2">
      <c r="C59" s="167">
        <f t="shared" si="0"/>
        <v>0.67000000000000015</v>
      </c>
    </row>
    <row r="60" spans="3:5" x14ac:dyDescent="0.2">
      <c r="C60" s="167">
        <f t="shared" si="0"/>
        <v>0.68000000000000016</v>
      </c>
    </row>
    <row r="61" spans="3:5" x14ac:dyDescent="0.2">
      <c r="C61" s="167">
        <f t="shared" si="0"/>
        <v>0.69000000000000017</v>
      </c>
    </row>
    <row r="62" spans="3:5" x14ac:dyDescent="0.2">
      <c r="C62" s="167">
        <f t="shared" si="0"/>
        <v>0.70000000000000018</v>
      </c>
    </row>
    <row r="63" spans="3:5" x14ac:dyDescent="0.2">
      <c r="C63" s="167">
        <f t="shared" si="0"/>
        <v>0.71000000000000019</v>
      </c>
    </row>
    <row r="64" spans="3:5" x14ac:dyDescent="0.2">
      <c r="C64" s="167">
        <f t="shared" si="0"/>
        <v>0.7200000000000002</v>
      </c>
    </row>
    <row r="65" spans="3:5" x14ac:dyDescent="0.2">
      <c r="C65" s="167">
        <f t="shared" si="0"/>
        <v>0.7300000000000002</v>
      </c>
    </row>
    <row r="66" spans="3:5" x14ac:dyDescent="0.2">
      <c r="C66" s="167">
        <f t="shared" si="0"/>
        <v>0.74000000000000021</v>
      </c>
    </row>
    <row r="67" spans="3:5" x14ac:dyDescent="0.2">
      <c r="C67" s="167">
        <f t="shared" si="0"/>
        <v>0.75000000000000022</v>
      </c>
      <c r="D67">
        <v>0.36</v>
      </c>
      <c r="E67">
        <v>0.37</v>
      </c>
    </row>
    <row r="68" spans="3:5" x14ac:dyDescent="0.2">
      <c r="C68" s="167">
        <f t="shared" si="0"/>
        <v>0.76000000000000023</v>
      </c>
    </row>
    <row r="69" spans="3:5" x14ac:dyDescent="0.2">
      <c r="C69" s="167">
        <f t="shared" si="0"/>
        <v>0.77000000000000024</v>
      </c>
    </row>
    <row r="70" spans="3:5" x14ac:dyDescent="0.2">
      <c r="C70" s="167">
        <f t="shared" si="0"/>
        <v>0.78000000000000025</v>
      </c>
    </row>
    <row r="71" spans="3:5" x14ac:dyDescent="0.2">
      <c r="C71" s="167"/>
    </row>
    <row r="72" spans="3:5" x14ac:dyDescent="0.2">
      <c r="C72" s="167"/>
    </row>
    <row r="73" spans="3:5" x14ac:dyDescent="0.2">
      <c r="C73" s="167"/>
    </row>
    <row r="74" spans="3:5" x14ac:dyDescent="0.2">
      <c r="C74" s="167"/>
    </row>
    <row r="75" spans="3:5" x14ac:dyDescent="0.2">
      <c r="C75" s="167"/>
    </row>
    <row r="76" spans="3:5" x14ac:dyDescent="0.2">
      <c r="C76" s="167"/>
    </row>
    <row r="77" spans="3:5" x14ac:dyDescent="0.2">
      <c r="C77" s="167"/>
    </row>
    <row r="78" spans="3:5" x14ac:dyDescent="0.2">
      <c r="C78" s="167"/>
    </row>
    <row r="79" spans="3:5" x14ac:dyDescent="0.2">
      <c r="C79" s="167"/>
    </row>
    <row r="80" spans="3:5" x14ac:dyDescent="0.2">
      <c r="C80" s="167"/>
    </row>
    <row r="81" spans="2:8" x14ac:dyDescent="0.2">
      <c r="C81" s="167"/>
    </row>
    <row r="82" spans="2:8" x14ac:dyDescent="0.2">
      <c r="C82" s="167"/>
    </row>
    <row r="83" spans="2:8" x14ac:dyDescent="0.2">
      <c r="C83" s="167"/>
    </row>
    <row r="84" spans="2:8" x14ac:dyDescent="0.2">
      <c r="C84" s="167"/>
    </row>
    <row r="85" spans="2:8" x14ac:dyDescent="0.2">
      <c r="C85" s="167"/>
    </row>
    <row r="86" spans="2:8" x14ac:dyDescent="0.2">
      <c r="C86" s="167"/>
    </row>
    <row r="87" spans="2:8" x14ac:dyDescent="0.2">
      <c r="C87" s="167"/>
    </row>
    <row r="88" spans="2:8" x14ac:dyDescent="0.2">
      <c r="C88" s="167"/>
    </row>
    <row r="89" spans="2:8" x14ac:dyDescent="0.2">
      <c r="C89" s="167"/>
    </row>
    <row r="90" spans="2:8" x14ac:dyDescent="0.2">
      <c r="C90" s="167"/>
    </row>
    <row r="91" spans="2:8" x14ac:dyDescent="0.2">
      <c r="C91" s="167"/>
    </row>
    <row r="92" spans="2:8" x14ac:dyDescent="0.2">
      <c r="C92" s="167"/>
    </row>
    <row r="93" spans="2:8" x14ac:dyDescent="0.2">
      <c r="C93" s="167"/>
    </row>
    <row r="95" spans="2:8" ht="15.75" x14ac:dyDescent="0.25">
      <c r="B95" s="36" t="s">
        <v>77</v>
      </c>
      <c r="C95" s="37" t="s">
        <v>78</v>
      </c>
      <c r="D95" s="36"/>
      <c r="E95" s="36"/>
      <c r="F95" s="6"/>
      <c r="G95" s="3"/>
      <c r="H95" s="3"/>
    </row>
    <row r="96" spans="2:8" ht="15.75" x14ac:dyDescent="0.25">
      <c r="B96" s="6"/>
      <c r="C96" s="12"/>
      <c r="D96" s="5">
        <f>(E97^2+E95^2)^0.5</f>
        <v>0</v>
      </c>
      <c r="E96" s="5">
        <f>(F97^2+F95^2)^0.5</f>
        <v>0</v>
      </c>
      <c r="F96" s="6" t="s">
        <v>295</v>
      </c>
      <c r="G96" s="3">
        <v>100</v>
      </c>
      <c r="H96" s="3" t="s">
        <v>202</v>
      </c>
    </row>
    <row r="97" spans="2:8" ht="18.75" x14ac:dyDescent="0.25">
      <c r="B97" s="38" t="s">
        <v>13</v>
      </c>
      <c r="C97" s="12" t="s">
        <v>86</v>
      </c>
      <c r="D97" s="5"/>
      <c r="E97" s="5"/>
      <c r="F97" s="6"/>
      <c r="G97" s="3">
        <v>0</v>
      </c>
      <c r="H97" s="3" t="s">
        <v>87</v>
      </c>
    </row>
    <row r="98" spans="2:8" ht="18.75" x14ac:dyDescent="0.25">
      <c r="B98" s="38" t="s">
        <v>13</v>
      </c>
      <c r="C98" s="12" t="s">
        <v>296</v>
      </c>
      <c r="D98" s="5"/>
      <c r="E98" s="5"/>
      <c r="F98" s="6"/>
      <c r="G98" s="3">
        <f>E98/1000*2.4</f>
        <v>0</v>
      </c>
      <c r="H98" s="3" t="s">
        <v>87</v>
      </c>
    </row>
    <row r="99" spans="2:8" ht="18.75" x14ac:dyDescent="0.25">
      <c r="B99" s="38" t="s">
        <v>13</v>
      </c>
      <c r="C99" s="12" t="s">
        <v>297</v>
      </c>
      <c r="D99" s="5"/>
      <c r="E99" s="5"/>
      <c r="F99" s="6"/>
      <c r="G99" s="3">
        <f>E99/1000*0.9</f>
        <v>0</v>
      </c>
      <c r="H99" s="3" t="s">
        <v>87</v>
      </c>
    </row>
    <row r="100" spans="2:8" ht="18.75" x14ac:dyDescent="0.25">
      <c r="B100" s="38" t="s">
        <v>13</v>
      </c>
      <c r="C100" s="12" t="s">
        <v>88</v>
      </c>
      <c r="D100" s="5"/>
      <c r="E100" s="5"/>
      <c r="F100" s="6"/>
      <c r="G100" s="3">
        <v>7.4999999999999997E-2</v>
      </c>
      <c r="H100" s="3" t="s">
        <v>87</v>
      </c>
    </row>
    <row r="101" spans="2:8" ht="18.75" x14ac:dyDescent="0.25">
      <c r="B101" s="6"/>
      <c r="C101" s="12"/>
      <c r="D101" s="5"/>
      <c r="E101" s="5"/>
      <c r="F101" s="6"/>
      <c r="G101" s="3">
        <f>SUM(G97:G100)</f>
        <v>7.4999999999999997E-2</v>
      </c>
      <c r="H101" s="3" t="s">
        <v>87</v>
      </c>
    </row>
    <row r="102" spans="2:8" ht="15.75" x14ac:dyDescent="0.25">
      <c r="B102" s="6"/>
      <c r="C102" s="12"/>
      <c r="D102" s="5"/>
      <c r="E102" s="5"/>
      <c r="F102" s="6"/>
      <c r="G102" s="3"/>
      <c r="H102" s="3"/>
    </row>
    <row r="103" spans="2:8" ht="51.75" x14ac:dyDescent="0.25">
      <c r="B103" s="9" t="s">
        <v>13</v>
      </c>
      <c r="C103" s="20" t="s">
        <v>89</v>
      </c>
      <c r="D103" s="5" t="s">
        <v>90</v>
      </c>
      <c r="E103" s="5" t="s">
        <v>90</v>
      </c>
      <c r="F103" s="19" t="s">
        <v>306</v>
      </c>
      <c r="G103" s="13">
        <v>0</v>
      </c>
      <c r="H103" s="3" t="s">
        <v>91</v>
      </c>
    </row>
    <row r="104" spans="2:8" ht="15.75" x14ac:dyDescent="0.25">
      <c r="B104" s="38"/>
      <c r="C104" s="12"/>
      <c r="D104" s="5"/>
      <c r="E104" s="5"/>
      <c r="F104" s="6"/>
      <c r="G104" s="3"/>
      <c r="H104" s="3"/>
    </row>
    <row r="105" spans="2:8" ht="64.5" x14ac:dyDescent="0.25">
      <c r="B105" s="9" t="s">
        <v>13</v>
      </c>
      <c r="C105" s="20" t="s">
        <v>92</v>
      </c>
      <c r="D105" s="5" t="s">
        <v>93</v>
      </c>
      <c r="E105" s="5" t="s">
        <v>93</v>
      </c>
      <c r="F105" s="19" t="s">
        <v>307</v>
      </c>
      <c r="G105" s="13">
        <v>0</v>
      </c>
      <c r="H105" s="3" t="s">
        <v>91</v>
      </c>
    </row>
    <row r="106" spans="2:8" ht="15.75" x14ac:dyDescent="0.25">
      <c r="B106" s="38"/>
      <c r="C106" s="12"/>
      <c r="D106" s="5"/>
      <c r="E106" s="5"/>
      <c r="F106" s="6"/>
      <c r="G106" s="3"/>
      <c r="H106" s="3"/>
    </row>
    <row r="107" spans="2:8" ht="26.25" x14ac:dyDescent="0.25">
      <c r="B107" s="9" t="s">
        <v>13</v>
      </c>
      <c r="C107" s="20" t="s">
        <v>94</v>
      </c>
      <c r="D107" s="5" t="s">
        <v>95</v>
      </c>
      <c r="E107" s="5" t="s">
        <v>95</v>
      </c>
      <c r="F107" s="19" t="s">
        <v>308</v>
      </c>
      <c r="G107" s="13" t="e">
        <v>#DIV/0!</v>
      </c>
      <c r="H107" s="3" t="s">
        <v>116</v>
      </c>
    </row>
    <row r="108" spans="2:8" ht="15.75" x14ac:dyDescent="0.25">
      <c r="B108" s="38"/>
      <c r="C108" s="12"/>
      <c r="D108" s="5"/>
      <c r="E108" s="1147" t="s">
        <v>236</v>
      </c>
      <c r="F108" s="1147"/>
      <c r="G108" s="23" t="e">
        <f>IF(G107&gt;5,"REVISES THKNESS","OK")</f>
        <v>#DIV/0!</v>
      </c>
      <c r="H108" s="3"/>
    </row>
    <row r="109" spans="2:8" ht="26.25" x14ac:dyDescent="0.25">
      <c r="B109" s="9" t="s">
        <v>13</v>
      </c>
      <c r="C109" s="20" t="s">
        <v>96</v>
      </c>
      <c r="D109" s="5" t="s">
        <v>97</v>
      </c>
      <c r="E109" s="5" t="s">
        <v>97</v>
      </c>
      <c r="F109" s="19" t="s">
        <v>308</v>
      </c>
      <c r="G109" s="13" t="e">
        <v>#DIV/0!</v>
      </c>
      <c r="H109" s="3" t="s">
        <v>116</v>
      </c>
    </row>
    <row r="110" spans="2:8" ht="15.75" x14ac:dyDescent="0.25">
      <c r="B110" s="6"/>
      <c r="C110" s="12"/>
      <c r="D110" s="5"/>
      <c r="E110" s="1147" t="e">
        <f>IF(G109&gt;5,"REVISES THKNESS","OK")</f>
        <v>#DIV/0!</v>
      </c>
      <c r="F110" s="1147"/>
      <c r="G110" s="23" t="e">
        <f>IF(G109&gt;5,"REVISES THKNESS","OK")</f>
        <v>#DIV/0!</v>
      </c>
      <c r="H110" s="3"/>
    </row>
    <row r="111" spans="2:8" ht="15.75" x14ac:dyDescent="0.25">
      <c r="B111" s="6"/>
      <c r="C111" s="12"/>
      <c r="D111" s="5"/>
      <c r="E111" s="5"/>
      <c r="F111" s="6"/>
      <c r="G111" s="3"/>
      <c r="H111" s="3"/>
    </row>
    <row r="112" spans="2:8" ht="18.75" x14ac:dyDescent="0.25">
      <c r="B112" s="6"/>
      <c r="C112" s="1381" t="s">
        <v>298</v>
      </c>
      <c r="D112" s="1088"/>
      <c r="E112" s="40">
        <v>0.17499999999999999</v>
      </c>
      <c r="F112" s="6" t="s">
        <v>299</v>
      </c>
      <c r="G112" s="41">
        <f>E112*1000*G96/100</f>
        <v>175</v>
      </c>
      <c r="H112" s="3" t="s">
        <v>98</v>
      </c>
    </row>
    <row r="113" spans="1:8" ht="15.75" x14ac:dyDescent="0.25">
      <c r="B113" s="6"/>
      <c r="C113" s="12"/>
      <c r="D113" s="5"/>
      <c r="E113" s="5"/>
      <c r="F113" s="6"/>
      <c r="G113" s="3"/>
      <c r="H113" s="3"/>
    </row>
    <row r="114" spans="1:8" ht="18.75" x14ac:dyDescent="0.25">
      <c r="B114" s="6"/>
      <c r="C114" s="12" t="s">
        <v>142</v>
      </c>
      <c r="D114" s="5">
        <v>8</v>
      </c>
      <c r="E114" s="5">
        <v>8</v>
      </c>
      <c r="F114" s="42">
        <v>200</v>
      </c>
      <c r="G114" s="3">
        <f>(22/7*(D114)^2*0.25)/(F114/1000)</f>
        <v>251.42857142857142</v>
      </c>
      <c r="H114" s="3" t="s">
        <v>301</v>
      </c>
    </row>
    <row r="115" spans="1:8" ht="15.75" x14ac:dyDescent="0.25">
      <c r="B115" s="6"/>
      <c r="C115" s="12"/>
      <c r="D115" s="5"/>
      <c r="E115" s="5"/>
      <c r="F115" s="42"/>
      <c r="G115" s="3"/>
      <c r="H115" s="3"/>
    </row>
    <row r="116" spans="1:8" ht="18.75" x14ac:dyDescent="0.3">
      <c r="B116" s="6"/>
      <c r="C116" s="24" t="s">
        <v>302</v>
      </c>
      <c r="D116" s="6" t="s">
        <v>303</v>
      </c>
      <c r="E116" s="6" t="s">
        <v>303</v>
      </c>
      <c r="F116" s="6"/>
      <c r="G116" s="25">
        <f>22/7*E97*D96*G101</f>
        <v>0</v>
      </c>
      <c r="H116" s="3" t="s">
        <v>229</v>
      </c>
    </row>
    <row r="125" spans="1:8" ht="25.5" x14ac:dyDescent="0.2">
      <c r="A125" s="56"/>
      <c r="B125" s="52"/>
      <c r="C125" s="103" t="s">
        <v>476</v>
      </c>
      <c r="D125" s="52" t="s">
        <v>477</v>
      </c>
      <c r="E125" s="52" t="s">
        <v>477</v>
      </c>
    </row>
    <row r="126" spans="1:8" x14ac:dyDescent="0.2">
      <c r="A126" s="52"/>
      <c r="B126" s="52"/>
      <c r="C126" s="52">
        <v>0.12</v>
      </c>
      <c r="D126" s="52">
        <f t="shared" ref="D126:E129" si="2">D127-0.0024</f>
        <v>6.0400000000000009E-2</v>
      </c>
      <c r="E126" s="52">
        <f t="shared" si="2"/>
        <v>6.0400000000000009E-2</v>
      </c>
    </row>
    <row r="127" spans="1:8" x14ac:dyDescent="0.2">
      <c r="A127" s="52"/>
      <c r="B127" s="52"/>
      <c r="C127" s="52">
        <f>C128-0.01</f>
        <v>0.26999999999999996</v>
      </c>
      <c r="D127" s="52">
        <f t="shared" si="2"/>
        <v>6.2800000000000009E-2</v>
      </c>
      <c r="E127" s="52">
        <f t="shared" si="2"/>
        <v>6.2800000000000009E-2</v>
      </c>
    </row>
    <row r="128" spans="1:8" x14ac:dyDescent="0.2">
      <c r="A128" s="52"/>
      <c r="B128" s="52"/>
      <c r="C128" s="52">
        <f>C129-0.01</f>
        <v>0.27999999999999997</v>
      </c>
      <c r="D128" s="52">
        <f t="shared" si="2"/>
        <v>6.5200000000000008E-2</v>
      </c>
      <c r="E128" s="52">
        <f t="shared" si="2"/>
        <v>6.5200000000000008E-2</v>
      </c>
    </row>
    <row r="129" spans="1:5" x14ac:dyDescent="0.2">
      <c r="A129" s="52"/>
      <c r="B129" s="52"/>
      <c r="C129" s="52">
        <f>C130-0.01</f>
        <v>0.28999999999999998</v>
      </c>
      <c r="D129" s="52">
        <f t="shared" si="2"/>
        <v>6.7600000000000007E-2</v>
      </c>
      <c r="E129" s="52">
        <f t="shared" si="2"/>
        <v>6.7600000000000007E-2</v>
      </c>
    </row>
    <row r="130" spans="1:5" x14ac:dyDescent="0.2">
      <c r="A130" s="104"/>
      <c r="B130" s="104"/>
      <c r="C130" s="52">
        <v>0.3</v>
      </c>
      <c r="D130" s="52">
        <v>7.0000000000000007E-2</v>
      </c>
      <c r="E130" s="52">
        <v>7.0000000000000007E-2</v>
      </c>
    </row>
    <row r="131" spans="1:5" x14ac:dyDescent="0.2">
      <c r="A131" s="56"/>
      <c r="B131" s="56"/>
      <c r="C131" s="52">
        <v>0.31</v>
      </c>
      <c r="D131" s="52">
        <f t="shared" ref="D131:E165" si="3">(D130+0.0024)</f>
        <v>7.2400000000000006E-2</v>
      </c>
      <c r="E131" s="52">
        <f t="shared" si="3"/>
        <v>7.2400000000000006E-2</v>
      </c>
    </row>
    <row r="132" spans="1:5" x14ac:dyDescent="0.2">
      <c r="A132" s="56"/>
      <c r="B132" s="56"/>
      <c r="C132" s="52">
        <v>0.32</v>
      </c>
      <c r="D132" s="52">
        <f t="shared" si="3"/>
        <v>7.4800000000000005E-2</v>
      </c>
      <c r="E132" s="52">
        <f t="shared" si="3"/>
        <v>7.4800000000000005E-2</v>
      </c>
    </row>
    <row r="133" spans="1:5" x14ac:dyDescent="0.2">
      <c r="A133" s="56"/>
      <c r="B133" s="56"/>
      <c r="C133" s="52">
        <v>0.33</v>
      </c>
      <c r="D133" s="52">
        <f t="shared" si="3"/>
        <v>7.7200000000000005E-2</v>
      </c>
      <c r="E133" s="52">
        <f t="shared" si="3"/>
        <v>7.7200000000000005E-2</v>
      </c>
    </row>
    <row r="134" spans="1:5" x14ac:dyDescent="0.2">
      <c r="A134" s="56"/>
      <c r="B134" s="56"/>
      <c r="C134" s="52">
        <v>0.34</v>
      </c>
      <c r="D134" s="52">
        <f t="shared" si="3"/>
        <v>7.9600000000000004E-2</v>
      </c>
      <c r="E134" s="52">
        <f t="shared" si="3"/>
        <v>7.9600000000000004E-2</v>
      </c>
    </row>
    <row r="135" spans="1:5" x14ac:dyDescent="0.2">
      <c r="A135" s="105"/>
      <c r="B135" s="56"/>
      <c r="C135" s="52">
        <v>0.35</v>
      </c>
      <c r="D135" s="52">
        <f t="shared" si="3"/>
        <v>8.2000000000000003E-2</v>
      </c>
      <c r="E135" s="52">
        <f t="shared" si="3"/>
        <v>8.2000000000000003E-2</v>
      </c>
    </row>
    <row r="136" spans="1:5" x14ac:dyDescent="0.2">
      <c r="A136" s="56"/>
      <c r="B136" s="56"/>
      <c r="C136" s="52">
        <v>0.36</v>
      </c>
      <c r="D136" s="52">
        <f t="shared" si="3"/>
        <v>8.4400000000000003E-2</v>
      </c>
      <c r="E136" s="52">
        <f t="shared" si="3"/>
        <v>8.4400000000000003E-2</v>
      </c>
    </row>
    <row r="137" spans="1:5" x14ac:dyDescent="0.2">
      <c r="A137" s="56"/>
      <c r="B137" s="56"/>
      <c r="C137" s="52">
        <v>0.37</v>
      </c>
      <c r="D137" s="52">
        <f t="shared" si="3"/>
        <v>8.6800000000000002E-2</v>
      </c>
      <c r="E137" s="52">
        <f t="shared" si="3"/>
        <v>8.6800000000000002E-2</v>
      </c>
    </row>
    <row r="138" spans="1:5" x14ac:dyDescent="0.2">
      <c r="A138" s="56"/>
      <c r="B138" s="56"/>
      <c r="C138" s="52">
        <v>0.38</v>
      </c>
      <c r="D138" s="52">
        <f t="shared" si="3"/>
        <v>8.9200000000000002E-2</v>
      </c>
      <c r="E138" s="52">
        <f t="shared" si="3"/>
        <v>8.9200000000000002E-2</v>
      </c>
    </row>
    <row r="139" spans="1:5" x14ac:dyDescent="0.2">
      <c r="A139" s="56"/>
      <c r="B139" s="56"/>
      <c r="C139" s="52">
        <v>0.39</v>
      </c>
      <c r="D139" s="52">
        <f t="shared" si="3"/>
        <v>9.1600000000000001E-2</v>
      </c>
      <c r="E139" s="52">
        <f t="shared" si="3"/>
        <v>9.1600000000000001E-2</v>
      </c>
    </row>
    <row r="140" spans="1:5" x14ac:dyDescent="0.2">
      <c r="A140" s="104"/>
      <c r="B140" s="104"/>
      <c r="C140" s="52">
        <v>0.4</v>
      </c>
      <c r="D140" s="52">
        <f t="shared" si="3"/>
        <v>9.4E-2</v>
      </c>
      <c r="E140" s="52">
        <f t="shared" si="3"/>
        <v>9.4E-2</v>
      </c>
    </row>
    <row r="141" spans="1:5" x14ac:dyDescent="0.2">
      <c r="A141" s="56"/>
      <c r="B141" s="56"/>
      <c r="C141" s="52">
        <v>0.41</v>
      </c>
      <c r="D141" s="52">
        <f t="shared" si="3"/>
        <v>9.64E-2</v>
      </c>
      <c r="E141" s="52">
        <f t="shared" si="3"/>
        <v>9.64E-2</v>
      </c>
    </row>
    <row r="142" spans="1:5" x14ac:dyDescent="0.2">
      <c r="A142" s="56"/>
      <c r="B142" s="56"/>
      <c r="C142" s="52">
        <v>0.42</v>
      </c>
      <c r="D142" s="52">
        <f t="shared" si="3"/>
        <v>9.8799999999999999E-2</v>
      </c>
      <c r="E142" s="52">
        <f t="shared" si="3"/>
        <v>9.8799999999999999E-2</v>
      </c>
    </row>
    <row r="143" spans="1:5" x14ac:dyDescent="0.2">
      <c r="A143" s="56"/>
      <c r="B143" s="56"/>
      <c r="C143" s="52">
        <v>0.43</v>
      </c>
      <c r="D143" s="52">
        <f t="shared" si="3"/>
        <v>0.1012</v>
      </c>
      <c r="E143" s="52">
        <f t="shared" si="3"/>
        <v>0.1012</v>
      </c>
    </row>
    <row r="144" spans="1:5" x14ac:dyDescent="0.2">
      <c r="A144" s="56"/>
      <c r="B144" s="56"/>
      <c r="C144" s="52">
        <v>0.44</v>
      </c>
      <c r="D144" s="52">
        <f t="shared" si="3"/>
        <v>0.1036</v>
      </c>
      <c r="E144" s="52">
        <f t="shared" si="3"/>
        <v>0.1036</v>
      </c>
    </row>
    <row r="145" spans="1:5" x14ac:dyDescent="0.2">
      <c r="A145" s="56"/>
      <c r="B145" s="56"/>
      <c r="C145" s="52">
        <v>0.45</v>
      </c>
      <c r="D145" s="52">
        <f t="shared" si="3"/>
        <v>0.106</v>
      </c>
      <c r="E145" s="52">
        <f t="shared" si="3"/>
        <v>0.106</v>
      </c>
    </row>
    <row r="146" spans="1:5" x14ac:dyDescent="0.2">
      <c r="A146" s="56"/>
      <c r="B146" s="56"/>
      <c r="C146" s="52">
        <v>0.46</v>
      </c>
      <c r="D146" s="52">
        <f t="shared" si="3"/>
        <v>0.1084</v>
      </c>
      <c r="E146" s="52">
        <f t="shared" si="3"/>
        <v>0.1084</v>
      </c>
    </row>
    <row r="147" spans="1:5" x14ac:dyDescent="0.2">
      <c r="A147" s="56"/>
      <c r="B147" s="56"/>
      <c r="C147" s="52">
        <v>0.47</v>
      </c>
      <c r="D147" s="52">
        <f t="shared" si="3"/>
        <v>0.1108</v>
      </c>
      <c r="E147" s="52">
        <f t="shared" si="3"/>
        <v>0.1108</v>
      </c>
    </row>
    <row r="148" spans="1:5" x14ac:dyDescent="0.2">
      <c r="A148" s="56"/>
      <c r="B148" s="56"/>
      <c r="C148" s="52">
        <v>0.48</v>
      </c>
      <c r="D148" s="52">
        <f t="shared" si="3"/>
        <v>0.1132</v>
      </c>
      <c r="E148" s="52">
        <f t="shared" si="3"/>
        <v>0.1132</v>
      </c>
    </row>
    <row r="149" spans="1:5" x14ac:dyDescent="0.2">
      <c r="A149" s="56"/>
      <c r="B149" s="56"/>
      <c r="C149" s="52">
        <v>0.49</v>
      </c>
      <c r="D149" s="52">
        <f t="shared" si="3"/>
        <v>0.11559999999999999</v>
      </c>
      <c r="E149" s="52">
        <f t="shared" si="3"/>
        <v>0.11559999999999999</v>
      </c>
    </row>
    <row r="150" spans="1:5" x14ac:dyDescent="0.2">
      <c r="A150" s="56"/>
      <c r="B150" s="56"/>
      <c r="C150" s="52">
        <v>0.5</v>
      </c>
      <c r="D150" s="52">
        <f t="shared" si="3"/>
        <v>0.11799999999999999</v>
      </c>
      <c r="E150" s="52">
        <f t="shared" si="3"/>
        <v>0.11799999999999999</v>
      </c>
    </row>
    <row r="151" spans="1:5" x14ac:dyDescent="0.2">
      <c r="A151" s="56"/>
      <c r="B151" s="56"/>
      <c r="C151" s="52">
        <v>0.51</v>
      </c>
      <c r="D151" s="52">
        <f t="shared" si="3"/>
        <v>0.12039999999999999</v>
      </c>
      <c r="E151" s="52">
        <f t="shared" si="3"/>
        <v>0.12039999999999999</v>
      </c>
    </row>
    <row r="152" spans="1:5" x14ac:dyDescent="0.2">
      <c r="A152" s="56"/>
      <c r="B152" s="56"/>
      <c r="C152" s="52">
        <v>0.52</v>
      </c>
      <c r="D152" s="52">
        <f t="shared" si="3"/>
        <v>0.12279999999999999</v>
      </c>
      <c r="E152" s="52">
        <f t="shared" si="3"/>
        <v>0.12279999999999999</v>
      </c>
    </row>
    <row r="153" spans="1:5" x14ac:dyDescent="0.2">
      <c r="A153" s="56"/>
      <c r="B153" s="56"/>
      <c r="C153" s="52">
        <v>0.53</v>
      </c>
      <c r="D153" s="52">
        <f t="shared" si="3"/>
        <v>0.12520000000000001</v>
      </c>
      <c r="E153" s="52">
        <f t="shared" si="3"/>
        <v>0.12520000000000001</v>
      </c>
    </row>
    <row r="154" spans="1:5" x14ac:dyDescent="0.2">
      <c r="A154" s="56"/>
      <c r="B154" s="56"/>
      <c r="C154" s="52">
        <v>0.54</v>
      </c>
      <c r="D154" s="52">
        <f t="shared" si="3"/>
        <v>0.12760000000000002</v>
      </c>
      <c r="E154" s="52">
        <f t="shared" si="3"/>
        <v>0.12760000000000002</v>
      </c>
    </row>
    <row r="155" spans="1:5" x14ac:dyDescent="0.2">
      <c r="A155" s="105"/>
      <c r="B155" s="106"/>
      <c r="C155" s="52">
        <v>0.55000000000000004</v>
      </c>
      <c r="D155" s="52">
        <f t="shared" si="3"/>
        <v>0.13000000000000003</v>
      </c>
      <c r="E155" s="52">
        <f t="shared" si="3"/>
        <v>0.13000000000000003</v>
      </c>
    </row>
    <row r="156" spans="1:5" x14ac:dyDescent="0.2">
      <c r="A156" s="56"/>
      <c r="B156" s="56"/>
      <c r="C156" s="52">
        <v>0.56000000000000005</v>
      </c>
      <c r="D156" s="52">
        <f t="shared" si="3"/>
        <v>0.13240000000000005</v>
      </c>
      <c r="E156" s="52">
        <f t="shared" si="3"/>
        <v>0.13240000000000005</v>
      </c>
    </row>
    <row r="157" spans="1:5" x14ac:dyDescent="0.2">
      <c r="A157" s="56"/>
      <c r="B157" s="56"/>
      <c r="C157" s="52">
        <v>0.56999999999999995</v>
      </c>
      <c r="D157" s="52">
        <f t="shared" si="3"/>
        <v>0.13480000000000006</v>
      </c>
      <c r="E157" s="52">
        <f t="shared" si="3"/>
        <v>0.13480000000000006</v>
      </c>
    </row>
    <row r="158" spans="1:5" x14ac:dyDescent="0.2">
      <c r="A158" s="56"/>
      <c r="B158" s="56"/>
      <c r="C158" s="52">
        <v>0.57999999999999996</v>
      </c>
      <c r="D158" s="52">
        <f t="shared" si="3"/>
        <v>0.13720000000000007</v>
      </c>
      <c r="E158" s="52">
        <f t="shared" si="3"/>
        <v>0.13720000000000007</v>
      </c>
    </row>
    <row r="159" spans="1:5" x14ac:dyDescent="0.2">
      <c r="A159" s="56"/>
      <c r="B159" s="56"/>
      <c r="C159" s="52">
        <v>0.59</v>
      </c>
      <c r="D159" s="52">
        <f t="shared" si="3"/>
        <v>0.13960000000000009</v>
      </c>
      <c r="E159" s="52">
        <f t="shared" si="3"/>
        <v>0.13960000000000009</v>
      </c>
    </row>
    <row r="160" spans="1:5" x14ac:dyDescent="0.2">
      <c r="A160" s="56"/>
      <c r="B160" s="106"/>
      <c r="C160" s="52">
        <v>0.6</v>
      </c>
      <c r="D160" s="52">
        <f t="shared" si="3"/>
        <v>0.1420000000000001</v>
      </c>
      <c r="E160" s="52">
        <f t="shared" si="3"/>
        <v>0.1420000000000001</v>
      </c>
    </row>
    <row r="161" spans="1:5" x14ac:dyDescent="0.2">
      <c r="A161" s="56"/>
      <c r="B161" s="56"/>
      <c r="C161" s="52">
        <v>0.61</v>
      </c>
      <c r="D161" s="52">
        <f t="shared" si="3"/>
        <v>0.14440000000000011</v>
      </c>
      <c r="E161" s="52">
        <f t="shared" si="3"/>
        <v>0.14440000000000011</v>
      </c>
    </row>
    <row r="162" spans="1:5" x14ac:dyDescent="0.2">
      <c r="A162" s="56"/>
      <c r="B162" s="56"/>
      <c r="C162" s="52">
        <v>0.62</v>
      </c>
      <c r="D162" s="52">
        <f t="shared" si="3"/>
        <v>0.14680000000000012</v>
      </c>
      <c r="E162" s="52">
        <f t="shared" si="3"/>
        <v>0.14680000000000012</v>
      </c>
    </row>
    <row r="163" spans="1:5" x14ac:dyDescent="0.2">
      <c r="A163" s="56"/>
      <c r="B163" s="56"/>
      <c r="C163" s="52">
        <v>0.63</v>
      </c>
      <c r="D163" s="52">
        <f t="shared" si="3"/>
        <v>0.14920000000000014</v>
      </c>
      <c r="E163" s="52">
        <f t="shared" si="3"/>
        <v>0.14920000000000014</v>
      </c>
    </row>
    <row r="164" spans="1:5" x14ac:dyDescent="0.2">
      <c r="A164" s="56"/>
      <c r="B164" s="56"/>
      <c r="C164" s="52">
        <v>0.64</v>
      </c>
      <c r="D164" s="52">
        <f t="shared" si="3"/>
        <v>0.15160000000000015</v>
      </c>
      <c r="E164" s="52">
        <f t="shared" si="3"/>
        <v>0.15160000000000015</v>
      </c>
    </row>
    <row r="165" spans="1:5" x14ac:dyDescent="0.2">
      <c r="A165" s="107"/>
      <c r="B165" s="108"/>
      <c r="C165" s="52">
        <v>0.65</v>
      </c>
      <c r="D165" s="52">
        <f t="shared" si="3"/>
        <v>0.15400000000000016</v>
      </c>
      <c r="E165" s="52">
        <f t="shared" si="3"/>
        <v>0.15400000000000016</v>
      </c>
    </row>
    <row r="166" spans="1:5" x14ac:dyDescent="0.2">
      <c r="A166" s="56"/>
      <c r="B166" s="106"/>
      <c r="C166" s="109">
        <v>0.66</v>
      </c>
      <c r="D166" s="109">
        <f>(D165+0.0026)</f>
        <v>0.15660000000000016</v>
      </c>
      <c r="E166" s="109">
        <f>(E165+0.0026)</f>
        <v>0.15660000000000016</v>
      </c>
    </row>
    <row r="167" spans="1:5" x14ac:dyDescent="0.2">
      <c r="A167" s="56"/>
      <c r="B167" s="106"/>
      <c r="C167" s="52">
        <v>0.67</v>
      </c>
      <c r="D167" s="52">
        <f t="shared" ref="D167:E174" si="4">(D166+0.0026)</f>
        <v>0.15920000000000015</v>
      </c>
      <c r="E167" s="52">
        <f t="shared" si="4"/>
        <v>0.15920000000000015</v>
      </c>
    </row>
    <row r="168" spans="1:5" x14ac:dyDescent="0.2">
      <c r="A168" s="56"/>
      <c r="B168" s="106"/>
      <c r="C168" s="52">
        <v>0.68</v>
      </c>
      <c r="D168" s="52">
        <f t="shared" si="4"/>
        <v>0.16180000000000014</v>
      </c>
      <c r="E168" s="52">
        <f t="shared" si="4"/>
        <v>0.16180000000000014</v>
      </c>
    </row>
    <row r="169" spans="1:5" x14ac:dyDescent="0.2">
      <c r="A169" s="56"/>
      <c r="B169" s="106"/>
      <c r="C169" s="52">
        <v>0.69</v>
      </c>
      <c r="D169" s="52">
        <f t="shared" si="4"/>
        <v>0.16440000000000013</v>
      </c>
      <c r="E169" s="52">
        <f t="shared" si="4"/>
        <v>0.16440000000000013</v>
      </c>
    </row>
    <row r="170" spans="1:5" x14ac:dyDescent="0.2">
      <c r="A170" s="56"/>
      <c r="B170" s="106"/>
      <c r="C170" s="52">
        <v>0.7</v>
      </c>
      <c r="D170" s="52">
        <f t="shared" si="4"/>
        <v>0.16700000000000012</v>
      </c>
      <c r="E170" s="52">
        <f t="shared" si="4"/>
        <v>0.16700000000000012</v>
      </c>
    </row>
    <row r="171" spans="1:5" x14ac:dyDescent="0.2">
      <c r="A171" s="56"/>
      <c r="B171" s="106"/>
      <c r="C171" s="52">
        <v>0.71</v>
      </c>
      <c r="D171" s="52">
        <f t="shared" si="4"/>
        <v>0.16960000000000011</v>
      </c>
      <c r="E171" s="52">
        <f t="shared" si="4"/>
        <v>0.16960000000000011</v>
      </c>
    </row>
    <row r="172" spans="1:5" x14ac:dyDescent="0.2">
      <c r="A172" s="56"/>
      <c r="B172" s="106"/>
      <c r="C172" s="52">
        <v>0.72</v>
      </c>
      <c r="D172" s="52">
        <f t="shared" si="4"/>
        <v>0.1722000000000001</v>
      </c>
      <c r="E172" s="52">
        <f t="shared" si="4"/>
        <v>0.1722000000000001</v>
      </c>
    </row>
    <row r="173" spans="1:5" x14ac:dyDescent="0.2">
      <c r="A173" s="56"/>
      <c r="B173" s="106"/>
      <c r="C173" s="52">
        <v>0.73</v>
      </c>
      <c r="D173" s="52">
        <f t="shared" si="4"/>
        <v>0.17480000000000009</v>
      </c>
      <c r="E173" s="52">
        <f t="shared" si="4"/>
        <v>0.17480000000000009</v>
      </c>
    </row>
    <row r="174" spans="1:5" x14ac:dyDescent="0.2">
      <c r="A174" s="56"/>
      <c r="B174" s="106"/>
      <c r="C174" s="52">
        <v>0.74</v>
      </c>
      <c r="D174" s="52">
        <f t="shared" si="4"/>
        <v>0.17740000000000009</v>
      </c>
      <c r="E174" s="52">
        <f t="shared" si="4"/>
        <v>0.17740000000000009</v>
      </c>
    </row>
    <row r="175" spans="1:5" x14ac:dyDescent="0.2">
      <c r="A175" s="105"/>
      <c r="B175" s="106"/>
      <c r="C175" s="52">
        <v>0.75</v>
      </c>
      <c r="D175" s="52">
        <v>0.17899999999999999</v>
      </c>
      <c r="E175" s="52">
        <v>0.17899999999999999</v>
      </c>
    </row>
    <row r="176" spans="1:5" x14ac:dyDescent="0.2">
      <c r="A176" s="56"/>
      <c r="B176" s="106"/>
      <c r="C176" s="52">
        <v>0.76</v>
      </c>
      <c r="D176" s="52">
        <f t="shared" ref="D176:E180" si="5">(D175+0.0024)</f>
        <v>0.18140000000000001</v>
      </c>
      <c r="E176" s="52">
        <f t="shared" si="5"/>
        <v>0.18140000000000001</v>
      </c>
    </row>
    <row r="177" spans="1:5" x14ac:dyDescent="0.2">
      <c r="A177" s="56"/>
      <c r="B177" s="106"/>
      <c r="C177" s="52">
        <v>0.77</v>
      </c>
      <c r="D177" s="52">
        <f t="shared" si="5"/>
        <v>0.18380000000000002</v>
      </c>
      <c r="E177" s="52">
        <f t="shared" si="5"/>
        <v>0.18380000000000002</v>
      </c>
    </row>
    <row r="178" spans="1:5" x14ac:dyDescent="0.2">
      <c r="A178" s="56"/>
      <c r="B178" s="106"/>
      <c r="C178" s="52">
        <v>0.78</v>
      </c>
      <c r="D178" s="52">
        <f t="shared" si="5"/>
        <v>0.18620000000000003</v>
      </c>
      <c r="E178" s="52">
        <f t="shared" si="5"/>
        <v>0.18620000000000003</v>
      </c>
    </row>
    <row r="179" spans="1:5" x14ac:dyDescent="0.2">
      <c r="A179" s="56"/>
      <c r="B179" s="106"/>
      <c r="C179" s="52">
        <v>0.79</v>
      </c>
      <c r="D179" s="52">
        <f t="shared" si="5"/>
        <v>0.18860000000000005</v>
      </c>
      <c r="E179" s="52">
        <f t="shared" si="5"/>
        <v>0.18860000000000005</v>
      </c>
    </row>
    <row r="180" spans="1:5" x14ac:dyDescent="0.2">
      <c r="A180" s="56"/>
      <c r="B180" s="106"/>
      <c r="C180" s="52">
        <v>0.8</v>
      </c>
      <c r="D180" s="52">
        <f t="shared" si="5"/>
        <v>0.19100000000000006</v>
      </c>
      <c r="E180" s="52">
        <f t="shared" si="5"/>
        <v>0.19100000000000006</v>
      </c>
    </row>
    <row r="181" spans="1:5" x14ac:dyDescent="0.2">
      <c r="A181" s="56"/>
      <c r="B181" s="106"/>
      <c r="C181" s="109">
        <v>0.81</v>
      </c>
      <c r="D181" s="109">
        <f t="shared" ref="D181:E185" si="6">(D180+0.0026)</f>
        <v>0.19360000000000005</v>
      </c>
      <c r="E181" s="109">
        <f t="shared" si="6"/>
        <v>0.19360000000000005</v>
      </c>
    </row>
    <row r="182" spans="1:5" x14ac:dyDescent="0.2">
      <c r="A182" s="56"/>
      <c r="B182" s="106"/>
      <c r="C182" s="52">
        <v>0.82</v>
      </c>
      <c r="D182" s="52">
        <f t="shared" si="6"/>
        <v>0.19620000000000004</v>
      </c>
      <c r="E182" s="52">
        <f t="shared" si="6"/>
        <v>0.19620000000000004</v>
      </c>
    </row>
    <row r="183" spans="1:5" x14ac:dyDescent="0.2">
      <c r="A183" s="56"/>
      <c r="B183" s="106"/>
      <c r="C183" s="52">
        <v>0.83</v>
      </c>
      <c r="D183" s="52">
        <f t="shared" si="6"/>
        <v>0.19880000000000003</v>
      </c>
      <c r="E183" s="52">
        <f t="shared" si="6"/>
        <v>0.19880000000000003</v>
      </c>
    </row>
    <row r="184" spans="1:5" x14ac:dyDescent="0.2">
      <c r="A184" s="56"/>
      <c r="B184" s="106"/>
      <c r="C184" s="52">
        <v>0.84</v>
      </c>
      <c r="D184" s="52">
        <f t="shared" si="6"/>
        <v>0.20140000000000002</v>
      </c>
      <c r="E184" s="52">
        <f t="shared" si="6"/>
        <v>0.20140000000000002</v>
      </c>
    </row>
    <row r="185" spans="1:5" x14ac:dyDescent="0.2">
      <c r="A185" s="105"/>
      <c r="B185" s="106"/>
      <c r="C185" s="52">
        <v>0.85</v>
      </c>
      <c r="D185" s="52">
        <f t="shared" si="6"/>
        <v>0.20400000000000001</v>
      </c>
      <c r="E185" s="52">
        <f t="shared" si="6"/>
        <v>0.20400000000000001</v>
      </c>
    </row>
    <row r="186" spans="1:5" x14ac:dyDescent="0.2">
      <c r="A186" s="56"/>
      <c r="B186" s="106"/>
      <c r="C186" s="52">
        <v>0.86</v>
      </c>
      <c r="D186" s="52">
        <f t="shared" ref="D186:E190" si="7">(D185+0.0024)</f>
        <v>0.20640000000000003</v>
      </c>
      <c r="E186" s="52">
        <f t="shared" si="7"/>
        <v>0.20640000000000003</v>
      </c>
    </row>
    <row r="187" spans="1:5" x14ac:dyDescent="0.2">
      <c r="A187" s="56"/>
      <c r="B187" s="106"/>
      <c r="C187" s="52">
        <v>0.87</v>
      </c>
      <c r="D187" s="52">
        <f t="shared" si="7"/>
        <v>0.20880000000000004</v>
      </c>
      <c r="E187" s="52">
        <f t="shared" si="7"/>
        <v>0.20880000000000004</v>
      </c>
    </row>
    <row r="188" spans="1:5" x14ac:dyDescent="0.2">
      <c r="A188" s="56"/>
      <c r="B188" s="106"/>
      <c r="C188" s="52">
        <v>0.88</v>
      </c>
      <c r="D188" s="52">
        <f t="shared" si="7"/>
        <v>0.21120000000000005</v>
      </c>
      <c r="E188" s="52">
        <f t="shared" si="7"/>
        <v>0.21120000000000005</v>
      </c>
    </row>
    <row r="189" spans="1:5" x14ac:dyDescent="0.2">
      <c r="A189" s="56"/>
      <c r="B189" s="106"/>
      <c r="C189" s="52">
        <v>0.89</v>
      </c>
      <c r="D189" s="52">
        <f t="shared" si="7"/>
        <v>0.21360000000000007</v>
      </c>
      <c r="E189" s="52">
        <f t="shared" si="7"/>
        <v>0.21360000000000007</v>
      </c>
    </row>
    <row r="190" spans="1:5" x14ac:dyDescent="0.2">
      <c r="A190" s="104"/>
      <c r="B190" s="104"/>
      <c r="C190" s="52">
        <v>0.9</v>
      </c>
      <c r="D190" s="52">
        <f t="shared" si="7"/>
        <v>0.21600000000000008</v>
      </c>
      <c r="E190" s="52">
        <f t="shared" si="7"/>
        <v>0.21600000000000008</v>
      </c>
    </row>
    <row r="191" spans="1:5" x14ac:dyDescent="0.2">
      <c r="A191" s="56"/>
      <c r="B191" s="106"/>
      <c r="C191" s="52">
        <v>0.91</v>
      </c>
      <c r="D191" s="52">
        <f>(D190+0.0026)</f>
        <v>0.21860000000000007</v>
      </c>
      <c r="E191" s="52">
        <f>(E190+0.0026)</f>
        <v>0.21860000000000007</v>
      </c>
    </row>
    <row r="192" spans="1:5" x14ac:dyDescent="0.2">
      <c r="A192" s="56"/>
      <c r="B192" s="106"/>
      <c r="C192" s="52">
        <v>0.92</v>
      </c>
      <c r="D192" s="52">
        <f t="shared" ref="D192:E205" si="8">(D191+0.0026)</f>
        <v>0.22120000000000006</v>
      </c>
      <c r="E192" s="52">
        <f t="shared" si="8"/>
        <v>0.22120000000000006</v>
      </c>
    </row>
    <row r="193" spans="1:5" x14ac:dyDescent="0.2">
      <c r="A193" s="56"/>
      <c r="B193" s="106"/>
      <c r="C193" s="52">
        <v>0.93</v>
      </c>
      <c r="D193" s="52">
        <f t="shared" si="8"/>
        <v>0.22380000000000005</v>
      </c>
      <c r="E193" s="52">
        <f t="shared" si="8"/>
        <v>0.22380000000000005</v>
      </c>
    </row>
    <row r="194" spans="1:5" x14ac:dyDescent="0.2">
      <c r="A194" s="56"/>
      <c r="B194" s="106"/>
      <c r="C194" s="52">
        <v>0.94</v>
      </c>
      <c r="D194" s="52">
        <f t="shared" si="8"/>
        <v>0.22640000000000005</v>
      </c>
      <c r="E194" s="52">
        <f t="shared" si="8"/>
        <v>0.22640000000000005</v>
      </c>
    </row>
    <row r="195" spans="1:5" x14ac:dyDescent="0.2">
      <c r="A195" s="105"/>
      <c r="B195" s="106"/>
      <c r="C195" s="52">
        <v>0.95</v>
      </c>
      <c r="D195" s="52">
        <f t="shared" si="8"/>
        <v>0.22900000000000004</v>
      </c>
      <c r="E195" s="52">
        <f t="shared" si="8"/>
        <v>0.22900000000000004</v>
      </c>
    </row>
    <row r="196" spans="1:5" x14ac:dyDescent="0.2">
      <c r="A196" s="56"/>
      <c r="B196" s="106"/>
      <c r="C196" s="52">
        <v>0.96</v>
      </c>
      <c r="D196" s="52">
        <f t="shared" si="8"/>
        <v>0.23160000000000003</v>
      </c>
      <c r="E196" s="52">
        <f t="shared" si="8"/>
        <v>0.23160000000000003</v>
      </c>
    </row>
    <row r="197" spans="1:5" x14ac:dyDescent="0.2">
      <c r="A197" s="56"/>
      <c r="B197" s="106"/>
      <c r="C197" s="52">
        <v>0.97</v>
      </c>
      <c r="D197" s="52">
        <f t="shared" si="8"/>
        <v>0.23420000000000002</v>
      </c>
      <c r="E197" s="52">
        <f t="shared" si="8"/>
        <v>0.23420000000000002</v>
      </c>
    </row>
    <row r="198" spans="1:5" x14ac:dyDescent="0.2">
      <c r="A198" s="56"/>
      <c r="B198" s="106"/>
      <c r="C198" s="52">
        <v>0.98</v>
      </c>
      <c r="D198" s="52">
        <f t="shared" si="8"/>
        <v>0.23680000000000001</v>
      </c>
      <c r="E198" s="52">
        <f t="shared" si="8"/>
        <v>0.23680000000000001</v>
      </c>
    </row>
    <row r="199" spans="1:5" x14ac:dyDescent="0.2">
      <c r="A199" s="56"/>
      <c r="B199" s="106"/>
      <c r="C199" s="52">
        <v>0.99</v>
      </c>
      <c r="D199" s="52">
        <f t="shared" si="8"/>
        <v>0.2394</v>
      </c>
      <c r="E199" s="52">
        <f t="shared" si="8"/>
        <v>0.2394</v>
      </c>
    </row>
    <row r="200" spans="1:5" x14ac:dyDescent="0.2">
      <c r="A200" s="56"/>
      <c r="B200" s="106"/>
      <c r="C200" s="52">
        <v>1</v>
      </c>
      <c r="D200" s="52">
        <f t="shared" si="8"/>
        <v>0.24199999999999999</v>
      </c>
      <c r="E200" s="52">
        <f t="shared" si="8"/>
        <v>0.24199999999999999</v>
      </c>
    </row>
    <row r="201" spans="1:5" x14ac:dyDescent="0.2">
      <c r="A201" s="56"/>
      <c r="B201" s="106"/>
      <c r="C201" s="52">
        <v>1.01</v>
      </c>
      <c r="D201" s="52">
        <f t="shared" si="8"/>
        <v>0.24459999999999998</v>
      </c>
      <c r="E201" s="52">
        <f t="shared" si="8"/>
        <v>0.24459999999999998</v>
      </c>
    </row>
    <row r="202" spans="1:5" x14ac:dyDescent="0.2">
      <c r="A202" s="56"/>
      <c r="B202" s="106"/>
      <c r="C202" s="52">
        <v>1.02</v>
      </c>
      <c r="D202" s="52">
        <f t="shared" si="8"/>
        <v>0.24719999999999998</v>
      </c>
      <c r="E202" s="52">
        <f t="shared" si="8"/>
        <v>0.24719999999999998</v>
      </c>
    </row>
    <row r="203" spans="1:5" x14ac:dyDescent="0.2">
      <c r="A203" s="56"/>
      <c r="B203" s="106"/>
      <c r="C203" s="52">
        <v>1.03</v>
      </c>
      <c r="D203" s="52">
        <f t="shared" si="8"/>
        <v>0.24979999999999997</v>
      </c>
      <c r="E203" s="52">
        <f t="shared" si="8"/>
        <v>0.24979999999999997</v>
      </c>
    </row>
    <row r="204" spans="1:5" x14ac:dyDescent="0.2">
      <c r="A204" s="56"/>
      <c r="B204" s="106"/>
      <c r="C204" s="52">
        <v>1.04</v>
      </c>
      <c r="D204" s="52">
        <f t="shared" si="8"/>
        <v>0.25239999999999996</v>
      </c>
      <c r="E204" s="52">
        <f t="shared" si="8"/>
        <v>0.25239999999999996</v>
      </c>
    </row>
    <row r="205" spans="1:5" x14ac:dyDescent="0.2">
      <c r="A205" s="105"/>
      <c r="B205" s="106"/>
      <c r="C205" s="52">
        <v>1.05</v>
      </c>
      <c r="D205" s="52">
        <f t="shared" si="8"/>
        <v>0.25499999999999995</v>
      </c>
      <c r="E205" s="52">
        <f t="shared" si="8"/>
        <v>0.25499999999999995</v>
      </c>
    </row>
    <row r="206" spans="1:5" x14ac:dyDescent="0.2">
      <c r="A206" s="56"/>
      <c r="B206" s="106"/>
      <c r="C206" s="52">
        <v>1.06</v>
      </c>
      <c r="D206" s="52">
        <f t="shared" ref="D206:E210" si="9">(D205+0.0024)</f>
        <v>0.25739999999999996</v>
      </c>
      <c r="E206" s="52">
        <f t="shared" si="9"/>
        <v>0.25739999999999996</v>
      </c>
    </row>
    <row r="207" spans="1:5" x14ac:dyDescent="0.2">
      <c r="A207" s="56"/>
      <c r="B207" s="106"/>
      <c r="C207" s="52">
        <v>1.07</v>
      </c>
      <c r="D207" s="52">
        <f t="shared" si="9"/>
        <v>0.25979999999999998</v>
      </c>
      <c r="E207" s="52">
        <f t="shared" si="9"/>
        <v>0.25979999999999998</v>
      </c>
    </row>
    <row r="208" spans="1:5" x14ac:dyDescent="0.2">
      <c r="A208" s="56"/>
      <c r="B208" s="106"/>
      <c r="C208" s="52">
        <v>1.08</v>
      </c>
      <c r="D208" s="52">
        <f t="shared" si="9"/>
        <v>0.26219999999999999</v>
      </c>
      <c r="E208" s="52">
        <f t="shared" si="9"/>
        <v>0.26219999999999999</v>
      </c>
    </row>
    <row r="209" spans="1:5" x14ac:dyDescent="0.2">
      <c r="A209" s="56"/>
      <c r="B209" s="106"/>
      <c r="C209" s="52">
        <v>1.0900000000000001</v>
      </c>
      <c r="D209" s="52">
        <f t="shared" si="9"/>
        <v>0.2646</v>
      </c>
      <c r="E209" s="52">
        <f t="shared" si="9"/>
        <v>0.2646</v>
      </c>
    </row>
    <row r="210" spans="1:5" x14ac:dyDescent="0.2">
      <c r="A210" s="56"/>
      <c r="B210" s="106"/>
      <c r="C210" s="52">
        <v>1.1000000000000001</v>
      </c>
      <c r="D210" s="52">
        <f t="shared" si="9"/>
        <v>0.26700000000000002</v>
      </c>
      <c r="E210" s="52">
        <f t="shared" si="9"/>
        <v>0.26700000000000002</v>
      </c>
    </row>
    <row r="211" spans="1:5" x14ac:dyDescent="0.2">
      <c r="A211" s="56"/>
      <c r="B211" s="110"/>
      <c r="C211" s="52">
        <v>1.1100000000000001</v>
      </c>
      <c r="D211" s="52">
        <f>(D210+0.0026)</f>
        <v>0.26960000000000001</v>
      </c>
      <c r="E211" s="52">
        <f>(E210+0.0026)</f>
        <v>0.26960000000000001</v>
      </c>
    </row>
    <row r="212" spans="1:5" x14ac:dyDescent="0.2">
      <c r="A212" s="56"/>
      <c r="B212" s="106"/>
      <c r="C212" s="52">
        <v>1.1200000000000001</v>
      </c>
      <c r="D212" s="52">
        <f t="shared" ref="D212:E224" si="10">(D211+0.0026)</f>
        <v>0.2722</v>
      </c>
      <c r="E212" s="52">
        <f t="shared" si="10"/>
        <v>0.2722</v>
      </c>
    </row>
    <row r="213" spans="1:5" x14ac:dyDescent="0.2">
      <c r="A213" s="56"/>
      <c r="B213" s="106"/>
      <c r="C213" s="52">
        <v>1.1299999999999999</v>
      </c>
      <c r="D213" s="52">
        <f t="shared" si="10"/>
        <v>0.27479999999999999</v>
      </c>
      <c r="E213" s="52">
        <f t="shared" si="10"/>
        <v>0.27479999999999999</v>
      </c>
    </row>
    <row r="214" spans="1:5" x14ac:dyDescent="0.2">
      <c r="A214" s="56"/>
      <c r="B214" s="110"/>
      <c r="C214" s="52">
        <v>1.1399999999999999</v>
      </c>
      <c r="D214" s="52">
        <f t="shared" si="10"/>
        <v>0.27739999999999998</v>
      </c>
      <c r="E214" s="52">
        <f t="shared" si="10"/>
        <v>0.27739999999999998</v>
      </c>
    </row>
    <row r="215" spans="1:5" x14ac:dyDescent="0.2">
      <c r="A215" s="104"/>
      <c r="B215" s="104"/>
      <c r="C215" s="52">
        <v>1.1499999999999999</v>
      </c>
      <c r="D215" s="52">
        <f t="shared" si="10"/>
        <v>0.27999999999999997</v>
      </c>
      <c r="E215" s="52">
        <f t="shared" si="10"/>
        <v>0.27999999999999997</v>
      </c>
    </row>
    <row r="216" spans="1:5" x14ac:dyDescent="0.2">
      <c r="A216" s="52"/>
      <c r="B216" s="52"/>
      <c r="C216" s="52">
        <v>1.1599999999999999</v>
      </c>
      <c r="D216" s="52">
        <f t="shared" si="10"/>
        <v>0.28259999999999996</v>
      </c>
      <c r="E216" s="52">
        <f t="shared" si="10"/>
        <v>0.28259999999999996</v>
      </c>
    </row>
    <row r="217" spans="1:5" x14ac:dyDescent="0.2">
      <c r="A217" s="52"/>
      <c r="B217" s="52"/>
      <c r="C217" s="52">
        <v>1.17</v>
      </c>
      <c r="D217" s="52">
        <f t="shared" si="10"/>
        <v>0.28519999999999995</v>
      </c>
      <c r="E217" s="52">
        <f t="shared" si="10"/>
        <v>0.28519999999999995</v>
      </c>
    </row>
    <row r="218" spans="1:5" x14ac:dyDescent="0.2">
      <c r="A218" s="52"/>
      <c r="B218" s="52"/>
      <c r="C218" s="52">
        <v>1.18</v>
      </c>
      <c r="D218" s="52">
        <f t="shared" si="10"/>
        <v>0.28779999999999994</v>
      </c>
      <c r="E218" s="52">
        <f t="shared" si="10"/>
        <v>0.28779999999999994</v>
      </c>
    </row>
    <row r="219" spans="1:5" x14ac:dyDescent="0.2">
      <c r="A219" s="52"/>
      <c r="B219" s="52"/>
      <c r="C219" s="52">
        <v>1.19</v>
      </c>
      <c r="D219" s="52">
        <f t="shared" si="10"/>
        <v>0.29039999999999994</v>
      </c>
      <c r="E219" s="52">
        <f t="shared" si="10"/>
        <v>0.29039999999999994</v>
      </c>
    </row>
    <row r="220" spans="1:5" x14ac:dyDescent="0.2">
      <c r="A220" s="52"/>
      <c r="B220" s="52"/>
      <c r="C220" s="52">
        <v>1.2</v>
      </c>
      <c r="D220" s="52">
        <f t="shared" si="10"/>
        <v>0.29299999999999993</v>
      </c>
      <c r="E220" s="52">
        <f t="shared" si="10"/>
        <v>0.29299999999999993</v>
      </c>
    </row>
    <row r="221" spans="1:5" x14ac:dyDescent="0.2">
      <c r="A221" s="52"/>
      <c r="B221" s="52"/>
      <c r="C221" s="52">
        <v>1.21</v>
      </c>
      <c r="D221" s="52">
        <f t="shared" si="10"/>
        <v>0.29559999999999992</v>
      </c>
      <c r="E221" s="52">
        <f t="shared" si="10"/>
        <v>0.29559999999999992</v>
      </c>
    </row>
    <row r="222" spans="1:5" x14ac:dyDescent="0.2">
      <c r="A222" s="52"/>
      <c r="B222" s="52"/>
      <c r="C222" s="52">
        <v>1.22</v>
      </c>
      <c r="D222" s="52">
        <f t="shared" si="10"/>
        <v>0.29819999999999991</v>
      </c>
      <c r="E222" s="52">
        <f t="shared" si="10"/>
        <v>0.29819999999999991</v>
      </c>
    </row>
    <row r="223" spans="1:5" x14ac:dyDescent="0.2">
      <c r="A223" s="52"/>
      <c r="B223" s="52"/>
      <c r="C223" s="52">
        <v>1.23</v>
      </c>
      <c r="D223" s="52">
        <f t="shared" si="10"/>
        <v>0.3007999999999999</v>
      </c>
      <c r="E223" s="52">
        <f t="shared" si="10"/>
        <v>0.3007999999999999</v>
      </c>
    </row>
    <row r="224" spans="1:5" x14ac:dyDescent="0.2">
      <c r="A224" s="52"/>
      <c r="B224" s="52"/>
      <c r="C224" s="52">
        <v>1.24</v>
      </c>
      <c r="D224" s="52">
        <f t="shared" si="10"/>
        <v>0.30339999999999989</v>
      </c>
      <c r="E224" s="52">
        <f t="shared" si="10"/>
        <v>0.30339999999999989</v>
      </c>
    </row>
    <row r="225" spans="1:5" x14ac:dyDescent="0.2">
      <c r="A225" s="52"/>
      <c r="B225" s="52"/>
      <c r="C225" s="52">
        <v>1.25</v>
      </c>
      <c r="D225" s="52">
        <f>(D224+0.0026)</f>
        <v>0.30599999999999988</v>
      </c>
      <c r="E225" s="52">
        <f>(E224+0.0026)</f>
        <v>0.30599999999999988</v>
      </c>
    </row>
    <row r="226" spans="1:5" x14ac:dyDescent="0.2">
      <c r="A226" s="52"/>
      <c r="B226" s="52"/>
      <c r="C226" s="52">
        <v>1.26</v>
      </c>
      <c r="D226" s="52">
        <f t="shared" ref="D226:E230" si="11">(D225+0.0028)</f>
        <v>0.30879999999999991</v>
      </c>
      <c r="E226" s="52">
        <f t="shared" si="11"/>
        <v>0.30879999999999991</v>
      </c>
    </row>
    <row r="227" spans="1:5" x14ac:dyDescent="0.2">
      <c r="A227" s="52"/>
      <c r="B227" s="52"/>
      <c r="C227" s="52">
        <v>1.27</v>
      </c>
      <c r="D227" s="52">
        <f t="shared" si="11"/>
        <v>0.31159999999999993</v>
      </c>
      <c r="E227" s="52">
        <f t="shared" si="11"/>
        <v>0.31159999999999993</v>
      </c>
    </row>
    <row r="228" spans="1:5" x14ac:dyDescent="0.2">
      <c r="A228" s="52"/>
      <c r="B228" s="52"/>
      <c r="C228" s="52">
        <v>1.28</v>
      </c>
      <c r="D228" s="52">
        <f t="shared" si="11"/>
        <v>0.31439999999999996</v>
      </c>
      <c r="E228" s="52">
        <f t="shared" si="11"/>
        <v>0.31439999999999996</v>
      </c>
    </row>
    <row r="229" spans="1:5" x14ac:dyDescent="0.2">
      <c r="A229" s="52"/>
      <c r="B229" s="52"/>
      <c r="C229" s="52">
        <v>1.29</v>
      </c>
      <c r="D229" s="52">
        <f t="shared" si="11"/>
        <v>0.31719999999999998</v>
      </c>
      <c r="E229" s="52">
        <f t="shared" si="11"/>
        <v>0.31719999999999998</v>
      </c>
    </row>
    <row r="230" spans="1:5" x14ac:dyDescent="0.2">
      <c r="A230" s="52"/>
      <c r="B230" s="52"/>
      <c r="C230" s="52">
        <v>1.3</v>
      </c>
      <c r="D230" s="52">
        <f t="shared" si="11"/>
        <v>0.32</v>
      </c>
      <c r="E230" s="52">
        <f t="shared" si="11"/>
        <v>0.32</v>
      </c>
    </row>
    <row r="231" spans="1:5" x14ac:dyDescent="0.2">
      <c r="A231" s="52"/>
      <c r="B231" s="52"/>
      <c r="C231" s="52">
        <v>1.31</v>
      </c>
      <c r="D231" s="52">
        <f>(D230+0.0026)</f>
        <v>0.3226</v>
      </c>
      <c r="E231" s="52">
        <f>(E230+0.0026)</f>
        <v>0.3226</v>
      </c>
    </row>
    <row r="232" spans="1:5" x14ac:dyDescent="0.2">
      <c r="A232" s="52"/>
      <c r="B232" s="52"/>
      <c r="C232" s="52">
        <v>1.32</v>
      </c>
      <c r="D232" s="52">
        <f t="shared" ref="D232:E245" si="12">(D231+0.0026)</f>
        <v>0.32519999999999999</v>
      </c>
      <c r="E232" s="52">
        <f t="shared" si="12"/>
        <v>0.32519999999999999</v>
      </c>
    </row>
    <row r="233" spans="1:5" x14ac:dyDescent="0.2">
      <c r="A233" s="52"/>
      <c r="B233" s="52"/>
      <c r="C233" s="52">
        <v>1.33</v>
      </c>
      <c r="D233" s="52">
        <f t="shared" si="12"/>
        <v>0.32779999999999998</v>
      </c>
      <c r="E233" s="52">
        <f t="shared" si="12"/>
        <v>0.32779999999999998</v>
      </c>
    </row>
    <row r="234" spans="1:5" x14ac:dyDescent="0.2">
      <c r="A234" s="52"/>
      <c r="B234" s="52"/>
      <c r="C234" s="52">
        <v>1.34</v>
      </c>
      <c r="D234" s="52">
        <f t="shared" si="12"/>
        <v>0.33039999999999997</v>
      </c>
      <c r="E234" s="52">
        <f t="shared" si="12"/>
        <v>0.33039999999999997</v>
      </c>
    </row>
    <row r="235" spans="1:5" x14ac:dyDescent="0.2">
      <c r="A235" s="52"/>
      <c r="B235" s="52"/>
      <c r="C235" s="52">
        <v>1.35</v>
      </c>
      <c r="D235" s="52">
        <f t="shared" si="12"/>
        <v>0.33299999999999996</v>
      </c>
      <c r="E235" s="52">
        <f t="shared" si="12"/>
        <v>0.33299999999999996</v>
      </c>
    </row>
    <row r="236" spans="1:5" x14ac:dyDescent="0.2">
      <c r="A236" s="52"/>
      <c r="B236" s="52"/>
      <c r="C236" s="52">
        <v>1.36</v>
      </c>
      <c r="D236" s="52">
        <f t="shared" si="12"/>
        <v>0.33559999999999995</v>
      </c>
      <c r="E236" s="52">
        <f t="shared" si="12"/>
        <v>0.33559999999999995</v>
      </c>
    </row>
    <row r="237" spans="1:5" x14ac:dyDescent="0.2">
      <c r="A237" s="52"/>
      <c r="B237" s="52"/>
      <c r="C237" s="52">
        <v>1.37</v>
      </c>
      <c r="D237" s="52">
        <f t="shared" si="12"/>
        <v>0.33819999999999995</v>
      </c>
      <c r="E237" s="52">
        <f t="shared" si="12"/>
        <v>0.33819999999999995</v>
      </c>
    </row>
    <row r="238" spans="1:5" x14ac:dyDescent="0.2">
      <c r="A238" s="52"/>
      <c r="B238" s="52"/>
      <c r="C238" s="52">
        <v>1.38</v>
      </c>
      <c r="D238" s="52">
        <f t="shared" si="12"/>
        <v>0.34079999999999994</v>
      </c>
      <c r="E238" s="52">
        <f t="shared" si="12"/>
        <v>0.34079999999999994</v>
      </c>
    </row>
    <row r="239" spans="1:5" x14ac:dyDescent="0.2">
      <c r="A239" s="52"/>
      <c r="B239" s="52"/>
      <c r="C239" s="52">
        <v>1.39</v>
      </c>
      <c r="D239" s="52">
        <f t="shared" si="12"/>
        <v>0.34339999999999993</v>
      </c>
      <c r="E239" s="52">
        <f t="shared" si="12"/>
        <v>0.34339999999999993</v>
      </c>
    </row>
    <row r="240" spans="1:5" x14ac:dyDescent="0.2">
      <c r="A240" s="52"/>
      <c r="B240" s="52"/>
      <c r="C240" s="52">
        <v>1.4</v>
      </c>
      <c r="D240" s="52">
        <f t="shared" si="12"/>
        <v>0.34599999999999992</v>
      </c>
      <c r="E240" s="52">
        <f t="shared" si="12"/>
        <v>0.34599999999999992</v>
      </c>
    </row>
    <row r="241" spans="1:5" x14ac:dyDescent="0.2">
      <c r="A241" s="52"/>
      <c r="B241" s="52"/>
      <c r="C241" s="52">
        <v>1.41</v>
      </c>
      <c r="D241" s="52">
        <f t="shared" si="12"/>
        <v>0.34859999999999991</v>
      </c>
      <c r="E241" s="52">
        <f t="shared" si="12"/>
        <v>0.34859999999999991</v>
      </c>
    </row>
    <row r="242" spans="1:5" x14ac:dyDescent="0.2">
      <c r="A242" s="52"/>
      <c r="B242" s="52"/>
      <c r="C242" s="52">
        <v>1.42</v>
      </c>
      <c r="D242" s="52">
        <f t="shared" si="12"/>
        <v>0.3511999999999999</v>
      </c>
      <c r="E242" s="52">
        <f t="shared" si="12"/>
        <v>0.3511999999999999</v>
      </c>
    </row>
    <row r="243" spans="1:5" x14ac:dyDescent="0.2">
      <c r="A243" s="52"/>
      <c r="B243" s="52"/>
      <c r="C243" s="52">
        <v>1.43</v>
      </c>
      <c r="D243" s="52">
        <f t="shared" si="12"/>
        <v>0.35379999999999989</v>
      </c>
      <c r="E243" s="52">
        <f t="shared" si="12"/>
        <v>0.35379999999999989</v>
      </c>
    </row>
    <row r="244" spans="1:5" x14ac:dyDescent="0.2">
      <c r="A244" s="52"/>
      <c r="B244" s="52"/>
      <c r="C244" s="52">
        <v>1.44</v>
      </c>
      <c r="D244" s="52">
        <f t="shared" si="12"/>
        <v>0.35639999999999988</v>
      </c>
      <c r="E244" s="52">
        <f t="shared" si="12"/>
        <v>0.35639999999999988</v>
      </c>
    </row>
    <row r="245" spans="1:5" x14ac:dyDescent="0.2">
      <c r="A245" s="52"/>
      <c r="B245" s="52"/>
      <c r="C245" s="52">
        <v>1.45</v>
      </c>
      <c r="D245" s="52">
        <f t="shared" si="12"/>
        <v>0.35899999999999987</v>
      </c>
      <c r="E245" s="52">
        <f t="shared" si="12"/>
        <v>0.35899999999999987</v>
      </c>
    </row>
    <row r="246" spans="1:5" x14ac:dyDescent="0.2">
      <c r="A246" s="52"/>
      <c r="B246" s="52"/>
      <c r="C246" s="52">
        <v>1.46</v>
      </c>
      <c r="D246" s="52">
        <f>(D245+0.0028)</f>
        <v>0.3617999999999999</v>
      </c>
      <c r="E246" s="52">
        <f>(E245+0.0028)</f>
        <v>0.3617999999999999</v>
      </c>
    </row>
    <row r="247" spans="1:5" x14ac:dyDescent="0.2">
      <c r="A247" s="52"/>
      <c r="B247" s="52"/>
      <c r="C247" s="52">
        <v>1.47</v>
      </c>
      <c r="D247" s="52">
        <f t="shared" ref="D247:E255" si="13">(D246+0.0028)</f>
        <v>0.36459999999999992</v>
      </c>
      <c r="E247" s="52">
        <f t="shared" si="13"/>
        <v>0.36459999999999992</v>
      </c>
    </row>
    <row r="248" spans="1:5" x14ac:dyDescent="0.2">
      <c r="A248" s="52"/>
      <c r="B248" s="52"/>
      <c r="C248" s="52">
        <v>1.48</v>
      </c>
      <c r="D248" s="52">
        <f t="shared" si="13"/>
        <v>0.36739999999999995</v>
      </c>
      <c r="E248" s="52">
        <f t="shared" si="13"/>
        <v>0.36739999999999995</v>
      </c>
    </row>
    <row r="249" spans="1:5" x14ac:dyDescent="0.2">
      <c r="A249" s="52"/>
      <c r="B249" s="52"/>
      <c r="C249" s="52">
        <v>1.49</v>
      </c>
      <c r="D249" s="52">
        <f t="shared" si="13"/>
        <v>0.37019999999999997</v>
      </c>
      <c r="E249" s="52">
        <f t="shared" si="13"/>
        <v>0.37019999999999997</v>
      </c>
    </row>
    <row r="250" spans="1:5" x14ac:dyDescent="0.2">
      <c r="A250" s="52"/>
      <c r="B250" s="52"/>
      <c r="C250" s="52">
        <v>1.5</v>
      </c>
      <c r="D250" s="52">
        <f t="shared" si="13"/>
        <v>0.373</v>
      </c>
      <c r="E250" s="52">
        <f t="shared" si="13"/>
        <v>0.373</v>
      </c>
    </row>
    <row r="251" spans="1:5" x14ac:dyDescent="0.2">
      <c r="A251" s="52"/>
      <c r="B251" s="52"/>
      <c r="C251" s="52">
        <v>1.51</v>
      </c>
      <c r="D251" s="52">
        <f t="shared" si="13"/>
        <v>0.37580000000000002</v>
      </c>
      <c r="E251" s="52">
        <f t="shared" si="13"/>
        <v>0.37580000000000002</v>
      </c>
    </row>
    <row r="252" spans="1:5" x14ac:dyDescent="0.2">
      <c r="A252" s="52"/>
      <c r="B252" s="52"/>
      <c r="C252" s="52">
        <v>1.52</v>
      </c>
      <c r="D252" s="52">
        <f t="shared" si="13"/>
        <v>0.37860000000000005</v>
      </c>
      <c r="E252" s="52">
        <f t="shared" si="13"/>
        <v>0.37860000000000005</v>
      </c>
    </row>
    <row r="253" spans="1:5" x14ac:dyDescent="0.2">
      <c r="A253" s="52"/>
      <c r="B253" s="52"/>
      <c r="C253" s="52">
        <v>1.53</v>
      </c>
      <c r="D253" s="52">
        <f t="shared" si="13"/>
        <v>0.38140000000000007</v>
      </c>
      <c r="E253" s="52">
        <f t="shared" si="13"/>
        <v>0.38140000000000007</v>
      </c>
    </row>
    <row r="254" spans="1:5" x14ac:dyDescent="0.2">
      <c r="A254" s="52"/>
      <c r="B254" s="52"/>
      <c r="C254" s="52">
        <v>1.54</v>
      </c>
      <c r="D254" s="52">
        <f t="shared" si="13"/>
        <v>0.3842000000000001</v>
      </c>
      <c r="E254" s="52">
        <f t="shared" si="13"/>
        <v>0.3842000000000001</v>
      </c>
    </row>
    <row r="255" spans="1:5" x14ac:dyDescent="0.2">
      <c r="A255" s="52"/>
      <c r="B255" s="52"/>
      <c r="C255" s="52">
        <v>1.55</v>
      </c>
      <c r="D255" s="52">
        <f t="shared" si="13"/>
        <v>0.38700000000000012</v>
      </c>
      <c r="E255" s="52">
        <f t="shared" si="13"/>
        <v>0.38700000000000012</v>
      </c>
    </row>
    <row r="256" spans="1:5" x14ac:dyDescent="0.2">
      <c r="A256" s="52"/>
      <c r="B256" s="52"/>
      <c r="C256" s="52">
        <v>1.56</v>
      </c>
      <c r="D256" s="52">
        <f t="shared" ref="D256:E260" si="14">(D255+0.0026)</f>
        <v>0.38960000000000011</v>
      </c>
      <c r="E256" s="52">
        <f t="shared" si="14"/>
        <v>0.38960000000000011</v>
      </c>
    </row>
    <row r="257" spans="1:5" x14ac:dyDescent="0.2">
      <c r="A257" s="52"/>
      <c r="B257" s="52"/>
      <c r="C257" s="52">
        <v>1.57</v>
      </c>
      <c r="D257" s="52">
        <f t="shared" si="14"/>
        <v>0.3922000000000001</v>
      </c>
      <c r="E257" s="52">
        <f t="shared" si="14"/>
        <v>0.3922000000000001</v>
      </c>
    </row>
    <row r="258" spans="1:5" x14ac:dyDescent="0.2">
      <c r="A258" s="52"/>
      <c r="B258" s="52"/>
      <c r="C258" s="52">
        <v>1.58</v>
      </c>
      <c r="D258" s="52">
        <f t="shared" si="14"/>
        <v>0.3948000000000001</v>
      </c>
      <c r="E258" s="52">
        <f t="shared" si="14"/>
        <v>0.3948000000000001</v>
      </c>
    </row>
    <row r="259" spans="1:5" x14ac:dyDescent="0.2">
      <c r="A259" s="52"/>
      <c r="B259" s="52"/>
      <c r="C259" s="52">
        <v>1.59</v>
      </c>
      <c r="D259" s="52">
        <f t="shared" si="14"/>
        <v>0.39740000000000009</v>
      </c>
      <c r="E259" s="52">
        <f t="shared" si="14"/>
        <v>0.39740000000000009</v>
      </c>
    </row>
    <row r="260" spans="1:5" x14ac:dyDescent="0.2">
      <c r="A260" s="52"/>
      <c r="B260" s="52"/>
      <c r="C260" s="52">
        <v>1.6</v>
      </c>
      <c r="D260" s="52">
        <f t="shared" si="14"/>
        <v>0.40000000000000008</v>
      </c>
      <c r="E260" s="52">
        <f t="shared" si="14"/>
        <v>0.40000000000000008</v>
      </c>
    </row>
    <row r="261" spans="1:5" x14ac:dyDescent="0.2">
      <c r="A261" s="52"/>
      <c r="B261" s="52"/>
      <c r="C261" s="52">
        <v>1.61</v>
      </c>
      <c r="D261" s="52">
        <f>(D260+0.0028)</f>
        <v>0.4028000000000001</v>
      </c>
      <c r="E261" s="52">
        <f>(E260+0.0028)</f>
        <v>0.4028000000000001</v>
      </c>
    </row>
    <row r="262" spans="1:5" x14ac:dyDescent="0.2">
      <c r="A262" s="52"/>
      <c r="B262" s="52"/>
      <c r="C262" s="52">
        <v>1.62</v>
      </c>
      <c r="D262" s="52">
        <f t="shared" ref="D262:E295" si="15">(D261+0.0028)</f>
        <v>0.40560000000000013</v>
      </c>
      <c r="E262" s="52">
        <f t="shared" si="15"/>
        <v>0.40560000000000013</v>
      </c>
    </row>
    <row r="263" spans="1:5" x14ac:dyDescent="0.2">
      <c r="A263" s="52"/>
      <c r="B263" s="52"/>
      <c r="C263" s="52">
        <v>1.63</v>
      </c>
      <c r="D263" s="52">
        <f t="shared" si="15"/>
        <v>0.40840000000000015</v>
      </c>
      <c r="E263" s="52">
        <f t="shared" si="15"/>
        <v>0.40840000000000015</v>
      </c>
    </row>
    <row r="264" spans="1:5" x14ac:dyDescent="0.2">
      <c r="A264" s="52"/>
      <c r="B264" s="52"/>
      <c r="C264" s="52">
        <v>1.64</v>
      </c>
      <c r="D264" s="52">
        <f t="shared" si="15"/>
        <v>0.41120000000000018</v>
      </c>
      <c r="E264" s="52">
        <f t="shared" si="15"/>
        <v>0.41120000000000018</v>
      </c>
    </row>
    <row r="265" spans="1:5" x14ac:dyDescent="0.2">
      <c r="A265" s="52"/>
      <c r="B265" s="52"/>
      <c r="C265" s="52">
        <v>1.65</v>
      </c>
      <c r="D265" s="52">
        <f t="shared" si="15"/>
        <v>0.4140000000000002</v>
      </c>
      <c r="E265" s="52">
        <f t="shared" si="15"/>
        <v>0.4140000000000002</v>
      </c>
    </row>
    <row r="266" spans="1:5" x14ac:dyDescent="0.2">
      <c r="A266" s="52"/>
      <c r="B266" s="52"/>
      <c r="C266" s="52">
        <v>1.66</v>
      </c>
      <c r="D266" s="52">
        <f t="shared" si="15"/>
        <v>0.41680000000000023</v>
      </c>
      <c r="E266" s="52">
        <f t="shared" si="15"/>
        <v>0.41680000000000023</v>
      </c>
    </row>
    <row r="267" spans="1:5" x14ac:dyDescent="0.2">
      <c r="A267" s="52"/>
      <c r="B267" s="52"/>
      <c r="C267" s="52">
        <v>1.67</v>
      </c>
      <c r="D267" s="52">
        <f t="shared" si="15"/>
        <v>0.41960000000000025</v>
      </c>
      <c r="E267" s="52">
        <f t="shared" si="15"/>
        <v>0.41960000000000025</v>
      </c>
    </row>
    <row r="268" spans="1:5" x14ac:dyDescent="0.2">
      <c r="A268" s="52"/>
      <c r="B268" s="52"/>
      <c r="C268" s="52">
        <v>1.68</v>
      </c>
      <c r="D268" s="52">
        <f t="shared" si="15"/>
        <v>0.42240000000000028</v>
      </c>
      <c r="E268" s="52">
        <f t="shared" si="15"/>
        <v>0.42240000000000028</v>
      </c>
    </row>
    <row r="269" spans="1:5" x14ac:dyDescent="0.2">
      <c r="A269" s="52"/>
      <c r="B269" s="52"/>
      <c r="C269" s="52">
        <v>1.69</v>
      </c>
      <c r="D269" s="52">
        <f t="shared" si="15"/>
        <v>0.4252000000000003</v>
      </c>
      <c r="E269" s="52">
        <f t="shared" si="15"/>
        <v>0.4252000000000003</v>
      </c>
    </row>
    <row r="270" spans="1:5" x14ac:dyDescent="0.2">
      <c r="A270" s="52"/>
      <c r="B270" s="52"/>
      <c r="C270" s="52">
        <v>1.7</v>
      </c>
      <c r="D270" s="52">
        <f t="shared" si="15"/>
        <v>0.42800000000000032</v>
      </c>
      <c r="E270" s="52">
        <f t="shared" si="15"/>
        <v>0.42800000000000032</v>
      </c>
    </row>
    <row r="271" spans="1:5" x14ac:dyDescent="0.2">
      <c r="A271" s="52"/>
      <c r="B271" s="52"/>
      <c r="C271" s="52">
        <v>1.71</v>
      </c>
      <c r="D271" s="52">
        <f t="shared" si="15"/>
        <v>0.43080000000000035</v>
      </c>
      <c r="E271" s="52">
        <f t="shared" si="15"/>
        <v>0.43080000000000035</v>
      </c>
    </row>
    <row r="272" spans="1:5" x14ac:dyDescent="0.2">
      <c r="A272" s="52"/>
      <c r="B272" s="52"/>
      <c r="C272" s="52">
        <v>1.72</v>
      </c>
      <c r="D272" s="52">
        <f t="shared" si="15"/>
        <v>0.43360000000000037</v>
      </c>
      <c r="E272" s="52">
        <f t="shared" si="15"/>
        <v>0.43360000000000037</v>
      </c>
    </row>
    <row r="273" spans="1:5" x14ac:dyDescent="0.2">
      <c r="A273" s="52"/>
      <c r="B273" s="52"/>
      <c r="C273" s="52">
        <v>1.73</v>
      </c>
      <c r="D273" s="52">
        <f t="shared" si="15"/>
        <v>0.4364000000000004</v>
      </c>
      <c r="E273" s="52">
        <f t="shared" si="15"/>
        <v>0.4364000000000004</v>
      </c>
    </row>
    <row r="274" spans="1:5" x14ac:dyDescent="0.2">
      <c r="A274" s="52"/>
      <c r="B274" s="52"/>
      <c r="C274" s="52">
        <v>1.74</v>
      </c>
      <c r="D274" s="52">
        <f t="shared" si="15"/>
        <v>0.43920000000000042</v>
      </c>
      <c r="E274" s="52">
        <f t="shared" si="15"/>
        <v>0.43920000000000042</v>
      </c>
    </row>
    <row r="275" spans="1:5" x14ac:dyDescent="0.2">
      <c r="A275" s="52"/>
      <c r="B275" s="52"/>
      <c r="C275" s="52">
        <v>1.75</v>
      </c>
      <c r="D275" s="52">
        <f t="shared" si="15"/>
        <v>0.44200000000000045</v>
      </c>
      <c r="E275" s="52">
        <f t="shared" si="15"/>
        <v>0.44200000000000045</v>
      </c>
    </row>
    <row r="276" spans="1:5" x14ac:dyDescent="0.2">
      <c r="A276" s="52"/>
      <c r="B276" s="52"/>
      <c r="C276" s="52">
        <v>1.76</v>
      </c>
      <c r="D276" s="52">
        <f t="shared" si="15"/>
        <v>0.44480000000000047</v>
      </c>
      <c r="E276" s="52">
        <f t="shared" si="15"/>
        <v>0.44480000000000047</v>
      </c>
    </row>
    <row r="277" spans="1:5" x14ac:dyDescent="0.2">
      <c r="A277" s="52"/>
      <c r="B277" s="52"/>
      <c r="C277" s="52">
        <v>1.77</v>
      </c>
      <c r="D277" s="52">
        <f t="shared" si="15"/>
        <v>0.4476000000000005</v>
      </c>
      <c r="E277" s="52">
        <f t="shared" si="15"/>
        <v>0.4476000000000005</v>
      </c>
    </row>
    <row r="278" spans="1:5" x14ac:dyDescent="0.2">
      <c r="A278" s="52"/>
      <c r="B278" s="52"/>
      <c r="C278" s="52">
        <v>1.78</v>
      </c>
      <c r="D278" s="52">
        <f t="shared" si="15"/>
        <v>0.45040000000000052</v>
      </c>
      <c r="E278" s="52">
        <f t="shared" si="15"/>
        <v>0.45040000000000052</v>
      </c>
    </row>
    <row r="279" spans="1:5" x14ac:dyDescent="0.2">
      <c r="A279" s="52"/>
      <c r="B279" s="52"/>
      <c r="C279" s="52">
        <v>1.79</v>
      </c>
      <c r="D279" s="52">
        <f t="shared" si="15"/>
        <v>0.45320000000000055</v>
      </c>
      <c r="E279" s="52">
        <f t="shared" si="15"/>
        <v>0.45320000000000055</v>
      </c>
    </row>
    <row r="280" spans="1:5" x14ac:dyDescent="0.2">
      <c r="A280" s="52"/>
      <c r="B280" s="52"/>
      <c r="C280" s="52">
        <v>1.8</v>
      </c>
      <c r="D280" s="52">
        <f t="shared" si="15"/>
        <v>0.45600000000000057</v>
      </c>
      <c r="E280" s="52">
        <f t="shared" si="15"/>
        <v>0.45600000000000057</v>
      </c>
    </row>
    <row r="281" spans="1:5" x14ac:dyDescent="0.2">
      <c r="A281" s="52"/>
      <c r="B281" s="52"/>
      <c r="C281" s="52">
        <v>1.81</v>
      </c>
      <c r="D281" s="52">
        <f t="shared" si="15"/>
        <v>0.4588000000000006</v>
      </c>
      <c r="E281" s="52">
        <f t="shared" si="15"/>
        <v>0.4588000000000006</v>
      </c>
    </row>
    <row r="282" spans="1:5" x14ac:dyDescent="0.2">
      <c r="A282" s="52"/>
      <c r="B282" s="52"/>
      <c r="C282" s="52">
        <v>1.82</v>
      </c>
      <c r="D282" s="52">
        <f t="shared" si="15"/>
        <v>0.46160000000000062</v>
      </c>
      <c r="E282" s="52">
        <f t="shared" si="15"/>
        <v>0.46160000000000062</v>
      </c>
    </row>
    <row r="283" spans="1:5" x14ac:dyDescent="0.2">
      <c r="A283" s="52"/>
      <c r="B283" s="52"/>
      <c r="C283" s="52">
        <v>1.83</v>
      </c>
      <c r="D283" s="52">
        <f t="shared" si="15"/>
        <v>0.46440000000000065</v>
      </c>
      <c r="E283" s="52">
        <f t="shared" si="15"/>
        <v>0.46440000000000065</v>
      </c>
    </row>
    <row r="284" spans="1:5" x14ac:dyDescent="0.2">
      <c r="A284" s="52"/>
      <c r="B284" s="52"/>
      <c r="C284" s="52">
        <v>1.84</v>
      </c>
      <c r="D284" s="52">
        <f t="shared" si="15"/>
        <v>0.46720000000000067</v>
      </c>
      <c r="E284" s="52">
        <f t="shared" si="15"/>
        <v>0.46720000000000067</v>
      </c>
    </row>
    <row r="285" spans="1:5" x14ac:dyDescent="0.2">
      <c r="A285" s="52"/>
      <c r="B285" s="52"/>
      <c r="C285" s="52">
        <v>1.85</v>
      </c>
      <c r="D285" s="52">
        <f t="shared" si="15"/>
        <v>0.47000000000000069</v>
      </c>
      <c r="E285" s="52">
        <f t="shared" si="15"/>
        <v>0.47000000000000069</v>
      </c>
    </row>
    <row r="286" spans="1:5" x14ac:dyDescent="0.2">
      <c r="A286" s="52"/>
      <c r="B286" s="52"/>
      <c r="C286" s="52">
        <v>1.86</v>
      </c>
      <c r="D286" s="52">
        <f t="shared" si="15"/>
        <v>0.47280000000000072</v>
      </c>
      <c r="E286" s="52">
        <f t="shared" si="15"/>
        <v>0.47280000000000072</v>
      </c>
    </row>
    <row r="287" spans="1:5" x14ac:dyDescent="0.2">
      <c r="A287" s="52"/>
      <c r="B287" s="52"/>
      <c r="C287" s="52">
        <v>1.87</v>
      </c>
      <c r="D287" s="52">
        <f t="shared" si="15"/>
        <v>0.47560000000000074</v>
      </c>
      <c r="E287" s="52">
        <f t="shared" si="15"/>
        <v>0.47560000000000074</v>
      </c>
    </row>
    <row r="288" spans="1:5" x14ac:dyDescent="0.2">
      <c r="A288" s="52"/>
      <c r="B288" s="52"/>
      <c r="C288" s="52">
        <v>1.88</v>
      </c>
      <c r="D288" s="52">
        <f t="shared" si="15"/>
        <v>0.47840000000000077</v>
      </c>
      <c r="E288" s="52">
        <f t="shared" si="15"/>
        <v>0.47840000000000077</v>
      </c>
    </row>
    <row r="289" spans="1:5" x14ac:dyDescent="0.2">
      <c r="A289" s="52"/>
      <c r="B289" s="52"/>
      <c r="C289" s="52">
        <v>1.89</v>
      </c>
      <c r="D289" s="52">
        <f t="shared" si="15"/>
        <v>0.48120000000000079</v>
      </c>
      <c r="E289" s="52">
        <f t="shared" si="15"/>
        <v>0.48120000000000079</v>
      </c>
    </row>
    <row r="290" spans="1:5" x14ac:dyDescent="0.2">
      <c r="A290" s="52"/>
      <c r="B290" s="52"/>
      <c r="C290" s="52">
        <v>1.9</v>
      </c>
      <c r="D290" s="52">
        <f t="shared" si="15"/>
        <v>0.48400000000000082</v>
      </c>
      <c r="E290" s="52">
        <f t="shared" si="15"/>
        <v>0.48400000000000082</v>
      </c>
    </row>
    <row r="291" spans="1:5" x14ac:dyDescent="0.2">
      <c r="A291" s="52"/>
      <c r="B291" s="52"/>
      <c r="C291" s="52">
        <v>1.91</v>
      </c>
      <c r="D291" s="52">
        <f t="shared" si="15"/>
        <v>0.48680000000000084</v>
      </c>
      <c r="E291" s="52">
        <f t="shared" si="15"/>
        <v>0.48680000000000084</v>
      </c>
    </row>
    <row r="292" spans="1:5" x14ac:dyDescent="0.2">
      <c r="A292" s="52"/>
      <c r="B292" s="52"/>
      <c r="C292" s="52">
        <v>1.92</v>
      </c>
      <c r="D292" s="52">
        <f t="shared" si="15"/>
        <v>0.48960000000000087</v>
      </c>
      <c r="E292" s="52">
        <f t="shared" si="15"/>
        <v>0.48960000000000087</v>
      </c>
    </row>
    <row r="293" spans="1:5" x14ac:dyDescent="0.2">
      <c r="A293" s="52"/>
      <c r="B293" s="52"/>
      <c r="C293" s="52">
        <v>1.93</v>
      </c>
      <c r="D293" s="52">
        <f t="shared" si="15"/>
        <v>0.49240000000000089</v>
      </c>
      <c r="E293" s="52">
        <f t="shared" si="15"/>
        <v>0.49240000000000089</v>
      </c>
    </row>
    <row r="294" spans="1:5" x14ac:dyDescent="0.2">
      <c r="A294" s="52"/>
      <c r="B294" s="52"/>
      <c r="C294" s="52">
        <v>1.94</v>
      </c>
      <c r="D294" s="52">
        <f t="shared" si="15"/>
        <v>0.49520000000000092</v>
      </c>
      <c r="E294" s="52">
        <f t="shared" si="15"/>
        <v>0.49520000000000092</v>
      </c>
    </row>
    <row r="295" spans="1:5" x14ac:dyDescent="0.2">
      <c r="A295" s="52"/>
      <c r="B295" s="52"/>
      <c r="C295" s="52">
        <v>1.95</v>
      </c>
      <c r="D295" s="52">
        <f t="shared" si="15"/>
        <v>0.49800000000000094</v>
      </c>
      <c r="E295" s="52">
        <f t="shared" si="15"/>
        <v>0.49800000000000094</v>
      </c>
    </row>
    <row r="296" spans="1:5" x14ac:dyDescent="0.2">
      <c r="A296" s="52"/>
      <c r="B296" s="52"/>
      <c r="C296" s="52">
        <v>1.96</v>
      </c>
      <c r="D296" s="52">
        <f t="shared" ref="D296:E300" si="16">(D295+0.003)</f>
        <v>0.50100000000000089</v>
      </c>
      <c r="E296" s="52">
        <f t="shared" si="16"/>
        <v>0.50100000000000089</v>
      </c>
    </row>
    <row r="297" spans="1:5" x14ac:dyDescent="0.2">
      <c r="A297" s="52"/>
      <c r="B297" s="52"/>
      <c r="C297" s="52">
        <v>1.97</v>
      </c>
      <c r="D297" s="52">
        <f t="shared" si="16"/>
        <v>0.50400000000000089</v>
      </c>
      <c r="E297" s="52">
        <f t="shared" si="16"/>
        <v>0.50400000000000089</v>
      </c>
    </row>
    <row r="298" spans="1:5" x14ac:dyDescent="0.2">
      <c r="A298" s="52"/>
      <c r="B298" s="52"/>
      <c r="C298" s="52">
        <v>1.98</v>
      </c>
      <c r="D298" s="52">
        <f t="shared" si="16"/>
        <v>0.50700000000000089</v>
      </c>
      <c r="E298" s="52">
        <f t="shared" si="16"/>
        <v>0.50700000000000089</v>
      </c>
    </row>
    <row r="299" spans="1:5" x14ac:dyDescent="0.2">
      <c r="A299" s="52"/>
      <c r="B299" s="52"/>
      <c r="C299" s="52">
        <v>1.99</v>
      </c>
      <c r="D299" s="52">
        <f t="shared" si="16"/>
        <v>0.5100000000000009</v>
      </c>
      <c r="E299" s="52">
        <f t="shared" si="16"/>
        <v>0.5100000000000009</v>
      </c>
    </row>
    <row r="300" spans="1:5" x14ac:dyDescent="0.2">
      <c r="A300" s="52"/>
      <c r="B300" s="52"/>
      <c r="C300" s="52">
        <v>2</v>
      </c>
      <c r="D300" s="52">
        <f t="shared" si="16"/>
        <v>0.5130000000000009</v>
      </c>
      <c r="E300" s="52">
        <f t="shared" si="16"/>
        <v>0.5130000000000009</v>
      </c>
    </row>
    <row r="301" spans="1:5" x14ac:dyDescent="0.2">
      <c r="A301" s="52"/>
      <c r="B301" s="52"/>
      <c r="C301" s="52">
        <v>2.0099999999999998</v>
      </c>
      <c r="D301" s="52">
        <f t="shared" ref="D301:E305" si="17">(D300+0.0028)</f>
        <v>0.51580000000000092</v>
      </c>
      <c r="E301" s="52">
        <f t="shared" si="17"/>
        <v>0.51580000000000092</v>
      </c>
    </row>
    <row r="302" spans="1:5" x14ac:dyDescent="0.2">
      <c r="A302" s="52"/>
      <c r="B302" s="52"/>
      <c r="C302" s="52">
        <v>2.02</v>
      </c>
      <c r="D302" s="52">
        <f t="shared" si="17"/>
        <v>0.51860000000000095</v>
      </c>
      <c r="E302" s="52">
        <f t="shared" si="17"/>
        <v>0.51860000000000095</v>
      </c>
    </row>
    <row r="303" spans="1:5" x14ac:dyDescent="0.2">
      <c r="A303" s="52"/>
      <c r="B303" s="52"/>
      <c r="C303" s="52">
        <v>2.0299999999999998</v>
      </c>
      <c r="D303" s="52">
        <f t="shared" si="17"/>
        <v>0.52140000000000097</v>
      </c>
      <c r="E303" s="52">
        <f t="shared" si="17"/>
        <v>0.52140000000000097</v>
      </c>
    </row>
    <row r="304" spans="1:5" x14ac:dyDescent="0.2">
      <c r="A304" s="52"/>
      <c r="B304" s="52"/>
      <c r="C304" s="52">
        <v>2.04</v>
      </c>
      <c r="D304" s="52">
        <f t="shared" si="17"/>
        <v>0.524200000000001</v>
      </c>
      <c r="E304" s="52">
        <f t="shared" si="17"/>
        <v>0.524200000000001</v>
      </c>
    </row>
    <row r="305" spans="1:5" x14ac:dyDescent="0.2">
      <c r="A305" s="52"/>
      <c r="B305" s="52"/>
      <c r="C305" s="52">
        <v>2.0499999999999998</v>
      </c>
      <c r="D305" s="52">
        <f t="shared" si="17"/>
        <v>0.52700000000000102</v>
      </c>
      <c r="E305" s="52">
        <f t="shared" si="17"/>
        <v>0.52700000000000102</v>
      </c>
    </row>
    <row r="306" spans="1:5" x14ac:dyDescent="0.2">
      <c r="A306" s="52"/>
      <c r="B306" s="52"/>
      <c r="C306" s="52">
        <v>2.06</v>
      </c>
      <c r="D306" s="52">
        <f>(D305+0.003)</f>
        <v>0.53000000000000103</v>
      </c>
      <c r="E306" s="52">
        <f>(E305+0.003)</f>
        <v>0.53000000000000103</v>
      </c>
    </row>
    <row r="307" spans="1:5" x14ac:dyDescent="0.2">
      <c r="A307" s="52"/>
      <c r="B307" s="52"/>
      <c r="C307" s="52">
        <v>2.0699999999999998</v>
      </c>
      <c r="D307" s="52">
        <f t="shared" ref="D307:E340" si="18">(D306+0.003)</f>
        <v>0.53300000000000103</v>
      </c>
      <c r="E307" s="52">
        <f t="shared" si="18"/>
        <v>0.53300000000000103</v>
      </c>
    </row>
    <row r="308" spans="1:5" x14ac:dyDescent="0.2">
      <c r="A308" s="52"/>
      <c r="B308" s="52"/>
      <c r="C308" s="52">
        <v>2.08</v>
      </c>
      <c r="D308" s="52">
        <f t="shared" si="18"/>
        <v>0.53600000000000103</v>
      </c>
      <c r="E308" s="52">
        <f t="shared" si="18"/>
        <v>0.53600000000000103</v>
      </c>
    </row>
    <row r="309" spans="1:5" x14ac:dyDescent="0.2">
      <c r="A309" s="52"/>
      <c r="B309" s="52"/>
      <c r="C309" s="52">
        <v>2.09</v>
      </c>
      <c r="D309" s="52">
        <f t="shared" si="18"/>
        <v>0.53900000000000103</v>
      </c>
      <c r="E309" s="52">
        <f t="shared" si="18"/>
        <v>0.53900000000000103</v>
      </c>
    </row>
    <row r="310" spans="1:5" x14ac:dyDescent="0.2">
      <c r="A310" s="52"/>
      <c r="B310" s="52"/>
      <c r="C310" s="52">
        <v>2.1</v>
      </c>
      <c r="D310" s="52">
        <f t="shared" si="18"/>
        <v>0.54200000000000104</v>
      </c>
      <c r="E310" s="52">
        <f t="shared" si="18"/>
        <v>0.54200000000000104</v>
      </c>
    </row>
    <row r="311" spans="1:5" x14ac:dyDescent="0.2">
      <c r="A311" s="52"/>
      <c r="B311" s="52"/>
      <c r="C311" s="52">
        <v>2.11</v>
      </c>
      <c r="D311" s="52">
        <f t="shared" si="18"/>
        <v>0.54500000000000104</v>
      </c>
      <c r="E311" s="52">
        <f t="shared" si="18"/>
        <v>0.54500000000000104</v>
      </c>
    </row>
    <row r="312" spans="1:5" x14ac:dyDescent="0.2">
      <c r="A312" s="52"/>
      <c r="B312" s="52"/>
      <c r="C312" s="52">
        <v>2.12</v>
      </c>
      <c r="D312" s="52">
        <f t="shared" si="18"/>
        <v>0.54800000000000104</v>
      </c>
      <c r="E312" s="52">
        <f t="shared" si="18"/>
        <v>0.54800000000000104</v>
      </c>
    </row>
    <row r="313" spans="1:5" x14ac:dyDescent="0.2">
      <c r="A313" s="52"/>
      <c r="B313" s="52"/>
      <c r="C313" s="52">
        <v>2.13</v>
      </c>
      <c r="D313" s="52">
        <f t="shared" si="18"/>
        <v>0.55100000000000104</v>
      </c>
      <c r="E313" s="52">
        <f t="shared" si="18"/>
        <v>0.55100000000000104</v>
      </c>
    </row>
    <row r="314" spans="1:5" x14ac:dyDescent="0.2">
      <c r="A314" s="52"/>
      <c r="B314" s="52"/>
      <c r="C314" s="52">
        <v>2.14</v>
      </c>
      <c r="D314" s="52">
        <f t="shared" si="18"/>
        <v>0.55400000000000105</v>
      </c>
      <c r="E314" s="52">
        <f t="shared" si="18"/>
        <v>0.55400000000000105</v>
      </c>
    </row>
    <row r="315" spans="1:5" x14ac:dyDescent="0.2">
      <c r="A315" s="52"/>
      <c r="B315" s="52"/>
      <c r="C315" s="52">
        <v>2.15</v>
      </c>
      <c r="D315" s="52">
        <f t="shared" si="18"/>
        <v>0.55700000000000105</v>
      </c>
      <c r="E315" s="52">
        <f t="shared" si="18"/>
        <v>0.55700000000000105</v>
      </c>
    </row>
    <row r="316" spans="1:5" x14ac:dyDescent="0.2">
      <c r="A316" s="52"/>
      <c r="B316" s="52"/>
      <c r="C316" s="52">
        <v>2.16</v>
      </c>
      <c r="D316" s="52">
        <f t="shared" si="18"/>
        <v>0.56000000000000105</v>
      </c>
      <c r="E316" s="52">
        <f t="shared" si="18"/>
        <v>0.56000000000000105</v>
      </c>
    </row>
    <row r="317" spans="1:5" x14ac:dyDescent="0.2">
      <c r="A317" s="52"/>
      <c r="B317" s="52"/>
      <c r="C317" s="52">
        <v>2.17</v>
      </c>
      <c r="D317" s="52">
        <f t="shared" si="18"/>
        <v>0.56300000000000106</v>
      </c>
      <c r="E317" s="52">
        <f t="shared" si="18"/>
        <v>0.56300000000000106</v>
      </c>
    </row>
    <row r="318" spans="1:5" x14ac:dyDescent="0.2">
      <c r="A318" s="52"/>
      <c r="B318" s="52"/>
      <c r="C318" s="52">
        <v>2.1800000000000002</v>
      </c>
      <c r="D318" s="52">
        <f t="shared" si="18"/>
        <v>0.56600000000000106</v>
      </c>
      <c r="E318" s="52">
        <f t="shared" si="18"/>
        <v>0.56600000000000106</v>
      </c>
    </row>
    <row r="319" spans="1:5" x14ac:dyDescent="0.2">
      <c r="A319" s="52"/>
      <c r="B319" s="52"/>
      <c r="C319" s="52">
        <v>2.19</v>
      </c>
      <c r="D319" s="52">
        <f t="shared" si="18"/>
        <v>0.56900000000000106</v>
      </c>
      <c r="E319" s="52">
        <f t="shared" si="18"/>
        <v>0.56900000000000106</v>
      </c>
    </row>
    <row r="320" spans="1:5" x14ac:dyDescent="0.2">
      <c r="A320" s="52"/>
      <c r="B320" s="52"/>
      <c r="C320" s="52">
        <v>2.2000000000000002</v>
      </c>
      <c r="D320" s="52">
        <f t="shared" si="18"/>
        <v>0.57200000000000106</v>
      </c>
      <c r="E320" s="52">
        <f t="shared" si="18"/>
        <v>0.57200000000000106</v>
      </c>
    </row>
    <row r="321" spans="1:5" x14ac:dyDescent="0.2">
      <c r="A321" s="52"/>
      <c r="B321" s="52"/>
      <c r="C321" s="52">
        <v>2.21</v>
      </c>
      <c r="D321" s="52">
        <f t="shared" si="18"/>
        <v>0.57500000000000107</v>
      </c>
      <c r="E321" s="52">
        <f t="shared" si="18"/>
        <v>0.57500000000000107</v>
      </c>
    </row>
    <row r="322" spans="1:5" x14ac:dyDescent="0.2">
      <c r="A322" s="52"/>
      <c r="B322" s="52"/>
      <c r="C322" s="52">
        <v>2.2200000000000002</v>
      </c>
      <c r="D322" s="52">
        <f t="shared" si="18"/>
        <v>0.57800000000000107</v>
      </c>
      <c r="E322" s="52">
        <f t="shared" si="18"/>
        <v>0.57800000000000107</v>
      </c>
    </row>
    <row r="323" spans="1:5" x14ac:dyDescent="0.2">
      <c r="A323" s="52"/>
      <c r="B323" s="52"/>
      <c r="C323" s="52">
        <v>2.23</v>
      </c>
      <c r="D323" s="52">
        <f t="shared" si="18"/>
        <v>0.58100000000000107</v>
      </c>
      <c r="E323" s="52">
        <f t="shared" si="18"/>
        <v>0.58100000000000107</v>
      </c>
    </row>
    <row r="324" spans="1:5" x14ac:dyDescent="0.2">
      <c r="A324" s="52"/>
      <c r="B324" s="52"/>
      <c r="C324" s="52">
        <v>2.2400000000000002</v>
      </c>
      <c r="D324" s="52">
        <f t="shared" si="18"/>
        <v>0.58400000000000107</v>
      </c>
      <c r="E324" s="52">
        <f t="shared" si="18"/>
        <v>0.58400000000000107</v>
      </c>
    </row>
    <row r="325" spans="1:5" x14ac:dyDescent="0.2">
      <c r="A325" s="52"/>
      <c r="B325" s="52"/>
      <c r="C325" s="52">
        <v>2.25</v>
      </c>
      <c r="D325" s="52">
        <f t="shared" si="18"/>
        <v>0.58700000000000108</v>
      </c>
      <c r="E325" s="52">
        <f t="shared" si="18"/>
        <v>0.58700000000000108</v>
      </c>
    </row>
    <row r="326" spans="1:5" x14ac:dyDescent="0.2">
      <c r="A326" s="52"/>
      <c r="B326" s="52"/>
      <c r="C326" s="52">
        <v>2.2599999999999998</v>
      </c>
      <c r="D326" s="52">
        <f t="shared" si="18"/>
        <v>0.59000000000000108</v>
      </c>
      <c r="E326" s="52">
        <f t="shared" si="18"/>
        <v>0.59000000000000108</v>
      </c>
    </row>
    <row r="327" spans="1:5" x14ac:dyDescent="0.2">
      <c r="A327" s="52"/>
      <c r="B327" s="52"/>
      <c r="C327" s="52">
        <v>2.27</v>
      </c>
      <c r="D327" s="52">
        <f t="shared" si="18"/>
        <v>0.59300000000000108</v>
      </c>
      <c r="E327" s="52">
        <f t="shared" si="18"/>
        <v>0.59300000000000108</v>
      </c>
    </row>
    <row r="328" spans="1:5" x14ac:dyDescent="0.2">
      <c r="A328" s="52"/>
      <c r="B328" s="52"/>
      <c r="C328" s="52">
        <v>2.2799999999999998</v>
      </c>
      <c r="D328" s="52">
        <f t="shared" si="18"/>
        <v>0.59600000000000108</v>
      </c>
      <c r="E328" s="52">
        <f t="shared" si="18"/>
        <v>0.59600000000000108</v>
      </c>
    </row>
    <row r="329" spans="1:5" x14ac:dyDescent="0.2">
      <c r="A329" s="52"/>
      <c r="B329" s="52"/>
      <c r="C329" s="52">
        <v>2.29</v>
      </c>
      <c r="D329" s="52">
        <f t="shared" si="18"/>
        <v>0.59900000000000109</v>
      </c>
      <c r="E329" s="52">
        <f t="shared" si="18"/>
        <v>0.59900000000000109</v>
      </c>
    </row>
    <row r="330" spans="1:5" x14ac:dyDescent="0.2">
      <c r="A330" s="52"/>
      <c r="B330" s="52"/>
      <c r="C330" s="52">
        <v>2.2999999999999998</v>
      </c>
      <c r="D330" s="52">
        <f t="shared" si="18"/>
        <v>0.60200000000000109</v>
      </c>
      <c r="E330" s="52">
        <f t="shared" si="18"/>
        <v>0.60200000000000109</v>
      </c>
    </row>
    <row r="331" spans="1:5" x14ac:dyDescent="0.2">
      <c r="A331" s="52"/>
      <c r="B331" s="52"/>
      <c r="C331" s="52">
        <v>2.31</v>
      </c>
      <c r="D331" s="52">
        <f t="shared" si="18"/>
        <v>0.60500000000000109</v>
      </c>
      <c r="E331" s="52">
        <f t="shared" si="18"/>
        <v>0.60500000000000109</v>
      </c>
    </row>
    <row r="332" spans="1:5" x14ac:dyDescent="0.2">
      <c r="A332" s="52"/>
      <c r="B332" s="52"/>
      <c r="C332" s="52">
        <v>2.3199999999999998</v>
      </c>
      <c r="D332" s="52">
        <f t="shared" si="18"/>
        <v>0.6080000000000011</v>
      </c>
      <c r="E332" s="52">
        <f t="shared" si="18"/>
        <v>0.6080000000000011</v>
      </c>
    </row>
    <row r="333" spans="1:5" x14ac:dyDescent="0.2">
      <c r="A333" s="52"/>
      <c r="B333" s="52"/>
      <c r="C333" s="52">
        <v>2.33</v>
      </c>
      <c r="D333" s="52">
        <f t="shared" si="18"/>
        <v>0.6110000000000011</v>
      </c>
      <c r="E333" s="52">
        <f t="shared" si="18"/>
        <v>0.6110000000000011</v>
      </c>
    </row>
    <row r="334" spans="1:5" x14ac:dyDescent="0.2">
      <c r="A334" s="52"/>
      <c r="B334" s="52"/>
      <c r="C334" s="52">
        <v>2.34</v>
      </c>
      <c r="D334" s="52">
        <f t="shared" si="18"/>
        <v>0.6140000000000011</v>
      </c>
      <c r="E334" s="52">
        <f t="shared" si="18"/>
        <v>0.6140000000000011</v>
      </c>
    </row>
    <row r="335" spans="1:5" x14ac:dyDescent="0.2">
      <c r="A335" s="52"/>
      <c r="B335" s="52"/>
      <c r="C335" s="52">
        <v>2.35</v>
      </c>
      <c r="D335" s="52">
        <f t="shared" si="18"/>
        <v>0.6170000000000011</v>
      </c>
      <c r="E335" s="52">
        <f t="shared" si="18"/>
        <v>0.6170000000000011</v>
      </c>
    </row>
    <row r="336" spans="1:5" x14ac:dyDescent="0.2">
      <c r="A336" s="52"/>
      <c r="B336" s="52"/>
      <c r="C336" s="52">
        <v>2.36</v>
      </c>
      <c r="D336" s="52">
        <f t="shared" si="18"/>
        <v>0.62000000000000111</v>
      </c>
      <c r="E336" s="52">
        <f t="shared" si="18"/>
        <v>0.62000000000000111</v>
      </c>
    </row>
    <row r="337" spans="1:5" x14ac:dyDescent="0.2">
      <c r="A337" s="52"/>
      <c r="B337" s="52"/>
      <c r="C337" s="52">
        <v>2.37</v>
      </c>
      <c r="D337" s="52">
        <f t="shared" si="18"/>
        <v>0.62300000000000111</v>
      </c>
      <c r="E337" s="52">
        <f t="shared" si="18"/>
        <v>0.62300000000000111</v>
      </c>
    </row>
    <row r="338" spans="1:5" x14ac:dyDescent="0.2">
      <c r="A338" s="52"/>
      <c r="B338" s="52"/>
      <c r="C338" s="52">
        <v>2.38</v>
      </c>
      <c r="D338" s="52">
        <f t="shared" si="18"/>
        <v>0.62600000000000111</v>
      </c>
      <c r="E338" s="52">
        <f t="shared" si="18"/>
        <v>0.62600000000000111</v>
      </c>
    </row>
    <row r="339" spans="1:5" x14ac:dyDescent="0.2">
      <c r="A339" s="52"/>
      <c r="B339" s="52"/>
      <c r="C339" s="52">
        <v>2.39</v>
      </c>
      <c r="D339" s="52">
        <f t="shared" si="18"/>
        <v>0.62900000000000111</v>
      </c>
      <c r="E339" s="52">
        <f t="shared" si="18"/>
        <v>0.62900000000000111</v>
      </c>
    </row>
    <row r="340" spans="1:5" x14ac:dyDescent="0.2">
      <c r="A340" s="52"/>
      <c r="B340" s="52"/>
      <c r="C340" s="52">
        <v>2.4</v>
      </c>
      <c r="D340" s="52">
        <f t="shared" si="18"/>
        <v>0.63200000000000112</v>
      </c>
      <c r="E340" s="52">
        <f t="shared" si="18"/>
        <v>0.63200000000000112</v>
      </c>
    </row>
    <row r="341" spans="1:5" x14ac:dyDescent="0.2">
      <c r="A341" s="52"/>
      <c r="B341" s="52"/>
      <c r="C341" s="52">
        <v>2.41</v>
      </c>
      <c r="D341" s="52">
        <f t="shared" ref="D341:E345" si="19">(D340+0.0032)</f>
        <v>0.6352000000000011</v>
      </c>
      <c r="E341" s="52">
        <f t="shared" si="19"/>
        <v>0.6352000000000011</v>
      </c>
    </row>
    <row r="342" spans="1:5" x14ac:dyDescent="0.2">
      <c r="A342" s="52"/>
      <c r="B342" s="52"/>
      <c r="C342" s="52">
        <v>2.42</v>
      </c>
      <c r="D342" s="52">
        <f t="shared" si="19"/>
        <v>0.63840000000000108</v>
      </c>
      <c r="E342" s="52">
        <f t="shared" si="19"/>
        <v>0.63840000000000108</v>
      </c>
    </row>
    <row r="343" spans="1:5" x14ac:dyDescent="0.2">
      <c r="A343" s="52"/>
      <c r="B343" s="52"/>
      <c r="C343" s="52">
        <v>2.4300000000000002</v>
      </c>
      <c r="D343" s="52">
        <f t="shared" si="19"/>
        <v>0.64160000000000106</v>
      </c>
      <c r="E343" s="52">
        <f t="shared" si="19"/>
        <v>0.64160000000000106</v>
      </c>
    </row>
    <row r="344" spans="1:5" x14ac:dyDescent="0.2">
      <c r="A344" s="52"/>
      <c r="B344" s="52"/>
      <c r="C344" s="52">
        <v>2.44</v>
      </c>
      <c r="D344" s="52">
        <f t="shared" si="19"/>
        <v>0.64480000000000104</v>
      </c>
      <c r="E344" s="52">
        <f t="shared" si="19"/>
        <v>0.64480000000000104</v>
      </c>
    </row>
    <row r="345" spans="1:5" x14ac:dyDescent="0.2">
      <c r="A345" s="52"/>
      <c r="B345" s="52"/>
      <c r="C345" s="52">
        <v>2.4500000000000002</v>
      </c>
      <c r="D345" s="52">
        <f t="shared" si="19"/>
        <v>0.64800000000000102</v>
      </c>
      <c r="E345" s="52">
        <f t="shared" si="19"/>
        <v>0.64800000000000102</v>
      </c>
    </row>
    <row r="346" spans="1:5" x14ac:dyDescent="0.2">
      <c r="A346" s="52"/>
      <c r="B346" s="52"/>
      <c r="C346" s="52">
        <v>2.46</v>
      </c>
      <c r="D346" s="52">
        <f t="shared" ref="D346:E349" si="20">(D345+0.003)</f>
        <v>0.65100000000000102</v>
      </c>
      <c r="E346" s="52">
        <f t="shared" si="20"/>
        <v>0.65100000000000102</v>
      </c>
    </row>
    <row r="347" spans="1:5" x14ac:dyDescent="0.2">
      <c r="A347" s="52"/>
      <c r="B347" s="52"/>
      <c r="C347" s="52">
        <v>2.4700000000000002</v>
      </c>
      <c r="D347" s="52">
        <f t="shared" si="20"/>
        <v>0.65400000000000102</v>
      </c>
      <c r="E347" s="52">
        <f t="shared" si="20"/>
        <v>0.65400000000000102</v>
      </c>
    </row>
    <row r="348" spans="1:5" x14ac:dyDescent="0.2">
      <c r="A348" s="52"/>
      <c r="B348" s="52"/>
      <c r="C348" s="52">
        <v>2.48</v>
      </c>
      <c r="D348" s="52">
        <f t="shared" si="20"/>
        <v>0.65700000000000103</v>
      </c>
      <c r="E348" s="52">
        <f t="shared" si="20"/>
        <v>0.65700000000000103</v>
      </c>
    </row>
    <row r="349" spans="1:5" x14ac:dyDescent="0.2">
      <c r="A349" s="52"/>
      <c r="B349" s="52"/>
      <c r="C349" s="52">
        <v>2.4900000000000002</v>
      </c>
      <c r="D349" s="52">
        <f t="shared" si="20"/>
        <v>0.66000000000000103</v>
      </c>
      <c r="E349" s="52">
        <f t="shared" si="20"/>
        <v>0.66000000000000103</v>
      </c>
    </row>
    <row r="350" spans="1:5" x14ac:dyDescent="0.2">
      <c r="A350" s="52"/>
      <c r="B350" s="52"/>
      <c r="C350" s="52">
        <v>2.5</v>
      </c>
      <c r="D350" s="52">
        <v>0.66300000000000003</v>
      </c>
      <c r="E350" s="52">
        <v>0.66300000000000003</v>
      </c>
    </row>
    <row r="351" spans="1:5" x14ac:dyDescent="0.2">
      <c r="A351" s="52"/>
      <c r="B351" s="52"/>
      <c r="C351" s="52">
        <v>2.5099999999999998</v>
      </c>
      <c r="D351" s="52">
        <f>(D350+0.0032)</f>
        <v>0.66620000000000001</v>
      </c>
      <c r="E351" s="52">
        <f>(E350+0.0032)</f>
        <v>0.66620000000000001</v>
      </c>
    </row>
    <row r="352" spans="1:5" x14ac:dyDescent="0.2">
      <c r="A352" s="52"/>
      <c r="B352" s="52"/>
      <c r="C352" s="52">
        <v>2.52</v>
      </c>
      <c r="D352" s="52">
        <f t="shared" ref="D352:E370" si="21">(D351+0.0032)</f>
        <v>0.6694</v>
      </c>
      <c r="E352" s="52">
        <f t="shared" si="21"/>
        <v>0.6694</v>
      </c>
    </row>
    <row r="353" spans="1:5" x14ac:dyDescent="0.2">
      <c r="A353" s="52"/>
      <c r="B353" s="52"/>
      <c r="C353" s="52">
        <v>2.5299999999999998</v>
      </c>
      <c r="D353" s="52">
        <f t="shared" si="21"/>
        <v>0.67259999999999998</v>
      </c>
      <c r="E353" s="52">
        <f t="shared" si="21"/>
        <v>0.67259999999999998</v>
      </c>
    </row>
    <row r="354" spans="1:5" x14ac:dyDescent="0.2">
      <c r="A354" s="52"/>
      <c r="B354" s="52"/>
      <c r="C354" s="52">
        <v>2.54</v>
      </c>
      <c r="D354" s="52">
        <f t="shared" si="21"/>
        <v>0.67579999999999996</v>
      </c>
      <c r="E354" s="52">
        <f t="shared" si="21"/>
        <v>0.67579999999999996</v>
      </c>
    </row>
    <row r="355" spans="1:5" x14ac:dyDescent="0.2">
      <c r="A355" s="52"/>
      <c r="B355" s="52"/>
      <c r="C355" s="52">
        <v>2.5499999999999998</v>
      </c>
      <c r="D355" s="52">
        <f t="shared" si="21"/>
        <v>0.67899999999999994</v>
      </c>
      <c r="E355" s="52">
        <f t="shared" si="21"/>
        <v>0.67899999999999994</v>
      </c>
    </row>
    <row r="356" spans="1:5" x14ac:dyDescent="0.2">
      <c r="A356" s="52"/>
      <c r="B356" s="52"/>
      <c r="C356" s="52">
        <v>2.56</v>
      </c>
      <c r="D356" s="52">
        <f t="shared" si="21"/>
        <v>0.68219999999999992</v>
      </c>
      <c r="E356" s="52">
        <f t="shared" si="21"/>
        <v>0.68219999999999992</v>
      </c>
    </row>
    <row r="357" spans="1:5" x14ac:dyDescent="0.2">
      <c r="A357" s="52"/>
      <c r="B357" s="52"/>
      <c r="C357" s="52">
        <v>2.57</v>
      </c>
      <c r="D357" s="52">
        <f t="shared" si="21"/>
        <v>0.6853999999999999</v>
      </c>
      <c r="E357" s="52">
        <f t="shared" si="21"/>
        <v>0.6853999999999999</v>
      </c>
    </row>
    <row r="358" spans="1:5" x14ac:dyDescent="0.2">
      <c r="A358" s="52"/>
      <c r="B358" s="52"/>
      <c r="C358" s="52">
        <v>2.58</v>
      </c>
      <c r="D358" s="52">
        <f t="shared" si="21"/>
        <v>0.68859999999999988</v>
      </c>
      <c r="E358" s="52">
        <f t="shared" si="21"/>
        <v>0.68859999999999988</v>
      </c>
    </row>
    <row r="359" spans="1:5" x14ac:dyDescent="0.2">
      <c r="A359" s="52"/>
      <c r="B359" s="52"/>
      <c r="C359" s="52">
        <v>2.59</v>
      </c>
      <c r="D359" s="52">
        <f t="shared" si="21"/>
        <v>0.69179999999999986</v>
      </c>
      <c r="E359" s="52">
        <f t="shared" si="21"/>
        <v>0.69179999999999986</v>
      </c>
    </row>
    <row r="360" spans="1:5" x14ac:dyDescent="0.2">
      <c r="A360" s="52"/>
      <c r="B360" s="52"/>
      <c r="C360" s="52">
        <v>2.6</v>
      </c>
      <c r="D360" s="52">
        <f t="shared" si="21"/>
        <v>0.69499999999999984</v>
      </c>
      <c r="E360" s="52">
        <f t="shared" si="21"/>
        <v>0.69499999999999984</v>
      </c>
    </row>
    <row r="361" spans="1:5" x14ac:dyDescent="0.2">
      <c r="A361" s="52"/>
      <c r="B361" s="52"/>
      <c r="C361" s="52">
        <v>2.61</v>
      </c>
      <c r="D361" s="52">
        <f t="shared" si="21"/>
        <v>0.69819999999999982</v>
      </c>
      <c r="E361" s="52">
        <f t="shared" si="21"/>
        <v>0.69819999999999982</v>
      </c>
    </row>
    <row r="362" spans="1:5" x14ac:dyDescent="0.2">
      <c r="A362" s="52"/>
      <c r="B362" s="52"/>
      <c r="C362" s="52">
        <v>2.62</v>
      </c>
      <c r="D362" s="52">
        <f t="shared" si="21"/>
        <v>0.7013999999999998</v>
      </c>
      <c r="E362" s="52">
        <f t="shared" si="21"/>
        <v>0.7013999999999998</v>
      </c>
    </row>
    <row r="363" spans="1:5" x14ac:dyDescent="0.2">
      <c r="A363" s="52"/>
      <c r="B363" s="52"/>
      <c r="C363" s="52">
        <v>2.63</v>
      </c>
      <c r="D363" s="52">
        <f t="shared" si="21"/>
        <v>0.70459999999999978</v>
      </c>
      <c r="E363" s="52">
        <f t="shared" si="21"/>
        <v>0.70459999999999978</v>
      </c>
    </row>
    <row r="364" spans="1:5" x14ac:dyDescent="0.2">
      <c r="A364" s="52"/>
      <c r="B364" s="52"/>
      <c r="C364" s="52">
        <v>2.64</v>
      </c>
      <c r="D364" s="52">
        <f t="shared" si="21"/>
        <v>0.70779999999999976</v>
      </c>
      <c r="E364" s="52">
        <f t="shared" si="21"/>
        <v>0.70779999999999976</v>
      </c>
    </row>
    <row r="365" spans="1:5" x14ac:dyDescent="0.2">
      <c r="A365" s="52"/>
      <c r="B365" s="52"/>
      <c r="C365" s="52">
        <v>2.65</v>
      </c>
      <c r="D365" s="52">
        <f t="shared" si="21"/>
        <v>0.71099999999999974</v>
      </c>
      <c r="E365" s="52">
        <f t="shared" si="21"/>
        <v>0.71099999999999974</v>
      </c>
    </row>
    <row r="366" spans="1:5" x14ac:dyDescent="0.2">
      <c r="A366" s="52"/>
      <c r="B366" s="52"/>
      <c r="C366" s="52">
        <v>2.66</v>
      </c>
      <c r="D366" s="52">
        <f t="shared" si="21"/>
        <v>0.71419999999999972</v>
      </c>
      <c r="E366" s="52">
        <f t="shared" si="21"/>
        <v>0.71419999999999972</v>
      </c>
    </row>
    <row r="367" spans="1:5" x14ac:dyDescent="0.2">
      <c r="A367" s="52"/>
      <c r="B367" s="52"/>
      <c r="C367" s="52">
        <v>2.67</v>
      </c>
      <c r="D367" s="52">
        <f t="shared" si="21"/>
        <v>0.7173999999999997</v>
      </c>
      <c r="E367" s="52">
        <f t="shared" si="21"/>
        <v>0.7173999999999997</v>
      </c>
    </row>
    <row r="368" spans="1:5" x14ac:dyDescent="0.2">
      <c r="A368" s="52"/>
      <c r="B368" s="52"/>
      <c r="C368" s="52">
        <v>2.68</v>
      </c>
      <c r="D368" s="52">
        <f t="shared" si="21"/>
        <v>0.72059999999999969</v>
      </c>
      <c r="E368" s="52">
        <f t="shared" si="21"/>
        <v>0.72059999999999969</v>
      </c>
    </row>
    <row r="369" spans="1:5" x14ac:dyDescent="0.2">
      <c r="A369" s="52"/>
      <c r="B369" s="52"/>
      <c r="C369" s="52">
        <v>2.69</v>
      </c>
      <c r="D369" s="52">
        <f t="shared" si="21"/>
        <v>0.72379999999999967</v>
      </c>
      <c r="E369" s="52">
        <f t="shared" si="21"/>
        <v>0.72379999999999967</v>
      </c>
    </row>
    <row r="370" spans="1:5" x14ac:dyDescent="0.2">
      <c r="A370" s="52"/>
      <c r="B370" s="52"/>
      <c r="C370" s="52">
        <v>2.7</v>
      </c>
      <c r="D370" s="52">
        <f t="shared" si="21"/>
        <v>0.72699999999999965</v>
      </c>
      <c r="E370" s="52">
        <f t="shared" si="21"/>
        <v>0.72699999999999965</v>
      </c>
    </row>
    <row r="371" spans="1:5" x14ac:dyDescent="0.2">
      <c r="A371" s="52"/>
      <c r="B371" s="52"/>
      <c r="C371" s="52">
        <v>2.71</v>
      </c>
      <c r="D371" s="52">
        <f t="shared" ref="D371:E375" si="22">(D370+0.0034)</f>
        <v>0.73039999999999961</v>
      </c>
      <c r="E371" s="52">
        <f t="shared" si="22"/>
        <v>0.73039999999999961</v>
      </c>
    </row>
    <row r="372" spans="1:5" x14ac:dyDescent="0.2">
      <c r="A372" s="52"/>
      <c r="B372" s="52"/>
      <c r="C372" s="52">
        <v>2.72</v>
      </c>
      <c r="D372" s="52">
        <f t="shared" si="22"/>
        <v>0.73379999999999956</v>
      </c>
      <c r="E372" s="52">
        <f t="shared" si="22"/>
        <v>0.73379999999999956</v>
      </c>
    </row>
    <row r="373" spans="1:5" x14ac:dyDescent="0.2">
      <c r="A373" s="52"/>
      <c r="B373" s="52"/>
      <c r="C373" s="52">
        <v>2.73</v>
      </c>
      <c r="D373" s="52">
        <f t="shared" si="22"/>
        <v>0.73719999999999952</v>
      </c>
      <c r="E373" s="52">
        <f t="shared" si="22"/>
        <v>0.73719999999999952</v>
      </c>
    </row>
    <row r="374" spans="1:5" x14ac:dyDescent="0.2">
      <c r="A374" s="52"/>
      <c r="B374" s="52"/>
      <c r="C374" s="52">
        <v>2.74</v>
      </c>
      <c r="D374" s="52">
        <f t="shared" si="22"/>
        <v>0.74059999999999948</v>
      </c>
      <c r="E374" s="52">
        <f t="shared" si="22"/>
        <v>0.74059999999999948</v>
      </c>
    </row>
    <row r="375" spans="1:5" x14ac:dyDescent="0.2">
      <c r="A375" s="52"/>
      <c r="B375" s="52"/>
      <c r="C375" s="52">
        <v>2.7499999999999898</v>
      </c>
      <c r="D375" s="52">
        <f t="shared" si="22"/>
        <v>0.74399999999999944</v>
      </c>
      <c r="E375" s="52">
        <f t="shared" si="22"/>
        <v>0.74399999999999944</v>
      </c>
    </row>
    <row r="376" spans="1:5" x14ac:dyDescent="0.2">
      <c r="A376" s="52"/>
      <c r="B376" s="52"/>
      <c r="C376" s="52">
        <v>2.75999999999999</v>
      </c>
      <c r="D376" s="52">
        <f t="shared" ref="D376:E380" si="23">(D375+0.0032)</f>
        <v>0.74719999999999942</v>
      </c>
      <c r="E376" s="52">
        <f t="shared" si="23"/>
        <v>0.74719999999999942</v>
      </c>
    </row>
    <row r="377" spans="1:5" x14ac:dyDescent="0.2">
      <c r="A377" s="52"/>
      <c r="B377" s="52"/>
      <c r="C377" s="52">
        <v>2.7699999999999898</v>
      </c>
      <c r="D377" s="52">
        <f t="shared" si="23"/>
        <v>0.7503999999999994</v>
      </c>
      <c r="E377" s="52">
        <f t="shared" si="23"/>
        <v>0.7503999999999994</v>
      </c>
    </row>
    <row r="378" spans="1:5" x14ac:dyDescent="0.2">
      <c r="A378" s="52"/>
      <c r="B378" s="52"/>
      <c r="C378" s="52">
        <v>2.77999999999999</v>
      </c>
      <c r="D378" s="52">
        <f t="shared" si="23"/>
        <v>0.75359999999999938</v>
      </c>
      <c r="E378" s="52">
        <f t="shared" si="23"/>
        <v>0.75359999999999938</v>
      </c>
    </row>
    <row r="379" spans="1:5" x14ac:dyDescent="0.2">
      <c r="A379" s="52"/>
      <c r="B379" s="52"/>
      <c r="C379" s="52">
        <v>2.7899999999999898</v>
      </c>
      <c r="D379" s="52">
        <f t="shared" si="23"/>
        <v>0.75679999999999936</v>
      </c>
      <c r="E379" s="52">
        <f t="shared" si="23"/>
        <v>0.75679999999999936</v>
      </c>
    </row>
    <row r="380" spans="1:5" x14ac:dyDescent="0.2">
      <c r="A380" s="52"/>
      <c r="B380" s="52"/>
      <c r="C380" s="52">
        <v>2.7999999999999901</v>
      </c>
      <c r="D380" s="52">
        <f t="shared" si="23"/>
        <v>0.75999999999999934</v>
      </c>
      <c r="E380" s="52">
        <f t="shared" si="23"/>
        <v>0.75999999999999934</v>
      </c>
    </row>
    <row r="381" spans="1:5" x14ac:dyDescent="0.2">
      <c r="A381" s="52"/>
      <c r="B381" s="52"/>
      <c r="C381" s="52">
        <v>2.8099999999999898</v>
      </c>
      <c r="D381" s="52">
        <f>(D380+0.0034)</f>
        <v>0.7633999999999993</v>
      </c>
      <c r="E381" s="52">
        <f>(E380+0.0034)</f>
        <v>0.7633999999999993</v>
      </c>
    </row>
    <row r="382" spans="1:5" x14ac:dyDescent="0.2">
      <c r="A382" s="52"/>
      <c r="B382" s="52"/>
      <c r="C382" s="52">
        <v>2.8199999999999901</v>
      </c>
      <c r="D382" s="52">
        <f t="shared" ref="D382:E405" si="24">(D381+0.0034)</f>
        <v>0.76679999999999926</v>
      </c>
      <c r="E382" s="52">
        <f t="shared" si="24"/>
        <v>0.76679999999999926</v>
      </c>
    </row>
    <row r="383" spans="1:5" x14ac:dyDescent="0.2">
      <c r="A383" s="52"/>
      <c r="B383" s="52"/>
      <c r="C383" s="52">
        <v>2.8299999999999899</v>
      </c>
      <c r="D383" s="52">
        <f t="shared" si="24"/>
        <v>0.77019999999999922</v>
      </c>
      <c r="E383" s="52">
        <f t="shared" si="24"/>
        <v>0.77019999999999922</v>
      </c>
    </row>
    <row r="384" spans="1:5" x14ac:dyDescent="0.2">
      <c r="A384" s="52"/>
      <c r="B384" s="52"/>
      <c r="C384" s="52">
        <v>2.8399999999999901</v>
      </c>
      <c r="D384" s="52">
        <f t="shared" si="24"/>
        <v>0.77359999999999918</v>
      </c>
      <c r="E384" s="52">
        <f t="shared" si="24"/>
        <v>0.77359999999999918</v>
      </c>
    </row>
    <row r="385" spans="1:5" x14ac:dyDescent="0.2">
      <c r="A385" s="52"/>
      <c r="B385" s="52"/>
      <c r="C385" s="52">
        <v>2.8499999999999899</v>
      </c>
      <c r="D385" s="52">
        <f t="shared" si="24"/>
        <v>0.77699999999999914</v>
      </c>
      <c r="E385" s="52">
        <f t="shared" si="24"/>
        <v>0.77699999999999914</v>
      </c>
    </row>
    <row r="386" spans="1:5" x14ac:dyDescent="0.2">
      <c r="A386" s="52"/>
      <c r="B386" s="52"/>
      <c r="C386" s="52">
        <v>2.8599999999999901</v>
      </c>
      <c r="D386" s="52">
        <f t="shared" si="24"/>
        <v>0.78039999999999909</v>
      </c>
      <c r="E386" s="52">
        <f t="shared" si="24"/>
        <v>0.78039999999999909</v>
      </c>
    </row>
    <row r="387" spans="1:5" x14ac:dyDescent="0.2">
      <c r="A387" s="52"/>
      <c r="B387" s="52"/>
      <c r="C387" s="52">
        <v>2.8699999999999899</v>
      </c>
      <c r="D387" s="52">
        <f t="shared" si="24"/>
        <v>0.78379999999999905</v>
      </c>
      <c r="E387" s="52">
        <f t="shared" si="24"/>
        <v>0.78379999999999905</v>
      </c>
    </row>
    <row r="388" spans="1:5" x14ac:dyDescent="0.2">
      <c r="A388" s="52"/>
      <c r="B388" s="52"/>
      <c r="C388" s="52">
        <v>2.8799999999999901</v>
      </c>
      <c r="D388" s="52">
        <f t="shared" si="24"/>
        <v>0.78719999999999901</v>
      </c>
      <c r="E388" s="52">
        <f t="shared" si="24"/>
        <v>0.78719999999999901</v>
      </c>
    </row>
    <row r="389" spans="1:5" x14ac:dyDescent="0.2">
      <c r="A389" s="52"/>
      <c r="B389" s="52"/>
      <c r="C389" s="52">
        <v>2.8899999999999899</v>
      </c>
      <c r="D389" s="52">
        <f t="shared" si="24"/>
        <v>0.79059999999999897</v>
      </c>
      <c r="E389" s="52">
        <f t="shared" si="24"/>
        <v>0.79059999999999897</v>
      </c>
    </row>
    <row r="390" spans="1:5" x14ac:dyDescent="0.2">
      <c r="A390" s="52"/>
      <c r="B390" s="52"/>
      <c r="C390" s="52">
        <v>2.8999999999999901</v>
      </c>
      <c r="D390" s="52">
        <f t="shared" si="24"/>
        <v>0.79399999999999893</v>
      </c>
      <c r="E390" s="52">
        <f t="shared" si="24"/>
        <v>0.79399999999999893</v>
      </c>
    </row>
    <row r="391" spans="1:5" x14ac:dyDescent="0.2">
      <c r="A391" s="52"/>
      <c r="B391" s="52"/>
      <c r="C391" s="52">
        <v>2.9099999999999899</v>
      </c>
      <c r="D391" s="52">
        <f t="shared" si="24"/>
        <v>0.79739999999999889</v>
      </c>
      <c r="E391" s="52">
        <f t="shared" si="24"/>
        <v>0.79739999999999889</v>
      </c>
    </row>
    <row r="392" spans="1:5" x14ac:dyDescent="0.2">
      <c r="A392" s="52"/>
      <c r="B392" s="52"/>
      <c r="C392" s="52">
        <v>2.9199999999999902</v>
      </c>
      <c r="D392" s="52">
        <f t="shared" si="24"/>
        <v>0.80079999999999885</v>
      </c>
      <c r="E392" s="52">
        <f t="shared" si="24"/>
        <v>0.80079999999999885</v>
      </c>
    </row>
    <row r="393" spans="1:5" x14ac:dyDescent="0.2">
      <c r="A393" s="52"/>
      <c r="B393" s="52"/>
      <c r="C393" s="52">
        <v>2.9299999999999899</v>
      </c>
      <c r="D393" s="52">
        <f t="shared" si="24"/>
        <v>0.8041999999999988</v>
      </c>
      <c r="E393" s="52">
        <f t="shared" si="24"/>
        <v>0.8041999999999988</v>
      </c>
    </row>
    <row r="394" spans="1:5" x14ac:dyDescent="0.2">
      <c r="A394" s="52"/>
      <c r="B394" s="52"/>
      <c r="C394" s="52">
        <v>2.9399999999999902</v>
      </c>
      <c r="D394" s="52">
        <f t="shared" si="24"/>
        <v>0.80759999999999876</v>
      </c>
      <c r="E394" s="52">
        <f t="shared" si="24"/>
        <v>0.80759999999999876</v>
      </c>
    </row>
    <row r="395" spans="1:5" x14ac:dyDescent="0.2">
      <c r="A395" s="52"/>
      <c r="B395" s="52"/>
      <c r="C395" s="52">
        <v>2.94999999999999</v>
      </c>
      <c r="D395" s="52">
        <f t="shared" si="24"/>
        <v>0.81099999999999872</v>
      </c>
      <c r="E395" s="52">
        <f t="shared" si="24"/>
        <v>0.81099999999999872</v>
      </c>
    </row>
    <row r="396" spans="1:5" x14ac:dyDescent="0.2">
      <c r="A396" s="52"/>
      <c r="B396" s="52"/>
      <c r="C396" s="52">
        <v>2.9599999999999902</v>
      </c>
      <c r="D396" s="52">
        <f t="shared" si="24"/>
        <v>0.81439999999999868</v>
      </c>
      <c r="E396" s="52">
        <f t="shared" si="24"/>
        <v>0.81439999999999868</v>
      </c>
    </row>
    <row r="397" spans="1:5" x14ac:dyDescent="0.2">
      <c r="A397" s="52"/>
      <c r="B397" s="52"/>
      <c r="C397" s="52">
        <v>2.96999999999999</v>
      </c>
      <c r="D397" s="52">
        <f t="shared" si="24"/>
        <v>0.81779999999999864</v>
      </c>
      <c r="E397" s="52">
        <f t="shared" si="24"/>
        <v>0.81779999999999864</v>
      </c>
    </row>
    <row r="398" spans="1:5" x14ac:dyDescent="0.2">
      <c r="A398" s="52"/>
      <c r="B398" s="52"/>
      <c r="C398" s="52">
        <v>2.9799999999999902</v>
      </c>
      <c r="D398" s="52">
        <f t="shared" si="24"/>
        <v>0.8211999999999986</v>
      </c>
      <c r="E398" s="52">
        <f t="shared" si="24"/>
        <v>0.8211999999999986</v>
      </c>
    </row>
    <row r="399" spans="1:5" x14ac:dyDescent="0.2">
      <c r="A399" s="52"/>
      <c r="B399" s="52"/>
      <c r="C399" s="52">
        <v>2.98999999999999</v>
      </c>
      <c r="D399" s="52">
        <f t="shared" si="24"/>
        <v>0.82459999999999856</v>
      </c>
      <c r="E399" s="52">
        <f t="shared" si="24"/>
        <v>0.82459999999999856</v>
      </c>
    </row>
    <row r="400" spans="1:5" x14ac:dyDescent="0.2">
      <c r="A400" s="52"/>
      <c r="B400" s="52"/>
      <c r="C400" s="52">
        <v>2.9999999999999898</v>
      </c>
      <c r="D400" s="52">
        <f t="shared" si="24"/>
        <v>0.82799999999999851</v>
      </c>
      <c r="E400" s="52">
        <f t="shared" si="24"/>
        <v>0.82799999999999851</v>
      </c>
    </row>
    <row r="401" spans="1:5" x14ac:dyDescent="0.2">
      <c r="A401" s="52"/>
      <c r="B401" s="52"/>
      <c r="C401" s="52">
        <v>3.00999999999999</v>
      </c>
      <c r="D401" s="52">
        <f t="shared" si="24"/>
        <v>0.83139999999999847</v>
      </c>
      <c r="E401" s="52">
        <f t="shared" si="24"/>
        <v>0.83139999999999847</v>
      </c>
    </row>
    <row r="402" spans="1:5" x14ac:dyDescent="0.2">
      <c r="A402" s="52"/>
      <c r="B402" s="52"/>
      <c r="C402" s="52">
        <v>3.0199999999999898</v>
      </c>
      <c r="D402" s="52">
        <f t="shared" si="24"/>
        <v>0.83479999999999843</v>
      </c>
      <c r="E402" s="52">
        <f t="shared" si="24"/>
        <v>0.83479999999999843</v>
      </c>
    </row>
    <row r="403" spans="1:5" x14ac:dyDescent="0.2">
      <c r="A403" s="52"/>
      <c r="B403" s="52"/>
      <c r="C403" s="52">
        <v>3.02999999999999</v>
      </c>
      <c r="D403" s="52">
        <f t="shared" si="24"/>
        <v>0.83819999999999839</v>
      </c>
      <c r="E403" s="52">
        <f t="shared" si="24"/>
        <v>0.83819999999999839</v>
      </c>
    </row>
    <row r="404" spans="1:5" x14ac:dyDescent="0.2">
      <c r="A404" s="52"/>
      <c r="B404" s="52"/>
      <c r="C404" s="52">
        <v>3.0399999999999898</v>
      </c>
      <c r="D404" s="52">
        <f t="shared" si="24"/>
        <v>0.84159999999999835</v>
      </c>
      <c r="E404" s="52">
        <f t="shared" si="24"/>
        <v>0.84159999999999835</v>
      </c>
    </row>
    <row r="405" spans="1:5" x14ac:dyDescent="0.2">
      <c r="A405" s="52"/>
      <c r="B405" s="52"/>
      <c r="C405" s="52">
        <v>3.0499999999999901</v>
      </c>
      <c r="D405" s="52">
        <f t="shared" si="24"/>
        <v>0.84499999999999831</v>
      </c>
      <c r="E405" s="52">
        <f t="shared" si="24"/>
        <v>0.84499999999999831</v>
      </c>
    </row>
    <row r="406" spans="1:5" x14ac:dyDescent="0.2">
      <c r="A406" s="52"/>
      <c r="B406" s="52"/>
      <c r="C406" s="52">
        <v>3.0599999999999898</v>
      </c>
      <c r="D406" s="52">
        <f t="shared" ref="D406:E410" si="25">(D405+0.0036)</f>
        <v>0.84859999999999836</v>
      </c>
      <c r="E406" s="52">
        <f t="shared" si="25"/>
        <v>0.84859999999999836</v>
      </c>
    </row>
    <row r="407" spans="1:5" x14ac:dyDescent="0.2">
      <c r="A407" s="52"/>
      <c r="B407" s="52"/>
      <c r="C407" s="52">
        <v>3.0699999999999901</v>
      </c>
      <c r="D407" s="52">
        <f t="shared" si="25"/>
        <v>0.8521999999999984</v>
      </c>
      <c r="E407" s="52">
        <f t="shared" si="25"/>
        <v>0.8521999999999984</v>
      </c>
    </row>
    <row r="408" spans="1:5" x14ac:dyDescent="0.2">
      <c r="A408" s="52"/>
      <c r="B408" s="52"/>
      <c r="C408" s="52">
        <v>3.0799999999999899</v>
      </c>
      <c r="D408" s="52">
        <f t="shared" si="25"/>
        <v>0.85579999999999845</v>
      </c>
      <c r="E408" s="52">
        <f t="shared" si="25"/>
        <v>0.85579999999999845</v>
      </c>
    </row>
    <row r="409" spans="1:5" x14ac:dyDescent="0.2">
      <c r="A409" s="52"/>
      <c r="B409" s="52"/>
      <c r="C409" s="52">
        <v>3.0899999999999901</v>
      </c>
      <c r="D409" s="52">
        <f t="shared" si="25"/>
        <v>0.8593999999999985</v>
      </c>
      <c r="E409" s="52">
        <f t="shared" si="25"/>
        <v>0.8593999999999985</v>
      </c>
    </row>
    <row r="410" spans="1:5" x14ac:dyDescent="0.2">
      <c r="A410" s="52"/>
      <c r="B410" s="52"/>
      <c r="C410" s="52">
        <v>3.0999999999999899</v>
      </c>
      <c r="D410" s="52">
        <f t="shared" si="25"/>
        <v>0.86299999999999855</v>
      </c>
      <c r="E410" s="52">
        <f t="shared" si="25"/>
        <v>0.86299999999999855</v>
      </c>
    </row>
    <row r="411" spans="1:5" x14ac:dyDescent="0.2">
      <c r="A411" s="52"/>
      <c r="B411" s="52"/>
      <c r="C411" s="52">
        <v>3.1099999999999901</v>
      </c>
      <c r="D411" s="52">
        <f t="shared" ref="D411:E415" si="26">(D410+0.0034)</f>
        <v>0.8663999999999985</v>
      </c>
      <c r="E411" s="52">
        <f t="shared" si="26"/>
        <v>0.8663999999999985</v>
      </c>
    </row>
    <row r="412" spans="1:5" x14ac:dyDescent="0.2">
      <c r="A412" s="52"/>
      <c r="B412" s="52"/>
      <c r="C412" s="52">
        <v>3.1199999999999899</v>
      </c>
      <c r="D412" s="52">
        <f t="shared" si="26"/>
        <v>0.86979999999999846</v>
      </c>
      <c r="E412" s="52">
        <f t="shared" si="26"/>
        <v>0.86979999999999846</v>
      </c>
    </row>
    <row r="413" spans="1:5" x14ac:dyDescent="0.2">
      <c r="A413" s="52"/>
      <c r="B413" s="52"/>
      <c r="C413" s="52">
        <v>3.1299999999999901</v>
      </c>
      <c r="D413" s="52">
        <f t="shared" si="26"/>
        <v>0.87319999999999842</v>
      </c>
      <c r="E413" s="52">
        <f t="shared" si="26"/>
        <v>0.87319999999999842</v>
      </c>
    </row>
    <row r="414" spans="1:5" x14ac:dyDescent="0.2">
      <c r="A414" s="52"/>
      <c r="B414" s="52"/>
      <c r="C414" s="52">
        <v>3.1399999999999899</v>
      </c>
      <c r="D414" s="52">
        <f t="shared" si="26"/>
        <v>0.87659999999999838</v>
      </c>
      <c r="E414" s="52">
        <f t="shared" si="26"/>
        <v>0.87659999999999838</v>
      </c>
    </row>
    <row r="415" spans="1:5" x14ac:dyDescent="0.2">
      <c r="A415" s="52"/>
      <c r="B415" s="52"/>
      <c r="C415" s="52">
        <v>3.1499999999999901</v>
      </c>
      <c r="D415" s="52">
        <f t="shared" si="26"/>
        <v>0.87999999999999834</v>
      </c>
      <c r="E415" s="52">
        <f t="shared" si="26"/>
        <v>0.87999999999999834</v>
      </c>
    </row>
    <row r="416" spans="1:5" x14ac:dyDescent="0.2">
      <c r="A416" s="52"/>
      <c r="B416" s="52"/>
      <c r="C416" s="52">
        <v>3.1599999999999899</v>
      </c>
      <c r="D416" s="52">
        <f>(D415+0.0036)</f>
        <v>0.88359999999999839</v>
      </c>
      <c r="E416" s="52">
        <f>(E415+0.0036)</f>
        <v>0.88359999999999839</v>
      </c>
    </row>
    <row r="417" spans="1:5" x14ac:dyDescent="0.2">
      <c r="A417" s="52"/>
      <c r="B417" s="52"/>
      <c r="C417" s="52">
        <v>3.17</v>
      </c>
      <c r="D417" s="52">
        <f t="shared" ref="D417:E425" si="27">(D416+0.0036)</f>
        <v>0.88719999999999843</v>
      </c>
      <c r="E417" s="52">
        <f t="shared" si="27"/>
        <v>0.88719999999999843</v>
      </c>
    </row>
    <row r="418" spans="1:5" x14ac:dyDescent="0.2">
      <c r="A418" s="52"/>
      <c r="B418" s="52"/>
      <c r="C418" s="52">
        <v>3.1799999999999899</v>
      </c>
      <c r="D418" s="52">
        <f t="shared" si="27"/>
        <v>0.89079999999999848</v>
      </c>
      <c r="E418" s="52">
        <f t="shared" si="27"/>
        <v>0.89079999999999848</v>
      </c>
    </row>
    <row r="419" spans="1:5" x14ac:dyDescent="0.2">
      <c r="A419" s="52"/>
      <c r="B419" s="52"/>
      <c r="C419" s="52">
        <v>3.19</v>
      </c>
      <c r="D419" s="52">
        <f t="shared" si="27"/>
        <v>0.89439999999999853</v>
      </c>
      <c r="E419" s="52">
        <f t="shared" si="27"/>
        <v>0.89439999999999853</v>
      </c>
    </row>
    <row r="420" spans="1:5" x14ac:dyDescent="0.2">
      <c r="A420" s="52"/>
      <c r="B420" s="52"/>
      <c r="C420" s="52">
        <v>3.19999999999999</v>
      </c>
      <c r="D420" s="52">
        <f t="shared" si="27"/>
        <v>0.89799999999999858</v>
      </c>
      <c r="E420" s="52">
        <f t="shared" si="27"/>
        <v>0.89799999999999858</v>
      </c>
    </row>
    <row r="421" spans="1:5" x14ac:dyDescent="0.2">
      <c r="A421" s="52"/>
      <c r="B421" s="52"/>
      <c r="C421" s="52">
        <v>3.21</v>
      </c>
      <c r="D421" s="52">
        <f t="shared" si="27"/>
        <v>0.90159999999999862</v>
      </c>
      <c r="E421" s="52">
        <f t="shared" si="27"/>
        <v>0.90159999999999862</v>
      </c>
    </row>
    <row r="422" spans="1:5" x14ac:dyDescent="0.2">
      <c r="A422" s="52"/>
      <c r="B422" s="52"/>
      <c r="C422" s="52">
        <v>3.22</v>
      </c>
      <c r="D422" s="52">
        <f t="shared" si="27"/>
        <v>0.90519999999999867</v>
      </c>
      <c r="E422" s="52">
        <f t="shared" si="27"/>
        <v>0.90519999999999867</v>
      </c>
    </row>
    <row r="423" spans="1:5" x14ac:dyDescent="0.2">
      <c r="A423" s="52"/>
      <c r="B423" s="52"/>
      <c r="C423" s="52">
        <v>3.23</v>
      </c>
      <c r="D423" s="52">
        <f t="shared" si="27"/>
        <v>0.90879999999999872</v>
      </c>
      <c r="E423" s="52">
        <f t="shared" si="27"/>
        <v>0.90879999999999872</v>
      </c>
    </row>
    <row r="424" spans="1:5" x14ac:dyDescent="0.2">
      <c r="A424" s="52"/>
      <c r="B424" s="52"/>
      <c r="C424" s="52">
        <v>3.24</v>
      </c>
      <c r="D424" s="52">
        <f t="shared" si="27"/>
        <v>0.91239999999999877</v>
      </c>
      <c r="E424" s="52">
        <f t="shared" si="27"/>
        <v>0.91239999999999877</v>
      </c>
    </row>
    <row r="425" spans="1:5" x14ac:dyDescent="0.2">
      <c r="A425" s="52"/>
      <c r="B425" s="52"/>
      <c r="C425" s="52">
        <v>3.25</v>
      </c>
      <c r="D425" s="52">
        <f t="shared" si="27"/>
        <v>0.91599999999999882</v>
      </c>
      <c r="E425" s="52">
        <f t="shared" si="27"/>
        <v>0.91599999999999882</v>
      </c>
    </row>
    <row r="426" spans="1:5" x14ac:dyDescent="0.2">
      <c r="A426" s="52"/>
      <c r="B426" s="52"/>
      <c r="C426" s="52">
        <v>3.26</v>
      </c>
      <c r="D426" s="52">
        <f>(D425+0.0038)</f>
        <v>0.91979999999999884</v>
      </c>
      <c r="E426" s="52">
        <f>(E425+0.0038)</f>
        <v>0.91979999999999884</v>
      </c>
    </row>
    <row r="427" spans="1:5" x14ac:dyDescent="0.2">
      <c r="A427" s="52"/>
      <c r="B427" s="52"/>
      <c r="C427" s="52">
        <v>3.27</v>
      </c>
      <c r="D427" s="52">
        <f t="shared" ref="D427:E432" si="28">(D426+0.0038)</f>
        <v>0.92359999999999887</v>
      </c>
      <c r="E427" s="52">
        <f t="shared" si="28"/>
        <v>0.92359999999999887</v>
      </c>
    </row>
    <row r="428" spans="1:5" x14ac:dyDescent="0.2">
      <c r="A428" s="52"/>
      <c r="B428" s="52"/>
      <c r="C428" s="52">
        <v>3.28</v>
      </c>
      <c r="D428" s="52">
        <f t="shared" si="28"/>
        <v>0.92739999999999889</v>
      </c>
      <c r="E428" s="52">
        <f t="shared" si="28"/>
        <v>0.92739999999999889</v>
      </c>
    </row>
    <row r="429" spans="1:5" x14ac:dyDescent="0.2">
      <c r="A429" s="52"/>
      <c r="B429" s="52"/>
      <c r="C429" s="52">
        <v>3.29</v>
      </c>
      <c r="D429" s="52">
        <f t="shared" si="28"/>
        <v>0.93119999999999892</v>
      </c>
      <c r="E429" s="52">
        <f t="shared" si="28"/>
        <v>0.93119999999999892</v>
      </c>
    </row>
    <row r="430" spans="1:5" x14ac:dyDescent="0.2">
      <c r="A430" s="52"/>
      <c r="B430" s="52"/>
      <c r="C430" s="52">
        <v>3.3</v>
      </c>
      <c r="D430" s="52">
        <f t="shared" si="28"/>
        <v>0.93499999999999894</v>
      </c>
      <c r="E430" s="52">
        <f t="shared" si="28"/>
        <v>0.93499999999999894</v>
      </c>
    </row>
    <row r="431" spans="1:5" x14ac:dyDescent="0.2">
      <c r="A431" s="52"/>
      <c r="B431" s="52"/>
      <c r="C431" s="52">
        <v>3.31</v>
      </c>
      <c r="D431" s="52">
        <f>(D430+0.0038)</f>
        <v>0.93879999999999897</v>
      </c>
      <c r="E431" s="52">
        <f>(E430+0.0038)</f>
        <v>0.93879999999999897</v>
      </c>
    </row>
    <row r="432" spans="1:5" x14ac:dyDescent="0.2">
      <c r="A432" s="52"/>
      <c r="B432" s="52"/>
      <c r="C432" s="52">
        <v>3.32</v>
      </c>
      <c r="D432" s="52">
        <f t="shared" si="28"/>
        <v>0.94259999999999899</v>
      </c>
      <c r="E432" s="52">
        <f t="shared" si="28"/>
        <v>0.94259999999999899</v>
      </c>
    </row>
  </sheetData>
  <mergeCells count="3">
    <mergeCell ref="E108:F108"/>
    <mergeCell ref="E110:F110"/>
    <mergeCell ref="C112:D112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AC432"/>
  <sheetViews>
    <sheetView view="pageBreakPreview" topLeftCell="A5" zoomScale="70" zoomScaleSheetLayoutView="70" workbookViewId="0">
      <selection activeCell="E11" sqref="E11"/>
    </sheetView>
  </sheetViews>
  <sheetFormatPr defaultColWidth="8.7109375" defaultRowHeight="12.75" x14ac:dyDescent="0.2"/>
  <cols>
    <col min="1" max="1" width="9.28515625" style="305" customWidth="1"/>
    <col min="2" max="2" width="16.140625" style="178" customWidth="1"/>
    <col min="3" max="3" width="13.28515625" style="178" customWidth="1"/>
    <col min="4" max="4" width="13.140625" style="178" bestFit="1" customWidth="1"/>
    <col min="5" max="6" width="12.28515625" style="178" bestFit="1" customWidth="1"/>
    <col min="7" max="8" width="13.140625" style="178" bestFit="1" customWidth="1"/>
    <col min="9" max="9" width="12.5703125" style="175" bestFit="1" customWidth="1"/>
    <col min="10" max="10" width="11.7109375" style="178" bestFit="1" customWidth="1"/>
    <col min="11" max="12" width="8.7109375" style="178"/>
    <col min="13" max="13" width="12.140625" style="178" bestFit="1" customWidth="1"/>
    <col min="14" max="14" width="11.42578125" style="178" bestFit="1" customWidth="1"/>
    <col min="15" max="16384" width="8.7109375" style="178"/>
  </cols>
  <sheetData>
    <row r="3" spans="1:12" x14ac:dyDescent="0.2">
      <c r="B3" s="44" t="s">
        <v>585</v>
      </c>
    </row>
    <row r="4" spans="1:12" x14ac:dyDescent="0.2">
      <c r="B4" s="44"/>
    </row>
    <row r="5" spans="1:12" x14ac:dyDescent="0.2">
      <c r="B5" s="44" t="s">
        <v>597</v>
      </c>
      <c r="E5" s="180">
        <v>3</v>
      </c>
      <c r="F5" s="178" t="s">
        <v>74</v>
      </c>
    </row>
    <row r="8" spans="1:12" x14ac:dyDescent="0.2">
      <c r="A8" s="305">
        <v>1</v>
      </c>
      <c r="B8" s="178" t="s">
        <v>594</v>
      </c>
      <c r="C8" s="178" t="s">
        <v>586</v>
      </c>
      <c r="E8" s="178">
        <f>ROUND('Earthquake &amp; wind'!K47,2)</f>
        <v>594.98</v>
      </c>
      <c r="F8" s="178" t="s">
        <v>117</v>
      </c>
      <c r="G8" s="181" t="s">
        <v>600</v>
      </c>
      <c r="H8" s="178" t="s">
        <v>588</v>
      </c>
      <c r="I8" s="175" t="s">
        <v>587</v>
      </c>
    </row>
    <row r="9" spans="1:12" x14ac:dyDescent="0.2">
      <c r="E9" s="178">
        <v>0</v>
      </c>
      <c r="F9" s="178" t="s">
        <v>596</v>
      </c>
      <c r="G9" s="178" t="s">
        <v>310</v>
      </c>
      <c r="H9" s="178" t="s">
        <v>588</v>
      </c>
      <c r="I9" s="175" t="s">
        <v>587</v>
      </c>
      <c r="L9" s="178">
        <f>(Calculation!F88/2+Calculation!F80/2)</f>
        <v>3.0834999999999999</v>
      </c>
    </row>
    <row r="11" spans="1:12" ht="14.1" customHeight="1" x14ac:dyDescent="0.2">
      <c r="A11" s="305">
        <v>2</v>
      </c>
      <c r="B11" s="178" t="s">
        <v>590</v>
      </c>
      <c r="C11" s="178" t="s">
        <v>475</v>
      </c>
      <c r="E11" s="178">
        <f>'Earthquake &amp; wind'!$J$310</f>
        <v>13.987162842842233</v>
      </c>
      <c r="F11" s="178" t="s">
        <v>117</v>
      </c>
      <c r="H11" s="178" t="s">
        <v>588</v>
      </c>
      <c r="I11" s="175">
        <f>Calculation!H94+Calculation!F88/2++Calculation!F80/2</f>
        <v>113.0835</v>
      </c>
      <c r="J11" s="178" t="s">
        <v>589</v>
      </c>
    </row>
    <row r="13" spans="1:12" ht="25.5" x14ac:dyDescent="0.2">
      <c r="B13" s="44" t="s">
        <v>595</v>
      </c>
      <c r="E13" s="178">
        <f>E11</f>
        <v>13.987162842842233</v>
      </c>
      <c r="F13" s="178" t="s">
        <v>117</v>
      </c>
      <c r="G13" s="181" t="s">
        <v>601</v>
      </c>
      <c r="H13" s="178" t="s">
        <v>588</v>
      </c>
      <c r="I13" s="175" t="s">
        <v>587</v>
      </c>
    </row>
    <row r="14" spans="1:12" ht="27" customHeight="1" x14ac:dyDescent="0.2">
      <c r="D14" s="178" t="str">
        <f>CONCATENATE(E13,"*(",I11,"-",I23,")")</f>
        <v>13.9871628428422*(113.0835-97)</v>
      </c>
      <c r="E14" s="178">
        <f>ROUND(E13*(I11-I23),2)</f>
        <v>224.96</v>
      </c>
      <c r="F14" s="178" t="s">
        <v>596</v>
      </c>
      <c r="G14" s="178" t="s">
        <v>310</v>
      </c>
      <c r="H14" s="178" t="s">
        <v>588</v>
      </c>
      <c r="I14" s="175" t="s">
        <v>587</v>
      </c>
    </row>
    <row r="17" spans="1:10" ht="15.6" customHeight="1" x14ac:dyDescent="0.2">
      <c r="A17" s="305">
        <v>3</v>
      </c>
      <c r="B17" s="178" t="s">
        <v>592</v>
      </c>
      <c r="C17" s="44" t="s">
        <v>593</v>
      </c>
      <c r="E17" s="178">
        <f>ROUND('Earthquake &amp; wind'!K125,2)</f>
        <v>38.78</v>
      </c>
      <c r="F17" s="178" t="s">
        <v>117</v>
      </c>
      <c r="H17" s="178" t="s">
        <v>588</v>
      </c>
      <c r="I17" s="175">
        <f>Calculation!H94+Calculation!F88/2</f>
        <v>112.325</v>
      </c>
      <c r="J17" s="178" t="s">
        <v>589</v>
      </c>
    </row>
    <row r="19" spans="1:10" ht="25.5" x14ac:dyDescent="0.2">
      <c r="B19" s="44" t="s">
        <v>595</v>
      </c>
      <c r="E19" s="178">
        <f>E17</f>
        <v>38.78</v>
      </c>
      <c r="F19" s="178" t="s">
        <v>117</v>
      </c>
      <c r="G19" s="181" t="s">
        <v>601</v>
      </c>
      <c r="H19" s="178" t="s">
        <v>588</v>
      </c>
      <c r="I19" s="175" t="s">
        <v>587</v>
      </c>
    </row>
    <row r="20" spans="1:10" x14ac:dyDescent="0.2">
      <c r="D20" s="178" t="str">
        <f>CONCATENATE(E19,"*(",I11,"-",I23,")")</f>
        <v>38.78*(113.0835-97)</v>
      </c>
      <c r="E20" s="178">
        <f>ROUND(E19*(I11-I23),2)</f>
        <v>623.72</v>
      </c>
      <c r="F20" s="178" t="s">
        <v>596</v>
      </c>
      <c r="G20" s="178" t="s">
        <v>310</v>
      </c>
      <c r="H20" s="178" t="s">
        <v>588</v>
      </c>
      <c r="I20" s="175" t="s">
        <v>587</v>
      </c>
    </row>
    <row r="23" spans="1:10" x14ac:dyDescent="0.2">
      <c r="B23" s="44" t="s">
        <v>591</v>
      </c>
      <c r="D23" s="178" t="str">
        <f>CONCATENATE(Calculation!H94,"-",Calculation!F57,"-",E5)</f>
        <v>110-10-3</v>
      </c>
      <c r="I23" s="175">
        <f>Calculation!H94-Calculation!F57-E5</f>
        <v>97</v>
      </c>
      <c r="J23" s="178" t="s">
        <v>589</v>
      </c>
    </row>
    <row r="26" spans="1:10" x14ac:dyDescent="0.2">
      <c r="B26" s="59" t="s">
        <v>598</v>
      </c>
    </row>
    <row r="28" spans="1:10" x14ac:dyDescent="0.2">
      <c r="B28" s="59" t="s">
        <v>611</v>
      </c>
      <c r="E28" s="178">
        <f>E8</f>
        <v>594.98</v>
      </c>
      <c r="F28" s="178" t="s">
        <v>117</v>
      </c>
      <c r="G28" s="181" t="s">
        <v>600</v>
      </c>
      <c r="H28" s="178" t="s">
        <v>588</v>
      </c>
      <c r="I28" s="175" t="s">
        <v>587</v>
      </c>
    </row>
    <row r="29" spans="1:10" ht="25.5" x14ac:dyDescent="0.2">
      <c r="E29" s="178">
        <f>E13</f>
        <v>13.987162842842233</v>
      </c>
      <c r="F29" s="178" t="s">
        <v>117</v>
      </c>
      <c r="G29" s="181" t="s">
        <v>601</v>
      </c>
      <c r="H29" s="178" t="s">
        <v>588</v>
      </c>
      <c r="I29" s="175" t="s">
        <v>587</v>
      </c>
    </row>
    <row r="30" spans="1:10" x14ac:dyDescent="0.2">
      <c r="E30" s="178">
        <f>E14</f>
        <v>224.96</v>
      </c>
      <c r="F30" s="178" t="s">
        <v>596</v>
      </c>
      <c r="G30" s="178" t="s">
        <v>310</v>
      </c>
      <c r="H30" s="178" t="s">
        <v>588</v>
      </c>
      <c r="I30" s="175" t="s">
        <v>587</v>
      </c>
    </row>
    <row r="36" spans="2:9" x14ac:dyDescent="0.2">
      <c r="B36" s="59" t="s">
        <v>599</v>
      </c>
      <c r="E36" s="178">
        <f>E8</f>
        <v>594.98</v>
      </c>
      <c r="F36" s="178" t="s">
        <v>117</v>
      </c>
      <c r="G36" s="181" t="s">
        <v>600</v>
      </c>
      <c r="H36" s="178" t="s">
        <v>588</v>
      </c>
      <c r="I36" s="175" t="s">
        <v>587</v>
      </c>
    </row>
    <row r="37" spans="2:9" ht="25.5" x14ac:dyDescent="0.2">
      <c r="E37" s="178">
        <f>E17</f>
        <v>38.78</v>
      </c>
      <c r="F37" s="178" t="s">
        <v>117</v>
      </c>
      <c r="G37" s="181" t="s">
        <v>601</v>
      </c>
      <c r="H37" s="178" t="s">
        <v>588</v>
      </c>
      <c r="I37" s="175" t="s">
        <v>587</v>
      </c>
    </row>
    <row r="38" spans="2:9" x14ac:dyDescent="0.2">
      <c r="E38" s="178">
        <f>E20</f>
        <v>623.72</v>
      </c>
      <c r="F38" s="178" t="s">
        <v>596</v>
      </c>
      <c r="G38" s="178" t="s">
        <v>310</v>
      </c>
      <c r="H38" s="178" t="s">
        <v>588</v>
      </c>
      <c r="I38" s="175" t="s">
        <v>587</v>
      </c>
    </row>
    <row r="51" spans="5:26" x14ac:dyDescent="0.2">
      <c r="I51" s="185"/>
    </row>
    <row r="53" spans="5:26" x14ac:dyDescent="0.2">
      <c r="E53" s="175">
        <f>E64-E79/1000</f>
        <v>3.3499999999999996</v>
      </c>
    </row>
    <row r="54" spans="5:26" ht="15" x14ac:dyDescent="0.25">
      <c r="N54" s="1349" t="s">
        <v>469</v>
      </c>
      <c r="O54" s="1349"/>
      <c r="P54" s="1349"/>
      <c r="Q54" s="1349"/>
      <c r="R54" s="1349"/>
      <c r="S54" s="1349"/>
      <c r="T54" s="1349"/>
      <c r="U54" s="1349"/>
      <c r="V54" s="1349"/>
      <c r="W54" s="1349"/>
      <c r="X54" s="1349"/>
      <c r="Y54" s="1349"/>
      <c r="Z54" s="1349"/>
    </row>
    <row r="55" spans="5:26" ht="15" x14ac:dyDescent="0.25">
      <c r="N55" s="1349" t="s">
        <v>626</v>
      </c>
      <c r="O55" s="1349"/>
      <c r="P55" s="1349"/>
      <c r="Q55" s="1349"/>
      <c r="R55" s="1349"/>
      <c r="S55" s="1349"/>
      <c r="T55" s="1349"/>
      <c r="U55" s="1349"/>
      <c r="V55" s="1349"/>
      <c r="W55" s="1349"/>
      <c r="X55" s="1349"/>
      <c r="Y55" s="1349"/>
      <c r="Z55" s="1349"/>
    </row>
    <row r="61" spans="5:26" x14ac:dyDescent="0.2">
      <c r="E61" s="175">
        <f>E64+E79/1000</f>
        <v>11.35</v>
      </c>
    </row>
    <row r="64" spans="5:26" x14ac:dyDescent="0.2">
      <c r="E64" s="184">
        <f>Calculation!F61+Calculation!D98/2</f>
        <v>7.35</v>
      </c>
    </row>
    <row r="66" spans="1:29" x14ac:dyDescent="0.2">
      <c r="Z66" s="44"/>
    </row>
    <row r="67" spans="1:29" ht="13.5" thickBot="1" x14ac:dyDescent="0.25">
      <c r="B67" s="178" t="s">
        <v>604</v>
      </c>
      <c r="C67" s="178">
        <f>Calculation!$E$96</f>
        <v>3.55</v>
      </c>
      <c r="Z67" s="44"/>
      <c r="AA67" s="44"/>
      <c r="AB67" s="191"/>
      <c r="AC67" s="44"/>
    </row>
    <row r="68" spans="1:29" x14ac:dyDescent="0.2">
      <c r="AC68" s="44"/>
    </row>
    <row r="69" spans="1:29" x14ac:dyDescent="0.2">
      <c r="B69" s="181" t="s">
        <v>448</v>
      </c>
      <c r="C69" s="178">
        <f>C67+Calculation!$D$98+(E76/1000-Calculation!$D$98)/2</f>
        <v>4.0999999999999996</v>
      </c>
    </row>
    <row r="70" spans="1:29" x14ac:dyDescent="0.2">
      <c r="B70" s="181" t="s">
        <v>447</v>
      </c>
      <c r="C70" s="178">
        <f>C67+Calculation!$D$98+(E76/1000-Calculation!$D$98)/2+H74/1000+F16/1000</f>
        <v>5.3999999999999995</v>
      </c>
    </row>
    <row r="71" spans="1:29" x14ac:dyDescent="0.2">
      <c r="I71" s="178"/>
    </row>
    <row r="72" spans="1:29" s="175" customFormat="1" x14ac:dyDescent="0.2">
      <c r="A72" s="305"/>
      <c r="B72" s="178"/>
      <c r="C72" s="178"/>
      <c r="D72" s="178"/>
      <c r="E72" s="178"/>
      <c r="F72" s="61">
        <v>900</v>
      </c>
      <c r="G72" s="178"/>
      <c r="H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</row>
    <row r="73" spans="1:29" s="175" customFormat="1" x14ac:dyDescent="0.2">
      <c r="A73" s="305"/>
      <c r="B73" s="178">
        <f>ROUND(E53/2,2)</f>
        <v>1.68</v>
      </c>
      <c r="C73" s="178"/>
      <c r="D73" s="178"/>
      <c r="E73" s="178"/>
      <c r="F73" s="178"/>
      <c r="G73" s="178"/>
      <c r="H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</row>
    <row r="74" spans="1:29" s="175" customFormat="1" x14ac:dyDescent="0.2">
      <c r="A74" s="305"/>
      <c r="B74" s="178"/>
      <c r="C74" s="178"/>
      <c r="D74" s="178"/>
      <c r="E74" s="178"/>
      <c r="F74" s="178"/>
      <c r="G74" s="178"/>
      <c r="H74" s="62">
        <v>1300</v>
      </c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</row>
    <row r="76" spans="1:29" s="175" customFormat="1" x14ac:dyDescent="0.2">
      <c r="A76" s="305"/>
      <c r="B76" s="178"/>
      <c r="C76" s="178"/>
      <c r="D76" s="178"/>
      <c r="E76" s="61">
        <v>600</v>
      </c>
      <c r="F76" s="178"/>
      <c r="G76" s="178"/>
      <c r="H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</row>
    <row r="79" spans="1:29" s="175" customFormat="1" x14ac:dyDescent="0.2">
      <c r="A79" s="305"/>
      <c r="B79" s="178"/>
      <c r="C79" s="178"/>
      <c r="D79" s="178"/>
      <c r="E79" s="61">
        <v>4000</v>
      </c>
      <c r="F79" s="178"/>
      <c r="G79" s="178"/>
      <c r="H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</row>
    <row r="81" spans="1:29" s="175" customFormat="1" x14ac:dyDescent="0.2">
      <c r="A81" s="305"/>
      <c r="B81" s="44" t="s">
        <v>605</v>
      </c>
      <c r="C81" s="178"/>
      <c r="D81" s="44" t="str">
        <f>CONCATENATE("3.14/4*(",E61,"^2-",E53,"^2)")</f>
        <v>3.14/4*(11.35^2-3.35^2)</v>
      </c>
      <c r="E81" s="178"/>
      <c r="F81" s="178"/>
      <c r="G81" s="178">
        <f>ROUND(3.14/4*(E61^2-E53^2),2)</f>
        <v>92.32</v>
      </c>
      <c r="H81" s="181" t="s">
        <v>610</v>
      </c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</row>
    <row r="85" spans="1:29" s="175" customFormat="1" ht="44.25" customHeight="1" x14ac:dyDescent="0.2">
      <c r="A85" s="306" t="s">
        <v>446</v>
      </c>
      <c r="B85" s="1350" t="s">
        <v>485</v>
      </c>
      <c r="C85" s="1350"/>
      <c r="D85" s="1350"/>
      <c r="E85" s="1350"/>
      <c r="F85" s="1350"/>
      <c r="G85" s="178"/>
      <c r="H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</row>
    <row r="88" spans="1:29" x14ac:dyDescent="0.2">
      <c r="B88" s="59" t="s">
        <v>606</v>
      </c>
      <c r="C88" s="187">
        <v>2.5</v>
      </c>
      <c r="D88" s="178" t="s">
        <v>74</v>
      </c>
      <c r="F88" s="59" t="s">
        <v>444</v>
      </c>
      <c r="G88" s="44"/>
    </row>
    <row r="89" spans="1:29" x14ac:dyDescent="0.2">
      <c r="B89" s="178" t="s">
        <v>443</v>
      </c>
      <c r="C89" s="60">
        <v>15</v>
      </c>
      <c r="D89" s="59" t="s">
        <v>445</v>
      </c>
    </row>
    <row r="91" spans="1:29" ht="38.25" x14ac:dyDescent="0.2">
      <c r="B91" s="178" t="s">
        <v>607</v>
      </c>
      <c r="C91" s="181" t="s">
        <v>602</v>
      </c>
    </row>
    <row r="93" spans="1:29" x14ac:dyDescent="0.2">
      <c r="B93" s="178" t="s">
        <v>594</v>
      </c>
      <c r="D93" s="181" t="s">
        <v>609</v>
      </c>
      <c r="H93" s="178">
        <f>E8</f>
        <v>594.98</v>
      </c>
      <c r="I93" s="181" t="s">
        <v>117</v>
      </c>
    </row>
    <row r="94" spans="1:29" x14ac:dyDescent="0.2">
      <c r="D94" s="181" t="s">
        <v>572</v>
      </c>
      <c r="F94" s="178" t="str">
        <f>CONCATENATE(H93,"/",G81)</f>
        <v>594.98/92.32</v>
      </c>
      <c r="H94" s="178">
        <f>ROUND(H93/G81,2)</f>
        <v>6.44</v>
      </c>
      <c r="I94" s="181" t="s">
        <v>254</v>
      </c>
      <c r="J94" s="60" t="str">
        <f>IF(H94&lt;C89,"ok","revise")</f>
        <v>ok</v>
      </c>
    </row>
    <row r="97" spans="2:10" x14ac:dyDescent="0.2">
      <c r="B97" s="59" t="s">
        <v>611</v>
      </c>
      <c r="D97" s="181" t="s">
        <v>609</v>
      </c>
      <c r="H97" s="178">
        <f>E8</f>
        <v>594.98</v>
      </c>
      <c r="I97" s="181" t="s">
        <v>117</v>
      </c>
    </row>
    <row r="98" spans="2:10" x14ac:dyDescent="0.2">
      <c r="D98" s="181" t="s">
        <v>310</v>
      </c>
      <c r="E98" s="178" t="s">
        <v>641</v>
      </c>
      <c r="G98" s="178">
        <f>ROUND(4*H98/(3.14*D110^3*(1-D111^4)),3)</f>
        <v>9.8000000000000004E-2</v>
      </c>
      <c r="H98" s="178">
        <f>E29</f>
        <v>13.987162842842233</v>
      </c>
      <c r="I98" s="189" t="s">
        <v>210</v>
      </c>
    </row>
    <row r="100" spans="2:10" ht="27" customHeight="1" x14ac:dyDescent="0.2">
      <c r="D100" s="181" t="s">
        <v>572</v>
      </c>
      <c r="E100" s="1347" t="str">
        <f>CONCATENATE(H93,"/",G81,"+ 4*",H98,"/(3.14*",D110,"^3*(1-",D111,"^4))")</f>
        <v>594.98/92.32+ 4*13.9871628428422/(3.14*5.675^3*(1-0.295^4))</v>
      </c>
      <c r="F100" s="1348"/>
      <c r="G100" s="1145"/>
      <c r="H100" s="178">
        <f>ROUND(H97/G81+4*H98/(3.14*D110^3*(1-D111^4)),2)</f>
        <v>6.54</v>
      </c>
      <c r="I100" s="181" t="s">
        <v>254</v>
      </c>
      <c r="J100" s="60" t="str">
        <f>IF(H100&lt;C89,"ok","revise")</f>
        <v>ok</v>
      </c>
    </row>
    <row r="103" spans="2:10" x14ac:dyDescent="0.2">
      <c r="B103" s="59" t="s">
        <v>599</v>
      </c>
      <c r="D103" s="181" t="s">
        <v>609</v>
      </c>
      <c r="H103" s="178">
        <f>E36</f>
        <v>594.98</v>
      </c>
      <c r="I103" s="181" t="s">
        <v>117</v>
      </c>
    </row>
    <row r="104" spans="2:10" x14ac:dyDescent="0.2">
      <c r="D104" s="181" t="s">
        <v>310</v>
      </c>
      <c r="E104" s="178" t="s">
        <v>641</v>
      </c>
      <c r="G104" s="178">
        <f>ROUND(4*H104/(3.14*D110^3*(1-D111^4)),3)</f>
        <v>4.3810000000000002</v>
      </c>
      <c r="H104" s="178">
        <f>E38</f>
        <v>623.72</v>
      </c>
      <c r="I104" s="189" t="s">
        <v>210</v>
      </c>
    </row>
    <row r="106" spans="2:10" x14ac:dyDescent="0.2">
      <c r="D106" s="181" t="s">
        <v>572</v>
      </c>
      <c r="E106" s="1347" t="str">
        <f>CONCATENATE(H93,"/",G81,"+ 4*",H104,"/(3.14*",D110,"^3*(1-",D111,"^4))")</f>
        <v>594.98/92.32+ 4*623.72/(3.14*5.675^3*(1-0.295^4))</v>
      </c>
      <c r="F106" s="1348"/>
      <c r="G106" s="1145"/>
      <c r="H106" s="178">
        <f>ROUND(H93/G81+4*H104/(3.14*D110^3*(1-D111^4)),2)</f>
        <v>10.83</v>
      </c>
      <c r="I106" s="181" t="s">
        <v>254</v>
      </c>
      <c r="J106" s="60" t="str">
        <f>IF(H106&lt;C89,"ok","revise")</f>
        <v>ok</v>
      </c>
    </row>
    <row r="110" spans="2:10" x14ac:dyDescent="0.2">
      <c r="B110" s="178" t="s">
        <v>608</v>
      </c>
      <c r="C110" s="178" t="s">
        <v>442</v>
      </c>
      <c r="D110" s="178">
        <f>E61/2</f>
        <v>5.6749999999999998</v>
      </c>
      <c r="E110" s="181" t="s">
        <v>74</v>
      </c>
      <c r="G110" s="181"/>
    </row>
    <row r="111" spans="2:10" x14ac:dyDescent="0.2">
      <c r="B111" s="188" t="s">
        <v>57</v>
      </c>
      <c r="C111" s="181" t="s">
        <v>442</v>
      </c>
      <c r="D111" s="178">
        <f>ROUND(E53/2/D110,3)</f>
        <v>0.29499999999999998</v>
      </c>
      <c r="E111" s="178">
        <f>ROUND(E53/2/D110,3)</f>
        <v>0.29499999999999998</v>
      </c>
      <c r="G111" s="181"/>
    </row>
    <row r="112" spans="2:10" x14ac:dyDescent="0.2">
      <c r="B112" s="181" t="s">
        <v>167</v>
      </c>
      <c r="C112" s="181" t="s">
        <v>442</v>
      </c>
      <c r="D112" s="178">
        <f>ROUND(E64/2/D110,3)</f>
        <v>0.64800000000000002</v>
      </c>
      <c r="E112" s="178">
        <f>ROUND(E64/2/D110,3)</f>
        <v>0.64800000000000002</v>
      </c>
      <c r="G112" s="181"/>
    </row>
    <row r="113" spans="2:15" x14ac:dyDescent="0.2">
      <c r="G113" s="181"/>
    </row>
    <row r="114" spans="2:15" x14ac:dyDescent="0.2">
      <c r="B114" s="181" t="s">
        <v>619</v>
      </c>
      <c r="C114" s="181" t="s">
        <v>442</v>
      </c>
      <c r="E114" s="178" t="s">
        <v>646</v>
      </c>
      <c r="F114" s="178">
        <f>D111</f>
        <v>0.29499999999999998</v>
      </c>
      <c r="G114" s="178">
        <v>1</v>
      </c>
      <c r="I114" s="178"/>
      <c r="O114" s="200"/>
    </row>
    <row r="115" spans="2:15" x14ac:dyDescent="0.2">
      <c r="G115" s="181"/>
      <c r="O115" s="200"/>
    </row>
    <row r="116" spans="2:15" ht="15.75" x14ac:dyDescent="0.25">
      <c r="B116" s="291" t="s">
        <v>639</v>
      </c>
      <c r="G116" s="181"/>
      <c r="O116" s="200"/>
    </row>
    <row r="117" spans="2:15" x14ac:dyDescent="0.2">
      <c r="G117" s="181"/>
      <c r="O117" s="200"/>
    </row>
    <row r="118" spans="2:15" x14ac:dyDescent="0.2">
      <c r="B118" s="181" t="s">
        <v>621</v>
      </c>
      <c r="F118" s="181" t="s">
        <v>310</v>
      </c>
      <c r="G118" s="181"/>
      <c r="O118" s="200"/>
    </row>
    <row r="119" spans="2:15" x14ac:dyDescent="0.2">
      <c r="G119" s="181"/>
      <c r="O119" s="200"/>
    </row>
    <row r="120" spans="2:15" x14ac:dyDescent="0.2">
      <c r="G120" s="181"/>
      <c r="O120" s="200"/>
    </row>
    <row r="121" spans="2:15" x14ac:dyDescent="0.2">
      <c r="B121" s="181" t="s">
        <v>612</v>
      </c>
      <c r="D121" s="178">
        <f>1.96*D112^4+8*D112^2*LN(D112)+2.52*D112^2</f>
        <v>-5.3707745973517573E-2</v>
      </c>
      <c r="F121" s="181" t="s">
        <v>612</v>
      </c>
      <c r="H121" s="178">
        <f>-0.19*D112^4+5.46*D112^2-3</f>
        <v>-0.74082484015104022</v>
      </c>
      <c r="O121" s="200"/>
    </row>
    <row r="122" spans="2:15" x14ac:dyDescent="0.2">
      <c r="B122" s="181" t="s">
        <v>613</v>
      </c>
      <c r="D122" s="178">
        <f>-2.52-(8*LN(D112))-2.96*D112^2</f>
        <v>-0.29199917896110139</v>
      </c>
      <c r="F122" s="181" t="s">
        <v>613</v>
      </c>
      <c r="H122" s="178">
        <f>(3/D112^2)-5.46-0.81*D112^2</f>
        <v>1.3443679291815269</v>
      </c>
      <c r="O122" s="200"/>
    </row>
    <row r="123" spans="2:15" x14ac:dyDescent="0.2">
      <c r="B123" s="181" t="s">
        <v>614</v>
      </c>
      <c r="D123" s="178">
        <v>0</v>
      </c>
      <c r="F123" s="181" t="s">
        <v>614</v>
      </c>
      <c r="H123" s="178">
        <v>0</v>
      </c>
      <c r="O123" s="200"/>
    </row>
    <row r="124" spans="2:15" x14ac:dyDescent="0.2">
      <c r="B124" s="181" t="s">
        <v>615</v>
      </c>
      <c r="D124" s="178">
        <v>0</v>
      </c>
      <c r="F124" s="181" t="s">
        <v>615</v>
      </c>
      <c r="H124" s="178">
        <v>0</v>
      </c>
      <c r="O124" s="200"/>
    </row>
    <row r="125" spans="2:15" x14ac:dyDescent="0.2">
      <c r="B125" s="181" t="s">
        <v>616</v>
      </c>
      <c r="D125" s="178">
        <f>16*D112^2*LN(D112)-5.48*D112^2+1.96*D112^4</f>
        <v>-4.8703915356103957</v>
      </c>
      <c r="F125" s="181" t="s">
        <v>616</v>
      </c>
      <c r="H125" s="178">
        <f>-0.19*D112^4+5.46*D112^2-3-12*LN(D112)</f>
        <v>4.4655501514073075</v>
      </c>
      <c r="O125" s="200"/>
    </row>
    <row r="126" spans="2:15" x14ac:dyDescent="0.2">
      <c r="B126" s="181" t="s">
        <v>617</v>
      </c>
      <c r="D126" s="178">
        <f>5.48-2.96*D112^2</f>
        <v>4.2370841600000002</v>
      </c>
      <c r="F126" s="181" t="s">
        <v>617</v>
      </c>
      <c r="H126" s="178">
        <f>-5.46-0.81*D112^2</f>
        <v>-5.8001222400000003</v>
      </c>
      <c r="O126" s="200"/>
    </row>
    <row r="127" spans="2:15" x14ac:dyDescent="0.2">
      <c r="B127" s="181" t="s">
        <v>618</v>
      </c>
      <c r="D127" s="178">
        <f>-8*D112^2</f>
        <v>-3.359232</v>
      </c>
      <c r="F127" s="181" t="s">
        <v>618</v>
      </c>
      <c r="H127" s="178">
        <f>3*D112^2</f>
        <v>1.2597119999999999</v>
      </c>
      <c r="O127" s="200"/>
    </row>
    <row r="128" spans="2:15" x14ac:dyDescent="0.2">
      <c r="B128" s="181" t="s">
        <v>620</v>
      </c>
      <c r="D128" s="178">
        <v>-8</v>
      </c>
      <c r="F128" s="181" t="s">
        <v>620</v>
      </c>
      <c r="H128" s="178">
        <v>12</v>
      </c>
      <c r="I128" s="178"/>
      <c r="O128" s="200"/>
    </row>
    <row r="129" spans="2:19" x14ac:dyDescent="0.2">
      <c r="I129" s="178"/>
      <c r="O129" s="200"/>
    </row>
    <row r="130" spans="2:19" x14ac:dyDescent="0.2">
      <c r="B130" s="178" t="s">
        <v>573</v>
      </c>
      <c r="I130" s="178"/>
      <c r="O130" s="200"/>
    </row>
    <row r="131" spans="2:19" x14ac:dyDescent="0.2">
      <c r="B131" s="178" t="s">
        <v>129</v>
      </c>
      <c r="C131" s="178">
        <f>H94</f>
        <v>6.44</v>
      </c>
      <c r="D131" s="178" t="s">
        <v>254</v>
      </c>
      <c r="I131" s="178"/>
      <c r="O131" s="200"/>
    </row>
    <row r="132" spans="2:19" x14ac:dyDescent="0.2">
      <c r="I132" s="178"/>
      <c r="O132" s="200"/>
    </row>
    <row r="133" spans="2:19" x14ac:dyDescent="0.2">
      <c r="B133" s="178" t="str">
        <f>K133</f>
        <v>f</v>
      </c>
      <c r="C133" s="178" t="s">
        <v>625</v>
      </c>
      <c r="D133" s="178" t="s">
        <v>624</v>
      </c>
      <c r="E133" s="178" t="s">
        <v>649</v>
      </c>
      <c r="I133" s="178"/>
      <c r="K133" s="175" t="s">
        <v>619</v>
      </c>
      <c r="L133" s="178" t="s">
        <v>622</v>
      </c>
      <c r="M133" s="178" t="s">
        <v>640</v>
      </c>
      <c r="N133" s="178" t="s">
        <v>642</v>
      </c>
      <c r="O133" s="178" t="s">
        <v>643</v>
      </c>
      <c r="P133" s="178" t="s">
        <v>644</v>
      </c>
      <c r="Q133" s="178" t="s">
        <v>645</v>
      </c>
      <c r="R133" s="178" t="s">
        <v>671</v>
      </c>
      <c r="S133" s="178" t="s">
        <v>672</v>
      </c>
    </row>
    <row r="134" spans="2:19" x14ac:dyDescent="0.2">
      <c r="B134" s="203">
        <f t="shared" ref="B134:B143" si="0">K134</f>
        <v>0.29499999999999998</v>
      </c>
      <c r="C134" s="178">
        <f>IF(B134&lt;$D$112,L134,M134)</f>
        <v>-1.377</v>
      </c>
      <c r="D134" s="178">
        <f>IF(B134&lt;$D$112,N134,O134)</f>
        <v>0.54100000000000004</v>
      </c>
      <c r="E134" s="178">
        <f>IF(B134&lt;$D$112,P134,Q134)</f>
        <v>-5.391</v>
      </c>
      <c r="I134" s="178"/>
      <c r="K134" s="202">
        <f>$F$114</f>
        <v>0.29499999999999998</v>
      </c>
      <c r="L134" s="178">
        <f>ROUND($C$131*$D$110*$D$110/64*(-12.6*K134^2-2.3*$D$122+0.85/K134^2*$D$123-$D$124*(3.15+2.3*LN(K134))),3)</f>
        <v>-1.377</v>
      </c>
      <c r="M134" s="178">
        <f>ROUND($C$131*$D$110*$D$110/64*(-12.6*$K134^2-2.3*$D$126+0.85/$K134^2*$D$127-$D$128*(3.15+2.3*LN($K134))),3)</f>
        <v>-132.59200000000001</v>
      </c>
      <c r="N134" s="178">
        <f>ROUND($C$131*$D$110*$D$110/64*(-5.8*$K134^2-2.3*$D$122-((0.85/$K134^2)*$D$123)-$D$124*(1.45+2.3*LN($K134))),3)</f>
        <v>0.54100000000000004</v>
      </c>
      <c r="O134" s="178">
        <f>ROUND($C$131*$D$110*$D$110/64*(-5.8*$K134^2-2.3*$D$126-((0.85/$K134^2)*$D$127)-$D$128*(1.45+2.3*LN($K134))),3)</f>
        <v>37.909999999999997</v>
      </c>
      <c r="P134" s="178">
        <f>ROUND((-$C$131*$D$110/2)*$K134,3)</f>
        <v>-5.391</v>
      </c>
      <c r="Q134" s="178">
        <f>ROUND($C$131*$D$110/2/K134*(1-$K134^2),3)</f>
        <v>56.552999999999997</v>
      </c>
      <c r="R134" s="178">
        <v>0</v>
      </c>
      <c r="S134" s="178">
        <v>0</v>
      </c>
    </row>
    <row r="135" spans="2:19" x14ac:dyDescent="0.2">
      <c r="B135" s="203">
        <f t="shared" si="0"/>
        <v>0.37333333333333329</v>
      </c>
      <c r="C135" s="178">
        <f t="shared" ref="C135:C143" si="1">IF(B135&lt;$D$112,L135,M135)</f>
        <v>-3.5150000000000001</v>
      </c>
      <c r="D135" s="178">
        <f t="shared" ref="D135:D143" si="2">IF(B135&lt;$D$112,N135,O135)</f>
        <v>-0.443</v>
      </c>
      <c r="E135" s="178">
        <f t="shared" ref="E135:E143" si="3">IF(B135&lt;$D$112,P135,Q135)</f>
        <v>-6.8220000000000001</v>
      </c>
      <c r="I135" s="178"/>
      <c r="K135" s="202">
        <f t="shared" ref="K135:K142" si="4">(K$143-K$134)/9+K134</f>
        <v>0.37333333333333329</v>
      </c>
      <c r="L135" s="178">
        <f t="shared" ref="L135:L143" si="5">ROUND($C$131*$D$110*$D$110/64*(-12.6*K135^2-2.3*$D$122+0.85/K135^2*$D$123-$D$124*(3.15+2.3*LN(K135))),3)</f>
        <v>-3.5150000000000001</v>
      </c>
      <c r="M135" s="178">
        <f>ROUND($C$131*$D$110*$D$110/64*(-12.6*K135^2-(2.3*$D$126)+0.85/K135^2*$D$127-($D$128*(3.15+2.3*LN(K135)))),3)</f>
        <v>-80.748000000000005</v>
      </c>
      <c r="N135" s="178">
        <f t="shared" ref="N135:N143" si="6">ROUND($C$131*$D$110*$D$110/64*(-5.8*$K135^2-2.3*$D$122-((0.85/$K135^2)*$D$123)-$D$124*(1.45+2.3*LN($K135))),3)</f>
        <v>-0.443</v>
      </c>
      <c r="O135" s="178">
        <f t="shared" ref="O135:O143" si="7">ROUND($C$131*$D$110*$D$110/64*(-5.8*$K135^2-2.3*$D$126-((0.85/$K135^2)*$D$127)-$D$128*(1.45+2.3*LN($K135))),3)</f>
        <v>11.03</v>
      </c>
      <c r="P135" s="178">
        <f t="shared" ref="P135:P143" si="8">ROUND((-$C$131*$D$110/2)*$K135,3)</f>
        <v>-6.8220000000000001</v>
      </c>
      <c r="Q135" s="178">
        <f t="shared" ref="Q135:Q143" si="9">ROUND($C$131*$D$110/2/K135*(1-$K135^2),3)</f>
        <v>42.125</v>
      </c>
      <c r="R135" s="178">
        <v>0</v>
      </c>
      <c r="S135" s="178">
        <v>0</v>
      </c>
    </row>
    <row r="136" spans="2:19" x14ac:dyDescent="0.2">
      <c r="B136" s="203">
        <f t="shared" si="0"/>
        <v>0.45166666666666666</v>
      </c>
      <c r="C136" s="178">
        <f t="shared" si="1"/>
        <v>-6.1539999999999999</v>
      </c>
      <c r="D136" s="178">
        <f t="shared" si="2"/>
        <v>-1.6579999999999999</v>
      </c>
      <c r="E136" s="178">
        <f t="shared" si="3"/>
        <v>-8.2539999999999996</v>
      </c>
      <c r="I136" s="178"/>
      <c r="K136" s="202">
        <f t="shared" si="4"/>
        <v>0.45166666666666666</v>
      </c>
      <c r="L136" s="178">
        <f>ROUND($C$131*$D$110*$D$110/64*(-12.6*K136^2-2.3*$D$122+0.85/K136^2*$D$123-$D$124*(3.15+2.3*LN(K136))),3)</f>
        <v>-6.1539999999999999</v>
      </c>
      <c r="M136" s="178">
        <f t="shared" ref="M136:M143" si="10">ROUND($C$131*$D$110*$D$110/64*(-12.6*K136^2-2.3*$D$126+0.85/K136^2*$D$127-$D$128*(3.15+2.3*LN(K136))),3)</f>
        <v>-50.997999999999998</v>
      </c>
      <c r="N136" s="178">
        <f t="shared" si="6"/>
        <v>-1.6579999999999999</v>
      </c>
      <c r="O136" s="178">
        <f t="shared" si="7"/>
        <v>0.14099999999999999</v>
      </c>
      <c r="P136" s="178">
        <f t="shared" si="8"/>
        <v>-8.2539999999999996</v>
      </c>
      <c r="Q136" s="178">
        <f t="shared" si="9"/>
        <v>32.204000000000001</v>
      </c>
      <c r="R136" s="178">
        <v>0</v>
      </c>
      <c r="S136" s="178">
        <v>0</v>
      </c>
    </row>
    <row r="137" spans="2:19" x14ac:dyDescent="0.2">
      <c r="B137" s="203">
        <f t="shared" si="0"/>
        <v>0.53</v>
      </c>
      <c r="C137" s="178">
        <f>IF(B137&lt;$D$112,L137,M137)</f>
        <v>-9.2929999999999993</v>
      </c>
      <c r="D137" s="178">
        <f t="shared" si="2"/>
        <v>-3.1030000000000002</v>
      </c>
      <c r="E137" s="178">
        <f t="shared" si="3"/>
        <v>-9.6850000000000005</v>
      </c>
      <c r="K137" s="202">
        <f t="shared" si="4"/>
        <v>0.53</v>
      </c>
      <c r="L137" s="178">
        <f t="shared" si="5"/>
        <v>-9.2929999999999993</v>
      </c>
      <c r="M137" s="178">
        <f t="shared" si="10"/>
        <v>-32.185000000000002</v>
      </c>
      <c r="N137" s="178">
        <f t="shared" si="6"/>
        <v>-3.1030000000000002</v>
      </c>
      <c r="O137" s="178">
        <f t="shared" si="7"/>
        <v>-4.1849999999999996</v>
      </c>
      <c r="P137" s="178">
        <f t="shared" si="8"/>
        <v>-9.6850000000000005</v>
      </c>
      <c r="Q137" s="178">
        <f t="shared" si="9"/>
        <v>24.792999999999999</v>
      </c>
      <c r="R137" s="178">
        <v>0</v>
      </c>
      <c r="S137" s="178">
        <v>0</v>
      </c>
    </row>
    <row r="138" spans="2:19" x14ac:dyDescent="0.2">
      <c r="B138" s="203">
        <f t="shared" si="0"/>
        <v>0.60833333333333339</v>
      </c>
      <c r="C138" s="178">
        <f t="shared" si="1"/>
        <v>-12.933999999999999</v>
      </c>
      <c r="D138" s="178">
        <f t="shared" si="2"/>
        <v>-4.7789999999999999</v>
      </c>
      <c r="E138" s="178">
        <f t="shared" si="3"/>
        <v>-11.116</v>
      </c>
      <c r="K138" s="202">
        <f t="shared" si="4"/>
        <v>0.60833333333333339</v>
      </c>
      <c r="L138" s="178">
        <f t="shared" si="5"/>
        <v>-12.933999999999999</v>
      </c>
      <c r="M138" s="178">
        <f t="shared" si="10"/>
        <v>-19.669</v>
      </c>
      <c r="N138" s="178">
        <f t="shared" si="6"/>
        <v>-4.7789999999999999</v>
      </c>
      <c r="O138" s="178">
        <f t="shared" si="7"/>
        <v>-5.5780000000000003</v>
      </c>
      <c r="P138" s="178">
        <f t="shared" si="8"/>
        <v>-11.116</v>
      </c>
      <c r="Q138" s="178">
        <f t="shared" si="9"/>
        <v>18.922000000000001</v>
      </c>
      <c r="R138" s="178">
        <v>0</v>
      </c>
      <c r="S138" s="178">
        <v>0</v>
      </c>
    </row>
    <row r="139" spans="2:19" x14ac:dyDescent="0.2">
      <c r="B139" s="203">
        <f t="shared" si="0"/>
        <v>0.68666666666666676</v>
      </c>
      <c r="C139" s="178">
        <f t="shared" si="1"/>
        <v>-11.209</v>
      </c>
      <c r="D139" s="178">
        <f t="shared" si="2"/>
        <v>-5.6420000000000003</v>
      </c>
      <c r="E139" s="178">
        <f t="shared" si="3"/>
        <v>14.064</v>
      </c>
      <c r="K139" s="202">
        <f t="shared" si="4"/>
        <v>0.68666666666666676</v>
      </c>
      <c r="L139" s="178">
        <f t="shared" si="5"/>
        <v>-17.077000000000002</v>
      </c>
      <c r="M139" s="178">
        <f t="shared" si="10"/>
        <v>-11.209</v>
      </c>
      <c r="N139" s="178">
        <f t="shared" si="6"/>
        <v>-6.6859999999999999</v>
      </c>
      <c r="O139" s="178">
        <f t="shared" si="7"/>
        <v>-5.6420000000000003</v>
      </c>
      <c r="P139" s="178">
        <f t="shared" si="8"/>
        <v>-12.548</v>
      </c>
      <c r="Q139" s="178">
        <f t="shared" si="9"/>
        <v>14.064</v>
      </c>
      <c r="R139" s="178">
        <v>0</v>
      </c>
      <c r="S139" s="178">
        <v>0</v>
      </c>
    </row>
    <row r="140" spans="2:19" x14ac:dyDescent="0.2">
      <c r="B140" s="203">
        <f t="shared" si="0"/>
        <v>0.76500000000000012</v>
      </c>
      <c r="C140" s="178">
        <f t="shared" si="1"/>
        <v>-5.5970000000000004</v>
      </c>
      <c r="D140" s="178">
        <f t="shared" si="2"/>
        <v>-5.1509999999999998</v>
      </c>
      <c r="E140" s="178">
        <f t="shared" si="3"/>
        <v>9.9079999999999995</v>
      </c>
      <c r="K140" s="202">
        <f t="shared" si="4"/>
        <v>0.76500000000000012</v>
      </c>
      <c r="L140" s="178">
        <f t="shared" si="5"/>
        <v>-21.72</v>
      </c>
      <c r="M140" s="178">
        <f t="shared" si="10"/>
        <v>-5.5970000000000004</v>
      </c>
      <c r="N140" s="178">
        <f t="shared" si="6"/>
        <v>-8.8230000000000004</v>
      </c>
      <c r="O140" s="178">
        <f t="shared" si="7"/>
        <v>-5.1509999999999998</v>
      </c>
      <c r="P140" s="178">
        <f t="shared" si="8"/>
        <v>-13.978999999999999</v>
      </c>
      <c r="Q140" s="178">
        <f t="shared" si="9"/>
        <v>9.9079999999999995</v>
      </c>
      <c r="R140" s="178">
        <v>0</v>
      </c>
      <c r="S140" s="178">
        <v>0</v>
      </c>
    </row>
    <row r="141" spans="2:19" x14ac:dyDescent="0.2">
      <c r="B141" s="203">
        <f t="shared" si="0"/>
        <v>0.84333333333333349</v>
      </c>
      <c r="C141" s="178">
        <f t="shared" si="1"/>
        <v>-2.1280000000000001</v>
      </c>
      <c r="D141" s="178">
        <f t="shared" si="2"/>
        <v>-4.5069999999999997</v>
      </c>
      <c r="E141" s="178">
        <f t="shared" si="3"/>
        <v>6.258</v>
      </c>
      <c r="K141" s="202">
        <f t="shared" si="4"/>
        <v>0.84333333333333349</v>
      </c>
      <c r="L141" s="178">
        <f t="shared" si="5"/>
        <v>-26.864000000000001</v>
      </c>
      <c r="M141" s="178">
        <f t="shared" si="10"/>
        <v>-2.1280000000000001</v>
      </c>
      <c r="N141" s="178">
        <f t="shared" si="6"/>
        <v>-11.191000000000001</v>
      </c>
      <c r="O141" s="178">
        <f t="shared" si="7"/>
        <v>-4.5069999999999997</v>
      </c>
      <c r="P141" s="178">
        <f t="shared" si="8"/>
        <v>-15.411</v>
      </c>
      <c r="Q141" s="178">
        <f t="shared" si="9"/>
        <v>6.258</v>
      </c>
      <c r="R141" s="178">
        <v>0</v>
      </c>
      <c r="S141" s="178">
        <v>0</v>
      </c>
    </row>
    <row r="142" spans="2:19" x14ac:dyDescent="0.2">
      <c r="B142" s="203">
        <f t="shared" si="0"/>
        <v>0.92166666666666686</v>
      </c>
      <c r="C142" s="178">
        <f t="shared" si="1"/>
        <v>-0.35899999999999999</v>
      </c>
      <c r="D142" s="178">
        <f t="shared" si="2"/>
        <v>-3.927</v>
      </c>
      <c r="E142" s="178">
        <f t="shared" si="3"/>
        <v>2.9849999999999999</v>
      </c>
      <c r="K142" s="202">
        <f t="shared" si="4"/>
        <v>0.92166666666666686</v>
      </c>
      <c r="L142" s="178">
        <f t="shared" si="5"/>
        <v>-32.51</v>
      </c>
      <c r="M142" s="178">
        <f t="shared" si="10"/>
        <v>-0.35899999999999999</v>
      </c>
      <c r="N142" s="178">
        <f t="shared" si="6"/>
        <v>-13.79</v>
      </c>
      <c r="O142" s="178">
        <f t="shared" si="7"/>
        <v>-3.927</v>
      </c>
      <c r="P142" s="178">
        <f t="shared" si="8"/>
        <v>-16.841999999999999</v>
      </c>
      <c r="Q142" s="178">
        <f t="shared" si="9"/>
        <v>2.9849999999999999</v>
      </c>
      <c r="R142" s="178">
        <v>0</v>
      </c>
      <c r="S142" s="178">
        <v>0</v>
      </c>
    </row>
    <row r="143" spans="2:19" x14ac:dyDescent="0.2">
      <c r="B143" s="203">
        <f t="shared" si="0"/>
        <v>1</v>
      </c>
      <c r="C143" s="178">
        <f t="shared" si="1"/>
        <v>-2E-3</v>
      </c>
      <c r="D143" s="178">
        <f t="shared" si="2"/>
        <v>-3.532</v>
      </c>
      <c r="E143" s="178">
        <f t="shared" si="3"/>
        <v>0</v>
      </c>
      <c r="K143" s="202">
        <f>$G$114</f>
        <v>1</v>
      </c>
      <c r="L143" s="178">
        <f t="shared" si="5"/>
        <v>-38.655999999999999</v>
      </c>
      <c r="M143" s="178">
        <f t="shared" si="10"/>
        <v>-2E-3</v>
      </c>
      <c r="N143" s="178">
        <f t="shared" si="6"/>
        <v>-16.62</v>
      </c>
      <c r="O143" s="178">
        <f t="shared" si="7"/>
        <v>-3.532</v>
      </c>
      <c r="P143" s="178">
        <f t="shared" si="8"/>
        <v>-18.274000000000001</v>
      </c>
      <c r="Q143" s="178">
        <f t="shared" si="9"/>
        <v>0</v>
      </c>
      <c r="R143" s="178">
        <v>0</v>
      </c>
      <c r="S143" s="178">
        <v>0</v>
      </c>
    </row>
    <row r="144" spans="2:19" x14ac:dyDescent="0.2">
      <c r="O144" s="200"/>
    </row>
    <row r="145" spans="2:19" x14ac:dyDescent="0.2">
      <c r="O145" s="200"/>
    </row>
    <row r="146" spans="2:19" x14ac:dyDescent="0.2">
      <c r="O146" s="200"/>
    </row>
    <row r="147" spans="2:19" x14ac:dyDescent="0.2">
      <c r="B147" s="178" t="s">
        <v>475</v>
      </c>
      <c r="O147" s="200"/>
    </row>
    <row r="148" spans="2:19" x14ac:dyDescent="0.2">
      <c r="B148" s="178" t="s">
        <v>641</v>
      </c>
      <c r="C148" s="178">
        <f>G98</f>
        <v>9.8000000000000004E-2</v>
      </c>
      <c r="O148" s="200"/>
    </row>
    <row r="149" spans="2:19" x14ac:dyDescent="0.2">
      <c r="O149" s="200"/>
    </row>
    <row r="150" spans="2:19" x14ac:dyDescent="0.2">
      <c r="B150" s="178" t="s">
        <v>648</v>
      </c>
      <c r="I150" s="178"/>
      <c r="O150" s="200"/>
    </row>
    <row r="151" spans="2:19" x14ac:dyDescent="0.2">
      <c r="I151" s="178"/>
      <c r="O151" s="200"/>
    </row>
    <row r="152" spans="2:19" x14ac:dyDescent="0.2">
      <c r="B152" s="178" t="s">
        <v>650</v>
      </c>
    </row>
    <row r="154" spans="2:19" x14ac:dyDescent="0.2">
      <c r="B154" s="178" t="s">
        <v>619</v>
      </c>
      <c r="C154" s="178" t="s">
        <v>625</v>
      </c>
      <c r="D154" s="178" t="s">
        <v>624</v>
      </c>
      <c r="E154" s="178" t="s">
        <v>649</v>
      </c>
      <c r="F154" s="178" t="s">
        <v>673</v>
      </c>
      <c r="K154" s="178" t="s">
        <v>619</v>
      </c>
      <c r="L154" s="178" t="s">
        <v>625</v>
      </c>
      <c r="M154" s="178" t="s">
        <v>640</v>
      </c>
      <c r="N154" s="178" t="s">
        <v>642</v>
      </c>
      <c r="O154" s="178" t="s">
        <v>643</v>
      </c>
      <c r="P154" s="178" t="s">
        <v>644</v>
      </c>
      <c r="Q154" s="178" t="s">
        <v>645</v>
      </c>
      <c r="R154" s="178" t="s">
        <v>671</v>
      </c>
      <c r="S154" s="178" t="s">
        <v>672</v>
      </c>
    </row>
    <row r="155" spans="2:19" x14ac:dyDescent="0.2">
      <c r="B155" s="202">
        <f>$F$114</f>
        <v>0.29499999999999998</v>
      </c>
      <c r="C155" s="178">
        <f t="shared" ref="C155:C164" si="11">IF(B155&lt;$D$112,L134+L155,M134+M155)</f>
        <v>-1.427</v>
      </c>
      <c r="D155" s="178">
        <f t="shared" ref="D155:D164" si="12">IF(B155&lt;$D$112,N134+N155,O134+O155)</f>
        <v>0.51900000000000002</v>
      </c>
      <c r="E155" s="178">
        <f t="shared" ref="E155:E164" si="13">IF(B155&lt;$D$112,P134+P155,Q134+Q155)</f>
        <v>-5.44</v>
      </c>
      <c r="F155" s="178">
        <f>IF(B155&lt;$D$112,R134+R155,S134+S155)</f>
        <v>3.6999999999999998E-2</v>
      </c>
      <c r="K155" s="202">
        <f>$F$114</f>
        <v>0.29499999999999998</v>
      </c>
      <c r="L155" s="178">
        <f>ROUND($C$148*$D$110^2/192*(-20.6*$K155^3-6.3*$K155*$H$122-1.7*$H$123/$K155^3-1.15/$K155*$H$124),3)</f>
        <v>-0.05</v>
      </c>
      <c r="M155" s="178">
        <f>ROUND($C$148*$D$110^2/192*(-20.6*$K155^3-6.3*$K155*$H$126-1.7*$H$127/$K155^3-1.15/$K155*$H$128),3)</f>
        <v>-1.972</v>
      </c>
      <c r="N155" s="178">
        <f>ROUND($C$148*$D$110^2/192*(-7*$K155^3-2.9*$K155*$H$122+1.7*$H$123/$K155^3-1.15/$K155*$H$124),3)</f>
        <v>-2.1999999999999999E-2</v>
      </c>
      <c r="O155" s="178">
        <f>ROUND($C$148*$D$110^2/192*(-7*$K155^3-2.9*$K155*$H$126+1.7*$H$127/$K155^3-1.15/$K155*$H$128),3)</f>
        <v>0.68100000000000005</v>
      </c>
      <c r="P155" s="178">
        <f>ROUND($C$148*$D$110/192*(-72*$K155^2-8*$H$122+2/$K155^2*$H$124),3)</f>
        <v>-4.9000000000000002E-2</v>
      </c>
      <c r="Q155" s="178">
        <f>ROUND($C$148*$D$110/192*(-72*$K155^2-8*$H$126+2/$K155^2*$H$128),3)</f>
        <v>0.91500000000000004</v>
      </c>
      <c r="R155" s="178">
        <f>ROUND($C$148*$D$110/192*(24*$K155^2+8*$H$122+2/$K155^2*$H$124),3)</f>
        <v>3.6999999999999998E-2</v>
      </c>
      <c r="S155" s="178">
        <f>ROUND($C$148*$D$110/192*(24*$K155^2+8*$H$126+2/$K155^2*$H$128),3)</f>
        <v>0.67</v>
      </c>
    </row>
    <row r="156" spans="2:19" x14ac:dyDescent="0.2">
      <c r="B156" s="202">
        <f t="shared" ref="B156:B163" si="14">(K$143-K$134)/9+B155</f>
        <v>0.37333333333333329</v>
      </c>
      <c r="C156" s="178">
        <f t="shared" si="11"/>
        <v>-3.585</v>
      </c>
      <c r="D156" s="178">
        <f t="shared" si="12"/>
        <v>-0.47299999999999998</v>
      </c>
      <c r="E156" s="178">
        <f t="shared" si="13"/>
        <v>-6.8819999999999997</v>
      </c>
      <c r="F156" s="178">
        <f t="shared" ref="F156:F164" si="15">IF(B156&lt;$D$112,R135+R156,S135+S156)</f>
        <v>4.1000000000000002E-2</v>
      </c>
      <c r="K156" s="202">
        <f t="shared" ref="K156:K163" si="16">(K$143-K$134)/9+K155</f>
        <v>0.37333333333333329</v>
      </c>
      <c r="L156" s="178">
        <f t="shared" ref="L156:L164" si="17">ROUND($C$148*$D$110^2/192*(-20.6*$K156^3-6.3*$K156*$H$122-1.7*$H$123/$K156^3-1.15/$K156*$H$124),3)</f>
        <v>-7.0000000000000007E-2</v>
      </c>
      <c r="M156" s="178">
        <f t="shared" ref="M156:M164" si="18">ROUND($C$148*$D$110^2/192*(-20.6*$K156^3-6.3*$K156*$H$126-1.7*$H$127/$K156^3-1.15/$K156*$H$128),3)</f>
        <v>-1.0780000000000001</v>
      </c>
      <c r="N156" s="178">
        <f t="shared" ref="N156:N164" si="19">ROUND($C$148*$D$110^2/192*(-7*$K156^3-2.9*$K156*$H$122+1.7*$H$123/$K156^3-1.15/$K156*$H$124),3)</f>
        <v>-0.03</v>
      </c>
      <c r="O156" s="178">
        <f t="shared" ref="O156:O164" si="20">ROUND($C$148*$D$110^2/192*(-7*$K156^3-2.9*$K156*$H$126+1.7*$H$127/$K156^3-1.15/$K156*$H$128),3)</f>
        <v>0.16600000000000001</v>
      </c>
      <c r="P156" s="178">
        <f t="shared" ref="P156:P164" si="21">ROUND($C$148*$D$110/192*(-72*$K156^2-8*$H$122+2/$K156^2*$H$124),3)</f>
        <v>-0.06</v>
      </c>
      <c r="Q156" s="178">
        <f t="shared" ref="Q156:Q164" si="22">ROUND($C$148*$D$110/192*(-72*$K156^2-8*$H$126+2/$K156^2*$H$128),3)</f>
        <v>0.60399999999999998</v>
      </c>
      <c r="R156" s="178">
        <f t="shared" ref="R156:R164" si="23">ROUND($C$148*$D$110/192*(24*$K156^2+8*$H$122+2/$K156^2*$H$124),3)</f>
        <v>4.1000000000000002E-2</v>
      </c>
      <c r="S156" s="178">
        <f t="shared" ref="S156:S164" si="24">ROUND($C$148*$D$110/192*(24*$K156^2+8*$H$126+2/$K156^2*$H$128),3)</f>
        <v>0.374</v>
      </c>
    </row>
    <row r="157" spans="2:19" x14ac:dyDescent="0.2">
      <c r="B157" s="202">
        <f t="shared" si="14"/>
        <v>0.45166666666666666</v>
      </c>
      <c r="C157" s="178">
        <f t="shared" si="11"/>
        <v>-6.2480000000000002</v>
      </c>
      <c r="D157" s="178">
        <f t="shared" si="12"/>
        <v>-1.698</v>
      </c>
      <c r="E157" s="178">
        <f t="shared" si="13"/>
        <v>-8.3279999999999994</v>
      </c>
      <c r="F157" s="178">
        <f t="shared" si="15"/>
        <v>4.4999999999999998E-2</v>
      </c>
      <c r="K157" s="202">
        <f t="shared" si="16"/>
        <v>0.45166666666666666</v>
      </c>
      <c r="L157" s="178">
        <f t="shared" si="17"/>
        <v>-9.4E-2</v>
      </c>
      <c r="M157" s="178">
        <f t="shared" si="18"/>
        <v>-0.64400000000000002</v>
      </c>
      <c r="N157" s="178">
        <f t="shared" si="19"/>
        <v>-0.04</v>
      </c>
      <c r="O157" s="178">
        <f t="shared" si="20"/>
        <v>-6.0000000000000001E-3</v>
      </c>
      <c r="P157" s="178">
        <f t="shared" si="21"/>
        <v>-7.3999999999999996E-2</v>
      </c>
      <c r="Q157" s="178">
        <f t="shared" si="22"/>
        <v>0.433</v>
      </c>
      <c r="R157" s="178">
        <f t="shared" si="23"/>
        <v>4.4999999999999998E-2</v>
      </c>
      <c r="S157" s="178">
        <f t="shared" si="24"/>
        <v>0.221</v>
      </c>
    </row>
    <row r="158" spans="2:19" x14ac:dyDescent="0.2">
      <c r="B158" s="202">
        <f t="shared" si="14"/>
        <v>0.53</v>
      </c>
      <c r="C158" s="178">
        <f t="shared" si="11"/>
        <v>-9.4169999999999998</v>
      </c>
      <c r="D158" s="178">
        <f t="shared" si="12"/>
        <v>-3.1540000000000004</v>
      </c>
      <c r="E158" s="178">
        <f t="shared" si="13"/>
        <v>-9.7750000000000004</v>
      </c>
      <c r="F158" s="178">
        <f t="shared" si="15"/>
        <v>5.0999999999999997E-2</v>
      </c>
      <c r="K158" s="202">
        <f t="shared" si="16"/>
        <v>0.53</v>
      </c>
      <c r="L158" s="178">
        <f t="shared" si="17"/>
        <v>-0.124</v>
      </c>
      <c r="M158" s="178">
        <f t="shared" si="18"/>
        <v>-0.39700000000000002</v>
      </c>
      <c r="N158" s="178">
        <f t="shared" si="19"/>
        <v>-5.0999999999999997E-2</v>
      </c>
      <c r="O158" s="178">
        <f t="shared" si="20"/>
        <v>-6.2E-2</v>
      </c>
      <c r="P158" s="178">
        <f t="shared" si="21"/>
        <v>-0.09</v>
      </c>
      <c r="Q158" s="178">
        <f t="shared" si="22"/>
        <v>0.32300000000000001</v>
      </c>
      <c r="R158" s="178">
        <f t="shared" si="23"/>
        <v>5.0999999999999997E-2</v>
      </c>
      <c r="S158" s="178">
        <f t="shared" si="24"/>
        <v>0.13300000000000001</v>
      </c>
    </row>
    <row r="159" spans="2:19" x14ac:dyDescent="0.2">
      <c r="B159" s="202">
        <f t="shared" si="14"/>
        <v>0.60833333333333339</v>
      </c>
      <c r="C159" s="178">
        <f t="shared" si="11"/>
        <v>-13.094999999999999</v>
      </c>
      <c r="D159" s="178">
        <f t="shared" si="12"/>
        <v>-4.8440000000000003</v>
      </c>
      <c r="E159" s="178">
        <f t="shared" si="13"/>
        <v>-11.224</v>
      </c>
      <c r="F159" s="178">
        <f t="shared" si="15"/>
        <v>5.7000000000000002E-2</v>
      </c>
      <c r="K159" s="202">
        <f t="shared" si="16"/>
        <v>0.60833333333333339</v>
      </c>
      <c r="L159" s="178">
        <f t="shared" si="17"/>
        <v>-0.161</v>
      </c>
      <c r="M159" s="178">
        <f t="shared" si="18"/>
        <v>-0.24</v>
      </c>
      <c r="N159" s="178">
        <f t="shared" si="19"/>
        <v>-6.5000000000000002E-2</v>
      </c>
      <c r="O159" s="178">
        <f t="shared" si="20"/>
        <v>-7.3999999999999996E-2</v>
      </c>
      <c r="P159" s="178">
        <f t="shared" si="21"/>
        <v>-0.108</v>
      </c>
      <c r="Q159" s="178">
        <f t="shared" si="22"/>
        <v>0.245</v>
      </c>
      <c r="R159" s="178">
        <f t="shared" si="23"/>
        <v>5.7000000000000002E-2</v>
      </c>
      <c r="S159" s="178">
        <f t="shared" si="24"/>
        <v>7.9000000000000001E-2</v>
      </c>
    </row>
    <row r="160" spans="2:19" x14ac:dyDescent="0.2">
      <c r="B160" s="202">
        <f t="shared" si="14"/>
        <v>0.68666666666666676</v>
      </c>
      <c r="C160" s="178">
        <f t="shared" si="11"/>
        <v>-11.344999999999999</v>
      </c>
      <c r="D160" s="178">
        <f t="shared" si="12"/>
        <v>-5.7110000000000003</v>
      </c>
      <c r="E160" s="178">
        <f t="shared" si="13"/>
        <v>14.247999999999999</v>
      </c>
      <c r="F160" s="178">
        <f t="shared" si="15"/>
        <v>4.5999999999999999E-2</v>
      </c>
      <c r="K160" s="202">
        <f t="shared" si="16"/>
        <v>0.68666666666666676</v>
      </c>
      <c r="L160" s="178">
        <f t="shared" si="17"/>
        <v>-0.20499999999999999</v>
      </c>
      <c r="M160" s="178">
        <f t="shared" si="18"/>
        <v>-0.13600000000000001</v>
      </c>
      <c r="N160" s="178">
        <f t="shared" si="19"/>
        <v>-8.1000000000000003E-2</v>
      </c>
      <c r="O160" s="178">
        <f t="shared" si="20"/>
        <v>-6.9000000000000006E-2</v>
      </c>
      <c r="P160" s="178">
        <f t="shared" si="21"/>
        <v>-0.129</v>
      </c>
      <c r="Q160" s="178">
        <f t="shared" si="22"/>
        <v>0.184</v>
      </c>
      <c r="R160" s="178">
        <f t="shared" si="23"/>
        <v>6.4000000000000001E-2</v>
      </c>
      <c r="S160" s="178">
        <f t="shared" si="24"/>
        <v>4.5999999999999999E-2</v>
      </c>
    </row>
    <row r="161" spans="2:19" x14ac:dyDescent="0.2">
      <c r="B161" s="202">
        <f t="shared" si="14"/>
        <v>0.76500000000000012</v>
      </c>
      <c r="C161" s="178">
        <f t="shared" si="11"/>
        <v>-5.6640000000000006</v>
      </c>
      <c r="D161" s="178">
        <f t="shared" si="12"/>
        <v>-5.2089999999999996</v>
      </c>
      <c r="E161" s="178">
        <f t="shared" si="13"/>
        <v>10.039</v>
      </c>
      <c r="F161" s="178">
        <f t="shared" si="15"/>
        <v>2.5000000000000001E-2</v>
      </c>
      <c r="K161" s="202">
        <f t="shared" si="16"/>
        <v>0.76500000000000012</v>
      </c>
      <c r="L161" s="178">
        <f t="shared" si="17"/>
        <v>-0.25800000000000001</v>
      </c>
      <c r="M161" s="178">
        <f t="shared" si="18"/>
        <v>-6.7000000000000004E-2</v>
      </c>
      <c r="N161" s="178">
        <f t="shared" si="19"/>
        <v>-0.10100000000000001</v>
      </c>
      <c r="O161" s="178">
        <f t="shared" si="20"/>
        <v>-5.8000000000000003E-2</v>
      </c>
      <c r="P161" s="178">
        <f t="shared" si="21"/>
        <v>-0.153</v>
      </c>
      <c r="Q161" s="178">
        <f t="shared" si="22"/>
        <v>0.13100000000000001</v>
      </c>
      <c r="R161" s="178">
        <f t="shared" si="23"/>
        <v>7.1999999999999995E-2</v>
      </c>
      <c r="S161" s="178">
        <f t="shared" si="24"/>
        <v>2.5000000000000001E-2</v>
      </c>
    </row>
    <row r="162" spans="2:19" x14ac:dyDescent="0.2">
      <c r="B162" s="202">
        <f t="shared" si="14"/>
        <v>0.84333333333333349</v>
      </c>
      <c r="C162" s="178">
        <f t="shared" si="11"/>
        <v>-2.1520000000000001</v>
      </c>
      <c r="D162" s="178">
        <f t="shared" si="12"/>
        <v>-4.5529999999999999</v>
      </c>
      <c r="E162" s="178">
        <f t="shared" si="13"/>
        <v>6.3419999999999996</v>
      </c>
      <c r="F162" s="178">
        <f t="shared" si="15"/>
        <v>1.2999999999999999E-2</v>
      </c>
      <c r="K162" s="202">
        <f t="shared" si="16"/>
        <v>0.84333333333333349</v>
      </c>
      <c r="L162" s="178">
        <f t="shared" si="17"/>
        <v>-0.32100000000000001</v>
      </c>
      <c r="M162" s="178">
        <f t="shared" si="18"/>
        <v>-2.4E-2</v>
      </c>
      <c r="N162" s="178">
        <f t="shared" si="19"/>
        <v>-0.123</v>
      </c>
      <c r="O162" s="178">
        <f t="shared" si="20"/>
        <v>-4.5999999999999999E-2</v>
      </c>
      <c r="P162" s="178">
        <f t="shared" si="21"/>
        <v>-0.17899999999999999</v>
      </c>
      <c r="Q162" s="178">
        <f t="shared" si="22"/>
        <v>8.4000000000000005E-2</v>
      </c>
      <c r="R162" s="178">
        <f t="shared" si="23"/>
        <v>8.1000000000000003E-2</v>
      </c>
      <c r="S162" s="178">
        <f t="shared" si="24"/>
        <v>1.2999999999999999E-2</v>
      </c>
    </row>
    <row r="163" spans="2:19" x14ac:dyDescent="0.2">
      <c r="B163" s="202">
        <f t="shared" si="14"/>
        <v>0.92166666666666686</v>
      </c>
      <c r="C163" s="178">
        <f t="shared" si="11"/>
        <v>-0.36199999999999999</v>
      </c>
      <c r="D163" s="178">
        <f t="shared" si="12"/>
        <v>-3.9630000000000001</v>
      </c>
      <c r="E163" s="178">
        <f t="shared" si="13"/>
        <v>3.024</v>
      </c>
      <c r="F163" s="178">
        <f t="shared" si="15"/>
        <v>6.0000000000000001E-3</v>
      </c>
      <c r="I163" s="178"/>
      <c r="K163" s="202">
        <f t="shared" si="16"/>
        <v>0.92166666666666686</v>
      </c>
      <c r="L163" s="178">
        <f t="shared" si="17"/>
        <v>-0.39300000000000002</v>
      </c>
      <c r="M163" s="178">
        <f t="shared" si="18"/>
        <v>-3.0000000000000001E-3</v>
      </c>
      <c r="N163" s="178">
        <f t="shared" si="19"/>
        <v>-0.14899999999999999</v>
      </c>
      <c r="O163" s="178">
        <f t="shared" si="20"/>
        <v>-3.5999999999999997E-2</v>
      </c>
      <c r="P163" s="178">
        <f t="shared" si="21"/>
        <v>-0.20799999999999999</v>
      </c>
      <c r="Q163" s="178">
        <f t="shared" si="22"/>
        <v>3.9E-2</v>
      </c>
      <c r="R163" s="178">
        <f t="shared" si="23"/>
        <v>0.09</v>
      </c>
      <c r="S163" s="178">
        <f t="shared" si="24"/>
        <v>6.0000000000000001E-3</v>
      </c>
    </row>
    <row r="164" spans="2:19" x14ac:dyDescent="0.2">
      <c r="B164" s="202">
        <f>$G$114</f>
        <v>1</v>
      </c>
      <c r="C164" s="178">
        <f t="shared" si="11"/>
        <v>-2E-3</v>
      </c>
      <c r="D164" s="178">
        <f t="shared" si="12"/>
        <v>-3.5619999999999998</v>
      </c>
      <c r="E164" s="178">
        <f t="shared" si="13"/>
        <v>-5.0000000000000001E-3</v>
      </c>
      <c r="F164" s="178">
        <f t="shared" si="15"/>
        <v>5.0000000000000001E-3</v>
      </c>
      <c r="I164" s="178"/>
      <c r="K164" s="202">
        <f>$G$114</f>
        <v>1</v>
      </c>
      <c r="L164" s="178">
        <f t="shared" si="17"/>
        <v>-0.47799999999999998</v>
      </c>
      <c r="M164" s="178">
        <f t="shared" si="18"/>
        <v>0</v>
      </c>
      <c r="N164" s="178">
        <f t="shared" si="19"/>
        <v>-0.17899999999999999</v>
      </c>
      <c r="O164" s="178">
        <f t="shared" si="20"/>
        <v>-0.03</v>
      </c>
      <c r="P164" s="178">
        <f t="shared" si="21"/>
        <v>-0.24</v>
      </c>
      <c r="Q164" s="178">
        <f t="shared" si="22"/>
        <v>-5.0000000000000001E-3</v>
      </c>
      <c r="R164" s="178">
        <f t="shared" si="23"/>
        <v>0.10100000000000001</v>
      </c>
      <c r="S164" s="178">
        <f t="shared" si="24"/>
        <v>5.0000000000000001E-3</v>
      </c>
    </row>
    <row r="165" spans="2:19" x14ac:dyDescent="0.2">
      <c r="O165" s="200"/>
    </row>
    <row r="166" spans="2:19" x14ac:dyDescent="0.2">
      <c r="B166" s="178" t="s">
        <v>651</v>
      </c>
      <c r="O166" s="200"/>
    </row>
    <row r="167" spans="2:19" x14ac:dyDescent="0.2">
      <c r="B167" s="178" t="s">
        <v>641</v>
      </c>
      <c r="C167" s="178">
        <f>ROUND(G104,2)</f>
        <v>4.38</v>
      </c>
      <c r="D167" s="178" t="s">
        <v>254</v>
      </c>
      <c r="I167" s="178"/>
      <c r="O167" s="200"/>
    </row>
    <row r="168" spans="2:19" x14ac:dyDescent="0.2">
      <c r="I168" s="178"/>
      <c r="O168" s="200"/>
    </row>
    <row r="169" spans="2:19" x14ac:dyDescent="0.2">
      <c r="I169" s="178"/>
      <c r="O169" s="200"/>
    </row>
    <row r="170" spans="2:19" x14ac:dyDescent="0.2">
      <c r="B170" s="178" t="s">
        <v>648</v>
      </c>
      <c r="I170" s="178"/>
      <c r="O170" s="200"/>
    </row>
    <row r="171" spans="2:19" x14ac:dyDescent="0.2">
      <c r="I171" s="178"/>
      <c r="O171" s="200"/>
    </row>
    <row r="172" spans="2:19" x14ac:dyDescent="0.2">
      <c r="B172" s="178" t="s">
        <v>647</v>
      </c>
    </row>
    <row r="174" spans="2:19" x14ac:dyDescent="0.2">
      <c r="B174" s="178" t="s">
        <v>619</v>
      </c>
      <c r="C174" s="178" t="s">
        <v>625</v>
      </c>
      <c r="D174" s="178" t="s">
        <v>624</v>
      </c>
      <c r="E174" s="178" t="s">
        <v>649</v>
      </c>
      <c r="F174" s="178" t="s">
        <v>673</v>
      </c>
      <c r="K174" s="178" t="s">
        <v>619</v>
      </c>
      <c r="L174" s="178" t="s">
        <v>625</v>
      </c>
      <c r="M174" s="178" t="s">
        <v>640</v>
      </c>
      <c r="N174" s="178" t="s">
        <v>642</v>
      </c>
      <c r="O174" s="178" t="s">
        <v>643</v>
      </c>
      <c r="P174" s="178" t="s">
        <v>644</v>
      </c>
      <c r="Q174" s="178" t="s">
        <v>645</v>
      </c>
      <c r="R174" s="178" t="s">
        <v>671</v>
      </c>
      <c r="S174" s="178" t="s">
        <v>672</v>
      </c>
    </row>
    <row r="175" spans="2:19" x14ac:dyDescent="0.2">
      <c r="B175" s="202">
        <f>$F$114</f>
        <v>0.29499999999999998</v>
      </c>
      <c r="C175" s="178">
        <f t="shared" ref="C175:C184" si="25">IF(B175&lt;$D$112,L134+L175,M134+M175)</f>
        <v>-3.601</v>
      </c>
      <c r="D175" s="178">
        <f t="shared" ref="D175:D184" si="26">IF(B175&lt;$D$112,N134+N175,O134+O175)</f>
        <v>-0.43599999999999994</v>
      </c>
      <c r="E175" s="178">
        <f t="shared" ref="E175:E184" si="27">IF(B175&lt;$D$112,P134+P175,Q134+Q175)</f>
        <v>-7.5950000000000006</v>
      </c>
      <c r="F175" s="178">
        <f>IF(C175&lt;$D$112,R134+R175,S134+S175)</f>
        <v>1.663</v>
      </c>
      <c r="K175" s="202">
        <f>$F$114</f>
        <v>0.29499999999999998</v>
      </c>
      <c r="L175" s="178">
        <f>ROUND($C$167*$D$110^2/192*(-20.6*$K175^3-6.3*$K175*$H$122-1.7*$H$123/$K175^3-1.15/$K175*$H$124),3)</f>
        <v>-2.2240000000000002</v>
      </c>
      <c r="M175" s="178">
        <f>ROUND($C$167*$D$110^2/192*(-20.6*$K175^3-6.3*$K175*$H$126-1.7*$H$127/$K175^3-1.15/$K175*$H$128),3)</f>
        <v>-88.123000000000005</v>
      </c>
      <c r="N175" s="178">
        <f>ROUND($C$167*$D$110^2/192*(-7*$K175^3-2.9*$K175*$H$122+1.7*$H$123/$K175^3-1.15/$K175*$H$124),3)</f>
        <v>-0.97699999999999998</v>
      </c>
      <c r="O175" s="178">
        <f>ROUND($C$167*$D$110^2/192*(-7*$K175^3-2.9*$K175*$H$126+1.7*$H$127/$K175^3-1.15/$K175*$H$128),3)</f>
        <v>30.431000000000001</v>
      </c>
      <c r="P175" s="178">
        <f>ROUND($C$167*$D$110/192*(-72*$K175^2-8*$H$122+2/$K175^2*$H$124),3)</f>
        <v>-2.2040000000000002</v>
      </c>
      <c r="Q175" s="178">
        <f>ROUND($C$167*$D$110/192*(-72*$K175^2-8*$H$126+2/$K175^2*$H$128),3)</f>
        <v>40.899000000000001</v>
      </c>
      <c r="R175" s="178">
        <f>ROUND($C$167*$D$110/192*(24*$K175^2+8*$H$122+2/$K175^2*$H$124),3)</f>
        <v>1.663</v>
      </c>
      <c r="S175" s="178">
        <f>ROUND($C$167*$D$110/192*(24*$K175^2+8*$H$126+2/$K175^2*$H$128),3)</f>
        <v>29.966000000000001</v>
      </c>
    </row>
    <row r="176" spans="2:19" x14ac:dyDescent="0.2">
      <c r="B176" s="202">
        <f t="shared" ref="B176:B183" si="28">(K$143-K$134)/9+B175</f>
        <v>0.37333333333333329</v>
      </c>
      <c r="C176" s="178">
        <f t="shared" si="25"/>
        <v>-6.6260000000000003</v>
      </c>
      <c r="D176" s="178">
        <f t="shared" si="26"/>
        <v>-1.78</v>
      </c>
      <c r="E176" s="178">
        <f t="shared" si="27"/>
        <v>-9.5139999999999993</v>
      </c>
      <c r="F176" s="178">
        <f t="shared" ref="F176:F184" si="29">IF(C176&lt;$D$112,R135+R176,S135+S176)</f>
        <v>1.825</v>
      </c>
      <c r="K176" s="202">
        <f t="shared" ref="K176:K183" si="30">(K$143-K$134)/9+K175</f>
        <v>0.37333333333333329</v>
      </c>
      <c r="L176" s="178">
        <f t="shared" ref="L176:L184" si="31">ROUND($C$167*$D$110^2/192*(-20.6*$K176^3-6.3*$K176*$H$122-1.7*$H$123/$K176^3-1.15/$K176*$H$124),3)</f>
        <v>-3.1110000000000002</v>
      </c>
      <c r="M176" s="178">
        <f t="shared" ref="M176:M184" si="32">ROUND($C$167*$D$110^2/192*(-20.6*$K176^3-6.3*$K176*$H$126-1.7*$H$127/$K176^3-1.15/$K176*$H$128),3)</f>
        <v>-48.158999999999999</v>
      </c>
      <c r="N176" s="178">
        <f t="shared" ref="N176:N184" si="33">ROUND($C$167*$D$110^2/192*(-7*$K176^3-2.9*$K176*$H$122+1.7*$H$123/$K176^3-1.15/$K176*$H$124),3)</f>
        <v>-1.337</v>
      </c>
      <c r="O176" s="178">
        <f t="shared" ref="O176:O184" si="34">ROUND($C$167*$D$110^2/192*(-7*$K176^3-2.9*$K176*$H$126+1.7*$H$127/$K176^3-1.15/$K176*$H$128),3)</f>
        <v>7.4249999999999998</v>
      </c>
      <c r="P176" s="178">
        <f t="shared" ref="P176:P184" si="35">ROUND($C$167*$D$110/192*(-72*$K176^2-8*$H$122+2/$K176^2*$H$124),3)</f>
        <v>-2.6920000000000002</v>
      </c>
      <c r="Q176" s="178">
        <f t="shared" ref="Q176:Q184" si="36">ROUND($C$167*$D$110/192*(-72*$K176^2-8*$H$126+2/$K176^2*$H$128),3)</f>
        <v>27</v>
      </c>
      <c r="R176" s="178">
        <f t="shared" ref="R176:R184" si="37">ROUND($C$167*$D$110/192*(24*$K176^2+8*$H$122+2/$K176^2*$H$124),3)</f>
        <v>1.825</v>
      </c>
      <c r="S176" s="178">
        <f t="shared" ref="S176:S184" si="38">ROUND($C$167*$D$110/192*(24*$K176^2+8*$H$126+2/$K176^2*$H$128),3)</f>
        <v>16.718</v>
      </c>
    </row>
    <row r="177" spans="2:19" x14ac:dyDescent="0.2">
      <c r="B177" s="202">
        <f t="shared" si="28"/>
        <v>0.45166666666666666</v>
      </c>
      <c r="C177" s="178">
        <f t="shared" si="25"/>
        <v>-10.359</v>
      </c>
      <c r="D177" s="178">
        <f t="shared" si="26"/>
        <v>-3.4260000000000002</v>
      </c>
      <c r="E177" s="178">
        <f t="shared" si="27"/>
        <v>-11.548</v>
      </c>
      <c r="F177" s="178">
        <f t="shared" si="29"/>
        <v>2.0259999999999998</v>
      </c>
      <c r="K177" s="202">
        <f t="shared" si="30"/>
        <v>0.45166666666666666</v>
      </c>
      <c r="L177" s="178">
        <f t="shared" si="31"/>
        <v>-4.2050000000000001</v>
      </c>
      <c r="M177" s="178">
        <f t="shared" si="32"/>
        <v>-28.792000000000002</v>
      </c>
      <c r="N177" s="178">
        <f t="shared" si="33"/>
        <v>-1.768</v>
      </c>
      <c r="O177" s="178">
        <f t="shared" si="34"/>
        <v>-0.26400000000000001</v>
      </c>
      <c r="P177" s="178">
        <f t="shared" si="35"/>
        <v>-3.294</v>
      </c>
      <c r="Q177" s="178">
        <f t="shared" si="36"/>
        <v>19.335999999999999</v>
      </c>
      <c r="R177" s="178">
        <f t="shared" si="37"/>
        <v>2.0259999999999998</v>
      </c>
      <c r="S177" s="178">
        <f t="shared" si="38"/>
        <v>9.8569999999999993</v>
      </c>
    </row>
    <row r="178" spans="2:19" x14ac:dyDescent="0.2">
      <c r="B178" s="202">
        <f t="shared" si="28"/>
        <v>0.53</v>
      </c>
      <c r="C178" s="178">
        <f t="shared" si="25"/>
        <v>-14.843999999999999</v>
      </c>
      <c r="D178" s="178">
        <f t="shared" si="26"/>
        <v>-5.3870000000000005</v>
      </c>
      <c r="E178" s="178">
        <f t="shared" si="27"/>
        <v>-13.696000000000002</v>
      </c>
      <c r="F178" s="178">
        <f t="shared" si="29"/>
        <v>2.2650000000000001</v>
      </c>
      <c r="K178" s="202">
        <f t="shared" si="30"/>
        <v>0.53</v>
      </c>
      <c r="L178" s="178">
        <f t="shared" si="31"/>
        <v>-5.5510000000000002</v>
      </c>
      <c r="M178" s="178">
        <f t="shared" si="32"/>
        <v>-17.722999999999999</v>
      </c>
      <c r="N178" s="178">
        <f t="shared" si="33"/>
        <v>-2.2839999999999998</v>
      </c>
      <c r="O178" s="178">
        <f t="shared" si="34"/>
        <v>-2.778</v>
      </c>
      <c r="P178" s="178">
        <f t="shared" si="35"/>
        <v>-4.0110000000000001</v>
      </c>
      <c r="Q178" s="178">
        <f t="shared" si="36"/>
        <v>14.45</v>
      </c>
      <c r="R178" s="178">
        <f t="shared" si="37"/>
        <v>2.2650000000000001</v>
      </c>
      <c r="S178" s="178">
        <f t="shared" si="38"/>
        <v>5.9269999999999996</v>
      </c>
    </row>
    <row r="179" spans="2:19" x14ac:dyDescent="0.2">
      <c r="B179" s="202">
        <f t="shared" si="28"/>
        <v>0.60833333333333339</v>
      </c>
      <c r="C179" s="178">
        <f t="shared" si="25"/>
        <v>-20.126999999999999</v>
      </c>
      <c r="D179" s="178">
        <f t="shared" si="26"/>
        <v>-7.6790000000000003</v>
      </c>
      <c r="E179" s="178">
        <f t="shared" si="27"/>
        <v>-15.957999999999998</v>
      </c>
      <c r="F179" s="178">
        <f t="shared" si="29"/>
        <v>2.5419999999999998</v>
      </c>
      <c r="K179" s="202">
        <f t="shared" si="30"/>
        <v>0.60833333333333339</v>
      </c>
      <c r="L179" s="178">
        <f t="shared" si="31"/>
        <v>-7.1929999999999996</v>
      </c>
      <c r="M179" s="178">
        <f t="shared" si="32"/>
        <v>-10.731</v>
      </c>
      <c r="N179" s="178">
        <f t="shared" si="33"/>
        <v>-2.9</v>
      </c>
      <c r="O179" s="178">
        <f t="shared" si="34"/>
        <v>-3.3180000000000001</v>
      </c>
      <c r="P179" s="178">
        <f t="shared" si="35"/>
        <v>-4.8419999999999996</v>
      </c>
      <c r="Q179" s="178">
        <f t="shared" si="36"/>
        <v>10.954000000000001</v>
      </c>
      <c r="R179" s="178">
        <f t="shared" si="37"/>
        <v>2.5419999999999998</v>
      </c>
      <c r="S179" s="178">
        <f t="shared" si="38"/>
        <v>3.5390000000000001</v>
      </c>
    </row>
    <row r="180" spans="2:19" x14ac:dyDescent="0.2">
      <c r="B180" s="202">
        <f t="shared" si="28"/>
        <v>0.68666666666666676</v>
      </c>
      <c r="C180" s="178">
        <f t="shared" si="25"/>
        <v>-17.298999999999999</v>
      </c>
      <c r="D180" s="178">
        <f t="shared" si="26"/>
        <v>-8.7270000000000003</v>
      </c>
      <c r="E180" s="178">
        <f t="shared" si="27"/>
        <v>22.265999999999998</v>
      </c>
      <c r="F180" s="178">
        <f t="shared" si="29"/>
        <v>2.8570000000000002</v>
      </c>
      <c r="K180" s="202">
        <f t="shared" si="30"/>
        <v>0.68666666666666676</v>
      </c>
      <c r="L180" s="178">
        <f t="shared" si="31"/>
        <v>-9.173</v>
      </c>
      <c r="M180" s="178">
        <f t="shared" si="32"/>
        <v>-6.09</v>
      </c>
      <c r="N180" s="178">
        <f t="shared" si="33"/>
        <v>-3.6320000000000001</v>
      </c>
      <c r="O180" s="178">
        <f t="shared" si="34"/>
        <v>-3.085</v>
      </c>
      <c r="P180" s="178">
        <f t="shared" si="35"/>
        <v>-5.7869999999999999</v>
      </c>
      <c r="Q180" s="178">
        <f t="shared" si="36"/>
        <v>8.202</v>
      </c>
      <c r="R180" s="178">
        <f t="shared" si="37"/>
        <v>2.8570000000000002</v>
      </c>
      <c r="S180" s="178">
        <f t="shared" si="38"/>
        <v>2.0470000000000002</v>
      </c>
    </row>
    <row r="181" spans="2:19" x14ac:dyDescent="0.2">
      <c r="B181" s="202">
        <f t="shared" si="28"/>
        <v>0.76500000000000012</v>
      </c>
      <c r="C181" s="178">
        <f t="shared" si="25"/>
        <v>-8.6029999999999998</v>
      </c>
      <c r="D181" s="178">
        <f t="shared" si="26"/>
        <v>-7.7389999999999999</v>
      </c>
      <c r="E181" s="178">
        <f t="shared" si="27"/>
        <v>15.768999999999998</v>
      </c>
      <c r="F181" s="178">
        <f t="shared" si="29"/>
        <v>3.2109999999999999</v>
      </c>
      <c r="K181" s="202">
        <f t="shared" si="30"/>
        <v>0.76500000000000012</v>
      </c>
      <c r="L181" s="178">
        <f t="shared" si="31"/>
        <v>-11.536</v>
      </c>
      <c r="M181" s="178">
        <f t="shared" si="32"/>
        <v>-3.0059999999999998</v>
      </c>
      <c r="N181" s="178">
        <f t="shared" si="33"/>
        <v>-4.4939999999999998</v>
      </c>
      <c r="O181" s="178">
        <f t="shared" si="34"/>
        <v>-2.5880000000000001</v>
      </c>
      <c r="P181" s="178">
        <f t="shared" si="35"/>
        <v>-6.8470000000000004</v>
      </c>
      <c r="Q181" s="178">
        <f t="shared" si="36"/>
        <v>5.8609999999999998</v>
      </c>
      <c r="R181" s="178">
        <f t="shared" si="37"/>
        <v>3.2109999999999999</v>
      </c>
      <c r="S181" s="178">
        <f t="shared" si="38"/>
        <v>1.1200000000000001</v>
      </c>
    </row>
    <row r="182" spans="2:19" x14ac:dyDescent="0.2">
      <c r="B182" s="202">
        <f t="shared" si="28"/>
        <v>0.84333333333333349</v>
      </c>
      <c r="C182" s="178">
        <f t="shared" si="25"/>
        <v>-3.2110000000000003</v>
      </c>
      <c r="D182" s="178">
        <f t="shared" si="26"/>
        <v>-6.5689999999999991</v>
      </c>
      <c r="E182" s="178">
        <f t="shared" si="27"/>
        <v>10.004</v>
      </c>
      <c r="F182" s="178">
        <f t="shared" si="29"/>
        <v>3.6019999999999999</v>
      </c>
      <c r="K182" s="202">
        <f t="shared" si="30"/>
        <v>0.84333333333333349</v>
      </c>
      <c r="L182" s="178">
        <f t="shared" si="31"/>
        <v>-14.324999999999999</v>
      </c>
      <c r="M182" s="178">
        <f t="shared" si="32"/>
        <v>-1.083</v>
      </c>
      <c r="N182" s="178">
        <f t="shared" si="33"/>
        <v>-5.5</v>
      </c>
      <c r="O182" s="178">
        <f t="shared" si="34"/>
        <v>-2.0619999999999998</v>
      </c>
      <c r="P182" s="178">
        <f t="shared" si="35"/>
        <v>-8.0220000000000002</v>
      </c>
      <c r="Q182" s="178">
        <f t="shared" si="36"/>
        <v>3.746</v>
      </c>
      <c r="R182" s="178">
        <f t="shared" si="37"/>
        <v>3.6019999999999999</v>
      </c>
      <c r="S182" s="178">
        <f t="shared" si="38"/>
        <v>0.57099999999999995</v>
      </c>
    </row>
    <row r="183" spans="2:19" x14ac:dyDescent="0.2">
      <c r="B183" s="202">
        <f t="shared" si="28"/>
        <v>0.92166666666666686</v>
      </c>
      <c r="C183" s="178">
        <f t="shared" si="25"/>
        <v>-0.47499999999999998</v>
      </c>
      <c r="D183" s="178">
        <f t="shared" si="26"/>
        <v>-5.5549999999999997</v>
      </c>
      <c r="E183" s="178">
        <f t="shared" si="27"/>
        <v>4.7320000000000002</v>
      </c>
      <c r="F183" s="178">
        <f t="shared" si="29"/>
        <v>4.032</v>
      </c>
      <c r="I183" s="178"/>
      <c r="K183" s="202">
        <f t="shared" si="30"/>
        <v>0.92166666666666686</v>
      </c>
      <c r="L183" s="178">
        <f t="shared" si="31"/>
        <v>-17.584</v>
      </c>
      <c r="M183" s="178">
        <f t="shared" si="32"/>
        <v>-0.11600000000000001</v>
      </c>
      <c r="N183" s="178">
        <f t="shared" si="33"/>
        <v>-6.6660000000000004</v>
      </c>
      <c r="O183" s="178">
        <f t="shared" si="34"/>
        <v>-1.6279999999999999</v>
      </c>
      <c r="P183" s="178">
        <f t="shared" si="35"/>
        <v>-9.31</v>
      </c>
      <c r="Q183" s="178">
        <f t="shared" si="36"/>
        <v>1.7470000000000001</v>
      </c>
      <c r="R183" s="178">
        <f t="shared" si="37"/>
        <v>4.032</v>
      </c>
      <c r="S183" s="178">
        <f t="shared" si="38"/>
        <v>0.28999999999999998</v>
      </c>
    </row>
    <row r="184" spans="2:19" x14ac:dyDescent="0.2">
      <c r="B184" s="202">
        <f>$G$114</f>
        <v>1</v>
      </c>
      <c r="C184" s="178">
        <f t="shared" si="25"/>
        <v>-3.0000000000000001E-3</v>
      </c>
      <c r="D184" s="178">
        <f t="shared" si="26"/>
        <v>-4.8819999999999997</v>
      </c>
      <c r="E184" s="178">
        <f t="shared" si="27"/>
        <v>-0.20699999999999999</v>
      </c>
      <c r="F184" s="178">
        <f t="shared" si="29"/>
        <v>4.4989999999999997</v>
      </c>
      <c r="I184" s="178"/>
      <c r="K184" s="202">
        <f>$G$114</f>
        <v>1</v>
      </c>
      <c r="L184" s="178">
        <f t="shared" si="31"/>
        <v>-21.356999999999999</v>
      </c>
      <c r="M184" s="178">
        <f t="shared" si="32"/>
        <v>-1E-3</v>
      </c>
      <c r="N184" s="178">
        <f t="shared" si="33"/>
        <v>-8.0069999999999997</v>
      </c>
      <c r="O184" s="178">
        <f t="shared" si="34"/>
        <v>-1.35</v>
      </c>
      <c r="P184" s="178">
        <f t="shared" si="35"/>
        <v>-10.714</v>
      </c>
      <c r="Q184" s="178">
        <f t="shared" si="36"/>
        <v>-0.20699999999999999</v>
      </c>
      <c r="R184" s="178">
        <f t="shared" si="37"/>
        <v>4.4989999999999997</v>
      </c>
      <c r="S184" s="178">
        <f t="shared" si="38"/>
        <v>0.20699999999999999</v>
      </c>
    </row>
    <row r="185" spans="2:19" x14ac:dyDescent="0.2">
      <c r="I185" s="178"/>
      <c r="O185" s="200"/>
    </row>
    <row r="186" spans="2:19" x14ac:dyDescent="0.2">
      <c r="I186" s="178"/>
      <c r="O186" s="200"/>
    </row>
    <row r="187" spans="2:19" x14ac:dyDescent="0.2">
      <c r="I187" s="178"/>
      <c r="O187" s="200"/>
    </row>
    <row r="188" spans="2:19" x14ac:dyDescent="0.2">
      <c r="H188" s="178">
        <f>H74</f>
        <v>1300</v>
      </c>
      <c r="I188" s="178"/>
      <c r="O188" s="200"/>
    </row>
    <row r="189" spans="2:19" x14ac:dyDescent="0.2">
      <c r="I189" s="178"/>
      <c r="O189" s="200"/>
    </row>
    <row r="190" spans="2:19" x14ac:dyDescent="0.2">
      <c r="I190" s="178"/>
      <c r="O190" s="200"/>
    </row>
    <row r="191" spans="2:19" x14ac:dyDescent="0.2">
      <c r="I191" s="178"/>
      <c r="O191" s="200"/>
    </row>
    <row r="192" spans="2:19" ht="14.1" customHeight="1" x14ac:dyDescent="0.2">
      <c r="B192" s="1376" t="s">
        <v>468</v>
      </c>
      <c r="C192" s="1377"/>
      <c r="D192" s="1377"/>
      <c r="E192" s="1377"/>
      <c r="F192" s="1377"/>
      <c r="G192" s="1378"/>
      <c r="H192" s="69"/>
      <c r="I192" s="69"/>
      <c r="J192" s="69"/>
      <c r="K192" s="69"/>
      <c r="O192" s="200"/>
    </row>
    <row r="193" spans="1:15" ht="14.25" x14ac:dyDescent="0.2">
      <c r="B193" s="69"/>
      <c r="C193" s="68"/>
      <c r="D193" s="69"/>
      <c r="E193" s="69"/>
      <c r="F193" s="69"/>
      <c r="G193" s="69"/>
      <c r="H193" s="69"/>
      <c r="I193" s="69"/>
      <c r="J193" s="69"/>
      <c r="K193" s="69"/>
      <c r="O193" s="200"/>
    </row>
    <row r="194" spans="1:15" ht="14.25" x14ac:dyDescent="0.2">
      <c r="B194" s="86" t="s">
        <v>467</v>
      </c>
      <c r="C194" s="85"/>
      <c r="D194" s="83"/>
      <c r="E194" s="83"/>
      <c r="F194" s="84">
        <v>50</v>
      </c>
      <c r="G194" s="83" t="s">
        <v>202</v>
      </c>
      <c r="H194" s="82"/>
      <c r="I194" s="69"/>
      <c r="J194" s="69"/>
      <c r="K194" s="69"/>
      <c r="O194" s="200"/>
    </row>
    <row r="195" spans="1:15" ht="14.25" x14ac:dyDescent="0.2">
      <c r="B195" s="86" t="s">
        <v>466</v>
      </c>
      <c r="C195" s="85"/>
      <c r="D195" s="83"/>
      <c r="E195" s="83"/>
      <c r="F195" s="84">
        <v>20</v>
      </c>
      <c r="G195" s="83" t="s">
        <v>202</v>
      </c>
      <c r="H195" s="82"/>
      <c r="I195" s="69"/>
      <c r="J195" s="69"/>
      <c r="K195" s="69"/>
      <c r="O195" s="200"/>
    </row>
    <row r="196" spans="1:15" ht="14.25" x14ac:dyDescent="0.2">
      <c r="B196" s="86" t="s">
        <v>465</v>
      </c>
      <c r="C196" s="85"/>
      <c r="D196" s="83"/>
      <c r="E196" s="83"/>
      <c r="F196" s="84">
        <v>1.5</v>
      </c>
      <c r="G196" s="83" t="s">
        <v>236</v>
      </c>
      <c r="H196" s="82"/>
      <c r="I196" s="69"/>
      <c r="J196" s="69"/>
      <c r="K196" s="69"/>
      <c r="O196" s="200"/>
    </row>
    <row r="197" spans="1:15" ht="14.25" x14ac:dyDescent="0.2">
      <c r="B197" s="86" t="s">
        <v>464</v>
      </c>
      <c r="C197" s="85"/>
      <c r="D197" s="83"/>
      <c r="E197" s="83"/>
      <c r="F197" s="84">
        <v>2.76</v>
      </c>
      <c r="G197" s="83"/>
      <c r="H197" s="82"/>
      <c r="I197" s="69"/>
      <c r="J197" s="69"/>
      <c r="K197" s="69"/>
      <c r="O197" s="200"/>
    </row>
    <row r="198" spans="1:15" ht="14.25" x14ac:dyDescent="0.2">
      <c r="B198" s="69"/>
      <c r="C198" s="68"/>
      <c r="D198" s="69"/>
      <c r="E198" s="69"/>
      <c r="F198" s="69"/>
      <c r="G198" s="69"/>
      <c r="H198" s="69"/>
      <c r="I198" s="69"/>
      <c r="J198" s="69"/>
      <c r="K198" s="69"/>
      <c r="O198" s="200"/>
    </row>
    <row r="199" spans="1:15" ht="14.25" x14ac:dyDescent="0.2">
      <c r="B199" s="288" t="s">
        <v>463</v>
      </c>
      <c r="C199" s="289"/>
      <c r="D199" s="289"/>
      <c r="E199" s="81">
        <v>350</v>
      </c>
      <c r="F199" s="69" t="s">
        <v>202</v>
      </c>
      <c r="G199" s="69">
        <v>0.06</v>
      </c>
      <c r="H199" s="69" t="s">
        <v>462</v>
      </c>
      <c r="I199" s="69"/>
      <c r="J199" s="69"/>
      <c r="O199" s="200"/>
    </row>
    <row r="200" spans="1:15" ht="14.25" x14ac:dyDescent="0.2">
      <c r="B200" s="69"/>
      <c r="C200" s="68"/>
      <c r="D200" s="69"/>
      <c r="E200" s="69"/>
      <c r="F200" s="69"/>
      <c r="G200" s="69"/>
      <c r="H200" s="67"/>
      <c r="I200" s="67"/>
      <c r="J200" s="80"/>
      <c r="O200" s="200"/>
    </row>
    <row r="201" spans="1:15" ht="14.25" x14ac:dyDescent="0.2">
      <c r="B201" s="69"/>
      <c r="C201" s="68"/>
      <c r="D201" s="69"/>
      <c r="E201" s="69"/>
      <c r="F201" s="69"/>
      <c r="G201" s="69"/>
      <c r="H201" s="67"/>
      <c r="I201" s="67"/>
      <c r="J201" s="80"/>
      <c r="O201" s="200"/>
    </row>
    <row r="202" spans="1:15" ht="14.25" x14ac:dyDescent="0.2">
      <c r="B202" s="288" t="s">
        <v>463</v>
      </c>
      <c r="C202" s="289"/>
      <c r="D202" s="289"/>
      <c r="E202" s="81">
        <v>700</v>
      </c>
      <c r="F202" s="69" t="s">
        <v>202</v>
      </c>
      <c r="G202" s="69">
        <v>0.06</v>
      </c>
      <c r="H202" s="69" t="s">
        <v>462</v>
      </c>
      <c r="I202" s="69"/>
      <c r="J202" s="69"/>
      <c r="O202" s="200"/>
    </row>
    <row r="203" spans="1:15" ht="14.25" x14ac:dyDescent="0.2">
      <c r="B203" s="69"/>
      <c r="C203" s="68"/>
      <c r="D203" s="69"/>
      <c r="E203" s="69"/>
      <c r="F203" s="69"/>
      <c r="G203" s="69"/>
      <c r="H203" s="67"/>
      <c r="I203" s="67"/>
      <c r="J203" s="80"/>
      <c r="O203" s="200"/>
    </row>
    <row r="204" spans="1:15" ht="14.25" x14ac:dyDescent="0.2">
      <c r="B204" s="69"/>
      <c r="C204" s="68"/>
      <c r="D204" s="69"/>
      <c r="E204" s="69"/>
      <c r="F204" s="69"/>
      <c r="G204" s="69"/>
      <c r="H204" s="69"/>
      <c r="I204" s="67"/>
      <c r="J204" s="67"/>
      <c r="K204" s="80"/>
      <c r="O204" s="200"/>
    </row>
    <row r="205" spans="1:15" ht="14.25" x14ac:dyDescent="0.2">
      <c r="B205" s="1382"/>
      <c r="C205" s="1383"/>
      <c r="D205" s="1383"/>
      <c r="E205" s="1384"/>
      <c r="F205" s="69"/>
      <c r="G205" s="69"/>
      <c r="H205" s="69"/>
      <c r="I205" s="69"/>
      <c r="J205" s="69"/>
      <c r="K205" s="69"/>
      <c r="O205" s="200"/>
    </row>
    <row r="206" spans="1:15" ht="28.5" x14ac:dyDescent="0.2">
      <c r="A206" s="307" t="s">
        <v>461</v>
      </c>
      <c r="B206" s="68" t="s">
        <v>458</v>
      </c>
      <c r="C206" s="85" t="s">
        <v>457</v>
      </c>
      <c r="D206" s="68" t="s">
        <v>456</v>
      </c>
      <c r="E206" s="68" t="s">
        <v>455</v>
      </c>
      <c r="F206" s="68" t="s">
        <v>261</v>
      </c>
      <c r="G206" s="68" t="s">
        <v>272</v>
      </c>
      <c r="H206" s="68" t="s">
        <v>454</v>
      </c>
      <c r="I206" s="85" t="s">
        <v>453</v>
      </c>
      <c r="J206" s="68"/>
      <c r="O206" s="200"/>
    </row>
    <row r="207" spans="1:15" ht="30" x14ac:dyDescent="0.25">
      <c r="A207" s="308" t="s">
        <v>452</v>
      </c>
      <c r="B207" s="79" t="s">
        <v>460</v>
      </c>
      <c r="C207" s="79" t="s">
        <v>669</v>
      </c>
      <c r="D207" s="76"/>
      <c r="E207" s="67"/>
      <c r="F207" s="67"/>
      <c r="G207" s="67"/>
      <c r="H207" s="67"/>
      <c r="I207" s="71"/>
      <c r="J207" s="67"/>
    </row>
    <row r="208" spans="1:15" ht="14.25" x14ac:dyDescent="0.2">
      <c r="A208" s="309">
        <f>MAX(MAX($C$175:$C$184),MAX($C$155:$C$164))</f>
        <v>-2E-3</v>
      </c>
      <c r="B208" s="75">
        <f>$H$188</f>
        <v>1300</v>
      </c>
      <c r="C208" s="67">
        <f>B208-$F$194</f>
        <v>1250</v>
      </c>
      <c r="D208" s="72">
        <f>$F$196*($A$208*10^7)/(1000*$C$208^2)</f>
        <v>-1.9199999999999999E-5</v>
      </c>
      <c r="E208" s="74" t="e">
        <f>LOOKUP(D208,tc!$C$126:$C$432,tc!$D$126:$D$432)</f>
        <v>#N/A</v>
      </c>
      <c r="F208" s="67" t="e">
        <f>$E$208*1000*$C$208/100</f>
        <v>#N/A</v>
      </c>
      <c r="G208" s="73">
        <v>16</v>
      </c>
      <c r="H208" s="73">
        <v>150</v>
      </c>
      <c r="I208" s="66">
        <f>(3.14*G208^2*0.25)/(H208/1000)</f>
        <v>1339.7333333333333</v>
      </c>
      <c r="J208" s="70" t="s">
        <v>451</v>
      </c>
    </row>
    <row r="209" spans="1:15" ht="14.25" x14ac:dyDescent="0.2">
      <c r="A209" s="309"/>
      <c r="B209" s="68"/>
      <c r="C209" s="67"/>
      <c r="D209" s="72"/>
      <c r="E209" s="72"/>
      <c r="F209" s="67"/>
      <c r="G209" s="67"/>
      <c r="H209" s="67">
        <v>150</v>
      </c>
      <c r="I209" s="66">
        <f>(3.14*G209^2*0.25)/(H209/1000)</f>
        <v>0</v>
      </c>
      <c r="J209" s="70" t="s">
        <v>449</v>
      </c>
    </row>
    <row r="210" spans="1:15" ht="14.25" x14ac:dyDescent="0.2">
      <c r="A210" s="310"/>
      <c r="B210" s="68"/>
      <c r="C210" s="67"/>
      <c r="D210" s="67"/>
      <c r="E210" s="67"/>
      <c r="F210" s="67"/>
      <c r="G210" s="67">
        <v>0</v>
      </c>
      <c r="H210" s="67">
        <v>250</v>
      </c>
      <c r="I210" s="66">
        <f>(3.14*G210^2*0.25)/(H210/1000)</f>
        <v>0</v>
      </c>
      <c r="J210" s="70" t="s">
        <v>449</v>
      </c>
    </row>
    <row r="211" spans="1:15" ht="14.25" x14ac:dyDescent="0.2">
      <c r="A211" s="309"/>
      <c r="B211" s="68"/>
      <c r="C211" s="67"/>
      <c r="D211" s="67"/>
      <c r="E211" s="67"/>
      <c r="F211" s="67"/>
      <c r="G211" s="67"/>
      <c r="H211" s="67"/>
      <c r="I211" s="66">
        <f>SUM(I208:I210)</f>
        <v>1339.7333333333333</v>
      </c>
      <c r="J211" s="65"/>
      <c r="O211" s="200"/>
    </row>
    <row r="212" spans="1:15" ht="14.25" x14ac:dyDescent="0.2">
      <c r="C212" s="67"/>
      <c r="D212" s="67"/>
      <c r="E212" s="67"/>
      <c r="F212" s="67"/>
      <c r="G212" s="67"/>
      <c r="H212" s="67"/>
      <c r="I212" s="66"/>
      <c r="J212" s="64" t="e">
        <f>IF(I211&gt;F208,"OK"," NOT OK")</f>
        <v>#N/A</v>
      </c>
      <c r="O212" s="200"/>
    </row>
    <row r="213" spans="1:15" ht="15" x14ac:dyDescent="0.25">
      <c r="A213" s="308"/>
      <c r="B213" s="78"/>
      <c r="C213" s="79" t="s">
        <v>670</v>
      </c>
      <c r="D213" s="67"/>
      <c r="E213" s="67"/>
      <c r="F213" s="67"/>
      <c r="G213" s="67"/>
      <c r="H213" s="67"/>
      <c r="I213" s="66"/>
      <c r="J213" s="66"/>
      <c r="O213" s="200"/>
    </row>
    <row r="214" spans="1:15" ht="14.25" x14ac:dyDescent="0.2">
      <c r="A214" s="309">
        <f>ABS(MIN(MIN($C$175:$C$184),MIN($C$155:$C$164)))</f>
        <v>20.126999999999999</v>
      </c>
      <c r="B214" s="75">
        <f>$H$188</f>
        <v>1300</v>
      </c>
      <c r="C214" s="67">
        <f>B214-$F$194</f>
        <v>1250</v>
      </c>
      <c r="D214" s="72">
        <f>$F$196*(A214*10^7)/(1000*C214^2)</f>
        <v>0.19321920000000001</v>
      </c>
      <c r="E214" s="74">
        <f>LOOKUP(D214,tc!$C$126:$C$432,tc!$D$126:$D$432)</f>
        <v>6.0400000000000009E-2</v>
      </c>
      <c r="F214" s="67">
        <f>E214*1000*C214/100</f>
        <v>755</v>
      </c>
      <c r="G214" s="73">
        <v>16</v>
      </c>
      <c r="H214" s="73">
        <v>135</v>
      </c>
      <c r="I214" s="66">
        <f>(3.14*G214^2*0.25)/(H214/1000)</f>
        <v>1488.5925925925926</v>
      </c>
      <c r="J214" s="70" t="s">
        <v>451</v>
      </c>
      <c r="O214" s="200"/>
    </row>
    <row r="215" spans="1:15" ht="14.25" x14ac:dyDescent="0.2">
      <c r="A215" s="309"/>
      <c r="B215" s="68"/>
      <c r="C215" s="67"/>
      <c r="D215" s="72"/>
      <c r="E215" s="72"/>
      <c r="F215" s="67"/>
      <c r="G215" s="67">
        <v>16</v>
      </c>
      <c r="H215" s="67">
        <v>135</v>
      </c>
      <c r="I215" s="66">
        <f>(3.14*G215^2*0.25)/(H215/1000)</f>
        <v>1488.5925925925926</v>
      </c>
      <c r="J215" s="70" t="s">
        <v>449</v>
      </c>
    </row>
    <row r="216" spans="1:15" ht="14.25" x14ac:dyDescent="0.2">
      <c r="A216" s="310"/>
      <c r="B216" s="68"/>
      <c r="C216" s="67"/>
      <c r="D216" s="67"/>
      <c r="E216" s="67"/>
      <c r="F216" s="67"/>
      <c r="G216" s="67">
        <v>0</v>
      </c>
      <c r="H216" s="67">
        <v>250</v>
      </c>
      <c r="I216" s="66">
        <f>(3.14*G216^2*0.25)/(H216/1000)</f>
        <v>0</v>
      </c>
      <c r="J216" s="70" t="s">
        <v>449</v>
      </c>
    </row>
    <row r="217" spans="1:15" ht="14.25" x14ac:dyDescent="0.2">
      <c r="A217" s="309"/>
      <c r="B217" s="68"/>
      <c r="C217" s="67"/>
      <c r="D217" s="67"/>
      <c r="E217" s="67"/>
      <c r="F217" s="67"/>
      <c r="G217" s="67"/>
      <c r="H217" s="67"/>
      <c r="I217" s="66">
        <f>SUM(I214:I216)</f>
        <v>2977.1851851851852</v>
      </c>
      <c r="J217" s="65"/>
    </row>
    <row r="218" spans="1:15" ht="14.25" x14ac:dyDescent="0.2">
      <c r="C218" s="67"/>
      <c r="D218" s="67"/>
      <c r="E218" s="67"/>
      <c r="F218" s="67"/>
      <c r="G218" s="67"/>
      <c r="H218" s="67"/>
      <c r="I218" s="66"/>
      <c r="J218" s="64" t="str">
        <f>IF(I217&gt;F214,"OK"," NOT OK")</f>
        <v>OK</v>
      </c>
    </row>
    <row r="219" spans="1:15" ht="29.25" x14ac:dyDescent="0.25">
      <c r="A219" s="308"/>
      <c r="B219" s="71" t="s">
        <v>450</v>
      </c>
      <c r="C219" s="68">
        <f>ROUND(MAX(MAX($E$155:$E$164),MAX($E$175:$E$184),ABS(MIN($E$155:$E$164)),ABS(MIN($E$175:$E$184)))*10/$H$188,3)</f>
        <v>0.17100000000000001</v>
      </c>
      <c r="D219" s="1385"/>
      <c r="E219" s="1148"/>
      <c r="F219" s="68"/>
      <c r="G219" s="68"/>
      <c r="H219" s="67"/>
      <c r="I219" s="66"/>
      <c r="J219" s="66"/>
      <c r="O219" s="200"/>
    </row>
    <row r="220" spans="1:15" ht="15" x14ac:dyDescent="0.25">
      <c r="A220" s="308"/>
      <c r="B220" s="67"/>
      <c r="C220" s="68"/>
      <c r="D220" s="67"/>
      <c r="E220" s="67"/>
      <c r="F220" s="67"/>
      <c r="G220" s="67"/>
      <c r="H220" s="67"/>
      <c r="I220" s="66"/>
      <c r="J220" s="66"/>
      <c r="O220" s="200"/>
    </row>
    <row r="221" spans="1:15" ht="15" x14ac:dyDescent="0.25">
      <c r="A221" s="308"/>
      <c r="B221" s="67" t="s">
        <v>291</v>
      </c>
      <c r="C221" s="68">
        <f>I217/1000/C208*100</f>
        <v>0.23817481481481481</v>
      </c>
      <c r="D221" s="67"/>
      <c r="E221" s="67" t="s">
        <v>478</v>
      </c>
      <c r="F221" s="67" t="s">
        <v>160</v>
      </c>
      <c r="G221" s="67">
        <f>LOOKUP(C221,tc!$C$6:$C$42,tc!$E$6:$E$42)</f>
        <v>0.222</v>
      </c>
      <c r="H221" s="64" t="str">
        <f>IF(G221&gt;C219,"ok","rev")</f>
        <v>ok</v>
      </c>
      <c r="I221" s="66"/>
      <c r="J221" s="66"/>
      <c r="O221" s="200"/>
    </row>
    <row r="222" spans="1:15" ht="15" x14ac:dyDescent="0.25">
      <c r="A222" s="308"/>
      <c r="B222" s="57"/>
      <c r="C222" s="57"/>
      <c r="D222" s="57"/>
      <c r="E222" s="57"/>
      <c r="F222" s="57"/>
      <c r="G222" s="57"/>
      <c r="I222" s="66"/>
      <c r="J222" s="66"/>
      <c r="O222" s="200"/>
    </row>
    <row r="223" spans="1:15" ht="15" x14ac:dyDescent="0.25">
      <c r="A223" s="308"/>
      <c r="B223" s="78"/>
      <c r="C223" s="67"/>
      <c r="D223" s="67"/>
      <c r="E223" s="67"/>
      <c r="F223" s="67"/>
      <c r="G223" s="67"/>
      <c r="H223" s="67"/>
      <c r="I223" s="66"/>
      <c r="J223" s="66"/>
      <c r="O223" s="200"/>
    </row>
    <row r="224" spans="1:15" ht="15" x14ac:dyDescent="0.25">
      <c r="A224" s="308"/>
      <c r="B224" s="78"/>
      <c r="C224" s="67"/>
      <c r="D224" s="67"/>
      <c r="E224" s="67"/>
      <c r="F224" s="67"/>
      <c r="G224" s="67"/>
      <c r="H224" s="67"/>
      <c r="I224" s="66"/>
      <c r="J224" s="66"/>
      <c r="O224" s="200"/>
    </row>
    <row r="225" spans="1:15" ht="15" x14ac:dyDescent="0.25">
      <c r="A225" s="308"/>
      <c r="B225" s="78"/>
      <c r="C225" s="67"/>
      <c r="D225" s="67"/>
      <c r="E225" s="67"/>
      <c r="F225" s="67"/>
      <c r="G225" s="67"/>
      <c r="H225" s="67"/>
      <c r="I225" s="66"/>
      <c r="J225" s="66"/>
      <c r="O225" s="200"/>
    </row>
    <row r="226" spans="1:15" ht="28.5" x14ac:dyDescent="0.2">
      <c r="A226" s="307" t="s">
        <v>461</v>
      </c>
      <c r="B226" s="68" t="s">
        <v>458</v>
      </c>
      <c r="C226" s="85" t="s">
        <v>457</v>
      </c>
      <c r="D226" s="68" t="s">
        <v>456</v>
      </c>
      <c r="E226" s="68" t="s">
        <v>455</v>
      </c>
      <c r="F226" s="68" t="s">
        <v>261</v>
      </c>
      <c r="G226" s="68" t="s">
        <v>272</v>
      </c>
      <c r="H226" s="68" t="s">
        <v>454</v>
      </c>
      <c r="I226" s="85" t="s">
        <v>453</v>
      </c>
      <c r="J226" s="68"/>
      <c r="O226" s="200"/>
    </row>
    <row r="227" spans="1:15" ht="30" x14ac:dyDescent="0.25">
      <c r="A227" s="308" t="s">
        <v>452</v>
      </c>
      <c r="B227" s="79" t="s">
        <v>459</v>
      </c>
      <c r="C227" s="79" t="s">
        <v>669</v>
      </c>
      <c r="D227" s="76"/>
      <c r="E227" s="67"/>
      <c r="F227" s="67"/>
      <c r="G227" s="67"/>
      <c r="H227" s="67"/>
      <c r="I227" s="71"/>
      <c r="J227" s="67"/>
      <c r="O227" s="200"/>
    </row>
    <row r="228" spans="1:15" ht="14.25" x14ac:dyDescent="0.2">
      <c r="A228" s="309">
        <f>MAX(MAX($D$175:$D$184),MAX($D$155:$D$164))</f>
        <v>0.51900000000000002</v>
      </c>
      <c r="B228" s="75">
        <f>$H$188</f>
        <v>1300</v>
      </c>
      <c r="C228" s="67">
        <f>B228-$F$194</f>
        <v>1250</v>
      </c>
      <c r="D228" s="72">
        <f>$F$196*($A$228*10^7)/(1000*$C$228^2)</f>
        <v>4.9823999999999997E-3</v>
      </c>
      <c r="E228" s="74" t="e">
        <f>LOOKUP(D228,tc!$C$126:$C$432,tc!$D$126:$D$432)</f>
        <v>#N/A</v>
      </c>
      <c r="F228" s="67" t="e">
        <f>$E$208*1000*$C$208/100</f>
        <v>#N/A</v>
      </c>
      <c r="G228" s="73">
        <v>16</v>
      </c>
      <c r="H228" s="73">
        <v>150</v>
      </c>
      <c r="I228" s="66">
        <f>(3.14*G228^2*0.25)/(H228/1000)</f>
        <v>1339.7333333333333</v>
      </c>
      <c r="J228" s="70" t="s">
        <v>451</v>
      </c>
      <c r="O228" s="200"/>
    </row>
    <row r="229" spans="1:15" ht="14.25" x14ac:dyDescent="0.2">
      <c r="A229" s="309"/>
      <c r="B229" s="68"/>
      <c r="C229" s="67"/>
      <c r="D229" s="72"/>
      <c r="E229" s="72"/>
      <c r="F229" s="67"/>
      <c r="G229" s="67"/>
      <c r="H229" s="67">
        <v>150</v>
      </c>
      <c r="I229" s="66">
        <f>(3.14*G229^2*0.25)/(H229/1000)</f>
        <v>0</v>
      </c>
      <c r="J229" s="70" t="s">
        <v>449</v>
      </c>
      <c r="O229" s="200"/>
    </row>
    <row r="230" spans="1:15" ht="14.25" x14ac:dyDescent="0.2">
      <c r="A230" s="310"/>
      <c r="B230" s="68"/>
      <c r="C230" s="67"/>
      <c r="D230" s="67"/>
      <c r="E230" s="67"/>
      <c r="F230" s="67"/>
      <c r="G230" s="67">
        <v>0</v>
      </c>
      <c r="H230" s="67">
        <v>250</v>
      </c>
      <c r="I230" s="66">
        <f>(3.14*G230^2*0.25)/(H230/1000)</f>
        <v>0</v>
      </c>
      <c r="J230" s="70" t="s">
        <v>449</v>
      </c>
      <c r="O230" s="200"/>
    </row>
    <row r="231" spans="1:15" ht="14.25" x14ac:dyDescent="0.2">
      <c r="A231" s="309"/>
      <c r="B231" s="68"/>
      <c r="C231" s="67"/>
      <c r="D231" s="67"/>
      <c r="E231" s="67"/>
      <c r="F231" s="67"/>
      <c r="G231" s="67"/>
      <c r="H231" s="67"/>
      <c r="I231" s="66">
        <f>SUM(I228:I230)</f>
        <v>1339.7333333333333</v>
      </c>
      <c r="J231" s="65"/>
      <c r="O231" s="200"/>
    </row>
    <row r="232" spans="1:15" ht="14.25" x14ac:dyDescent="0.2">
      <c r="C232" s="67"/>
      <c r="D232" s="67"/>
      <c r="E232" s="67"/>
      <c r="F232" s="67"/>
      <c r="G232" s="67"/>
      <c r="H232" s="67"/>
      <c r="I232" s="66"/>
      <c r="J232" s="64" t="e">
        <f>IF(I231&gt;F228,"OK"," NOT OK")</f>
        <v>#N/A</v>
      </c>
      <c r="O232" s="200"/>
    </row>
    <row r="233" spans="1:15" ht="15" x14ac:dyDescent="0.25">
      <c r="A233" s="308"/>
      <c r="B233" s="78"/>
      <c r="C233" s="79" t="s">
        <v>670</v>
      </c>
      <c r="D233" s="67"/>
      <c r="E233" s="67"/>
      <c r="F233" s="67"/>
      <c r="G233" s="67"/>
      <c r="H233" s="67"/>
      <c r="I233" s="66"/>
      <c r="J233" s="66"/>
      <c r="O233" s="200"/>
    </row>
    <row r="234" spans="1:15" ht="14.25" x14ac:dyDescent="0.2">
      <c r="A234" s="309">
        <f>ABS(MIN(MIN($D$175:$D$184),MIN($D$155:$D$164)))</f>
        <v>8.7270000000000003</v>
      </c>
      <c r="B234" s="75">
        <f>$H$188</f>
        <v>1300</v>
      </c>
      <c r="C234" s="67">
        <f>B234-$F$194</f>
        <v>1250</v>
      </c>
      <c r="D234" s="72">
        <f>$F$196*(A234*10^7)/(1000*C234^2)</f>
        <v>8.3779199999999998E-2</v>
      </c>
      <c r="E234" s="74" t="e">
        <f>LOOKUP(D234,tc!$C$126:$C$432,tc!$D$126:$D$432)</f>
        <v>#N/A</v>
      </c>
      <c r="F234" s="67" t="e">
        <f>E234*1000*C234/100</f>
        <v>#N/A</v>
      </c>
      <c r="G234" s="73">
        <v>16</v>
      </c>
      <c r="H234" s="73">
        <v>135</v>
      </c>
      <c r="I234" s="66">
        <f>(3.14*G234^2*0.25)/(H234/1000)</f>
        <v>1488.5925925925926</v>
      </c>
      <c r="J234" s="70" t="s">
        <v>451</v>
      </c>
      <c r="O234" s="200"/>
    </row>
    <row r="235" spans="1:15" ht="14.25" x14ac:dyDescent="0.2">
      <c r="A235" s="309"/>
      <c r="B235" s="68"/>
      <c r="C235" s="67"/>
      <c r="D235" s="72"/>
      <c r="E235" s="72"/>
      <c r="F235" s="67"/>
      <c r="G235" s="67">
        <v>16</v>
      </c>
      <c r="H235" s="67">
        <v>135</v>
      </c>
      <c r="I235" s="66">
        <f>(3.14*G235^2*0.25)/(H235/1000)</f>
        <v>1488.5925925925926</v>
      </c>
      <c r="J235" s="70" t="s">
        <v>449</v>
      </c>
      <c r="O235" s="200"/>
    </row>
    <row r="236" spans="1:15" ht="14.25" x14ac:dyDescent="0.2">
      <c r="A236" s="310"/>
      <c r="B236" s="68"/>
      <c r="C236" s="67"/>
      <c r="D236" s="67"/>
      <c r="E236" s="67"/>
      <c r="F236" s="67"/>
      <c r="G236" s="67">
        <v>0</v>
      </c>
      <c r="H236" s="67">
        <v>250</v>
      </c>
      <c r="I236" s="66">
        <f>(3.14*G236^2*0.25)/(H236/1000)</f>
        <v>0</v>
      </c>
      <c r="J236" s="70" t="s">
        <v>449</v>
      </c>
      <c r="O236" s="200"/>
    </row>
    <row r="237" spans="1:15" ht="14.25" x14ac:dyDescent="0.2">
      <c r="A237" s="309"/>
      <c r="B237" s="68"/>
      <c r="C237" s="67"/>
      <c r="D237" s="67"/>
      <c r="E237" s="67"/>
      <c r="F237" s="67"/>
      <c r="G237" s="67"/>
      <c r="H237" s="67"/>
      <c r="I237" s="66">
        <f>SUM(I234:I236)</f>
        <v>2977.1851851851852</v>
      </c>
      <c r="J237" s="65"/>
      <c r="O237" s="200"/>
    </row>
    <row r="238" spans="1:15" ht="14.25" x14ac:dyDescent="0.2">
      <c r="C238" s="67"/>
      <c r="D238" s="67"/>
      <c r="E238" s="67"/>
      <c r="F238" s="67"/>
      <c r="G238" s="67"/>
      <c r="H238" s="67"/>
      <c r="I238" s="66"/>
      <c r="J238" s="64" t="e">
        <f>IF(I237&gt;F234,"OK"," NOT OK")</f>
        <v>#N/A</v>
      </c>
      <c r="O238" s="200"/>
    </row>
    <row r="239" spans="1:15" ht="29.25" x14ac:dyDescent="0.25">
      <c r="A239" s="308"/>
      <c r="B239" s="71" t="s">
        <v>450</v>
      </c>
      <c r="C239" s="68">
        <f>ROUND(MAX(MAX($E$155:$E$164),MAX($E$175:$E$184),ABS(MIN($E$155:$E$164)),ABS(MIN($E$175:$E$184)))*10/$H$188,3)</f>
        <v>0.17100000000000001</v>
      </c>
      <c r="D239" s="1385"/>
      <c r="E239" s="1148"/>
      <c r="F239" s="68"/>
      <c r="G239" s="68"/>
      <c r="H239" s="67"/>
      <c r="I239" s="66"/>
      <c r="J239" s="66"/>
      <c r="O239" s="200"/>
    </row>
    <row r="240" spans="1:15" ht="15" x14ac:dyDescent="0.25">
      <c r="A240" s="308"/>
      <c r="B240" s="67"/>
      <c r="C240" s="68"/>
      <c r="D240" s="67"/>
      <c r="E240" s="67"/>
      <c r="F240" s="67"/>
      <c r="G240" s="67"/>
      <c r="H240" s="67"/>
      <c r="I240" s="66"/>
      <c r="J240" s="66"/>
      <c r="O240" s="200"/>
    </row>
    <row r="241" spans="1:15" ht="15" x14ac:dyDescent="0.25">
      <c r="A241" s="308"/>
      <c r="B241" s="67" t="s">
        <v>291</v>
      </c>
      <c r="C241" s="68">
        <f>I237/1000/C228*100</f>
        <v>0.23817481481481481</v>
      </c>
      <c r="D241" s="67"/>
      <c r="E241" s="67" t="s">
        <v>478</v>
      </c>
      <c r="F241" s="67" t="s">
        <v>160</v>
      </c>
      <c r="G241" s="67">
        <f>LOOKUP(C241,tc!$C$6:$C$42,tc!$E$6:$E$42)</f>
        <v>0.222</v>
      </c>
      <c r="H241" s="64" t="str">
        <f>IF(G241&gt;C239,"ok","rev")</f>
        <v>ok</v>
      </c>
      <c r="I241" s="66"/>
      <c r="J241" s="66"/>
      <c r="O241" s="200"/>
    </row>
    <row r="242" spans="1:15" x14ac:dyDescent="0.2">
      <c r="I242" s="178"/>
      <c r="O242" s="200"/>
    </row>
    <row r="243" spans="1:15" x14ac:dyDescent="0.2">
      <c r="I243" s="178"/>
      <c r="O243" s="200"/>
    </row>
    <row r="244" spans="1:15" ht="15.75" x14ac:dyDescent="0.25">
      <c r="B244" s="132" t="s">
        <v>502</v>
      </c>
      <c r="C244" s="57"/>
      <c r="D244" s="57"/>
      <c r="E244" s="57"/>
      <c r="F244" s="57"/>
      <c r="G244" s="57"/>
      <c r="H244" s="57"/>
      <c r="I244" s="57"/>
      <c r="O244" s="200"/>
    </row>
    <row r="245" spans="1:15" ht="14.25" x14ac:dyDescent="0.2">
      <c r="B245" s="57" t="s">
        <v>503</v>
      </c>
      <c r="C245" s="57"/>
      <c r="D245" s="57"/>
      <c r="E245" s="57"/>
      <c r="F245" s="57"/>
      <c r="G245" s="57"/>
      <c r="H245" s="58">
        <f>ROUND('Earthquake &amp; wind'!K47,2)</f>
        <v>594.98</v>
      </c>
      <c r="I245" s="57" t="s">
        <v>229</v>
      </c>
      <c r="O245" s="200"/>
    </row>
    <row r="246" spans="1:15" ht="14.25" x14ac:dyDescent="0.2">
      <c r="B246" s="57"/>
      <c r="C246" s="57"/>
      <c r="D246" s="57"/>
      <c r="E246" s="57"/>
      <c r="F246" s="57"/>
      <c r="G246" s="57"/>
      <c r="H246" s="57"/>
      <c r="I246" s="57"/>
      <c r="O246" s="200"/>
    </row>
    <row r="247" spans="1:15" ht="14.25" x14ac:dyDescent="0.2">
      <c r="B247" s="57" t="s">
        <v>505</v>
      </c>
      <c r="C247" s="57"/>
      <c r="D247" s="57"/>
      <c r="E247" s="57"/>
      <c r="F247" s="57"/>
      <c r="G247" s="57"/>
      <c r="H247" s="57">
        <f>ROUND(('Earthquake &amp; wind'!$K$125),2)</f>
        <v>38.78</v>
      </c>
      <c r="I247" s="57" t="s">
        <v>229</v>
      </c>
      <c r="O247" s="200"/>
    </row>
    <row r="248" spans="1:15" ht="14.25" x14ac:dyDescent="0.2">
      <c r="B248" s="57"/>
      <c r="C248" s="57"/>
      <c r="D248" s="57"/>
      <c r="E248" s="57"/>
      <c r="F248" s="57"/>
      <c r="G248" s="57"/>
      <c r="H248" s="57"/>
      <c r="I248" s="57"/>
      <c r="O248" s="200"/>
    </row>
    <row r="249" spans="1:15" ht="14.25" x14ac:dyDescent="0.2">
      <c r="B249" s="57" t="s">
        <v>506</v>
      </c>
      <c r="C249" s="57"/>
      <c r="D249" s="57"/>
      <c r="E249" s="57" t="str">
        <f>"(ROUND((("&amp;'Earthquake &amp; wind'!$K$57&amp;"+"&amp;'Earthquake &amp; wind'!$G$22&amp;")*"&amp;H247&amp;"),3))"</f>
        <v>(ROUND(((4.02+10)*38.78),3))</v>
      </c>
      <c r="F249" s="57"/>
      <c r="G249" s="57"/>
      <c r="H249" s="57">
        <f>ROUND((('Earthquake &amp; wind'!$K$57+'Earthquake &amp; wind'!$G$22)*H247),3)</f>
        <v>543.69600000000003</v>
      </c>
      <c r="I249" s="57" t="s">
        <v>507</v>
      </c>
      <c r="O249" s="200"/>
    </row>
    <row r="250" spans="1:15" ht="14.25" x14ac:dyDescent="0.2">
      <c r="B250" s="57"/>
      <c r="C250" s="57"/>
      <c r="D250" s="57"/>
      <c r="E250" s="57"/>
      <c r="F250" s="57"/>
      <c r="G250" s="57"/>
      <c r="H250" s="57"/>
      <c r="I250" s="57"/>
      <c r="O250" s="200"/>
    </row>
    <row r="251" spans="1:15" ht="14.25" x14ac:dyDescent="0.2">
      <c r="B251" s="57" t="s">
        <v>508</v>
      </c>
      <c r="C251" s="57"/>
      <c r="D251" s="57"/>
      <c r="E251" s="57"/>
      <c r="F251" s="57"/>
      <c r="G251" s="57"/>
      <c r="H251" s="290">
        <v>0.45</v>
      </c>
      <c r="I251" s="57"/>
      <c r="O251" s="200"/>
    </row>
    <row r="252" spans="1:15" ht="14.25" x14ac:dyDescent="0.2">
      <c r="B252" s="57"/>
      <c r="C252" s="57"/>
      <c r="D252" s="57"/>
      <c r="E252" s="57"/>
      <c r="F252" s="57"/>
      <c r="G252" s="57"/>
      <c r="H252" s="57"/>
      <c r="I252" s="57"/>
      <c r="O252" s="200"/>
    </row>
    <row r="253" spans="1:15" ht="15.75" x14ac:dyDescent="0.25">
      <c r="B253" s="132" t="s">
        <v>509</v>
      </c>
      <c r="C253" s="132"/>
      <c r="D253" s="57"/>
      <c r="E253" s="57"/>
      <c r="F253" s="57"/>
      <c r="G253" s="57"/>
      <c r="H253" s="57"/>
      <c r="I253" s="57"/>
      <c r="O253" s="200"/>
    </row>
    <row r="254" spans="1:15" ht="14.25" x14ac:dyDescent="0.2">
      <c r="B254" s="57"/>
      <c r="C254" s="57"/>
      <c r="D254" s="57"/>
      <c r="E254" s="57"/>
      <c r="F254" s="57"/>
      <c r="G254" s="57"/>
      <c r="H254" s="57"/>
      <c r="I254" s="57"/>
      <c r="O254" s="200"/>
    </row>
    <row r="255" spans="1:15" ht="14.25" x14ac:dyDescent="0.2">
      <c r="B255" s="57" t="s">
        <v>510</v>
      </c>
      <c r="C255" s="57"/>
      <c r="D255" s="57"/>
      <c r="E255" s="57" t="str">
        <f>"("&amp;H245&amp;"*"&amp;H251&amp;")"</f>
        <v>(594.98*0.45)</v>
      </c>
      <c r="F255" s="57"/>
      <c r="G255" s="57"/>
      <c r="H255" s="58">
        <f>H245*H251</f>
        <v>267.74100000000004</v>
      </c>
      <c r="I255" s="57" t="s">
        <v>229</v>
      </c>
      <c r="O255" s="200"/>
    </row>
    <row r="256" spans="1:15" ht="14.25" x14ac:dyDescent="0.2">
      <c r="B256" s="57"/>
      <c r="C256" s="57"/>
      <c r="D256" s="57"/>
      <c r="E256" s="57"/>
      <c r="F256" s="57"/>
      <c r="G256" s="57"/>
      <c r="H256" s="57"/>
      <c r="I256" s="57"/>
      <c r="O256" s="200"/>
    </row>
    <row r="257" spans="2:15" ht="14.25" x14ac:dyDescent="0.2">
      <c r="B257" s="57" t="s">
        <v>511</v>
      </c>
      <c r="C257" s="57"/>
      <c r="D257" s="57"/>
      <c r="E257" s="57" t="str">
        <f>"("&amp;H255&amp;"/"&amp;H247&amp;")"</f>
        <v>(267.741/38.78)</v>
      </c>
      <c r="F257" s="57"/>
      <c r="G257" s="57"/>
      <c r="H257" s="58">
        <f>H255/H247</f>
        <v>6.9041000515729767</v>
      </c>
      <c r="I257" s="64" t="str">
        <f>IF(H257&gt;1.5,"ok","rev")</f>
        <v>ok</v>
      </c>
      <c r="O257" s="200"/>
    </row>
    <row r="258" spans="2:15" ht="14.25" x14ac:dyDescent="0.2">
      <c r="B258" s="57"/>
      <c r="C258" s="57"/>
      <c r="D258" s="57"/>
      <c r="E258" s="57"/>
      <c r="F258" s="57"/>
      <c r="G258" s="57"/>
      <c r="H258" s="57"/>
      <c r="I258" s="57"/>
      <c r="O258" s="200"/>
    </row>
    <row r="259" spans="2:15" ht="14.25" x14ac:dyDescent="0.2">
      <c r="B259" s="57" t="s">
        <v>512</v>
      </c>
      <c r="C259" s="57"/>
      <c r="D259" s="57"/>
      <c r="E259" s="1386" t="str">
        <f>"("&amp;H245&amp;"*"&amp;E61&amp;"/2/"&amp;H249&amp;")"</f>
        <v>(594.98*11.35/2/543.696)</v>
      </c>
      <c r="F259" s="1084"/>
      <c r="G259" s="1085"/>
      <c r="H259" s="133">
        <f>H245*E61/2/H249</f>
        <v>6.2102930681851625</v>
      </c>
      <c r="I259" s="64" t="str">
        <f>IF(H259&gt;1.5,"ok","rev")</f>
        <v>ok</v>
      </c>
      <c r="O259" s="200"/>
    </row>
    <row r="260" spans="2:15" x14ac:dyDescent="0.2">
      <c r="I260" s="178"/>
      <c r="O260" s="200"/>
    </row>
    <row r="261" spans="2:15" x14ac:dyDescent="0.2">
      <c r="B261" s="178" t="s">
        <v>639</v>
      </c>
      <c r="G261" s="181"/>
      <c r="I261" s="178"/>
      <c r="O261" s="200"/>
    </row>
    <row r="262" spans="2:15" x14ac:dyDescent="0.2">
      <c r="G262" s="181"/>
      <c r="I262" s="178"/>
      <c r="O262" s="200"/>
    </row>
    <row r="263" spans="2:15" x14ac:dyDescent="0.2">
      <c r="B263" s="181" t="s">
        <v>621</v>
      </c>
      <c r="F263" s="181" t="s">
        <v>310</v>
      </c>
      <c r="G263" s="181"/>
      <c r="I263" s="178"/>
      <c r="O263" s="200"/>
    </row>
    <row r="264" spans="2:15" x14ac:dyDescent="0.2">
      <c r="G264" s="181"/>
      <c r="I264" s="178"/>
      <c r="O264" s="200"/>
    </row>
    <row r="265" spans="2:15" x14ac:dyDescent="0.2">
      <c r="I265" s="178"/>
      <c r="O265" s="200"/>
    </row>
    <row r="266" spans="2:15" x14ac:dyDescent="0.2">
      <c r="I266" s="178"/>
      <c r="O266" s="200"/>
    </row>
    <row r="267" spans="2:15" x14ac:dyDescent="0.2">
      <c r="I267" s="178"/>
      <c r="O267" s="200"/>
    </row>
    <row r="268" spans="2:15" x14ac:dyDescent="0.2">
      <c r="I268" s="178"/>
      <c r="O268" s="200"/>
    </row>
    <row r="269" spans="2:15" x14ac:dyDescent="0.2">
      <c r="I269" s="178"/>
      <c r="O269" s="200"/>
    </row>
    <row r="270" spans="2:15" x14ac:dyDescent="0.2">
      <c r="I270" s="178"/>
      <c r="O270" s="200"/>
    </row>
    <row r="271" spans="2:15" x14ac:dyDescent="0.2">
      <c r="I271" s="178"/>
      <c r="O271" s="200"/>
    </row>
    <row r="272" spans="2:15" x14ac:dyDescent="0.2">
      <c r="I272" s="178"/>
      <c r="O272" s="200"/>
    </row>
    <row r="273" spans="2:15" x14ac:dyDescent="0.2">
      <c r="I273" s="178"/>
      <c r="O273" s="200"/>
    </row>
    <row r="274" spans="2:15" x14ac:dyDescent="0.2">
      <c r="I274" s="178"/>
      <c r="O274" s="200"/>
    </row>
    <row r="275" spans="2:15" x14ac:dyDescent="0.2">
      <c r="B275" s="178" t="s">
        <v>623</v>
      </c>
      <c r="I275" s="178"/>
      <c r="O275" s="200"/>
    </row>
    <row r="276" spans="2:15" x14ac:dyDescent="0.2">
      <c r="I276" s="178"/>
      <c r="O276" s="200"/>
    </row>
    <row r="277" spans="2:15" x14ac:dyDescent="0.2">
      <c r="I277" s="178"/>
      <c r="O277" s="200"/>
    </row>
    <row r="278" spans="2:15" x14ac:dyDescent="0.2">
      <c r="I278" s="178"/>
      <c r="O278" s="200"/>
    </row>
    <row r="279" spans="2:15" x14ac:dyDescent="0.2">
      <c r="I279" s="178"/>
      <c r="O279" s="200"/>
    </row>
    <row r="280" spans="2:15" x14ac:dyDescent="0.2">
      <c r="I280" s="178"/>
      <c r="O280" s="200"/>
    </row>
    <row r="281" spans="2:15" x14ac:dyDescent="0.2">
      <c r="I281" s="178"/>
      <c r="O281" s="200"/>
    </row>
    <row r="282" spans="2:15" x14ac:dyDescent="0.2">
      <c r="I282" s="178"/>
      <c r="O282" s="200"/>
    </row>
    <row r="283" spans="2:15" x14ac:dyDescent="0.2">
      <c r="I283" s="178"/>
      <c r="O283" s="200"/>
    </row>
    <row r="284" spans="2:15" x14ac:dyDescent="0.2">
      <c r="I284" s="178"/>
      <c r="O284" s="200"/>
    </row>
    <row r="285" spans="2:15" x14ac:dyDescent="0.2">
      <c r="I285" s="178"/>
      <c r="O285" s="200"/>
    </row>
    <row r="286" spans="2:15" x14ac:dyDescent="0.2">
      <c r="I286" s="178"/>
      <c r="O286" s="200"/>
    </row>
    <row r="287" spans="2:15" x14ac:dyDescent="0.2">
      <c r="I287" s="178"/>
      <c r="O287" s="200"/>
    </row>
    <row r="288" spans="2:15" x14ac:dyDescent="0.2">
      <c r="I288" s="178"/>
      <c r="O288" s="200"/>
    </row>
    <row r="289" spans="2:15" x14ac:dyDescent="0.2">
      <c r="I289" s="178"/>
      <c r="L289" s="181"/>
      <c r="O289" s="200"/>
    </row>
    <row r="290" spans="2:15" x14ac:dyDescent="0.2">
      <c r="I290" s="178"/>
      <c r="L290" s="181"/>
      <c r="O290" s="200"/>
    </row>
    <row r="291" spans="2:15" x14ac:dyDescent="0.2">
      <c r="I291" s="178"/>
      <c r="L291" s="181"/>
      <c r="O291" s="200"/>
    </row>
    <row r="292" spans="2:15" x14ac:dyDescent="0.2">
      <c r="I292" s="178"/>
      <c r="L292" s="181"/>
      <c r="O292" s="200"/>
    </row>
    <row r="293" spans="2:15" x14ac:dyDescent="0.2">
      <c r="I293" s="178"/>
      <c r="L293" s="181"/>
      <c r="O293" s="200"/>
    </row>
    <row r="294" spans="2:15" x14ac:dyDescent="0.2">
      <c r="I294" s="178"/>
      <c r="L294" s="181"/>
      <c r="O294" s="200"/>
    </row>
    <row r="295" spans="2:15" x14ac:dyDescent="0.2">
      <c r="B295" s="181"/>
      <c r="E295" s="181"/>
      <c r="G295" s="181"/>
      <c r="L295" s="181"/>
      <c r="O295" s="200"/>
    </row>
    <row r="296" spans="2:15" x14ac:dyDescent="0.2">
      <c r="G296" s="181"/>
      <c r="L296" s="181"/>
      <c r="O296" s="200"/>
    </row>
    <row r="297" spans="2:15" x14ac:dyDescent="0.2">
      <c r="G297" s="181"/>
      <c r="L297" s="181"/>
      <c r="O297" s="200"/>
    </row>
    <row r="298" spans="2:15" x14ac:dyDescent="0.2">
      <c r="I298" s="178"/>
      <c r="L298" s="181"/>
      <c r="O298" s="200"/>
    </row>
    <row r="299" spans="2:15" x14ac:dyDescent="0.2">
      <c r="G299" s="181"/>
      <c r="O299" s="200"/>
    </row>
    <row r="300" spans="2:15" x14ac:dyDescent="0.2">
      <c r="G300" s="181"/>
      <c r="O300" s="200"/>
    </row>
    <row r="301" spans="2:15" x14ac:dyDescent="0.2">
      <c r="G301" s="181"/>
      <c r="O301" s="200"/>
    </row>
    <row r="302" spans="2:15" x14ac:dyDescent="0.2">
      <c r="G302" s="181"/>
      <c r="O302" s="200"/>
    </row>
    <row r="303" spans="2:15" x14ac:dyDescent="0.2">
      <c r="G303" s="181"/>
      <c r="O303" s="200"/>
    </row>
    <row r="304" spans="2:15" x14ac:dyDescent="0.2">
      <c r="G304" s="181"/>
      <c r="O304" s="200"/>
    </row>
    <row r="305" spans="7:15" x14ac:dyDescent="0.2">
      <c r="G305" s="181"/>
      <c r="O305" s="200"/>
    </row>
    <row r="306" spans="7:15" x14ac:dyDescent="0.2">
      <c r="G306" s="181"/>
      <c r="O306" s="200"/>
    </row>
    <row r="307" spans="7:15" x14ac:dyDescent="0.2">
      <c r="G307" s="181"/>
      <c r="O307" s="200"/>
    </row>
    <row r="308" spans="7:15" x14ac:dyDescent="0.2">
      <c r="G308" s="181"/>
      <c r="O308" s="200"/>
    </row>
    <row r="309" spans="7:15" x14ac:dyDescent="0.2">
      <c r="G309" s="181"/>
      <c r="O309" s="200"/>
    </row>
    <row r="310" spans="7:15" x14ac:dyDescent="0.2">
      <c r="G310" s="181"/>
      <c r="O310" s="200"/>
    </row>
    <row r="311" spans="7:15" x14ac:dyDescent="0.2">
      <c r="G311" s="181"/>
      <c r="O311" s="200"/>
    </row>
    <row r="312" spans="7:15" x14ac:dyDescent="0.2">
      <c r="G312" s="181"/>
      <c r="O312" s="200"/>
    </row>
    <row r="313" spans="7:15" x14ac:dyDescent="0.2">
      <c r="G313" s="181"/>
      <c r="O313" s="200"/>
    </row>
    <row r="314" spans="7:15" x14ac:dyDescent="0.2">
      <c r="G314" s="181"/>
      <c r="O314" s="200"/>
    </row>
    <row r="315" spans="7:15" x14ac:dyDescent="0.2">
      <c r="G315" s="181"/>
      <c r="O315" s="200"/>
    </row>
    <row r="316" spans="7:15" x14ac:dyDescent="0.2">
      <c r="G316" s="181"/>
      <c r="O316" s="200"/>
    </row>
    <row r="317" spans="7:15" x14ac:dyDescent="0.2">
      <c r="G317" s="181"/>
      <c r="O317" s="200"/>
    </row>
    <row r="318" spans="7:15" x14ac:dyDescent="0.2">
      <c r="G318" s="181"/>
      <c r="O318" s="200"/>
    </row>
    <row r="319" spans="7:15" x14ac:dyDescent="0.2">
      <c r="G319" s="181"/>
      <c r="O319" s="200"/>
    </row>
    <row r="320" spans="7:15" x14ac:dyDescent="0.2">
      <c r="G320" s="181"/>
      <c r="O320" s="200"/>
    </row>
    <row r="321" spans="7:15" x14ac:dyDescent="0.2">
      <c r="G321" s="181"/>
      <c r="O321" s="200"/>
    </row>
    <row r="322" spans="7:15" x14ac:dyDescent="0.2">
      <c r="G322" s="181"/>
      <c r="O322" s="200"/>
    </row>
    <row r="323" spans="7:15" x14ac:dyDescent="0.2">
      <c r="G323" s="181"/>
      <c r="O323" s="200"/>
    </row>
    <row r="324" spans="7:15" x14ac:dyDescent="0.2">
      <c r="G324" s="181"/>
      <c r="O324" s="200"/>
    </row>
    <row r="325" spans="7:15" x14ac:dyDescent="0.2">
      <c r="G325" s="181"/>
      <c r="O325" s="200"/>
    </row>
    <row r="326" spans="7:15" x14ac:dyDescent="0.2">
      <c r="G326" s="181"/>
      <c r="O326" s="200"/>
    </row>
    <row r="327" spans="7:15" x14ac:dyDescent="0.2">
      <c r="G327" s="181"/>
      <c r="O327" s="200"/>
    </row>
    <row r="328" spans="7:15" x14ac:dyDescent="0.2">
      <c r="G328" s="181"/>
      <c r="O328" s="200"/>
    </row>
    <row r="329" spans="7:15" x14ac:dyDescent="0.2">
      <c r="G329" s="181"/>
      <c r="O329" s="200"/>
    </row>
    <row r="330" spans="7:15" x14ac:dyDescent="0.2">
      <c r="G330" s="181"/>
      <c r="O330" s="200"/>
    </row>
    <row r="331" spans="7:15" x14ac:dyDescent="0.2">
      <c r="G331" s="181"/>
      <c r="O331" s="200"/>
    </row>
    <row r="332" spans="7:15" x14ac:dyDescent="0.2">
      <c r="G332" s="181"/>
      <c r="O332" s="200"/>
    </row>
    <row r="333" spans="7:15" x14ac:dyDescent="0.2">
      <c r="G333" s="181"/>
      <c r="O333" s="200"/>
    </row>
    <row r="334" spans="7:15" x14ac:dyDescent="0.2">
      <c r="G334" s="181"/>
      <c r="O334" s="200"/>
    </row>
    <row r="335" spans="7:15" x14ac:dyDescent="0.2">
      <c r="G335" s="181"/>
      <c r="O335" s="200"/>
    </row>
    <row r="336" spans="7:15" x14ac:dyDescent="0.2">
      <c r="G336" s="181"/>
      <c r="O336" s="200"/>
    </row>
    <row r="337" spans="7:25" x14ac:dyDescent="0.2">
      <c r="G337" s="181"/>
      <c r="O337" s="200"/>
    </row>
    <row r="338" spans="7:25" x14ac:dyDescent="0.2">
      <c r="G338" s="181"/>
      <c r="O338" s="200"/>
    </row>
    <row r="339" spans="7:25" x14ac:dyDescent="0.2">
      <c r="G339" s="181"/>
      <c r="O339" s="200"/>
    </row>
    <row r="340" spans="7:25" ht="13.5" thickBot="1" x14ac:dyDescent="0.25">
      <c r="G340" s="181"/>
      <c r="M340" s="181" t="s">
        <v>633</v>
      </c>
      <c r="O340" s="195">
        <v>0.4</v>
      </c>
      <c r="P340" s="44">
        <v>0.45</v>
      </c>
      <c r="Q340" s="44">
        <v>0.5</v>
      </c>
      <c r="R340" s="44">
        <v>0.55000000000000004</v>
      </c>
      <c r="S340" s="44">
        <v>0.6</v>
      </c>
      <c r="T340" s="44">
        <v>0.65</v>
      </c>
      <c r="U340" s="44">
        <v>0.7</v>
      </c>
      <c r="V340" s="44">
        <v>0.75</v>
      </c>
      <c r="W340" s="44">
        <v>0.8</v>
      </c>
      <c r="X340" s="44">
        <v>0.85</v>
      </c>
      <c r="Y340" s="44">
        <v>0.9</v>
      </c>
    </row>
    <row r="341" spans="7:25" ht="13.5" thickBot="1" x14ac:dyDescent="0.25">
      <c r="G341" s="181"/>
      <c r="N341" s="44">
        <v>0.3</v>
      </c>
      <c r="O341" s="194">
        <v>-10.952</v>
      </c>
      <c r="P341" s="44">
        <v>-9.4390000000000001</v>
      </c>
      <c r="Q341" s="44">
        <v>-7.8849999999999998</v>
      </c>
      <c r="R341" s="44">
        <v>-6.2759999999999998</v>
      </c>
      <c r="S341" s="44">
        <v>-4.6040000000000001</v>
      </c>
      <c r="T341" s="44">
        <v>-2.8610000000000002</v>
      </c>
      <c r="U341" s="44">
        <v>-1.0429999999999999</v>
      </c>
      <c r="V341" s="44">
        <v>0.85399999999999998</v>
      </c>
      <c r="W341" s="44">
        <v>2.835</v>
      </c>
      <c r="X341" s="44">
        <v>4.9020000000000001</v>
      </c>
      <c r="Y341" s="44">
        <v>7.0570000000000004</v>
      </c>
    </row>
    <row r="342" spans="7:25" ht="13.5" thickBot="1" x14ac:dyDescent="0.25">
      <c r="G342" s="181"/>
      <c r="N342" s="44">
        <v>0.35</v>
      </c>
      <c r="O342" s="193"/>
      <c r="P342" s="192">
        <v>-10.757999999999999</v>
      </c>
      <c r="Q342" s="44">
        <v>-9.0069999999999997</v>
      </c>
      <c r="R342" s="44">
        <v>-7.22</v>
      </c>
      <c r="S342" s="44">
        <v>-5.3849999999999998</v>
      </c>
      <c r="T342" s="44">
        <v>-3.4929999999999999</v>
      </c>
      <c r="U342" s="44">
        <v>-1.5369999999999999</v>
      </c>
      <c r="V342" s="44">
        <v>0.49</v>
      </c>
      <c r="W342" s="44">
        <v>2.5910000000000002</v>
      </c>
      <c r="X342" s="44">
        <v>4.7709999999999999</v>
      </c>
      <c r="Y342" s="44">
        <v>7.0330000000000004</v>
      </c>
    </row>
    <row r="343" spans="7:25" ht="13.5" thickBot="1" x14ac:dyDescent="0.25">
      <c r="G343" s="181"/>
      <c r="N343" s="44">
        <v>0.4</v>
      </c>
      <c r="O343" s="44"/>
      <c r="P343" s="193"/>
      <c r="Q343" s="192">
        <v>-10.39</v>
      </c>
      <c r="R343" s="44">
        <v>-8.4009999999999998</v>
      </c>
      <c r="S343" s="44">
        <v>-6.3789999999999996</v>
      </c>
      <c r="T343" s="44">
        <v>-4.3140000000000001</v>
      </c>
      <c r="U343" s="44">
        <v>-2.1989999999999998</v>
      </c>
      <c r="V343" s="44">
        <v>-2.3E-2</v>
      </c>
      <c r="W343" s="44">
        <v>2.218</v>
      </c>
      <c r="X343" s="44">
        <v>4.5279999999999996</v>
      </c>
      <c r="Y343" s="44">
        <v>6.9139999999999997</v>
      </c>
    </row>
    <row r="344" spans="7:25" ht="10.5" customHeight="1" thickBot="1" x14ac:dyDescent="0.25">
      <c r="G344" s="181"/>
      <c r="K344" s="181" t="s">
        <v>635</v>
      </c>
      <c r="N344" s="44">
        <v>0.45</v>
      </c>
      <c r="O344" s="44"/>
      <c r="P344" s="44"/>
      <c r="Q344" s="193"/>
      <c r="R344" s="192">
        <v>-9.8480000000000008</v>
      </c>
      <c r="S344" s="44">
        <v>-7.6120000000000001</v>
      </c>
      <c r="T344" s="44">
        <v>-5.3520000000000003</v>
      </c>
      <c r="U344" s="44">
        <v>-3.0550000000000002</v>
      </c>
      <c r="V344" s="44">
        <v>-0.71099999999999997</v>
      </c>
      <c r="W344" s="44">
        <v>1.6870000000000001</v>
      </c>
      <c r="X344" s="44">
        <v>4.1449999999999996</v>
      </c>
      <c r="Y344" s="44">
        <v>6.6710000000000003</v>
      </c>
    </row>
    <row r="345" spans="7:25" ht="13.5" thickBot="1" x14ac:dyDescent="0.25">
      <c r="N345" s="44">
        <v>0.5</v>
      </c>
      <c r="O345" s="44"/>
      <c r="P345" s="44"/>
      <c r="Q345" s="44"/>
      <c r="R345" s="193"/>
      <c r="S345" s="192">
        <v>-9.1069999999999993</v>
      </c>
      <c r="T345" s="44">
        <v>-6.6280000000000001</v>
      </c>
      <c r="U345" s="44">
        <v>-4.1289999999999996</v>
      </c>
      <c r="V345" s="44">
        <v>-1.6</v>
      </c>
      <c r="W345" s="44">
        <v>0.97799999999999998</v>
      </c>
      <c r="X345" s="44">
        <v>3.6030000000000002</v>
      </c>
      <c r="Y345" s="44">
        <v>6.2839999999999998</v>
      </c>
    </row>
    <row r="346" spans="7:25" ht="13.5" thickBot="1" x14ac:dyDescent="0.25">
      <c r="K346" s="181" t="s">
        <v>627</v>
      </c>
      <c r="L346" s="181" t="s">
        <v>628</v>
      </c>
      <c r="M346" s="178" t="e">
        <f ca="1">FORECAST(D$112,OFFSET(tt,MATCH($D111,yy),MATCH(D$112,xx),,2),OFFSET(tt,,MATCH(D$112,xx),,2))-((FORECAST(D$112,OFFSET(tt,MATCH($D111,yy),MATCH(D$112,xx),,2),OFFSET(tt,,MATCH(D$112,xx),,2))-FORECAST(D$112,OFFSET(tt,MATCH($D111,yy)+1,MATCH(D$112,xx),,2),OFFSET(tt,,MATCH(D$112,xx),,2)))*($D111-INDEX(yy,MATCH($D111,yy)))/(INDEX(yy,MATCH($D111,yy)+1)-INDEX(yy,MATCH($D111,yy))))</f>
        <v>#N/A</v>
      </c>
      <c r="N346" s="44">
        <v>0.55000000000000004</v>
      </c>
      <c r="O346" s="44"/>
      <c r="P346" s="44"/>
      <c r="Q346" s="44"/>
      <c r="R346" s="44"/>
      <c r="S346" s="193"/>
      <c r="T346" s="192">
        <v>-8.1660000000000004</v>
      </c>
      <c r="U346" s="44">
        <v>-5.4420000000000002</v>
      </c>
      <c r="V346" s="44">
        <v>-2.702</v>
      </c>
      <c r="W346" s="44">
        <v>6.8000000000000005E-2</v>
      </c>
      <c r="X346" s="44">
        <v>2.875</v>
      </c>
      <c r="Y346" s="44">
        <v>5.7290000000000001</v>
      </c>
    </row>
    <row r="347" spans="7:25" ht="13.5" thickBot="1" x14ac:dyDescent="0.25">
      <c r="K347" s="181" t="s">
        <v>629</v>
      </c>
      <c r="L347" s="181" t="s">
        <v>628</v>
      </c>
      <c r="M347" s="178" t="e">
        <f ca="1">FORECAST(D$112,OFFSET(t,MATCH($D111,y),MATCH(D$112,x),,2),OFFSET(t,,MATCH(D$112,x),,2))-((FORECAST(D$112,OFFSET(t,MATCH($D111,y),MATCH(D$112,x),,2),OFFSET(t,,MATCH(D$112,x),,2))-FORECAST(D$112,OFFSET(t,MATCH($D111,y)+1,MATCH(D$112,x),,2),OFFSET(t,,MATCH(D$112,x),,2)))*($D111-INDEX(y,MATCH($D111,y)))/(INDEX(y,MATCH($D111,y)+1)-INDEX(y,MATCH($D111,y))))</f>
        <v>#N/A</v>
      </c>
      <c r="N347" s="44">
        <v>0.6</v>
      </c>
      <c r="O347" s="44"/>
      <c r="P347" s="44"/>
      <c r="Q347" s="44"/>
      <c r="R347" s="44"/>
      <c r="S347" s="44"/>
      <c r="T347" s="193"/>
      <c r="U347" s="192">
        <v>-7.0170000000000003</v>
      </c>
      <c r="V347" s="44">
        <v>-4.0490000000000004</v>
      </c>
      <c r="W347" s="44">
        <v>-1.0660000000000001</v>
      </c>
      <c r="X347" s="44">
        <v>1.9419999999999999</v>
      </c>
      <c r="Y347" s="44">
        <v>4.9850000000000003</v>
      </c>
    </row>
    <row r="348" spans="7:25" ht="13.5" thickBot="1" x14ac:dyDescent="0.25">
      <c r="N348" s="44">
        <v>0.65</v>
      </c>
      <c r="O348" s="44"/>
      <c r="P348" s="44"/>
      <c r="Q348" s="44"/>
      <c r="R348" s="44"/>
      <c r="S348" s="44"/>
      <c r="T348" s="44"/>
      <c r="U348" s="193"/>
      <c r="V348" s="192">
        <v>-5.6580000000000004</v>
      </c>
      <c r="W348" s="44">
        <v>-2.4430000000000001</v>
      </c>
      <c r="X348" s="44">
        <v>0.78300000000000003</v>
      </c>
      <c r="Y348" s="44">
        <v>4.0309999999999997</v>
      </c>
    </row>
    <row r="349" spans="7:25" ht="13.5" thickBot="1" x14ac:dyDescent="0.25">
      <c r="K349" s="181" t="s">
        <v>630</v>
      </c>
      <c r="L349" s="181" t="s">
        <v>628</v>
      </c>
      <c r="M349" s="178" t="e">
        <f ca="1">FORECAST(D$112,OFFSET(ttt,MATCH($D111,yyy),MATCH(D$112,xxx),,2),OFFSET(ttt,,MATCH(D$112,xxx),,2))-((FORECAST(D$112,OFFSET(ttt,MATCH($D111,yyy),MATCH(D$112,xxx),,2),OFFSET(ttt,,MATCH(D$112,xxx),,2))-FORECAST(D$112,OFFSET(ttt,MATCH($D111,yyy)+1,MATCH(D$112,xxx),,2),OFFSET(ttt,,MATCH(D$112,xxx),,2)))*($D111-INDEX(yyy,MATCH($D111,yyy)))/(INDEX(yyy,MATCH($D111,yyy)+1)-INDEX(yyy,MATCH($D111,yyy))))</f>
        <v>#N/A</v>
      </c>
      <c r="N349" s="44">
        <v>0.7</v>
      </c>
      <c r="O349" s="44"/>
      <c r="P349" s="44"/>
      <c r="Q349" s="44"/>
      <c r="R349" s="44"/>
      <c r="S349" s="44"/>
      <c r="T349" s="44"/>
      <c r="U349" s="44"/>
      <c r="V349" s="193"/>
      <c r="W349" s="192">
        <v>-4.085</v>
      </c>
      <c r="X349" s="44">
        <v>-0.623</v>
      </c>
      <c r="Y349" s="44">
        <v>2.847</v>
      </c>
    </row>
    <row r="350" spans="7:25" ht="13.5" thickBot="1" x14ac:dyDescent="0.25">
      <c r="K350" s="181" t="s">
        <v>631</v>
      </c>
      <c r="L350" s="181" t="s">
        <v>628</v>
      </c>
      <c r="M350" s="178" t="e">
        <f ca="1">FORECAST(D$112,OFFSET(tttt,MATCH($D111,yyyy),MATCH(D$112,xxxx),,2),OFFSET(tttt,,MATCH(D$112,xxxx),,2))-((FORECAST(D$112,OFFSET(tttt,MATCH($D111,yyyy),MATCH(D$112,xxxx),,2),OFFSET(tttt,,MATCH(D$112,xxxx),,2))-FORECAST(D$112,OFFSET(tttt,MATCH($D111,yyyy)+1,MATCH(D$112,xxxx),,2),OFFSET(tttt,,MATCH(D$112,xxxx),,2)))*($D111-INDEX(yyyy,MATCH($D111,yyyy)))/(INDEX(yyyy,MATCH($D111,yyyy)+1)-INDEX(yyyy,MATCH($D111,yyyy))))</f>
        <v>#N/A</v>
      </c>
      <c r="N350" s="44">
        <v>0.75</v>
      </c>
      <c r="R350" s="44"/>
      <c r="U350" s="44"/>
      <c r="V350" s="44"/>
      <c r="W350" s="193"/>
      <c r="X350" s="192">
        <v>-2.2949999999999999</v>
      </c>
      <c r="Y350" s="44">
        <v>1.413</v>
      </c>
    </row>
    <row r="351" spans="7:25" ht="13.5" thickBot="1" x14ac:dyDescent="0.25">
      <c r="N351" s="192">
        <v>0.8</v>
      </c>
      <c r="Q351" s="44"/>
      <c r="R351" s="44"/>
      <c r="U351" s="44"/>
      <c r="V351" s="44"/>
      <c r="W351" s="44"/>
      <c r="X351" s="193"/>
      <c r="Y351" s="192">
        <v>-0.28699999999999998</v>
      </c>
    </row>
    <row r="353" spans="7:26" ht="25.5" x14ac:dyDescent="0.2">
      <c r="K353" s="181" t="s">
        <v>636</v>
      </c>
    </row>
    <row r="355" spans="7:26" x14ac:dyDescent="0.2">
      <c r="N355" s="44"/>
      <c r="O355" s="44">
        <v>0.4</v>
      </c>
      <c r="P355" s="44">
        <v>0.45</v>
      </c>
      <c r="Q355" s="44">
        <v>0.5</v>
      </c>
      <c r="R355" s="44">
        <v>0.55000000000000004</v>
      </c>
      <c r="S355" s="44">
        <v>0.6</v>
      </c>
      <c r="T355" s="44">
        <v>0.65</v>
      </c>
      <c r="U355" s="44">
        <v>0.7</v>
      </c>
      <c r="V355" s="44">
        <v>0.75</v>
      </c>
      <c r="W355" s="44">
        <v>0.8</v>
      </c>
      <c r="X355" s="44">
        <v>0.85</v>
      </c>
      <c r="Y355" s="44">
        <v>0.9</v>
      </c>
      <c r="Z355" s="44"/>
    </row>
    <row r="356" spans="7:26" ht="13.5" thickBot="1" x14ac:dyDescent="0.25">
      <c r="N356" s="44">
        <v>0.3</v>
      </c>
      <c r="O356" s="191">
        <v>-8.9480000000000004</v>
      </c>
      <c r="P356" s="44">
        <v>-9.5920000000000005</v>
      </c>
      <c r="Q356" s="44">
        <v>-9.2729999999999997</v>
      </c>
      <c r="R356" s="44">
        <v>-8.4700000000000006</v>
      </c>
      <c r="S356" s="44">
        <v>-7.4390000000000001</v>
      </c>
      <c r="T356" s="44">
        <v>-6.3220000000000001</v>
      </c>
      <c r="U356" s="44">
        <v>-5.2</v>
      </c>
      <c r="V356" s="44">
        <v>-4.1219999999999999</v>
      </c>
      <c r="W356" s="44">
        <v>-3.1139999999999999</v>
      </c>
      <c r="X356" s="44">
        <v>-2.1909999999999998</v>
      </c>
      <c r="Y356" s="44">
        <v>-1.3620000000000001</v>
      </c>
    </row>
    <row r="357" spans="7:26" ht="13.5" thickBot="1" x14ac:dyDescent="0.25">
      <c r="N357" s="44">
        <v>0.35</v>
      </c>
      <c r="O357" s="192"/>
      <c r="P357" s="193">
        <v>-6.9930000000000003</v>
      </c>
      <c r="Q357" s="44">
        <v>-7.5890000000000004</v>
      </c>
      <c r="R357" s="44">
        <v>-7.3810000000000002</v>
      </c>
      <c r="S357" s="44">
        <v>-6.7439999999999998</v>
      </c>
      <c r="T357" s="44">
        <v>-5.8390000000000004</v>
      </c>
      <c r="U357" s="44">
        <v>-4.9429999999999996</v>
      </c>
      <c r="V357" s="44">
        <v>-3.98</v>
      </c>
      <c r="W357" s="44">
        <v>-3.0449999999999999</v>
      </c>
      <c r="X357" s="44">
        <v>-2.1659999999999999</v>
      </c>
      <c r="Y357" s="44">
        <v>-1.36</v>
      </c>
    </row>
    <row r="358" spans="7:26" ht="13.5" thickBot="1" x14ac:dyDescent="0.25">
      <c r="N358" s="44">
        <v>0.4</v>
      </c>
      <c r="O358" s="44"/>
      <c r="P358" s="192"/>
      <c r="Q358" s="193">
        <v>-5.5069999999999997</v>
      </c>
      <c r="R358" s="44">
        <v>-6.0049999999999999</v>
      </c>
      <c r="S358" s="44">
        <v>-5.859</v>
      </c>
      <c r="T358" s="44">
        <v>-5.3140000000000001</v>
      </c>
      <c r="U358" s="44">
        <v>-4.5979999999999999</v>
      </c>
      <c r="V358" s="44">
        <v>-3.78</v>
      </c>
      <c r="W358" s="44">
        <v>-2.9390000000000001</v>
      </c>
      <c r="X358" s="44">
        <v>-2.1190000000000002</v>
      </c>
      <c r="Y358" s="44">
        <v>-1.345</v>
      </c>
    </row>
    <row r="359" spans="7:26" ht="13.5" thickBot="1" x14ac:dyDescent="0.25">
      <c r="N359" s="44">
        <v>0.45</v>
      </c>
      <c r="O359" s="44"/>
      <c r="P359" s="44"/>
      <c r="Q359" s="192"/>
      <c r="R359" s="193">
        <v>-4.3330000000000002</v>
      </c>
      <c r="S359" s="44">
        <v>-4.7629999999999999</v>
      </c>
      <c r="T359" s="44">
        <v>-4.6120000000000001</v>
      </c>
      <c r="U359" s="44">
        <v>-4.1520000000000001</v>
      </c>
      <c r="V359" s="44">
        <v>-3.512</v>
      </c>
      <c r="W359" s="44">
        <v>-2.79</v>
      </c>
      <c r="X359" s="44">
        <v>-2.0449999999999999</v>
      </c>
      <c r="Y359" s="44">
        <v>-1.3160000000000001</v>
      </c>
    </row>
    <row r="360" spans="7:26" ht="13.5" thickBot="1" x14ac:dyDescent="0.25">
      <c r="N360" s="44">
        <v>0.5</v>
      </c>
      <c r="O360" s="44"/>
      <c r="P360" s="44"/>
      <c r="Q360" s="44"/>
      <c r="R360" s="192"/>
      <c r="S360" s="193">
        <v>-3.4340000000000002</v>
      </c>
      <c r="T360" s="44">
        <v>-3.7370000000000001</v>
      </c>
      <c r="U360" s="44">
        <v>-3.5939999999999999</v>
      </c>
      <c r="V360" s="44">
        <v>-3.1680000000000001</v>
      </c>
      <c r="W360" s="44">
        <v>-2.5910000000000002</v>
      </c>
      <c r="X360" s="44">
        <v>-1.9410000000000001</v>
      </c>
      <c r="Y360" s="44">
        <v>-1.2709999999999999</v>
      </c>
    </row>
    <row r="361" spans="7:26" ht="13.5" thickBot="1" x14ac:dyDescent="0.25">
      <c r="N361" s="44">
        <v>0.55000000000000004</v>
      </c>
      <c r="O361" s="44"/>
      <c r="P361" s="44"/>
      <c r="Q361" s="44"/>
      <c r="R361" s="44"/>
      <c r="S361" s="192"/>
      <c r="T361" s="193">
        <v>-2.6819999999999999</v>
      </c>
      <c r="U361" s="44">
        <v>-2.91</v>
      </c>
      <c r="V361" s="44">
        <v>-2.738</v>
      </c>
      <c r="W361" s="44">
        <v>-2.3340000000000001</v>
      </c>
      <c r="X361" s="44">
        <v>-1.8009999999999999</v>
      </c>
      <c r="Y361" s="44">
        <v>-1.206</v>
      </c>
    </row>
    <row r="362" spans="7:26" ht="13.5" thickBot="1" x14ac:dyDescent="0.25">
      <c r="N362" s="44">
        <v>0.6</v>
      </c>
      <c r="O362" s="44"/>
      <c r="P362" s="44"/>
      <c r="Q362" s="44"/>
      <c r="R362" s="44"/>
      <c r="S362" s="44"/>
      <c r="T362" s="192"/>
      <c r="U362" s="193">
        <v>-2.09</v>
      </c>
      <c r="V362" s="44">
        <v>-2.214</v>
      </c>
      <c r="W362" s="44">
        <v>-2.016</v>
      </c>
      <c r="X362" s="44">
        <v>-1.6220000000000001</v>
      </c>
      <c r="Y362" s="44">
        <v>-1.119</v>
      </c>
    </row>
    <row r="363" spans="7:26" ht="13.5" thickBot="1" x14ac:dyDescent="0.25">
      <c r="G363" s="181"/>
      <c r="N363" s="44">
        <v>0.65</v>
      </c>
      <c r="O363" s="44"/>
      <c r="P363" s="44"/>
      <c r="Q363" s="44"/>
      <c r="R363" s="44"/>
      <c r="S363" s="44"/>
      <c r="T363" s="44"/>
      <c r="U363" s="192"/>
      <c r="V363" s="193">
        <v>-1.5880000000000001</v>
      </c>
      <c r="W363" s="44">
        <v>-1.6279999999999999</v>
      </c>
      <c r="X363" s="44">
        <v>-1.399</v>
      </c>
      <c r="Y363" s="44">
        <v>-1.0069999999999999</v>
      </c>
    </row>
    <row r="364" spans="7:26" ht="13.5" thickBot="1" x14ac:dyDescent="0.25">
      <c r="G364" s="181"/>
      <c r="N364" s="44">
        <v>0.7</v>
      </c>
      <c r="O364" s="44"/>
      <c r="P364" s="44"/>
      <c r="Q364" s="44"/>
      <c r="R364" s="44"/>
      <c r="S364" s="44"/>
      <c r="T364" s="44"/>
      <c r="U364" s="44"/>
      <c r="V364" s="192"/>
      <c r="W364" s="193">
        <v>-1.167</v>
      </c>
      <c r="X364" s="44">
        <v>-1.129</v>
      </c>
      <c r="Y364" s="44">
        <v>-0.86799999999999999</v>
      </c>
    </row>
    <row r="365" spans="7:26" ht="13.5" thickBot="1" x14ac:dyDescent="0.25">
      <c r="G365" s="181"/>
      <c r="N365" s="44">
        <v>0.75</v>
      </c>
      <c r="O365" s="44"/>
      <c r="P365" s="44"/>
      <c r="Q365" s="44"/>
      <c r="R365" s="44"/>
      <c r="S365" s="44"/>
      <c r="T365" s="44"/>
      <c r="U365" s="44"/>
      <c r="V365" s="44"/>
      <c r="W365" s="192"/>
      <c r="X365" s="193">
        <v>-0.80800000000000005</v>
      </c>
      <c r="Y365" s="44">
        <v>-0.7</v>
      </c>
    </row>
    <row r="366" spans="7:26" ht="13.5" thickBot="1" x14ac:dyDescent="0.25">
      <c r="G366" s="181"/>
      <c r="N366" s="193">
        <v>0.8</v>
      </c>
      <c r="O366" s="44"/>
      <c r="P366" s="44"/>
      <c r="Q366" s="44"/>
      <c r="R366" s="44"/>
      <c r="S366" s="44"/>
      <c r="T366" s="44"/>
      <c r="U366" s="44"/>
      <c r="V366" s="44"/>
      <c r="W366" s="44"/>
      <c r="X366" s="192"/>
      <c r="Y366" s="193">
        <v>-0.5</v>
      </c>
    </row>
    <row r="367" spans="7:26" x14ac:dyDescent="0.2">
      <c r="G367" s="181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194"/>
      <c r="Z367" s="190"/>
    </row>
    <row r="368" spans="7:26" x14ac:dyDescent="0.2">
      <c r="G368" s="181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195"/>
      <c r="Z368" s="196"/>
    </row>
    <row r="369" spans="7:26" ht="15" x14ac:dyDescent="0.25">
      <c r="G369" s="181"/>
      <c r="N369" s="201" t="s">
        <v>469</v>
      </c>
      <c r="O369" s="201"/>
      <c r="P369" s="201"/>
      <c r="Q369" s="201"/>
      <c r="R369" s="201"/>
      <c r="S369" s="201"/>
      <c r="T369" s="201"/>
      <c r="U369" s="201"/>
      <c r="V369" s="201"/>
      <c r="W369" s="201"/>
      <c r="X369" s="201"/>
      <c r="Y369" s="201"/>
      <c r="Z369" s="201"/>
    </row>
    <row r="370" spans="7:26" ht="15" x14ac:dyDescent="0.25">
      <c r="G370" s="181"/>
      <c r="N370" s="201" t="s">
        <v>632</v>
      </c>
      <c r="O370" s="201"/>
      <c r="P370" s="201"/>
      <c r="Q370" s="201"/>
      <c r="R370" s="201"/>
      <c r="S370" s="201"/>
      <c r="T370" s="201"/>
      <c r="U370" s="201"/>
      <c r="V370" s="201"/>
      <c r="W370" s="201"/>
      <c r="X370" s="201"/>
      <c r="Y370" s="201"/>
      <c r="Z370" s="201"/>
    </row>
    <row r="371" spans="7:26" ht="25.5" x14ac:dyDescent="0.2">
      <c r="G371" s="181"/>
      <c r="M371" s="181" t="s">
        <v>634</v>
      </c>
      <c r="N371" s="44"/>
      <c r="O371" s="44">
        <v>0.4</v>
      </c>
      <c r="P371" s="44">
        <v>0.45</v>
      </c>
      <c r="Q371" s="44">
        <v>0.5</v>
      </c>
      <c r="R371" s="44">
        <v>0.55000000000000004</v>
      </c>
      <c r="S371" s="44">
        <v>0.6</v>
      </c>
      <c r="T371" s="44">
        <v>0.65</v>
      </c>
      <c r="U371" s="44">
        <v>0.7</v>
      </c>
      <c r="V371" s="44">
        <v>0.75</v>
      </c>
      <c r="W371" s="44">
        <v>0.8</v>
      </c>
      <c r="X371" s="44">
        <v>0.85</v>
      </c>
      <c r="Y371" s="44">
        <v>0.9</v>
      </c>
    </row>
    <row r="372" spans="7:26" ht="13.5" thickBot="1" x14ac:dyDescent="0.25">
      <c r="G372" s="181"/>
      <c r="N372" s="44">
        <v>0.3</v>
      </c>
      <c r="O372" s="191">
        <v>-30.54</v>
      </c>
      <c r="P372" s="44">
        <v>-22.834</v>
      </c>
      <c r="Q372" s="44">
        <v>-16.905000000000001</v>
      </c>
      <c r="R372" s="44">
        <v>-12.128</v>
      </c>
      <c r="S372" s="44">
        <v>-8.1370000000000005</v>
      </c>
      <c r="T372" s="44">
        <v>-4.7069999999999999</v>
      </c>
      <c r="U372" s="44">
        <v>-1.6890000000000001</v>
      </c>
      <c r="V372" s="44">
        <v>1.0129999999999999</v>
      </c>
      <c r="W372" s="44">
        <v>3.468</v>
      </c>
      <c r="X372" s="44">
        <v>5.726</v>
      </c>
      <c r="Y372" s="44">
        <v>7.8239999999999998</v>
      </c>
    </row>
    <row r="373" spans="7:26" ht="13.5" thickBot="1" x14ac:dyDescent="0.25">
      <c r="G373" s="181"/>
      <c r="N373" s="44">
        <v>0.35</v>
      </c>
      <c r="O373" s="192"/>
      <c r="P373" s="193">
        <v>-26.751000000000001</v>
      </c>
      <c r="Q373" s="44">
        <v>-19.710999999999999</v>
      </c>
      <c r="R373" s="44">
        <v>-14.161</v>
      </c>
      <c r="S373" s="44">
        <v>-9.6140000000000008</v>
      </c>
      <c r="T373" s="44">
        <v>-5.7709999999999999</v>
      </c>
      <c r="U373" s="44">
        <v>-2.44</v>
      </c>
      <c r="V373" s="44">
        <v>0.50600000000000001</v>
      </c>
      <c r="W373" s="44">
        <v>3.1549999999999998</v>
      </c>
      <c r="X373" s="44">
        <v>5.5709999999999997</v>
      </c>
      <c r="Y373" s="44">
        <v>7.7969999999999997</v>
      </c>
    </row>
    <row r="374" spans="7:26" ht="13.5" thickBot="1" x14ac:dyDescent="0.25">
      <c r="G374" s="181"/>
      <c r="N374" s="44">
        <v>0.4</v>
      </c>
      <c r="O374" s="44"/>
      <c r="P374" s="192"/>
      <c r="Q374" s="193">
        <v>-23.18</v>
      </c>
      <c r="R374" s="44">
        <v>-16.73</v>
      </c>
      <c r="S374" s="44">
        <v>-11.49</v>
      </c>
      <c r="T374" s="44">
        <v>-7.1669999999999998</v>
      </c>
      <c r="U374" s="44">
        <v>-3.4470000000000001</v>
      </c>
      <c r="V374" s="44">
        <v>-0.20699999999999999</v>
      </c>
      <c r="W374" s="44">
        <v>2.6760000000000002</v>
      </c>
      <c r="X374" s="44">
        <v>5.28</v>
      </c>
      <c r="Y374" s="44">
        <v>7.6630000000000003</v>
      </c>
    </row>
    <row r="375" spans="7:26" ht="13.5" thickBot="1" x14ac:dyDescent="0.25">
      <c r="G375" s="181"/>
      <c r="N375" s="44">
        <v>0.45</v>
      </c>
      <c r="O375" s="44"/>
      <c r="P375" s="44"/>
      <c r="Q375" s="192"/>
      <c r="R375" s="193">
        <v>-19.850000000000001</v>
      </c>
      <c r="S375" s="44">
        <f>-13.82</f>
        <v>-13.82</v>
      </c>
      <c r="T375" s="44">
        <v>-8.9169999999999998</v>
      </c>
      <c r="U375" s="44">
        <v>-4.7489999999999997</v>
      </c>
      <c r="V375" s="44">
        <v>-1.1619999999999999</v>
      </c>
      <c r="W375" s="44">
        <v>1.9970000000000001</v>
      </c>
      <c r="X375" s="44">
        <v>4.8250000000000002</v>
      </c>
      <c r="Y375" s="44">
        <v>7.3920000000000003</v>
      </c>
    </row>
    <row r="376" spans="7:26" ht="13.5" thickBot="1" x14ac:dyDescent="0.25">
      <c r="G376" s="181"/>
      <c r="N376" s="44">
        <v>0.5</v>
      </c>
      <c r="O376" s="44"/>
      <c r="P376" s="44"/>
      <c r="Q376" s="44"/>
      <c r="R376" s="192"/>
      <c r="S376" s="193">
        <v>-16.64</v>
      </c>
      <c r="T376" s="44">
        <v>-11.07</v>
      </c>
      <c r="U376" s="44">
        <v>-6.3810000000000002</v>
      </c>
      <c r="V376" s="44">
        <v>-2.3919999999999999</v>
      </c>
      <c r="W376" s="44">
        <v>1.089</v>
      </c>
      <c r="X376" s="44">
        <v>4.1769999999999996</v>
      </c>
      <c r="Y376" s="44">
        <v>6.96</v>
      </c>
    </row>
    <row r="377" spans="7:26" ht="13.5" thickBot="1" x14ac:dyDescent="0.25">
      <c r="G377" s="181"/>
      <c r="N377" s="44">
        <v>0.55000000000000004</v>
      </c>
      <c r="O377" s="44"/>
      <c r="P377" s="44"/>
      <c r="Q377" s="44"/>
      <c r="R377" s="44"/>
      <c r="S377" s="192"/>
      <c r="T377" s="193">
        <v>-13.66</v>
      </c>
      <c r="U377" s="44">
        <v>-8.3780000000000001</v>
      </c>
      <c r="V377" s="44">
        <v>-3.927</v>
      </c>
      <c r="W377" s="44">
        <v>-7.8E-2</v>
      </c>
      <c r="X377" s="44">
        <v>3.31</v>
      </c>
      <c r="Y377" s="44">
        <v>6.34</v>
      </c>
    </row>
    <row r="378" spans="7:26" ht="13.5" thickBot="1" x14ac:dyDescent="0.25">
      <c r="G378" s="181"/>
      <c r="N378" s="44">
        <v>0.6</v>
      </c>
      <c r="O378" s="44"/>
      <c r="P378" s="44"/>
      <c r="Q378" s="44"/>
      <c r="R378" s="44"/>
      <c r="S378" s="44"/>
      <c r="T378" s="192"/>
      <c r="U378" s="193">
        <v>-10.77</v>
      </c>
      <c r="V378" s="44">
        <v>-5.798</v>
      </c>
      <c r="W378" s="44">
        <v>-1.53</v>
      </c>
      <c r="X378" s="44">
        <v>2.1930000000000001</v>
      </c>
      <c r="Y378" s="44">
        <v>5.508</v>
      </c>
    </row>
    <row r="379" spans="7:26" ht="13.5" thickBot="1" x14ac:dyDescent="0.25">
      <c r="G379" s="181"/>
      <c r="N379" s="44">
        <v>0.65</v>
      </c>
      <c r="O379" s="44"/>
      <c r="P379" s="44"/>
      <c r="Q379" s="44"/>
      <c r="R379" s="44"/>
      <c r="S379" s="44"/>
      <c r="T379" s="44"/>
      <c r="U379" s="192"/>
      <c r="V379" s="193">
        <v>-8.0329999999999995</v>
      </c>
      <c r="W379" s="44">
        <v>-3.2949999999999999</v>
      </c>
      <c r="X379" s="44">
        <v>0.81599999999999995</v>
      </c>
      <c r="Y379" s="44">
        <v>2.4420000000000002</v>
      </c>
    </row>
    <row r="380" spans="7:26" ht="13.5" thickBot="1" x14ac:dyDescent="0.25">
      <c r="G380" s="181"/>
      <c r="N380" s="44">
        <v>0.7</v>
      </c>
      <c r="O380" s="44"/>
      <c r="P380" s="44"/>
      <c r="Q380" s="44"/>
      <c r="R380" s="44"/>
      <c r="S380" s="44"/>
      <c r="T380" s="44"/>
      <c r="U380" s="44"/>
      <c r="V380" s="192"/>
      <c r="W380" s="193">
        <v>-5.3979999999999997</v>
      </c>
      <c r="X380" s="44">
        <v>-0.86099999999999999</v>
      </c>
      <c r="Y380" s="44">
        <v>3.1190000000000002</v>
      </c>
    </row>
    <row r="381" spans="7:26" ht="13.5" thickBot="1" x14ac:dyDescent="0.25">
      <c r="G381" s="181"/>
      <c r="N381" s="44">
        <v>0.75</v>
      </c>
      <c r="O381" s="44"/>
      <c r="P381" s="44"/>
      <c r="Q381" s="44"/>
      <c r="R381" s="44"/>
      <c r="S381" s="44"/>
      <c r="T381" s="44"/>
      <c r="U381" s="44"/>
      <c r="V381" s="44"/>
      <c r="W381" s="192"/>
      <c r="X381" s="193">
        <v>-2.8530000000000002</v>
      </c>
      <c r="Y381" s="44">
        <v>1.518</v>
      </c>
    </row>
    <row r="382" spans="7:26" ht="13.5" thickBot="1" x14ac:dyDescent="0.25">
      <c r="G382" s="181"/>
      <c r="N382" s="193">
        <v>0.8</v>
      </c>
      <c r="O382" s="44"/>
      <c r="P382" s="44"/>
      <c r="Q382" s="44"/>
      <c r="R382" s="44"/>
      <c r="S382" s="44"/>
      <c r="T382" s="44"/>
      <c r="U382" s="44"/>
      <c r="V382" s="44"/>
      <c r="W382" s="44"/>
      <c r="X382" s="192"/>
      <c r="Y382" s="193">
        <v>-0.38200000000000001</v>
      </c>
    </row>
    <row r="383" spans="7:26" x14ac:dyDescent="0.2">
      <c r="G383" s="181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194"/>
      <c r="Z383" s="190"/>
    </row>
    <row r="384" spans="7:26" x14ac:dyDescent="0.2">
      <c r="G384" s="181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195"/>
      <c r="Z384" s="196"/>
    </row>
    <row r="385" spans="7:27" ht="13.5" thickBot="1" x14ac:dyDescent="0.25">
      <c r="G385" s="181"/>
      <c r="O385" s="195">
        <v>0.4</v>
      </c>
      <c r="P385" s="44">
        <v>0.45</v>
      </c>
      <c r="Q385" s="44">
        <v>0.5</v>
      </c>
      <c r="R385" s="44">
        <v>0.55000000000000004</v>
      </c>
      <c r="S385" s="44">
        <v>0.6</v>
      </c>
      <c r="T385" s="44">
        <v>0.65</v>
      </c>
      <c r="U385" s="44">
        <v>0.7</v>
      </c>
      <c r="V385" s="44">
        <v>0.75</v>
      </c>
      <c r="W385" s="44">
        <v>0.8</v>
      </c>
      <c r="X385" s="44">
        <v>0.85</v>
      </c>
      <c r="Y385" s="44">
        <v>0.9</v>
      </c>
    </row>
    <row r="386" spans="7:27" ht="13.5" thickBot="1" x14ac:dyDescent="0.25">
      <c r="G386" s="181"/>
      <c r="N386" s="44">
        <v>0.3</v>
      </c>
      <c r="O386" s="194">
        <v>-40.1</v>
      </c>
      <c r="P386" s="44">
        <v>-32.43</v>
      </c>
      <c r="Q386" s="44">
        <v>-25.36</v>
      </c>
      <c r="R386" s="44">
        <v>-18.760000000000002</v>
      </c>
      <c r="S386" s="44">
        <v>-12.54</v>
      </c>
      <c r="T386" s="44">
        <v>-6.6070000000000002</v>
      </c>
      <c r="U386" s="44">
        <v>-0.91200000000000003</v>
      </c>
      <c r="V386" s="44">
        <v>4.5960000000000001</v>
      </c>
      <c r="W386" s="44">
        <v>9.9540000000000006</v>
      </c>
      <c r="X386" s="44">
        <v>15.193</v>
      </c>
      <c r="Y386" s="44">
        <v>20.338999999999999</v>
      </c>
    </row>
    <row r="387" spans="7:27" ht="25.5" customHeight="1" thickBot="1" x14ac:dyDescent="0.25">
      <c r="G387" s="181"/>
      <c r="N387" s="44">
        <v>0.35</v>
      </c>
      <c r="O387" s="193"/>
      <c r="P387" s="192">
        <v>-34.31</v>
      </c>
      <c r="Q387" s="44">
        <v>-27.25</v>
      </c>
      <c r="R387" s="44">
        <v>-20.65</v>
      </c>
      <c r="S387" s="44">
        <v>-14.42</v>
      </c>
      <c r="T387" s="44">
        <v>-8.4939999999999998</v>
      </c>
      <c r="U387" s="44">
        <v>-2.7989999999999999</v>
      </c>
      <c r="V387" s="44">
        <v>2.7090000000000001</v>
      </c>
      <c r="W387" s="44">
        <v>8.0670000000000002</v>
      </c>
      <c r="X387" s="44">
        <v>13.31</v>
      </c>
      <c r="Y387" s="44">
        <v>18.45</v>
      </c>
    </row>
    <row r="388" spans="7:27" ht="13.5" thickBot="1" x14ac:dyDescent="0.25">
      <c r="G388" s="181"/>
      <c r="N388" s="44">
        <v>0.4</v>
      </c>
      <c r="P388" s="193"/>
      <c r="Q388" s="192">
        <v>-28.15</v>
      </c>
      <c r="R388" s="44">
        <v>-21.56</v>
      </c>
      <c r="S388" s="44">
        <v>-15.33</v>
      </c>
      <c r="T388" s="44">
        <v>-9.4049999999999994</v>
      </c>
      <c r="U388" s="44">
        <v>-3.706</v>
      </c>
      <c r="V388" s="44">
        <v>1.802</v>
      </c>
      <c r="W388" s="44">
        <v>7.16</v>
      </c>
      <c r="X388" s="44">
        <v>12.4</v>
      </c>
      <c r="Y388" s="44">
        <v>17.55</v>
      </c>
      <c r="AA388" s="178" t="e">
        <f ca="1">OFFSET(AA$388,(-1)*ROW(N417),0)</f>
        <v>#REF!</v>
      </c>
    </row>
    <row r="389" spans="7:27" ht="13.5" thickBot="1" x14ac:dyDescent="0.25">
      <c r="G389" s="181"/>
      <c r="N389" s="44">
        <v>0.45</v>
      </c>
      <c r="Q389" s="193"/>
      <c r="R389" s="192">
        <v>-23.64</v>
      </c>
      <c r="S389" s="44">
        <v>-17.41</v>
      </c>
      <c r="T389" s="44">
        <v>-11.48</v>
      </c>
      <c r="U389" s="44">
        <v>-5.78</v>
      </c>
      <c r="V389" s="44">
        <v>-0.27200000000000002</v>
      </c>
      <c r="W389" s="44">
        <v>5.0860000000000003</v>
      </c>
      <c r="X389" s="44">
        <v>10.32</v>
      </c>
      <c r="Y389" s="44">
        <v>15.47</v>
      </c>
      <c r="AA389" s="178" t="e">
        <f ca="1">OFFSET(AA$388,(-1)*ROW(N418),0)</f>
        <v>#REF!</v>
      </c>
    </row>
    <row r="390" spans="7:27" ht="13.5" thickBot="1" x14ac:dyDescent="0.25">
      <c r="G390" s="181"/>
      <c r="N390" s="44">
        <v>0.5</v>
      </c>
      <c r="S390" s="192">
        <v>-19.54</v>
      </c>
      <c r="T390" s="44">
        <v>-13.61</v>
      </c>
      <c r="U390" s="44">
        <v>-7.9109999999999996</v>
      </c>
      <c r="V390" s="44">
        <v>-2.4039999999999999</v>
      </c>
      <c r="W390" s="44">
        <v>2.9540000000000002</v>
      </c>
      <c r="X390" s="44">
        <v>8.1929999999999996</v>
      </c>
      <c r="Y390" s="44">
        <v>13.34</v>
      </c>
    </row>
    <row r="391" spans="7:27" ht="13.5" thickBot="1" x14ac:dyDescent="0.25">
      <c r="G391" s="181"/>
      <c r="N391" s="44">
        <v>0.55000000000000004</v>
      </c>
      <c r="R391" s="44"/>
      <c r="S391" s="193"/>
      <c r="T391" s="192">
        <v>-15.79</v>
      </c>
      <c r="U391" s="44">
        <v>-10.09</v>
      </c>
      <c r="V391" s="44">
        <v>-4.585</v>
      </c>
      <c r="W391" s="44">
        <v>0.77300000000000002</v>
      </c>
      <c r="X391" s="44">
        <v>6.0119999999999996</v>
      </c>
      <c r="Y391" s="44">
        <v>11.16</v>
      </c>
    </row>
    <row r="392" spans="7:27" ht="13.5" thickBot="1" x14ac:dyDescent="0.25">
      <c r="G392" s="181"/>
      <c r="N392" s="44">
        <v>0.6</v>
      </c>
      <c r="S392" s="44"/>
      <c r="T392" s="193"/>
      <c r="U392" s="192">
        <v>-12.32</v>
      </c>
      <c r="V392" s="44">
        <v>-6.8090000000000002</v>
      </c>
      <c r="W392" s="44">
        <v>-1.4510000000000001</v>
      </c>
      <c r="X392" s="44">
        <v>3.7879999999999998</v>
      </c>
      <c r="Y392" s="44">
        <v>8.9339999999999993</v>
      </c>
    </row>
    <row r="393" spans="7:27" ht="13.5" thickBot="1" x14ac:dyDescent="0.25">
      <c r="G393" s="181"/>
      <c r="N393" s="44">
        <v>0.65</v>
      </c>
      <c r="T393" s="44"/>
      <c r="U393" s="193"/>
      <c r="V393" s="192">
        <v>-9.0730000000000004</v>
      </c>
      <c r="W393" s="44">
        <v>-3.7149999999999999</v>
      </c>
      <c r="X393" s="44">
        <v>1.524</v>
      </c>
      <c r="Y393" s="44">
        <v>6.67</v>
      </c>
    </row>
    <row r="394" spans="7:27" ht="13.5" thickBot="1" x14ac:dyDescent="0.25">
      <c r="G394" s="181"/>
      <c r="N394" s="44">
        <v>0.7</v>
      </c>
      <c r="O394" s="44"/>
      <c r="T394" s="44"/>
      <c r="U394" s="44"/>
      <c r="V394" s="193"/>
      <c r="W394" s="192">
        <v>-6.0149999999999997</v>
      </c>
      <c r="X394" s="44">
        <v>-0.77600000000000002</v>
      </c>
      <c r="Y394" s="44">
        <v>4.37</v>
      </c>
    </row>
    <row r="395" spans="7:27" ht="13.5" thickBot="1" x14ac:dyDescent="0.25">
      <c r="G395" s="181"/>
      <c r="N395" s="44">
        <v>0.75</v>
      </c>
      <c r="V395" s="44"/>
      <c r="W395" s="193"/>
      <c r="X395" s="192">
        <v>-3.11</v>
      </c>
      <c r="Y395" s="44">
        <v>2.0369999999999999</v>
      </c>
    </row>
    <row r="396" spans="7:27" ht="13.5" thickBot="1" x14ac:dyDescent="0.25">
      <c r="G396" s="181"/>
      <c r="N396" s="192">
        <v>0.8</v>
      </c>
      <c r="W396" s="44"/>
      <c r="X396" s="193"/>
      <c r="Y396" s="192">
        <v>-0.32900000000000001</v>
      </c>
    </row>
    <row r="397" spans="7:27" x14ac:dyDescent="0.2">
      <c r="G397" s="181"/>
    </row>
    <row r="398" spans="7:27" x14ac:dyDescent="0.2">
      <c r="G398" s="181"/>
    </row>
    <row r="399" spans="7:27" ht="25.5" x14ac:dyDescent="0.2">
      <c r="G399" s="181"/>
      <c r="M399" s="181" t="s">
        <v>637</v>
      </c>
    </row>
    <row r="400" spans="7:27" x14ac:dyDescent="0.2">
      <c r="G400" s="181"/>
      <c r="V400" s="44"/>
    </row>
    <row r="401" spans="7:26" x14ac:dyDescent="0.2">
      <c r="G401" s="181"/>
      <c r="N401" s="44"/>
      <c r="O401" s="44">
        <v>0.4</v>
      </c>
      <c r="P401" s="44">
        <v>0.45</v>
      </c>
      <c r="Q401" s="44">
        <v>0.5</v>
      </c>
      <c r="R401" s="44">
        <v>0.55000000000000004</v>
      </c>
      <c r="S401" s="44">
        <v>0.6</v>
      </c>
      <c r="T401" s="44">
        <v>0.65</v>
      </c>
      <c r="U401" s="44">
        <v>0.7</v>
      </c>
      <c r="V401" s="44">
        <v>0.75</v>
      </c>
      <c r="W401" s="44">
        <v>0.8</v>
      </c>
      <c r="X401" s="44">
        <v>0.85</v>
      </c>
      <c r="Y401" s="44">
        <v>0.9</v>
      </c>
    </row>
    <row r="402" spans="7:26" ht="13.5" thickBot="1" x14ac:dyDescent="0.25">
      <c r="G402" s="181"/>
      <c r="N402" s="44">
        <v>0.3</v>
      </c>
      <c r="O402" s="191">
        <v>-12.4</v>
      </c>
      <c r="P402" s="44">
        <v>-11.81</v>
      </c>
      <c r="Q402" s="44">
        <v>-10.34</v>
      </c>
      <c r="R402" s="44">
        <v>-8.6739999999999995</v>
      </c>
      <c r="S402" s="44">
        <v>-7.0439999999999996</v>
      </c>
      <c r="T402" s="44">
        <v>-5.5490000000000004</v>
      </c>
      <c r="U402" s="44">
        <v>-4.2240000000000002</v>
      </c>
      <c r="V402" s="44">
        <v>-3.0790000000000002</v>
      </c>
      <c r="W402" s="44">
        <v>-2.1150000000000002</v>
      </c>
      <c r="X402" s="44">
        <v>-1.327</v>
      </c>
      <c r="Y402" s="44">
        <v>-0.71399999999999997</v>
      </c>
    </row>
    <row r="403" spans="7:26" ht="13.5" thickBot="1" x14ac:dyDescent="0.25">
      <c r="G403" s="181"/>
      <c r="N403" s="44">
        <v>0.35</v>
      </c>
      <c r="O403" s="192"/>
      <c r="P403" s="193">
        <v>-9.391</v>
      </c>
      <c r="Q403" s="44">
        <v>-9.1039999999999992</v>
      </c>
      <c r="R403" s="44">
        <v>-8.0259999999999998</v>
      </c>
      <c r="S403" s="44">
        <v>-6.7119999999999997</v>
      </c>
      <c r="T403" s="44">
        <v>-5.3860000000000001</v>
      </c>
      <c r="U403" s="44">
        <v>-4.1529999999999996</v>
      </c>
      <c r="V403" s="44">
        <v>-3.056</v>
      </c>
      <c r="W403" s="44">
        <v>-2.1150000000000002</v>
      </c>
      <c r="X403" s="44">
        <v>-1.337</v>
      </c>
      <c r="Y403" s="44">
        <v>-0.72499999999999998</v>
      </c>
    </row>
    <row r="404" spans="7:26" ht="13.5" thickBot="1" x14ac:dyDescent="0.25">
      <c r="G404" s="181"/>
      <c r="N404" s="44">
        <v>0.4</v>
      </c>
      <c r="O404" s="44"/>
      <c r="P404" s="192"/>
      <c r="Q404" s="193">
        <v>-7.1440000000000001</v>
      </c>
      <c r="R404" s="44">
        <v>-6.9969999999999999</v>
      </c>
      <c r="S404" s="44">
        <v>-6.173</v>
      </c>
      <c r="T404" s="44">
        <v>-5.1139999999999999</v>
      </c>
      <c r="U404" s="44">
        <v>-4.0270000000000001</v>
      </c>
      <c r="V404" s="44">
        <v>-3.008</v>
      </c>
      <c r="W404" s="44">
        <v>-2.1070000000000002</v>
      </c>
      <c r="X404" s="44">
        <v>-1.3460000000000001</v>
      </c>
      <c r="Y404" s="44">
        <v>-0.73699999999999999</v>
      </c>
    </row>
    <row r="405" spans="7:26" ht="13.5" thickBot="1" x14ac:dyDescent="0.25">
      <c r="G405" s="181"/>
      <c r="N405" s="44">
        <v>0.45</v>
      </c>
      <c r="O405" s="44"/>
      <c r="P405" s="44"/>
      <c r="Q405" s="192"/>
      <c r="R405" s="193">
        <v>-5.4370000000000003</v>
      </c>
      <c r="S405" s="44">
        <v>-5.3440000000000003</v>
      </c>
      <c r="T405" s="44">
        <v>-4.6849999999999996</v>
      </c>
      <c r="U405" s="44">
        <v>-3.819</v>
      </c>
      <c r="V405" s="44">
        <v>-2.9209999999999998</v>
      </c>
      <c r="W405" s="44">
        <v>-2.0819999999999999</v>
      </c>
      <c r="X405" s="44">
        <v>-1.35</v>
      </c>
      <c r="Y405" s="44">
        <v>-0.751</v>
      </c>
    </row>
    <row r="406" spans="7:26" ht="13.5" thickBot="1" x14ac:dyDescent="0.25">
      <c r="G406" s="181"/>
      <c r="N406" s="44">
        <v>0.5</v>
      </c>
      <c r="O406" s="44"/>
      <c r="P406" s="44"/>
      <c r="Q406" s="44"/>
      <c r="R406" s="192"/>
      <c r="S406" s="193">
        <v>-4.4429999999999996</v>
      </c>
      <c r="T406" s="44">
        <v>-4.0389999999999997</v>
      </c>
      <c r="U406" s="44">
        <v>-3.4929999999999999</v>
      </c>
      <c r="V406" s="44">
        <v>-2.7730000000000001</v>
      </c>
      <c r="W406" s="44">
        <v>-2.0289999999999999</v>
      </c>
      <c r="X406" s="44">
        <v>-1.3440000000000001</v>
      </c>
      <c r="Y406" s="44">
        <v>-0.76200000000000001</v>
      </c>
    </row>
    <row r="407" spans="7:26" ht="13.5" thickBot="1" x14ac:dyDescent="0.25">
      <c r="G407" s="181"/>
      <c r="N407" s="44">
        <v>0.55000000000000004</v>
      </c>
      <c r="O407" s="44"/>
      <c r="P407" s="44"/>
      <c r="Q407" s="44"/>
      <c r="R407" s="44"/>
      <c r="S407" s="192"/>
      <c r="T407" s="193">
        <v>-3.1030000000000002</v>
      </c>
      <c r="U407" s="44">
        <v>-3.0059999999999998</v>
      </c>
      <c r="V407" s="44">
        <v>-2.5379999999999998</v>
      </c>
      <c r="W407" s="44">
        <v>-1.9330000000000001</v>
      </c>
      <c r="X407" s="44">
        <v>-1.319</v>
      </c>
      <c r="Y407" s="44">
        <v>-0.76700000000000002</v>
      </c>
    </row>
    <row r="408" spans="7:26" ht="13.5" thickBot="1" x14ac:dyDescent="0.25">
      <c r="G408" s="181"/>
      <c r="N408" s="44">
        <v>0.6</v>
      </c>
      <c r="O408" s="44"/>
      <c r="P408" s="44"/>
      <c r="Q408" s="44"/>
      <c r="R408" s="44"/>
      <c r="S408" s="44"/>
      <c r="T408" s="192"/>
      <c r="U408" s="193">
        <v>-2.3039999999999998</v>
      </c>
      <c r="V408" s="44">
        <v>-2.1850000000000001</v>
      </c>
      <c r="W408" s="44">
        <v>-1.7749999999999999</v>
      </c>
      <c r="X408" s="44">
        <v>-1.264</v>
      </c>
      <c r="Y408" s="44">
        <v>-0.76</v>
      </c>
    </row>
    <row r="409" spans="7:26" ht="13.5" thickBot="1" x14ac:dyDescent="0.25">
      <c r="G409" s="181"/>
      <c r="N409" s="44">
        <v>0.65</v>
      </c>
      <c r="O409" s="44"/>
      <c r="P409" s="44"/>
      <c r="Q409" s="44"/>
      <c r="R409" s="44"/>
      <c r="S409" s="44"/>
      <c r="T409" s="44"/>
      <c r="U409" s="192"/>
      <c r="V409" s="193">
        <v>-1.675</v>
      </c>
      <c r="W409" s="44">
        <v>-1.5309999999999999</v>
      </c>
      <c r="X409" s="44">
        <v>-1.167</v>
      </c>
      <c r="Y409" s="44">
        <v>-0.73499999999999999</v>
      </c>
    </row>
    <row r="410" spans="7:26" ht="13.5" thickBot="1" x14ac:dyDescent="0.25">
      <c r="G410" s="181"/>
      <c r="N410" s="44">
        <v>0.7</v>
      </c>
      <c r="O410" s="44"/>
      <c r="P410" s="44"/>
      <c r="Q410" s="44"/>
      <c r="R410" s="44"/>
      <c r="S410" s="44"/>
      <c r="T410" s="44"/>
      <c r="U410" s="44"/>
      <c r="V410" s="192"/>
      <c r="W410" s="193">
        <v>-1.1759999999999999</v>
      </c>
      <c r="X410" s="44">
        <v>-1.0109999999999999</v>
      </c>
      <c r="Y410" s="44">
        <v>-0.68300000000000005</v>
      </c>
    </row>
    <row r="411" spans="7:26" ht="13.5" thickBot="1" x14ac:dyDescent="0.25">
      <c r="G411" s="181"/>
      <c r="N411" s="44">
        <v>0.75</v>
      </c>
      <c r="O411" s="44"/>
      <c r="P411" s="44"/>
      <c r="Q411" s="44"/>
      <c r="R411" s="44"/>
      <c r="S411" s="44"/>
      <c r="T411" s="44"/>
      <c r="U411" s="44"/>
      <c r="V411" s="44"/>
      <c r="W411" s="192"/>
      <c r="X411" s="193">
        <v>-0.77800000000000002</v>
      </c>
      <c r="Y411" s="44">
        <v>-0.59499999999999997</v>
      </c>
    </row>
    <row r="412" spans="7:26" ht="13.5" thickBot="1" x14ac:dyDescent="0.25">
      <c r="G412" s="181"/>
      <c r="N412" s="193">
        <v>0.8</v>
      </c>
      <c r="O412" s="44"/>
      <c r="P412" s="44"/>
      <c r="Q412" s="44"/>
      <c r="R412" s="44"/>
      <c r="S412" s="44"/>
      <c r="T412" s="44"/>
      <c r="U412" s="44"/>
      <c r="V412" s="44"/>
      <c r="W412" s="44"/>
      <c r="X412" s="192"/>
      <c r="Y412" s="193">
        <v>-0.46</v>
      </c>
    </row>
    <row r="413" spans="7:26" x14ac:dyDescent="0.2">
      <c r="G413" s="181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194"/>
      <c r="Z413" s="197"/>
    </row>
    <row r="414" spans="7:26" x14ac:dyDescent="0.2">
      <c r="G414" s="181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195"/>
      <c r="Z414" s="199"/>
    </row>
    <row r="415" spans="7:26" x14ac:dyDescent="0.2">
      <c r="G415" s="181"/>
    </row>
    <row r="416" spans="7:26" x14ac:dyDescent="0.2">
      <c r="G416" s="181"/>
      <c r="N416" s="197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7:26" ht="13.5" thickBot="1" x14ac:dyDescent="0.25">
      <c r="G417" s="181"/>
      <c r="N417" s="198"/>
      <c r="O417" s="191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7:26" ht="13.5" thickBot="1" x14ac:dyDescent="0.25">
      <c r="G418" s="181"/>
      <c r="N418" s="192">
        <v>0.8</v>
      </c>
      <c r="O418" s="192">
        <v>-0.17799999999999999</v>
      </c>
      <c r="P418" s="193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7:26" ht="13.5" thickBot="1" x14ac:dyDescent="0.25">
      <c r="G419" s="181"/>
      <c r="N419" s="44">
        <v>0.75</v>
      </c>
      <c r="O419" s="44">
        <v>0.23899999999999999</v>
      </c>
      <c r="P419" s="192">
        <v>-0.78</v>
      </c>
      <c r="Q419" s="193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7:26" ht="13.5" thickBot="1" x14ac:dyDescent="0.25">
      <c r="G420" s="181"/>
      <c r="N420" s="44">
        <v>0.7</v>
      </c>
      <c r="O420" s="44">
        <v>0.51100000000000001</v>
      </c>
      <c r="P420" s="44">
        <v>-0.34399999999999997</v>
      </c>
      <c r="Q420" s="192">
        <v>-1.28</v>
      </c>
      <c r="R420" s="193"/>
      <c r="S420" s="44"/>
      <c r="T420" s="44"/>
      <c r="U420" s="44"/>
      <c r="V420" s="44"/>
      <c r="W420" s="44"/>
      <c r="X420" s="44"/>
      <c r="Y420" s="44"/>
      <c r="Z420" s="44"/>
    </row>
    <row r="421" spans="7:26" ht="13.5" thickBot="1" x14ac:dyDescent="0.25">
      <c r="G421" s="181"/>
      <c r="N421" s="44">
        <v>0.65</v>
      </c>
      <c r="O421" s="44">
        <v>0.67100000000000004</v>
      </c>
      <c r="P421" s="44">
        <v>-5.1999999999999998E-2</v>
      </c>
      <c r="Q421" s="44">
        <v>-0.83</v>
      </c>
      <c r="R421" s="192">
        <v>-1.6830000000000001</v>
      </c>
      <c r="S421" s="193"/>
      <c r="T421" s="44"/>
      <c r="U421" s="44"/>
      <c r="V421" s="44"/>
      <c r="W421" s="44"/>
      <c r="X421" s="44"/>
      <c r="Y421" s="44"/>
      <c r="Z421" s="44"/>
    </row>
    <row r="422" spans="7:26" ht="13.5" thickBot="1" x14ac:dyDescent="0.25">
      <c r="G422" s="181"/>
      <c r="N422" s="44">
        <v>0.6</v>
      </c>
      <c r="O422" s="44">
        <v>0.749</v>
      </c>
      <c r="P422" s="44">
        <v>0.13100000000000001</v>
      </c>
      <c r="Q422" s="44">
        <v>-0.52100000000000002</v>
      </c>
      <c r="R422" s="44">
        <v>-1.2230000000000001</v>
      </c>
      <c r="S422" s="192">
        <v>-1.994</v>
      </c>
      <c r="T422" s="193"/>
      <c r="U422" s="44"/>
      <c r="V422" s="44"/>
      <c r="W422" s="44"/>
      <c r="X422" s="44"/>
      <c r="Y422" s="44"/>
      <c r="Z422" s="44"/>
    </row>
    <row r="423" spans="7:26" ht="13.5" thickBot="1" x14ac:dyDescent="0.25">
      <c r="G423" s="181"/>
      <c r="N423" s="44">
        <v>0.55000000000000004</v>
      </c>
      <c r="O423" s="44">
        <v>0.77</v>
      </c>
      <c r="P423" s="44">
        <v>0.23400000000000001</v>
      </c>
      <c r="Q423" s="44">
        <v>-0.32100000000000001</v>
      </c>
      <c r="R423" s="44">
        <v>-0.90400000000000003</v>
      </c>
      <c r="S423" s="44">
        <v>-1.532</v>
      </c>
      <c r="T423" s="192">
        <v>-2.222</v>
      </c>
      <c r="U423" s="193"/>
      <c r="V423" s="44"/>
      <c r="W423" s="44"/>
      <c r="X423" s="44"/>
      <c r="Y423" s="44"/>
      <c r="Z423" s="44"/>
    </row>
    <row r="424" spans="7:26" ht="13.5" thickBot="1" x14ac:dyDescent="0.25">
      <c r="G424" s="181"/>
      <c r="N424" s="44">
        <v>0.5</v>
      </c>
      <c r="O424" s="44">
        <v>0.755</v>
      </c>
      <c r="P424" s="44">
        <v>0.28100000000000003</v>
      </c>
      <c r="Q424" s="44">
        <v>-0.19900000000000001</v>
      </c>
      <c r="R424" s="44">
        <v>-0.69299999999999995</v>
      </c>
      <c r="S424" s="44">
        <v>-1.2110000000000001</v>
      </c>
      <c r="T424" s="44">
        <v>-1.7649999999999999</v>
      </c>
      <c r="U424" s="192">
        <v>-2.3769999999999998</v>
      </c>
      <c r="V424" s="193"/>
      <c r="W424" s="44"/>
      <c r="X424" s="44"/>
      <c r="Y424" s="44"/>
      <c r="Z424" s="44"/>
    </row>
    <row r="425" spans="7:26" ht="13.5" thickBot="1" x14ac:dyDescent="0.25">
      <c r="G425" s="181"/>
      <c r="N425" s="44">
        <v>0.45</v>
      </c>
      <c r="O425" s="44">
        <v>0.72099999999999997</v>
      </c>
      <c r="P425" s="44">
        <v>0.29299999999999998</v>
      </c>
      <c r="Q425" s="44">
        <v>-0.13200000000000001</v>
      </c>
      <c r="R425" s="44">
        <v>-0.56000000000000005</v>
      </c>
      <c r="S425" s="44">
        <v>-0.996</v>
      </c>
      <c r="T425" s="44">
        <v>-1.45</v>
      </c>
      <c r="U425" s="44">
        <v>-1.9350000000000001</v>
      </c>
      <c r="V425" s="192">
        <v>-2.4689999999999999</v>
      </c>
      <c r="W425" s="193"/>
      <c r="X425" s="44"/>
      <c r="Y425" s="44"/>
      <c r="Z425" s="44"/>
    </row>
    <row r="426" spans="7:26" ht="13.5" thickBot="1" x14ac:dyDescent="0.25">
      <c r="G426" s="181"/>
      <c r="N426" s="44">
        <v>0.4</v>
      </c>
      <c r="O426" s="44">
        <v>0.67900000000000005</v>
      </c>
      <c r="P426" s="44">
        <v>0.28499999999999998</v>
      </c>
      <c r="Q426" s="44">
        <v>-0.10100000000000001</v>
      </c>
      <c r="R426" s="44">
        <v>-0.48099999999999998</v>
      </c>
      <c r="S426" s="44">
        <v>-0.85899999999999999</v>
      </c>
      <c r="T426" s="44">
        <v>-1.2410000000000001</v>
      </c>
      <c r="U426" s="44">
        <v>-1.6339999999999999</v>
      </c>
      <c r="V426" s="44">
        <v>-2.052</v>
      </c>
      <c r="W426" s="192">
        <v>-2.5110000000000001</v>
      </c>
      <c r="X426" s="193"/>
      <c r="Y426" s="44"/>
      <c r="Z426" s="44"/>
    </row>
    <row r="427" spans="7:26" ht="13.5" thickBot="1" x14ac:dyDescent="0.25">
      <c r="G427" s="181"/>
      <c r="N427" s="44">
        <v>0.35</v>
      </c>
      <c r="O427" s="44">
        <v>0.64</v>
      </c>
      <c r="P427" s="44">
        <v>0.26700000000000002</v>
      </c>
      <c r="Q427" s="44">
        <v>-9.0999999999999998E-2</v>
      </c>
      <c r="R427" s="44">
        <v>-0.438</v>
      </c>
      <c r="S427" s="44">
        <v>-0.77600000000000002</v>
      </c>
      <c r="T427" s="44">
        <v>-1.1080000000000001</v>
      </c>
      <c r="U427" s="44">
        <v>-1.4390000000000001</v>
      </c>
      <c r="V427" s="44">
        <v>-1.776</v>
      </c>
      <c r="W427" s="44">
        <v>-2.129</v>
      </c>
      <c r="X427" s="192">
        <v>-2.516</v>
      </c>
      <c r="Y427" s="193"/>
      <c r="Z427" s="193"/>
    </row>
    <row r="428" spans="7:26" x14ac:dyDescent="0.2">
      <c r="G428" s="181"/>
      <c r="N428" s="44">
        <v>0.3</v>
      </c>
      <c r="O428" s="44">
        <v>0.60699999999999998</v>
      </c>
      <c r="P428" s="44">
        <v>0.25</v>
      </c>
      <c r="Q428" s="44">
        <v>-9.0999999999999998E-2</v>
      </c>
      <c r="R428" s="44">
        <v>-0.41699999999999998</v>
      </c>
      <c r="S428" s="44">
        <v>-0.72799999999999998</v>
      </c>
      <c r="T428" s="44">
        <v>-1.028</v>
      </c>
      <c r="U428" s="44">
        <v>-1.319</v>
      </c>
      <c r="V428" s="44">
        <v>-1.603</v>
      </c>
      <c r="W428" s="44">
        <v>-1.8859999999999999</v>
      </c>
      <c r="X428" s="44">
        <v>-2.181</v>
      </c>
      <c r="Y428" s="194">
        <v>-2.4990000000000001</v>
      </c>
      <c r="Z428" s="197"/>
    </row>
    <row r="429" spans="7:26" x14ac:dyDescent="0.2">
      <c r="G429" s="181"/>
      <c r="N429" s="44"/>
      <c r="O429" s="44">
        <v>0.9</v>
      </c>
      <c r="P429" s="44">
        <v>0.85</v>
      </c>
      <c r="Q429" s="44">
        <v>0.8</v>
      </c>
      <c r="R429" s="44">
        <v>0.75</v>
      </c>
      <c r="S429" s="44">
        <v>0.7</v>
      </c>
      <c r="T429" s="44">
        <v>0.65</v>
      </c>
      <c r="U429" s="44">
        <v>0.6</v>
      </c>
      <c r="V429" s="44">
        <v>0.55000000000000004</v>
      </c>
      <c r="W429" s="44">
        <v>0.5</v>
      </c>
      <c r="X429" s="44">
        <v>0.45</v>
      </c>
      <c r="Y429" s="195">
        <v>0.4</v>
      </c>
      <c r="Z429" s="199"/>
    </row>
    <row r="430" spans="7:26" x14ac:dyDescent="0.2">
      <c r="G430" s="181"/>
    </row>
    <row r="431" spans="7:26" x14ac:dyDescent="0.2">
      <c r="G431" s="181"/>
    </row>
    <row r="432" spans="7:26" x14ac:dyDescent="0.2">
      <c r="G432" s="181"/>
    </row>
  </sheetData>
  <mergeCells count="10">
    <mergeCell ref="B205:E205"/>
    <mergeCell ref="D219:E219"/>
    <mergeCell ref="D239:E239"/>
    <mergeCell ref="E259:G259"/>
    <mergeCell ref="N54:Z54"/>
    <mergeCell ref="N55:Z55"/>
    <mergeCell ref="B85:F85"/>
    <mergeCell ref="E100:G100"/>
    <mergeCell ref="E106:G106"/>
    <mergeCell ref="B192:G192"/>
  </mergeCells>
  <pageMargins left="0.7" right="0.7" top="0.75" bottom="0.75" header="0.3" footer="0.3"/>
  <pageSetup scale="72" orientation="portrait" r:id="rId1"/>
  <rowBreaks count="4" manualBreakCount="4">
    <brk id="86" max="9" man="1"/>
    <brk id="145" max="9" man="1"/>
    <brk id="204" max="9" man="1"/>
    <brk id="243" max="9" man="1"/>
  </rowBreaks>
  <ignoredErrors>
    <ignoredError sqref="R155:R16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Y397"/>
  <sheetViews>
    <sheetView view="pageBreakPreview" zoomScale="60" zoomScaleNormal="55" workbookViewId="0">
      <pane ySplit="1" topLeftCell="A2" activePane="bottomLeft" state="frozen"/>
      <selection pane="bottomLeft" activeCell="P34" sqref="P34"/>
    </sheetView>
  </sheetViews>
  <sheetFormatPr defaultRowHeight="12.75" x14ac:dyDescent="0.2"/>
  <cols>
    <col min="14" max="14" width="12.42578125" bestFit="1" customWidth="1"/>
    <col min="16" max="16" width="9.42578125" customWidth="1"/>
  </cols>
  <sheetData>
    <row r="1" spans="1:25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5" x14ac:dyDescent="0.2">
      <c r="A2" t="s">
        <v>1423</v>
      </c>
      <c r="B2" t="s">
        <v>442</v>
      </c>
      <c r="C2" s="167">
        <f>Calculation!F63</f>
        <v>8</v>
      </c>
      <c r="D2" t="s">
        <v>1427</v>
      </c>
      <c r="E2" s="167" t="s">
        <v>1627</v>
      </c>
      <c r="F2">
        <f>'Earthquake &amp; wind'!K41</f>
        <v>2.5409999999999999</v>
      </c>
    </row>
    <row r="3" spans="1:25" x14ac:dyDescent="0.2">
      <c r="A3" t="s">
        <v>1424</v>
      </c>
      <c r="B3" t="s">
        <v>442</v>
      </c>
      <c r="C3">
        <f>Calculation!F57</f>
        <v>10</v>
      </c>
      <c r="D3" t="s">
        <v>74</v>
      </c>
      <c r="J3" t="s">
        <v>1414</v>
      </c>
      <c r="L3" t="s">
        <v>1441</v>
      </c>
      <c r="N3" t="s">
        <v>1457</v>
      </c>
      <c r="P3" t="s">
        <v>1480</v>
      </c>
      <c r="Q3" t="s">
        <v>1483</v>
      </c>
      <c r="R3" t="s">
        <v>1501</v>
      </c>
      <c r="S3" t="s">
        <v>1519</v>
      </c>
      <c r="T3" t="s">
        <v>1537</v>
      </c>
      <c r="U3" t="s">
        <v>1555</v>
      </c>
      <c r="V3" t="s">
        <v>1570</v>
      </c>
      <c r="W3" t="s">
        <v>1583</v>
      </c>
      <c r="X3" t="s">
        <v>1596</v>
      </c>
    </row>
    <row r="4" spans="1:25" x14ac:dyDescent="0.2">
      <c r="A4" t="s">
        <v>1425</v>
      </c>
      <c r="B4" t="s">
        <v>442</v>
      </c>
      <c r="C4">
        <f>Calculation!F69</f>
        <v>3</v>
      </c>
      <c r="D4" t="s">
        <v>1427</v>
      </c>
      <c r="J4" t="s">
        <v>1415</v>
      </c>
      <c r="L4" t="s">
        <v>1442</v>
      </c>
      <c r="N4" t="s">
        <v>1458</v>
      </c>
      <c r="P4" t="s">
        <v>1472</v>
      </c>
      <c r="Q4" t="s">
        <v>1484</v>
      </c>
      <c r="R4" t="s">
        <v>1502</v>
      </c>
      <c r="S4" t="s">
        <v>1520</v>
      </c>
      <c r="T4" t="s">
        <v>1538</v>
      </c>
      <c r="U4" t="s">
        <v>1556</v>
      </c>
      <c r="V4" t="s">
        <v>1558</v>
      </c>
      <c r="W4" t="s">
        <v>1584</v>
      </c>
      <c r="X4" t="s">
        <v>1586</v>
      </c>
    </row>
    <row r="5" spans="1:25" x14ac:dyDescent="0.2">
      <c r="A5" t="s">
        <v>1426</v>
      </c>
      <c r="B5" t="s">
        <v>442</v>
      </c>
      <c r="C5">
        <f>'fdn annular '!C94</f>
        <v>3</v>
      </c>
      <c r="D5" t="s">
        <v>74</v>
      </c>
      <c r="J5" t="s">
        <v>1416</v>
      </c>
      <c r="L5" t="s">
        <v>1443</v>
      </c>
      <c r="N5" t="s">
        <v>1459</v>
      </c>
      <c r="P5" t="s">
        <v>1481</v>
      </c>
      <c r="Q5" t="s">
        <v>1485</v>
      </c>
      <c r="R5" t="s">
        <v>1503</v>
      </c>
      <c r="S5" t="s">
        <v>1521</v>
      </c>
      <c r="T5" t="s">
        <v>1539</v>
      </c>
      <c r="U5" t="s">
        <v>1557</v>
      </c>
      <c r="V5" t="s">
        <v>1571</v>
      </c>
      <c r="W5" t="s">
        <v>1585</v>
      </c>
      <c r="X5" t="s">
        <v>1597</v>
      </c>
    </row>
    <row r="6" spans="1:25" x14ac:dyDescent="0.2">
      <c r="A6" t="s">
        <v>1428</v>
      </c>
      <c r="B6" t="s">
        <v>442</v>
      </c>
      <c r="C6">
        <f>Calculation!E96</f>
        <v>3.55</v>
      </c>
      <c r="D6" t="s">
        <v>74</v>
      </c>
      <c r="J6" t="s">
        <v>1417</v>
      </c>
      <c r="L6" t="s">
        <v>1444</v>
      </c>
      <c r="N6" t="s">
        <v>1460</v>
      </c>
      <c r="P6" t="s">
        <v>1472</v>
      </c>
      <c r="Q6" t="s">
        <v>1486</v>
      </c>
      <c r="R6" t="s">
        <v>1504</v>
      </c>
      <c r="S6" t="s">
        <v>1522</v>
      </c>
      <c r="T6" t="s">
        <v>1540</v>
      </c>
      <c r="U6" t="s">
        <v>1558</v>
      </c>
      <c r="V6" t="s">
        <v>1560</v>
      </c>
      <c r="W6" t="s">
        <v>1586</v>
      </c>
      <c r="X6" t="s">
        <v>1588</v>
      </c>
    </row>
    <row r="7" spans="1:25" x14ac:dyDescent="0.2">
      <c r="A7" t="s">
        <v>1433</v>
      </c>
      <c r="C7">
        <f>Calculation!D98</f>
        <v>0.5</v>
      </c>
      <c r="D7" t="s">
        <v>74</v>
      </c>
      <c r="J7" t="s">
        <v>1418</v>
      </c>
      <c r="L7" t="s">
        <v>1445</v>
      </c>
      <c r="N7" t="s">
        <v>1461</v>
      </c>
      <c r="P7" t="s">
        <v>1482</v>
      </c>
      <c r="Q7" t="s">
        <v>1487</v>
      </c>
      <c r="R7" t="s">
        <v>1505</v>
      </c>
      <c r="S7" t="s">
        <v>1523</v>
      </c>
      <c r="T7" t="s">
        <v>1541</v>
      </c>
      <c r="U7" t="s">
        <v>1559</v>
      </c>
      <c r="V7" t="s">
        <v>1572</v>
      </c>
      <c r="W7" t="s">
        <v>1587</v>
      </c>
      <c r="X7" t="s">
        <v>1598</v>
      </c>
    </row>
    <row r="8" spans="1:25" x14ac:dyDescent="0.2">
      <c r="A8" t="s">
        <v>1434</v>
      </c>
      <c r="B8" t="s">
        <v>1436</v>
      </c>
      <c r="C8">
        <f>Calculation!F165</f>
        <v>300</v>
      </c>
      <c r="D8" t="s">
        <v>202</v>
      </c>
      <c r="J8" t="s">
        <v>1419</v>
      </c>
      <c r="L8" t="s">
        <v>1446</v>
      </c>
      <c r="N8" t="s">
        <v>1462</v>
      </c>
      <c r="P8" t="s">
        <v>1472</v>
      </c>
      <c r="Q8" t="s">
        <v>1488</v>
      </c>
      <c r="R8" t="s">
        <v>1506</v>
      </c>
      <c r="S8" t="s">
        <v>1524</v>
      </c>
      <c r="T8" t="s">
        <v>1542</v>
      </c>
      <c r="U8" t="s">
        <v>1560</v>
      </c>
      <c r="V8" t="s">
        <v>1562</v>
      </c>
      <c r="W8" t="s">
        <v>1588</v>
      </c>
      <c r="X8" t="s">
        <v>1590</v>
      </c>
    </row>
    <row r="9" spans="1:25" x14ac:dyDescent="0.2">
      <c r="B9" t="s">
        <v>1435</v>
      </c>
      <c r="C9">
        <f>Calculation!F166</f>
        <v>450</v>
      </c>
      <c r="D9" t="s">
        <v>202</v>
      </c>
      <c r="J9" t="s">
        <v>1420</v>
      </c>
      <c r="L9" t="s">
        <v>1447</v>
      </c>
      <c r="N9" t="s">
        <v>1614</v>
      </c>
      <c r="P9" t="s">
        <v>1611</v>
      </c>
      <c r="Q9" t="s">
        <v>1489</v>
      </c>
      <c r="R9" t="s">
        <v>1507</v>
      </c>
      <c r="S9" t="s">
        <v>1525</v>
      </c>
      <c r="T9" t="s">
        <v>1543</v>
      </c>
      <c r="U9" t="s">
        <v>1561</v>
      </c>
      <c r="V9" t="s">
        <v>1573</v>
      </c>
      <c r="W9" t="s">
        <v>1589</v>
      </c>
      <c r="X9" t="s">
        <v>1599</v>
      </c>
    </row>
    <row r="10" spans="1:25" x14ac:dyDescent="0.2">
      <c r="A10" t="s">
        <v>1616</v>
      </c>
      <c r="B10" t="s">
        <v>1436</v>
      </c>
      <c r="C10">
        <f>Calculation!G161</f>
        <v>500</v>
      </c>
      <c r="D10" t="s">
        <v>202</v>
      </c>
      <c r="J10" t="s">
        <v>1421</v>
      </c>
      <c r="L10" t="s">
        <v>1448</v>
      </c>
      <c r="N10" t="s">
        <v>1615</v>
      </c>
      <c r="P10" t="s">
        <v>1600</v>
      </c>
      <c r="Q10" t="s">
        <v>1490</v>
      </c>
      <c r="R10" t="s">
        <v>1508</v>
      </c>
      <c r="S10" t="s">
        <v>1526</v>
      </c>
      <c r="T10" t="s">
        <v>1544</v>
      </c>
      <c r="U10" t="s">
        <v>1562</v>
      </c>
      <c r="V10" t="s">
        <v>1564</v>
      </c>
      <c r="W10" t="s">
        <v>1590</v>
      </c>
      <c r="X10" t="s">
        <v>1600</v>
      </c>
    </row>
    <row r="11" spans="1:25" x14ac:dyDescent="0.2">
      <c r="B11" t="s">
        <v>1435</v>
      </c>
      <c r="C11">
        <f>Calculation!G162</f>
        <v>900</v>
      </c>
      <c r="D11" t="s">
        <v>202</v>
      </c>
      <c r="J11" t="s">
        <v>1422</v>
      </c>
      <c r="L11" t="s">
        <v>1449</v>
      </c>
      <c r="N11" t="s">
        <v>1463</v>
      </c>
      <c r="P11" t="s">
        <v>1612</v>
      </c>
      <c r="Q11" t="s">
        <v>1491</v>
      </c>
      <c r="R11" t="s">
        <v>1509</v>
      </c>
      <c r="S11" t="s">
        <v>1527</v>
      </c>
      <c r="T11" t="s">
        <v>1545</v>
      </c>
      <c r="U11" t="s">
        <v>1563</v>
      </c>
      <c r="V11" t="s">
        <v>1574</v>
      </c>
      <c r="W11" t="s">
        <v>1591</v>
      </c>
      <c r="X11" t="s">
        <v>1601</v>
      </c>
    </row>
    <row r="12" spans="1:25" x14ac:dyDescent="0.2">
      <c r="A12" t="s">
        <v>1465</v>
      </c>
      <c r="J12" t="s">
        <v>1430</v>
      </c>
      <c r="L12" t="s">
        <v>1450</v>
      </c>
      <c r="N12" t="s">
        <v>1464</v>
      </c>
      <c r="P12" t="s">
        <v>1613</v>
      </c>
      <c r="Q12" t="s">
        <v>1492</v>
      </c>
      <c r="R12" t="s">
        <v>1510</v>
      </c>
      <c r="S12" t="s">
        <v>1528</v>
      </c>
      <c r="T12" t="s">
        <v>1546</v>
      </c>
      <c r="U12" t="s">
        <v>1564</v>
      </c>
      <c r="V12" t="s">
        <v>1566</v>
      </c>
      <c r="W12" t="s">
        <v>1576</v>
      </c>
      <c r="X12" t="s">
        <v>1602</v>
      </c>
    </row>
    <row r="13" spans="1:25" x14ac:dyDescent="0.2">
      <c r="A13" t="s">
        <v>1466</v>
      </c>
      <c r="B13" t="s">
        <v>1469</v>
      </c>
      <c r="C13">
        <f>'Earthquake &amp; wind'!K324</f>
        <v>23.497</v>
      </c>
      <c r="D13" t="s">
        <v>91</v>
      </c>
      <c r="J13" t="s">
        <v>1431</v>
      </c>
      <c r="L13" t="s">
        <v>1451</v>
      </c>
      <c r="N13" t="s">
        <v>1468</v>
      </c>
      <c r="Q13" t="s">
        <v>1493</v>
      </c>
      <c r="R13" t="s">
        <v>1511</v>
      </c>
      <c r="S13" t="s">
        <v>1529</v>
      </c>
      <c r="T13" t="s">
        <v>1547</v>
      </c>
      <c r="U13" t="s">
        <v>1565</v>
      </c>
      <c r="V13" t="s">
        <v>1575</v>
      </c>
      <c r="W13" t="s">
        <v>1592</v>
      </c>
      <c r="X13" t="s">
        <v>1603</v>
      </c>
    </row>
    <row r="14" spans="1:25" x14ac:dyDescent="0.2">
      <c r="A14" t="s">
        <v>1466</v>
      </c>
      <c r="B14" t="s">
        <v>1470</v>
      </c>
      <c r="C14">
        <f>'Earthquake &amp; wind'!K312</f>
        <v>11.768000000000001</v>
      </c>
      <c r="D14" t="s">
        <v>91</v>
      </c>
      <c r="J14" t="s">
        <v>1432</v>
      </c>
      <c r="L14" t="s">
        <v>1452</v>
      </c>
      <c r="N14" t="s">
        <v>1467</v>
      </c>
      <c r="Q14" t="s">
        <v>1494</v>
      </c>
      <c r="R14" t="s">
        <v>1512</v>
      </c>
      <c r="S14" t="s">
        <v>1530</v>
      </c>
      <c r="T14" t="s">
        <v>1548</v>
      </c>
      <c r="U14" t="s">
        <v>1566</v>
      </c>
      <c r="V14" t="s">
        <v>1576</v>
      </c>
      <c r="W14" t="s">
        <v>1578</v>
      </c>
      <c r="X14" t="s">
        <v>1604</v>
      </c>
    </row>
    <row r="15" spans="1:25" x14ac:dyDescent="0.2">
      <c r="A15" t="s">
        <v>1473</v>
      </c>
      <c r="B15" t="s">
        <v>1474</v>
      </c>
      <c r="C15">
        <f>'Earthquake &amp; wind'!K334</f>
        <v>1.748375</v>
      </c>
      <c r="D15" t="s">
        <v>1477</v>
      </c>
      <c r="J15" t="s">
        <v>1437</v>
      </c>
      <c r="L15" t="s">
        <v>1453</v>
      </c>
      <c r="N15" t="s">
        <v>1464</v>
      </c>
      <c r="Q15" t="s">
        <v>1495</v>
      </c>
      <c r="R15" t="s">
        <v>1513</v>
      </c>
      <c r="S15" t="s">
        <v>1531</v>
      </c>
      <c r="T15" t="s">
        <v>1549</v>
      </c>
      <c r="U15" t="s">
        <v>1567</v>
      </c>
      <c r="V15" t="s">
        <v>1577</v>
      </c>
      <c r="W15" t="s">
        <v>1593</v>
      </c>
      <c r="X15" t="s">
        <v>1605</v>
      </c>
    </row>
    <row r="16" spans="1:25" s="972" customFormat="1" x14ac:dyDescent="0.2">
      <c r="A16"/>
      <c r="B16" t="s">
        <v>1475</v>
      </c>
      <c r="C16">
        <f>'Earthquake &amp; wind'!K335</f>
        <v>5.39</v>
      </c>
      <c r="D16" t="s">
        <v>210</v>
      </c>
      <c r="E16"/>
      <c r="F16"/>
      <c r="G16"/>
      <c r="H16"/>
      <c r="I16"/>
      <c r="J16" t="s">
        <v>1438</v>
      </c>
      <c r="K16" t="s">
        <v>1439</v>
      </c>
      <c r="L16" t="s">
        <v>1454</v>
      </c>
      <c r="M16"/>
      <c r="N16" t="s">
        <v>1468</v>
      </c>
      <c r="O16"/>
      <c r="P16" s="974"/>
      <c r="Q16" s="974" t="s">
        <v>1496</v>
      </c>
      <c r="R16" t="s">
        <v>1514</v>
      </c>
      <c r="S16" t="s">
        <v>1532</v>
      </c>
      <c r="T16" t="s">
        <v>1550</v>
      </c>
      <c r="U16" t="s">
        <v>1552</v>
      </c>
      <c r="V16" t="s">
        <v>1578</v>
      </c>
      <c r="W16" t="s">
        <v>1580</v>
      </c>
      <c r="X16" t="s">
        <v>1606</v>
      </c>
      <c r="Y16" s="974"/>
    </row>
    <row r="17" spans="1:25" s="972" customFormat="1" x14ac:dyDescent="0.2">
      <c r="A17"/>
      <c r="B17" t="s">
        <v>1478</v>
      </c>
      <c r="C17">
        <f>'Earthquake &amp; wind'!K223</f>
        <v>0.11475200000000002</v>
      </c>
      <c r="D17" t="s">
        <v>91</v>
      </c>
      <c r="E17"/>
      <c r="F17"/>
      <c r="G17"/>
      <c r="H17"/>
      <c r="I17"/>
      <c r="J17" t="s">
        <v>1440</v>
      </c>
      <c r="K17"/>
      <c r="L17" t="s">
        <v>1455</v>
      </c>
      <c r="M17"/>
      <c r="N17" t="s">
        <v>1471</v>
      </c>
      <c r="O17"/>
      <c r="P17" s="974"/>
      <c r="Q17" s="974" t="s">
        <v>1497</v>
      </c>
      <c r="R17" t="s">
        <v>1515</v>
      </c>
      <c r="S17" t="s">
        <v>1533</v>
      </c>
      <c r="T17" t="s">
        <v>1551</v>
      </c>
      <c r="U17" t="s">
        <v>1568</v>
      </c>
      <c r="V17" t="s">
        <v>1579</v>
      </c>
      <c r="W17" t="s">
        <v>1594</v>
      </c>
      <c r="X17" t="s">
        <v>1607</v>
      </c>
      <c r="Y17" s="974"/>
    </row>
    <row r="18" spans="1:25" s="972" customFormat="1" x14ac:dyDescent="0.2">
      <c r="A18"/>
      <c r="B18" t="s">
        <v>1479</v>
      </c>
      <c r="C18">
        <f>'Earthquake &amp; wind'!K224</f>
        <v>0.1377024</v>
      </c>
      <c r="D18" t="s">
        <v>91</v>
      </c>
      <c r="E18"/>
      <c r="F18"/>
      <c r="G18"/>
      <c r="H18"/>
      <c r="I18"/>
      <c r="J18" t="s">
        <v>1618</v>
      </c>
      <c r="K18"/>
      <c r="L18" t="s">
        <v>1456</v>
      </c>
      <c r="M18"/>
      <c r="N18" t="s">
        <v>1472</v>
      </c>
      <c r="O18"/>
      <c r="P18" s="974"/>
      <c r="Q18" s="974" t="s">
        <v>1498</v>
      </c>
      <c r="R18" t="s">
        <v>1516</v>
      </c>
      <c r="S18" t="s">
        <v>1534</v>
      </c>
      <c r="T18" t="s">
        <v>1552</v>
      </c>
      <c r="U18" t="s">
        <v>1554</v>
      </c>
      <c r="V18" t="s">
        <v>1580</v>
      </c>
      <c r="W18" t="s">
        <v>1582</v>
      </c>
      <c r="X18" t="s">
        <v>1608</v>
      </c>
      <c r="Y18" s="974"/>
    </row>
    <row r="19" spans="1:25" s="972" customFormat="1" x14ac:dyDescent="0.2">
      <c r="A19" t="s">
        <v>1476</v>
      </c>
      <c r="B19"/>
      <c r="C19">
        <f>'Earthquake &amp; wind'!K322</f>
        <v>4.8473750000000004</v>
      </c>
      <c r="D19" t="s">
        <v>103</v>
      </c>
      <c r="E19"/>
      <c r="F19"/>
      <c r="G19"/>
      <c r="H19"/>
      <c r="I19"/>
      <c r="J19"/>
      <c r="K19"/>
      <c r="L19"/>
      <c r="M19"/>
      <c r="N19"/>
      <c r="O19"/>
      <c r="P19" s="974" t="s">
        <v>1628</v>
      </c>
      <c r="Q19" s="974" t="s">
        <v>1499</v>
      </c>
      <c r="R19" t="s">
        <v>1517</v>
      </c>
      <c r="S19" t="s">
        <v>1535</v>
      </c>
      <c r="T19" t="s">
        <v>1553</v>
      </c>
      <c r="U19" t="s">
        <v>1569</v>
      </c>
      <c r="V19" t="s">
        <v>1581</v>
      </c>
      <c r="W19" t="s">
        <v>1595</v>
      </c>
      <c r="X19" s="974"/>
      <c r="Y19" s="974"/>
    </row>
    <row r="20" spans="1:25" x14ac:dyDescent="0.2">
      <c r="C20">
        <f>'Earthquake &amp; wind'!K323</f>
        <v>12.32</v>
      </c>
      <c r="D20" t="s">
        <v>210</v>
      </c>
      <c r="P20" t="s">
        <v>1472</v>
      </c>
      <c r="Q20" t="s">
        <v>1500</v>
      </c>
      <c r="R20" t="s">
        <v>1518</v>
      </c>
      <c r="S20" t="s">
        <v>1536</v>
      </c>
      <c r="T20" t="s">
        <v>1554</v>
      </c>
      <c r="U20" t="s">
        <v>1556</v>
      </c>
      <c r="V20" t="s">
        <v>1582</v>
      </c>
      <c r="W20" t="s">
        <v>1584</v>
      </c>
    </row>
    <row r="21" spans="1:25" s="972" customFormat="1" x14ac:dyDescent="0.2"/>
    <row r="22" spans="1:25" x14ac:dyDescent="0.2">
      <c r="A22" t="s">
        <v>1414</v>
      </c>
      <c r="T22" s="972"/>
    </row>
    <row r="23" spans="1:25" x14ac:dyDescent="0.2">
      <c r="A23" t="s">
        <v>1415</v>
      </c>
      <c r="T23" s="972"/>
      <c r="X23" s="973"/>
    </row>
    <row r="24" spans="1:25" x14ac:dyDescent="0.2">
      <c r="A24" t="s">
        <v>1416</v>
      </c>
      <c r="T24" s="972"/>
    </row>
    <row r="25" spans="1:25" x14ac:dyDescent="0.2">
      <c r="A25" t="s">
        <v>1417</v>
      </c>
      <c r="T25" s="972"/>
    </row>
    <row r="26" spans="1:25" x14ac:dyDescent="0.2">
      <c r="A26" t="s">
        <v>1418</v>
      </c>
      <c r="T26" s="972"/>
    </row>
    <row r="27" spans="1:25" x14ac:dyDescent="0.2">
      <c r="A27" t="s">
        <v>1419</v>
      </c>
      <c r="T27" s="972"/>
    </row>
    <row r="28" spans="1:25" x14ac:dyDescent="0.2">
      <c r="A28" t="s">
        <v>1420</v>
      </c>
      <c r="T28" s="972"/>
    </row>
    <row r="29" spans="1:25" x14ac:dyDescent="0.2">
      <c r="A29" t="s">
        <v>1421</v>
      </c>
      <c r="T29" s="972"/>
    </row>
    <row r="30" spans="1:25" x14ac:dyDescent="0.2">
      <c r="A30" t="s">
        <v>1422</v>
      </c>
      <c r="T30" s="972"/>
    </row>
    <row r="31" spans="1:25" x14ac:dyDescent="0.2">
      <c r="A31">
        <v>1</v>
      </c>
      <c r="B31">
        <v>3.55</v>
      </c>
      <c r="C31">
        <v>-3</v>
      </c>
      <c r="D31">
        <v>0</v>
      </c>
      <c r="E31" t="s">
        <v>1429</v>
      </c>
      <c r="T31" s="972"/>
    </row>
    <row r="32" spans="1:25" x14ac:dyDescent="0.2">
      <c r="A32">
        <v>2</v>
      </c>
      <c r="B32">
        <v>3.55</v>
      </c>
      <c r="C32">
        <v>-3</v>
      </c>
      <c r="D32">
        <v>45</v>
      </c>
      <c r="E32" t="s">
        <v>1429</v>
      </c>
      <c r="T32" s="972"/>
    </row>
    <row r="33" spans="1:20" x14ac:dyDescent="0.2">
      <c r="A33">
        <v>3</v>
      </c>
      <c r="B33">
        <v>3.55</v>
      </c>
      <c r="C33">
        <v>-3</v>
      </c>
      <c r="D33">
        <v>90</v>
      </c>
      <c r="E33" t="s">
        <v>1429</v>
      </c>
      <c r="J33" s="973"/>
      <c r="T33" s="972"/>
    </row>
    <row r="34" spans="1:20" x14ac:dyDescent="0.2">
      <c r="A34">
        <v>4</v>
      </c>
      <c r="B34">
        <v>3.55</v>
      </c>
      <c r="C34">
        <v>-3</v>
      </c>
      <c r="D34">
        <v>135</v>
      </c>
      <c r="E34" t="s">
        <v>1429</v>
      </c>
      <c r="T34" s="972"/>
    </row>
    <row r="35" spans="1:20" x14ac:dyDescent="0.2">
      <c r="A35">
        <v>5</v>
      </c>
      <c r="B35">
        <v>3.55</v>
      </c>
      <c r="C35">
        <v>-3</v>
      </c>
      <c r="D35">
        <v>180</v>
      </c>
      <c r="E35" t="s">
        <v>1429</v>
      </c>
      <c r="T35" s="972"/>
    </row>
    <row r="36" spans="1:20" x14ac:dyDescent="0.2">
      <c r="A36">
        <v>6</v>
      </c>
      <c r="B36">
        <v>3.55</v>
      </c>
      <c r="C36">
        <v>-3</v>
      </c>
      <c r="D36">
        <v>225</v>
      </c>
      <c r="E36" t="s">
        <v>1429</v>
      </c>
      <c r="T36" s="972"/>
    </row>
    <row r="37" spans="1:20" x14ac:dyDescent="0.2">
      <c r="A37">
        <v>7</v>
      </c>
      <c r="B37">
        <v>3.55</v>
      </c>
      <c r="C37">
        <v>-3</v>
      </c>
      <c r="D37">
        <v>270</v>
      </c>
      <c r="E37" t="s">
        <v>1429</v>
      </c>
      <c r="T37" s="972"/>
    </row>
    <row r="38" spans="1:20" x14ac:dyDescent="0.2">
      <c r="A38">
        <v>8</v>
      </c>
      <c r="B38">
        <v>3.55</v>
      </c>
      <c r="C38">
        <v>-3</v>
      </c>
      <c r="D38">
        <v>315</v>
      </c>
      <c r="E38" t="s">
        <v>1429</v>
      </c>
      <c r="T38" s="972"/>
    </row>
    <row r="39" spans="1:20" x14ac:dyDescent="0.2">
      <c r="A39">
        <v>9</v>
      </c>
      <c r="B39">
        <v>3.55</v>
      </c>
      <c r="C39">
        <v>0</v>
      </c>
      <c r="D39">
        <v>360</v>
      </c>
      <c r="E39" t="s">
        <v>1429</v>
      </c>
      <c r="T39" s="972"/>
    </row>
    <row r="40" spans="1:20" x14ac:dyDescent="0.2">
      <c r="A40">
        <v>10</v>
      </c>
      <c r="B40">
        <v>3.55</v>
      </c>
      <c r="C40">
        <v>0</v>
      </c>
      <c r="D40">
        <v>405</v>
      </c>
      <c r="E40" t="s">
        <v>1429</v>
      </c>
      <c r="T40" s="972"/>
    </row>
    <row r="41" spans="1:20" x14ac:dyDescent="0.2">
      <c r="A41">
        <v>11</v>
      </c>
      <c r="B41">
        <v>3.55</v>
      </c>
      <c r="C41">
        <v>0</v>
      </c>
      <c r="D41">
        <v>450</v>
      </c>
      <c r="E41" t="s">
        <v>1429</v>
      </c>
      <c r="T41" s="972"/>
    </row>
    <row r="42" spans="1:20" x14ac:dyDescent="0.2">
      <c r="A42">
        <v>12</v>
      </c>
      <c r="B42">
        <v>3.55</v>
      </c>
      <c r="C42">
        <v>0</v>
      </c>
      <c r="D42">
        <v>495</v>
      </c>
      <c r="E42" t="s">
        <v>1429</v>
      </c>
      <c r="T42" s="972"/>
    </row>
    <row r="43" spans="1:20" x14ac:dyDescent="0.2">
      <c r="A43">
        <v>13</v>
      </c>
      <c r="B43">
        <v>3.55</v>
      </c>
      <c r="C43">
        <v>0</v>
      </c>
      <c r="D43">
        <v>540</v>
      </c>
      <c r="E43" t="s">
        <v>1429</v>
      </c>
      <c r="T43" s="972"/>
    </row>
    <row r="44" spans="1:20" x14ac:dyDescent="0.2">
      <c r="A44">
        <v>14</v>
      </c>
      <c r="B44">
        <v>3.55</v>
      </c>
      <c r="C44">
        <v>0</v>
      </c>
      <c r="D44">
        <v>585</v>
      </c>
      <c r="E44" t="s">
        <v>1429</v>
      </c>
      <c r="T44" s="972"/>
    </row>
    <row r="45" spans="1:20" x14ac:dyDescent="0.2">
      <c r="A45">
        <v>15</v>
      </c>
      <c r="B45">
        <v>3.55</v>
      </c>
      <c r="C45">
        <v>0</v>
      </c>
      <c r="D45">
        <v>630</v>
      </c>
      <c r="E45" t="s">
        <v>1429</v>
      </c>
      <c r="T45" s="972"/>
    </row>
    <row r="46" spans="1:20" x14ac:dyDescent="0.2">
      <c r="A46">
        <v>16</v>
      </c>
      <c r="B46">
        <v>3.55</v>
      </c>
      <c r="C46">
        <v>0</v>
      </c>
      <c r="D46">
        <v>675</v>
      </c>
      <c r="E46" t="s">
        <v>1429</v>
      </c>
      <c r="T46" s="972"/>
    </row>
    <row r="47" spans="1:20" x14ac:dyDescent="0.2">
      <c r="A47">
        <v>17</v>
      </c>
      <c r="B47">
        <v>3.55</v>
      </c>
      <c r="C47">
        <v>3.3333333333333335</v>
      </c>
      <c r="D47">
        <v>720</v>
      </c>
      <c r="E47" t="s">
        <v>1429</v>
      </c>
      <c r="T47" s="972"/>
    </row>
    <row r="48" spans="1:20" x14ac:dyDescent="0.2">
      <c r="A48">
        <v>18</v>
      </c>
      <c r="B48">
        <v>3.55</v>
      </c>
      <c r="C48">
        <v>3.3333333333333335</v>
      </c>
      <c r="D48">
        <v>765</v>
      </c>
      <c r="E48" t="s">
        <v>1429</v>
      </c>
      <c r="T48" s="972"/>
    </row>
    <row r="49" spans="1:20" x14ac:dyDescent="0.2">
      <c r="A49">
        <v>19</v>
      </c>
      <c r="B49">
        <v>3.55</v>
      </c>
      <c r="C49">
        <v>3.3333333333333335</v>
      </c>
      <c r="D49">
        <v>810</v>
      </c>
      <c r="E49" t="s">
        <v>1429</v>
      </c>
      <c r="T49" s="972"/>
    </row>
    <row r="50" spans="1:20" x14ac:dyDescent="0.2">
      <c r="A50">
        <v>20</v>
      </c>
      <c r="B50">
        <v>3.55</v>
      </c>
      <c r="C50">
        <v>3.3333333333333335</v>
      </c>
      <c r="D50">
        <v>855</v>
      </c>
      <c r="E50" t="s">
        <v>1429</v>
      </c>
      <c r="T50" s="972"/>
    </row>
    <row r="51" spans="1:20" x14ac:dyDescent="0.2">
      <c r="A51">
        <v>21</v>
      </c>
      <c r="B51">
        <v>3.55</v>
      </c>
      <c r="C51">
        <v>3.3333333333333335</v>
      </c>
      <c r="D51">
        <v>900</v>
      </c>
      <c r="E51" t="s">
        <v>1429</v>
      </c>
      <c r="T51" s="972"/>
    </row>
    <row r="52" spans="1:20" x14ac:dyDescent="0.2">
      <c r="A52">
        <v>22</v>
      </c>
      <c r="B52">
        <v>3.55</v>
      </c>
      <c r="C52">
        <v>3.3333333333333335</v>
      </c>
      <c r="D52">
        <v>945</v>
      </c>
      <c r="E52" t="s">
        <v>1429</v>
      </c>
      <c r="T52" s="972"/>
    </row>
    <row r="53" spans="1:20" x14ac:dyDescent="0.2">
      <c r="A53">
        <v>23</v>
      </c>
      <c r="B53">
        <v>3.55</v>
      </c>
      <c r="C53">
        <v>3.3333333333333335</v>
      </c>
      <c r="D53">
        <v>990</v>
      </c>
      <c r="E53" t="s">
        <v>1429</v>
      </c>
      <c r="T53" s="972"/>
    </row>
    <row r="54" spans="1:20" x14ac:dyDescent="0.2">
      <c r="A54">
        <v>24</v>
      </c>
      <c r="B54">
        <v>3.55</v>
      </c>
      <c r="C54">
        <v>3.3333333333333335</v>
      </c>
      <c r="D54">
        <v>1035</v>
      </c>
      <c r="E54" t="s">
        <v>1429</v>
      </c>
      <c r="T54" s="972"/>
    </row>
    <row r="55" spans="1:20" x14ac:dyDescent="0.2">
      <c r="A55">
        <v>25</v>
      </c>
      <c r="B55">
        <v>3.55</v>
      </c>
      <c r="C55">
        <v>6.666666666666667</v>
      </c>
      <c r="D55">
        <v>1080</v>
      </c>
      <c r="E55" t="s">
        <v>1429</v>
      </c>
      <c r="T55" s="972"/>
    </row>
    <row r="56" spans="1:20" x14ac:dyDescent="0.2">
      <c r="A56">
        <v>26</v>
      </c>
      <c r="B56">
        <v>3.55</v>
      </c>
      <c r="C56">
        <v>6.666666666666667</v>
      </c>
      <c r="D56">
        <v>1125</v>
      </c>
      <c r="E56" t="s">
        <v>1429</v>
      </c>
      <c r="T56" s="972"/>
    </row>
    <row r="57" spans="1:20" x14ac:dyDescent="0.2">
      <c r="A57">
        <v>27</v>
      </c>
      <c r="B57">
        <v>3.55</v>
      </c>
      <c r="C57">
        <v>6.666666666666667</v>
      </c>
      <c r="D57">
        <v>1170</v>
      </c>
      <c r="E57" t="s">
        <v>1429</v>
      </c>
      <c r="T57" s="972"/>
    </row>
    <row r="58" spans="1:20" x14ac:dyDescent="0.2">
      <c r="A58">
        <v>28</v>
      </c>
      <c r="B58">
        <v>3.55</v>
      </c>
      <c r="C58">
        <v>6.666666666666667</v>
      </c>
      <c r="D58">
        <v>1215</v>
      </c>
      <c r="E58" t="s">
        <v>1429</v>
      </c>
      <c r="T58" s="972"/>
    </row>
    <row r="59" spans="1:20" x14ac:dyDescent="0.2">
      <c r="A59">
        <v>29</v>
      </c>
      <c r="B59">
        <v>3.55</v>
      </c>
      <c r="C59">
        <v>6.666666666666667</v>
      </c>
      <c r="D59">
        <v>1260</v>
      </c>
      <c r="E59" t="s">
        <v>1429</v>
      </c>
      <c r="T59" s="972"/>
    </row>
    <row r="60" spans="1:20" x14ac:dyDescent="0.2">
      <c r="A60">
        <v>30</v>
      </c>
      <c r="B60">
        <v>3.55</v>
      </c>
      <c r="C60">
        <v>6.666666666666667</v>
      </c>
      <c r="D60">
        <v>1305</v>
      </c>
      <c r="E60" t="s">
        <v>1429</v>
      </c>
      <c r="T60" s="972"/>
    </row>
    <row r="61" spans="1:20" x14ac:dyDescent="0.2">
      <c r="A61">
        <v>31</v>
      </c>
      <c r="B61">
        <v>3.55</v>
      </c>
      <c r="C61">
        <v>6.666666666666667</v>
      </c>
      <c r="D61">
        <v>1350</v>
      </c>
      <c r="E61" t="s">
        <v>1429</v>
      </c>
      <c r="T61" s="972"/>
    </row>
    <row r="62" spans="1:20" x14ac:dyDescent="0.2">
      <c r="A62">
        <v>32</v>
      </c>
      <c r="B62">
        <v>3.55</v>
      </c>
      <c r="C62">
        <v>6.666666666666667</v>
      </c>
      <c r="D62">
        <v>1395</v>
      </c>
      <c r="E62" t="s">
        <v>1429</v>
      </c>
      <c r="T62" s="972"/>
    </row>
    <row r="63" spans="1:20" x14ac:dyDescent="0.2">
      <c r="A63">
        <v>33</v>
      </c>
      <c r="B63">
        <v>3.55</v>
      </c>
      <c r="C63">
        <v>10</v>
      </c>
      <c r="D63">
        <v>1440</v>
      </c>
      <c r="E63" t="s">
        <v>1429</v>
      </c>
      <c r="T63" s="972"/>
    </row>
    <row r="64" spans="1:20" x14ac:dyDescent="0.2">
      <c r="A64">
        <v>34</v>
      </c>
      <c r="B64">
        <v>3.55</v>
      </c>
      <c r="C64">
        <v>10</v>
      </c>
      <c r="D64">
        <v>1485</v>
      </c>
      <c r="E64" t="s">
        <v>1429</v>
      </c>
      <c r="T64" s="972"/>
    </row>
    <row r="65" spans="1:20" x14ac:dyDescent="0.2">
      <c r="A65">
        <v>35</v>
      </c>
      <c r="B65">
        <v>3.55</v>
      </c>
      <c r="C65">
        <v>10</v>
      </c>
      <c r="D65">
        <v>1530</v>
      </c>
      <c r="E65" t="s">
        <v>1429</v>
      </c>
      <c r="T65" s="972"/>
    </row>
    <row r="66" spans="1:20" x14ac:dyDescent="0.2">
      <c r="A66">
        <v>36</v>
      </c>
      <c r="B66">
        <v>3.55</v>
      </c>
      <c r="C66">
        <v>10</v>
      </c>
      <c r="D66">
        <v>1575</v>
      </c>
      <c r="E66" t="s">
        <v>1429</v>
      </c>
      <c r="T66" s="972"/>
    </row>
    <row r="67" spans="1:20" x14ac:dyDescent="0.2">
      <c r="A67">
        <v>37</v>
      </c>
      <c r="B67">
        <v>3.55</v>
      </c>
      <c r="C67">
        <v>10</v>
      </c>
      <c r="D67">
        <v>1620</v>
      </c>
      <c r="E67" t="s">
        <v>1429</v>
      </c>
      <c r="T67" s="972"/>
    </row>
    <row r="68" spans="1:20" x14ac:dyDescent="0.2">
      <c r="A68">
        <v>38</v>
      </c>
      <c r="B68">
        <v>3.55</v>
      </c>
      <c r="C68">
        <v>10</v>
      </c>
      <c r="D68">
        <v>1665</v>
      </c>
      <c r="E68" t="s">
        <v>1429</v>
      </c>
      <c r="T68" s="972"/>
    </row>
    <row r="69" spans="1:20" x14ac:dyDescent="0.2">
      <c r="A69">
        <v>39</v>
      </c>
      <c r="B69">
        <v>3.55</v>
      </c>
      <c r="C69">
        <v>10</v>
      </c>
      <c r="D69">
        <v>1710</v>
      </c>
      <c r="E69" t="s">
        <v>1429</v>
      </c>
      <c r="T69" s="972"/>
    </row>
    <row r="70" spans="1:20" x14ac:dyDescent="0.2">
      <c r="A70">
        <v>40</v>
      </c>
      <c r="B70">
        <v>3.55</v>
      </c>
      <c r="C70">
        <v>10</v>
      </c>
      <c r="D70">
        <v>1755</v>
      </c>
      <c r="E70" t="s">
        <v>1429</v>
      </c>
      <c r="T70" s="972"/>
    </row>
    <row r="71" spans="1:20" x14ac:dyDescent="0.2">
      <c r="A71">
        <v>41</v>
      </c>
      <c r="B71">
        <v>0</v>
      </c>
      <c r="C71">
        <v>12.541</v>
      </c>
      <c r="D71">
        <v>0</v>
      </c>
      <c r="E71" t="s">
        <v>1429</v>
      </c>
      <c r="T71" s="972"/>
    </row>
    <row r="72" spans="1:20" x14ac:dyDescent="0.2">
      <c r="A72" t="s">
        <v>1430</v>
      </c>
      <c r="T72" s="972"/>
    </row>
    <row r="73" spans="1:20" x14ac:dyDescent="0.2">
      <c r="A73" t="s">
        <v>1431</v>
      </c>
      <c r="T73" s="972"/>
    </row>
    <row r="74" spans="1:20" x14ac:dyDescent="0.2">
      <c r="A74">
        <v>1</v>
      </c>
      <c r="B74">
        <v>1</v>
      </c>
      <c r="C74">
        <v>9</v>
      </c>
      <c r="D74" t="s">
        <v>1429</v>
      </c>
      <c r="T74" s="972"/>
    </row>
    <row r="75" spans="1:20" x14ac:dyDescent="0.2">
      <c r="A75">
        <v>2</v>
      </c>
      <c r="B75">
        <v>2</v>
      </c>
      <c r="C75">
        <v>10</v>
      </c>
      <c r="D75" t="s">
        <v>1429</v>
      </c>
      <c r="T75" s="972"/>
    </row>
    <row r="76" spans="1:20" x14ac:dyDescent="0.2">
      <c r="A76">
        <v>3</v>
      </c>
      <c r="B76">
        <v>3</v>
      </c>
      <c r="C76">
        <v>11</v>
      </c>
      <c r="D76" t="s">
        <v>1429</v>
      </c>
      <c r="T76" s="972"/>
    </row>
    <row r="77" spans="1:20" x14ac:dyDescent="0.2">
      <c r="A77">
        <v>4</v>
      </c>
      <c r="B77">
        <v>4</v>
      </c>
      <c r="C77">
        <v>12</v>
      </c>
      <c r="D77" t="s">
        <v>1429</v>
      </c>
      <c r="T77" s="972"/>
    </row>
    <row r="78" spans="1:20" x14ac:dyDescent="0.2">
      <c r="A78">
        <v>5</v>
      </c>
      <c r="B78">
        <v>5</v>
      </c>
      <c r="C78">
        <v>13</v>
      </c>
      <c r="D78" t="s">
        <v>1429</v>
      </c>
      <c r="T78" s="972"/>
    </row>
    <row r="79" spans="1:20" x14ac:dyDescent="0.2">
      <c r="A79">
        <v>6</v>
      </c>
      <c r="B79">
        <v>6</v>
      </c>
      <c r="C79">
        <v>14</v>
      </c>
      <c r="D79" t="s">
        <v>1429</v>
      </c>
      <c r="T79" s="972"/>
    </row>
    <row r="80" spans="1:20" x14ac:dyDescent="0.2">
      <c r="A80">
        <v>7</v>
      </c>
      <c r="B80">
        <v>7</v>
      </c>
      <c r="C80">
        <v>15</v>
      </c>
      <c r="D80" t="s">
        <v>1429</v>
      </c>
      <c r="T80" s="972"/>
    </row>
    <row r="81" spans="1:20" x14ac:dyDescent="0.2">
      <c r="A81">
        <v>8</v>
      </c>
      <c r="B81">
        <v>8</v>
      </c>
      <c r="C81">
        <v>16</v>
      </c>
      <c r="D81" t="s">
        <v>1429</v>
      </c>
      <c r="T81" s="972"/>
    </row>
    <row r="82" spans="1:20" x14ac:dyDescent="0.2">
      <c r="A82">
        <v>9</v>
      </c>
      <c r="B82">
        <v>9</v>
      </c>
      <c r="C82">
        <v>17</v>
      </c>
      <c r="D82" t="s">
        <v>1429</v>
      </c>
      <c r="T82" s="972"/>
    </row>
    <row r="83" spans="1:20" x14ac:dyDescent="0.2">
      <c r="A83">
        <v>10</v>
      </c>
      <c r="B83">
        <v>10</v>
      </c>
      <c r="C83">
        <v>18</v>
      </c>
      <c r="D83" t="s">
        <v>1429</v>
      </c>
      <c r="T83" s="972"/>
    </row>
    <row r="84" spans="1:20" x14ac:dyDescent="0.2">
      <c r="A84">
        <v>11</v>
      </c>
      <c r="B84">
        <v>11</v>
      </c>
      <c r="C84">
        <v>19</v>
      </c>
      <c r="D84" t="s">
        <v>1429</v>
      </c>
      <c r="T84" s="972"/>
    </row>
    <row r="85" spans="1:20" x14ac:dyDescent="0.2">
      <c r="A85">
        <v>12</v>
      </c>
      <c r="B85">
        <v>12</v>
      </c>
      <c r="C85">
        <v>20</v>
      </c>
      <c r="D85" t="s">
        <v>1429</v>
      </c>
      <c r="T85" s="972"/>
    </row>
    <row r="86" spans="1:20" x14ac:dyDescent="0.2">
      <c r="A86">
        <v>13</v>
      </c>
      <c r="B86">
        <v>13</v>
      </c>
      <c r="C86">
        <v>21</v>
      </c>
      <c r="D86" t="s">
        <v>1429</v>
      </c>
      <c r="T86" s="972"/>
    </row>
    <row r="87" spans="1:20" x14ac:dyDescent="0.2">
      <c r="A87">
        <v>14</v>
      </c>
      <c r="B87">
        <v>14</v>
      </c>
      <c r="C87">
        <v>22</v>
      </c>
      <c r="D87" t="s">
        <v>1429</v>
      </c>
      <c r="T87" s="972"/>
    </row>
    <row r="88" spans="1:20" x14ac:dyDescent="0.2">
      <c r="A88">
        <v>15</v>
      </c>
      <c r="B88">
        <v>15</v>
      </c>
      <c r="C88">
        <v>23</v>
      </c>
      <c r="D88" t="s">
        <v>1429</v>
      </c>
      <c r="T88" s="972"/>
    </row>
    <row r="89" spans="1:20" x14ac:dyDescent="0.2">
      <c r="A89">
        <v>16</v>
      </c>
      <c r="B89">
        <v>16</v>
      </c>
      <c r="C89">
        <v>24</v>
      </c>
      <c r="D89" t="s">
        <v>1429</v>
      </c>
      <c r="T89" s="972"/>
    </row>
    <row r="90" spans="1:20" x14ac:dyDescent="0.2">
      <c r="A90">
        <v>17</v>
      </c>
      <c r="B90">
        <v>17</v>
      </c>
      <c r="C90">
        <v>25</v>
      </c>
      <c r="D90" t="s">
        <v>1429</v>
      </c>
      <c r="T90" s="972"/>
    </row>
    <row r="91" spans="1:20" x14ac:dyDescent="0.2">
      <c r="A91">
        <v>18</v>
      </c>
      <c r="B91">
        <v>18</v>
      </c>
      <c r="C91">
        <v>26</v>
      </c>
      <c r="D91" t="s">
        <v>1429</v>
      </c>
      <c r="T91" s="972"/>
    </row>
    <row r="92" spans="1:20" x14ac:dyDescent="0.2">
      <c r="A92">
        <v>19</v>
      </c>
      <c r="B92">
        <v>19</v>
      </c>
      <c r="C92">
        <v>27</v>
      </c>
      <c r="D92" t="s">
        <v>1429</v>
      </c>
      <c r="T92" s="972"/>
    </row>
    <row r="93" spans="1:20" x14ac:dyDescent="0.2">
      <c r="A93">
        <v>20</v>
      </c>
      <c r="B93">
        <v>20</v>
      </c>
      <c r="C93">
        <v>28</v>
      </c>
      <c r="D93" t="s">
        <v>1429</v>
      </c>
      <c r="T93" s="972"/>
    </row>
    <row r="94" spans="1:20" x14ac:dyDescent="0.2">
      <c r="A94">
        <v>21</v>
      </c>
      <c r="B94">
        <v>21</v>
      </c>
      <c r="C94">
        <v>29</v>
      </c>
      <c r="D94" t="s">
        <v>1429</v>
      </c>
      <c r="T94" s="972"/>
    </row>
    <row r="95" spans="1:20" x14ac:dyDescent="0.2">
      <c r="A95">
        <v>22</v>
      </c>
      <c r="B95">
        <v>22</v>
      </c>
      <c r="C95">
        <v>30</v>
      </c>
      <c r="D95" t="s">
        <v>1429</v>
      </c>
      <c r="T95" s="972"/>
    </row>
    <row r="96" spans="1:20" x14ac:dyDescent="0.2">
      <c r="A96">
        <v>23</v>
      </c>
      <c r="B96">
        <v>23</v>
      </c>
      <c r="C96">
        <v>31</v>
      </c>
      <c r="D96" t="s">
        <v>1429</v>
      </c>
      <c r="T96" s="972"/>
    </row>
    <row r="97" spans="1:20" x14ac:dyDescent="0.2">
      <c r="A97">
        <v>24</v>
      </c>
      <c r="B97">
        <v>24</v>
      </c>
      <c r="C97">
        <v>32</v>
      </c>
      <c r="D97" t="s">
        <v>1429</v>
      </c>
      <c r="T97" s="972"/>
    </row>
    <row r="98" spans="1:20" x14ac:dyDescent="0.2">
      <c r="A98">
        <v>25</v>
      </c>
      <c r="B98">
        <v>25</v>
      </c>
      <c r="C98">
        <v>33</v>
      </c>
      <c r="D98" t="s">
        <v>1429</v>
      </c>
      <c r="T98" s="972"/>
    </row>
    <row r="99" spans="1:20" x14ac:dyDescent="0.2">
      <c r="A99">
        <v>26</v>
      </c>
      <c r="B99">
        <v>26</v>
      </c>
      <c r="C99">
        <v>34</v>
      </c>
      <c r="D99" t="s">
        <v>1429</v>
      </c>
      <c r="T99" s="972"/>
    </row>
    <row r="100" spans="1:20" x14ac:dyDescent="0.2">
      <c r="A100">
        <v>27</v>
      </c>
      <c r="B100">
        <v>27</v>
      </c>
      <c r="C100">
        <v>35</v>
      </c>
      <c r="D100" t="s">
        <v>1429</v>
      </c>
      <c r="T100" s="972"/>
    </row>
    <row r="101" spans="1:20" x14ac:dyDescent="0.2">
      <c r="A101">
        <v>28</v>
      </c>
      <c r="B101">
        <v>28</v>
      </c>
      <c r="C101">
        <v>36</v>
      </c>
      <c r="D101" t="s">
        <v>1429</v>
      </c>
      <c r="T101" s="972"/>
    </row>
    <row r="102" spans="1:20" x14ac:dyDescent="0.2">
      <c r="A102">
        <v>29</v>
      </c>
      <c r="B102">
        <v>29</v>
      </c>
      <c r="C102">
        <v>37</v>
      </c>
      <c r="D102" t="s">
        <v>1429</v>
      </c>
      <c r="T102" s="972"/>
    </row>
    <row r="103" spans="1:20" x14ac:dyDescent="0.2">
      <c r="A103">
        <v>30</v>
      </c>
      <c r="B103">
        <v>30</v>
      </c>
      <c r="C103">
        <v>38</v>
      </c>
      <c r="D103" t="s">
        <v>1429</v>
      </c>
      <c r="T103" s="972"/>
    </row>
    <row r="104" spans="1:20" x14ac:dyDescent="0.2">
      <c r="A104">
        <v>31</v>
      </c>
      <c r="B104">
        <v>31</v>
      </c>
      <c r="C104">
        <v>39</v>
      </c>
      <c r="D104" t="s">
        <v>1429</v>
      </c>
      <c r="T104" s="972"/>
    </row>
    <row r="105" spans="1:20" x14ac:dyDescent="0.2">
      <c r="A105">
        <v>32</v>
      </c>
      <c r="B105">
        <v>32</v>
      </c>
      <c r="C105">
        <v>40</v>
      </c>
      <c r="D105" t="s">
        <v>1429</v>
      </c>
      <c r="T105" s="972"/>
    </row>
    <row r="106" spans="1:20" x14ac:dyDescent="0.2">
      <c r="A106" t="s">
        <v>1432</v>
      </c>
      <c r="T106" s="972"/>
    </row>
    <row r="107" spans="1:20" x14ac:dyDescent="0.2">
      <c r="A107">
        <v>33</v>
      </c>
      <c r="B107">
        <v>9</v>
      </c>
      <c r="C107">
        <v>10</v>
      </c>
      <c r="D107" t="s">
        <v>1429</v>
      </c>
      <c r="Q107" s="973"/>
      <c r="R107" s="973"/>
      <c r="S107" s="973"/>
      <c r="T107" s="975"/>
    </row>
    <row r="108" spans="1:20" x14ac:dyDescent="0.2">
      <c r="A108">
        <v>34</v>
      </c>
      <c r="B108">
        <v>10</v>
      </c>
      <c r="C108">
        <v>11</v>
      </c>
      <c r="D108" t="s">
        <v>1429</v>
      </c>
      <c r="Q108" s="973"/>
      <c r="R108" s="973"/>
      <c r="S108" s="973"/>
      <c r="T108" s="975"/>
    </row>
    <row r="109" spans="1:20" x14ac:dyDescent="0.2">
      <c r="A109">
        <v>35</v>
      </c>
      <c r="B109">
        <v>11</v>
      </c>
      <c r="C109">
        <v>12</v>
      </c>
      <c r="D109" t="s">
        <v>1429</v>
      </c>
      <c r="Q109" s="973"/>
      <c r="R109" s="973"/>
      <c r="S109" s="973"/>
      <c r="T109" s="975"/>
    </row>
    <row r="110" spans="1:20" x14ac:dyDescent="0.2">
      <c r="A110">
        <v>36</v>
      </c>
      <c r="B110">
        <v>12</v>
      </c>
      <c r="C110">
        <v>13</v>
      </c>
      <c r="D110" t="s">
        <v>1429</v>
      </c>
      <c r="Q110" s="973"/>
      <c r="R110" s="973"/>
      <c r="S110" s="973"/>
      <c r="T110" s="975"/>
    </row>
    <row r="111" spans="1:20" x14ac:dyDescent="0.2">
      <c r="A111">
        <v>37</v>
      </c>
      <c r="B111">
        <v>13</v>
      </c>
      <c r="C111">
        <v>14</v>
      </c>
      <c r="D111" t="s">
        <v>1429</v>
      </c>
      <c r="Q111" s="973"/>
      <c r="R111" s="973"/>
      <c r="S111" s="973"/>
      <c r="T111" s="975"/>
    </row>
    <row r="112" spans="1:20" x14ac:dyDescent="0.2">
      <c r="A112">
        <v>38</v>
      </c>
      <c r="B112">
        <v>14</v>
      </c>
      <c r="C112">
        <v>15</v>
      </c>
      <c r="D112" t="s">
        <v>1429</v>
      </c>
      <c r="Q112" s="973"/>
      <c r="R112" s="973"/>
      <c r="S112" s="973"/>
      <c r="T112" s="975"/>
    </row>
    <row r="113" spans="1:20" x14ac:dyDescent="0.2">
      <c r="A113">
        <v>39</v>
      </c>
      <c r="B113">
        <v>15</v>
      </c>
      <c r="C113">
        <v>16</v>
      </c>
      <c r="D113" t="s">
        <v>1429</v>
      </c>
      <c r="Q113" s="973"/>
      <c r="R113" s="973"/>
      <c r="S113" s="973"/>
      <c r="T113" s="975"/>
    </row>
    <row r="114" spans="1:20" x14ac:dyDescent="0.2">
      <c r="A114">
        <v>40</v>
      </c>
      <c r="B114">
        <v>16</v>
      </c>
      <c r="C114">
        <v>9</v>
      </c>
      <c r="D114" t="s">
        <v>1429</v>
      </c>
      <c r="Q114" s="973"/>
      <c r="R114" s="973"/>
      <c r="S114" s="973"/>
      <c r="T114" s="975"/>
    </row>
    <row r="115" spans="1:20" x14ac:dyDescent="0.2">
      <c r="A115">
        <v>41</v>
      </c>
      <c r="B115">
        <v>17</v>
      </c>
      <c r="C115">
        <v>18</v>
      </c>
      <c r="D115" t="s">
        <v>1429</v>
      </c>
      <c r="Q115" s="973"/>
      <c r="R115" s="973"/>
      <c r="S115" s="973"/>
      <c r="T115" s="975"/>
    </row>
    <row r="116" spans="1:20" x14ac:dyDescent="0.2">
      <c r="A116">
        <v>42</v>
      </c>
      <c r="B116">
        <v>18</v>
      </c>
      <c r="C116">
        <v>19</v>
      </c>
      <c r="D116" t="s">
        <v>1429</v>
      </c>
      <c r="T116" s="972"/>
    </row>
    <row r="117" spans="1:20" x14ac:dyDescent="0.2">
      <c r="A117">
        <v>43</v>
      </c>
      <c r="B117">
        <v>19</v>
      </c>
      <c r="C117">
        <v>20</v>
      </c>
      <c r="D117" t="s">
        <v>1429</v>
      </c>
      <c r="T117" s="972"/>
    </row>
    <row r="118" spans="1:20" x14ac:dyDescent="0.2">
      <c r="A118">
        <v>44</v>
      </c>
      <c r="B118">
        <v>20</v>
      </c>
      <c r="C118">
        <v>21</v>
      </c>
      <c r="D118" t="s">
        <v>1429</v>
      </c>
      <c r="T118" s="972"/>
    </row>
    <row r="119" spans="1:20" x14ac:dyDescent="0.2">
      <c r="A119">
        <v>45</v>
      </c>
      <c r="B119">
        <v>21</v>
      </c>
      <c r="C119">
        <v>22</v>
      </c>
      <c r="D119" t="s">
        <v>1429</v>
      </c>
      <c r="T119" s="972"/>
    </row>
    <row r="120" spans="1:20" x14ac:dyDescent="0.2">
      <c r="A120">
        <v>46</v>
      </c>
      <c r="B120">
        <v>22</v>
      </c>
      <c r="C120">
        <v>23</v>
      </c>
      <c r="D120" t="s">
        <v>1429</v>
      </c>
      <c r="T120" s="972"/>
    </row>
    <row r="121" spans="1:20" x14ac:dyDescent="0.2">
      <c r="A121">
        <v>47</v>
      </c>
      <c r="B121">
        <v>23</v>
      </c>
      <c r="C121">
        <v>24</v>
      </c>
      <c r="D121" t="s">
        <v>1429</v>
      </c>
      <c r="T121" s="972"/>
    </row>
    <row r="122" spans="1:20" x14ac:dyDescent="0.2">
      <c r="A122">
        <v>48</v>
      </c>
      <c r="B122">
        <v>24</v>
      </c>
      <c r="C122">
        <v>17</v>
      </c>
      <c r="D122" t="s">
        <v>1429</v>
      </c>
      <c r="T122" s="972"/>
    </row>
    <row r="123" spans="1:20" x14ac:dyDescent="0.2">
      <c r="A123">
        <v>49</v>
      </c>
      <c r="B123">
        <v>25</v>
      </c>
      <c r="C123">
        <v>26</v>
      </c>
      <c r="D123" t="s">
        <v>1429</v>
      </c>
      <c r="T123" s="972"/>
    </row>
    <row r="124" spans="1:20" x14ac:dyDescent="0.2">
      <c r="A124">
        <v>50</v>
      </c>
      <c r="B124">
        <v>26</v>
      </c>
      <c r="C124">
        <v>27</v>
      </c>
      <c r="D124" t="s">
        <v>1429</v>
      </c>
      <c r="T124" s="972"/>
    </row>
    <row r="125" spans="1:20" x14ac:dyDescent="0.2">
      <c r="A125">
        <v>51</v>
      </c>
      <c r="B125">
        <v>27</v>
      </c>
      <c r="C125">
        <v>28</v>
      </c>
      <c r="D125" t="s">
        <v>1429</v>
      </c>
      <c r="P125" s="973"/>
      <c r="Q125" s="973"/>
      <c r="T125" s="972"/>
    </row>
    <row r="126" spans="1:20" x14ac:dyDescent="0.2">
      <c r="A126">
        <v>52</v>
      </c>
      <c r="B126">
        <v>28</v>
      </c>
      <c r="C126">
        <v>29</v>
      </c>
      <c r="D126" t="s">
        <v>1429</v>
      </c>
      <c r="T126" s="972"/>
    </row>
    <row r="127" spans="1:20" x14ac:dyDescent="0.2">
      <c r="A127">
        <v>53</v>
      </c>
      <c r="B127">
        <v>29</v>
      </c>
      <c r="C127">
        <v>30</v>
      </c>
      <c r="D127" t="s">
        <v>1429</v>
      </c>
      <c r="T127" s="972"/>
    </row>
    <row r="128" spans="1:20" x14ac:dyDescent="0.2">
      <c r="A128">
        <v>54</v>
      </c>
      <c r="B128">
        <v>30</v>
      </c>
      <c r="C128">
        <v>31</v>
      </c>
      <c r="D128" t="s">
        <v>1429</v>
      </c>
      <c r="T128" s="972"/>
    </row>
    <row r="129" spans="1:20" x14ac:dyDescent="0.2">
      <c r="A129">
        <v>55</v>
      </c>
      <c r="B129">
        <v>31</v>
      </c>
      <c r="C129">
        <v>32</v>
      </c>
      <c r="D129" t="s">
        <v>1429</v>
      </c>
      <c r="P129" s="973"/>
      <c r="T129" s="972"/>
    </row>
    <row r="130" spans="1:20" x14ac:dyDescent="0.2">
      <c r="A130">
        <v>56</v>
      </c>
      <c r="B130">
        <v>32</v>
      </c>
      <c r="C130">
        <v>25</v>
      </c>
      <c r="D130" t="s">
        <v>1429</v>
      </c>
      <c r="P130" s="973"/>
      <c r="T130" s="972"/>
    </row>
    <row r="131" spans="1:20" x14ac:dyDescent="0.2">
      <c r="A131">
        <v>57</v>
      </c>
      <c r="B131">
        <v>33</v>
      </c>
      <c r="C131">
        <v>34</v>
      </c>
      <c r="D131" t="s">
        <v>1429</v>
      </c>
      <c r="T131" s="972"/>
    </row>
    <row r="132" spans="1:20" x14ac:dyDescent="0.2">
      <c r="A132">
        <v>58</v>
      </c>
      <c r="B132">
        <v>34</v>
      </c>
      <c r="C132">
        <v>35</v>
      </c>
      <c r="D132" t="s">
        <v>1429</v>
      </c>
      <c r="M132" s="972"/>
      <c r="T132" s="972"/>
    </row>
    <row r="133" spans="1:20" x14ac:dyDescent="0.2">
      <c r="A133">
        <v>59</v>
      </c>
      <c r="B133">
        <v>35</v>
      </c>
      <c r="C133">
        <v>36</v>
      </c>
      <c r="D133" t="s">
        <v>1429</v>
      </c>
      <c r="P133" s="973"/>
      <c r="T133" s="972"/>
    </row>
    <row r="134" spans="1:20" x14ac:dyDescent="0.2">
      <c r="A134">
        <v>60</v>
      </c>
      <c r="B134">
        <v>36</v>
      </c>
      <c r="C134">
        <v>37</v>
      </c>
      <c r="D134" t="s">
        <v>1429</v>
      </c>
      <c r="T134" s="972"/>
    </row>
    <row r="135" spans="1:20" x14ac:dyDescent="0.2">
      <c r="A135">
        <v>61</v>
      </c>
      <c r="B135">
        <v>37</v>
      </c>
      <c r="C135">
        <v>38</v>
      </c>
      <c r="D135" t="s">
        <v>1429</v>
      </c>
      <c r="T135" s="972"/>
    </row>
    <row r="136" spans="1:20" x14ac:dyDescent="0.2">
      <c r="A136">
        <v>62</v>
      </c>
      <c r="B136">
        <v>38</v>
      </c>
      <c r="C136">
        <v>39</v>
      </c>
      <c r="D136" t="s">
        <v>1429</v>
      </c>
      <c r="T136" s="972"/>
    </row>
    <row r="137" spans="1:20" x14ac:dyDescent="0.2">
      <c r="A137">
        <v>63</v>
      </c>
      <c r="B137">
        <v>39</v>
      </c>
      <c r="C137">
        <v>40</v>
      </c>
      <c r="D137" t="s">
        <v>1429</v>
      </c>
      <c r="T137" s="972"/>
    </row>
    <row r="138" spans="1:20" x14ac:dyDescent="0.2">
      <c r="A138">
        <v>64</v>
      </c>
      <c r="B138">
        <v>40</v>
      </c>
      <c r="C138">
        <v>33</v>
      </c>
      <c r="D138" t="s">
        <v>1429</v>
      </c>
      <c r="T138" s="972"/>
    </row>
    <row r="139" spans="1:20" x14ac:dyDescent="0.2">
      <c r="A139" t="s">
        <v>1437</v>
      </c>
      <c r="T139" s="972"/>
    </row>
    <row r="140" spans="1:20" x14ac:dyDescent="0.2">
      <c r="A140">
        <v>33</v>
      </c>
      <c r="B140" t="s">
        <v>1617</v>
      </c>
      <c r="C140">
        <v>56</v>
      </c>
      <c r="D140" t="s">
        <v>1438</v>
      </c>
      <c r="E140">
        <v>0.45</v>
      </c>
      <c r="F140" t="s">
        <v>1439</v>
      </c>
      <c r="G140">
        <v>0.3</v>
      </c>
      <c r="T140" s="972"/>
    </row>
    <row r="141" spans="1:20" x14ac:dyDescent="0.2">
      <c r="A141">
        <v>1</v>
      </c>
      <c r="B141" t="s">
        <v>1617</v>
      </c>
      <c r="C141">
        <v>32</v>
      </c>
      <c r="D141" t="s">
        <v>1438</v>
      </c>
      <c r="E141">
        <v>0.5</v>
      </c>
      <c r="T141" s="972"/>
    </row>
    <row r="142" spans="1:20" x14ac:dyDescent="0.2">
      <c r="A142" t="s">
        <v>1437</v>
      </c>
      <c r="T142" s="972"/>
    </row>
    <row r="143" spans="1:20" x14ac:dyDescent="0.2">
      <c r="A143">
        <v>57</v>
      </c>
      <c r="B143" t="s">
        <v>1617</v>
      </c>
      <c r="C143">
        <v>64</v>
      </c>
      <c r="D143" t="s">
        <v>1438</v>
      </c>
      <c r="E143">
        <v>0.9</v>
      </c>
      <c r="F143" t="s">
        <v>1439</v>
      </c>
      <c r="G143">
        <v>0.5</v>
      </c>
      <c r="T143" s="972"/>
    </row>
    <row r="144" spans="1:20" x14ac:dyDescent="0.2">
      <c r="A144" t="s">
        <v>1440</v>
      </c>
      <c r="T144" s="972"/>
    </row>
    <row r="145" spans="1:20" x14ac:dyDescent="0.2">
      <c r="A145">
        <v>1</v>
      </c>
      <c r="B145" t="s">
        <v>1617</v>
      </c>
      <c r="C145">
        <v>8</v>
      </c>
      <c r="D145" t="s">
        <v>1618</v>
      </c>
      <c r="T145" s="972"/>
    </row>
    <row r="146" spans="1:20" x14ac:dyDescent="0.2">
      <c r="A146" t="s">
        <v>1441</v>
      </c>
      <c r="T146" s="972"/>
    </row>
    <row r="147" spans="1:20" x14ac:dyDescent="0.2">
      <c r="A147" t="s">
        <v>1442</v>
      </c>
      <c r="T147" s="972"/>
    </row>
    <row r="148" spans="1:20" x14ac:dyDescent="0.2">
      <c r="A148" t="s">
        <v>1443</v>
      </c>
      <c r="T148" s="972"/>
    </row>
    <row r="149" spans="1:20" x14ac:dyDescent="0.2">
      <c r="A149" t="s">
        <v>1444</v>
      </c>
      <c r="T149" s="972"/>
    </row>
    <row r="150" spans="1:20" x14ac:dyDescent="0.2">
      <c r="A150" t="s">
        <v>1445</v>
      </c>
      <c r="T150" s="972"/>
    </row>
    <row r="151" spans="1:20" x14ac:dyDescent="0.2">
      <c r="A151" t="s">
        <v>1446</v>
      </c>
      <c r="T151" s="972"/>
    </row>
    <row r="152" spans="1:20" x14ac:dyDescent="0.2">
      <c r="A152" t="s">
        <v>1447</v>
      </c>
      <c r="T152" s="972"/>
    </row>
    <row r="153" spans="1:20" x14ac:dyDescent="0.2">
      <c r="A153" t="s">
        <v>1448</v>
      </c>
      <c r="S153" s="973"/>
      <c r="T153" s="972"/>
    </row>
    <row r="154" spans="1:20" x14ac:dyDescent="0.2">
      <c r="A154" t="s">
        <v>1449</v>
      </c>
      <c r="T154" s="972"/>
    </row>
    <row r="155" spans="1:20" x14ac:dyDescent="0.2">
      <c r="A155" t="s">
        <v>1450</v>
      </c>
      <c r="T155" s="972"/>
    </row>
    <row r="156" spans="1:20" x14ac:dyDescent="0.2">
      <c r="A156" t="s">
        <v>1451</v>
      </c>
      <c r="T156" s="972"/>
    </row>
    <row r="157" spans="1:20" x14ac:dyDescent="0.2">
      <c r="A157" t="s">
        <v>1452</v>
      </c>
      <c r="T157" s="972"/>
    </row>
    <row r="158" spans="1:20" x14ac:dyDescent="0.2">
      <c r="A158" t="s">
        <v>1453</v>
      </c>
      <c r="T158" s="972"/>
    </row>
    <row r="159" spans="1:20" x14ac:dyDescent="0.2">
      <c r="A159" t="s">
        <v>1454</v>
      </c>
      <c r="T159" s="972"/>
    </row>
    <row r="160" spans="1:20" x14ac:dyDescent="0.2">
      <c r="A160" t="s">
        <v>1455</v>
      </c>
      <c r="T160" s="972"/>
    </row>
    <row r="161" spans="1:20" x14ac:dyDescent="0.2">
      <c r="A161" t="s">
        <v>1456</v>
      </c>
      <c r="T161" s="972"/>
    </row>
    <row r="162" spans="1:20" x14ac:dyDescent="0.2">
      <c r="A162" t="s">
        <v>1457</v>
      </c>
      <c r="T162" s="972"/>
    </row>
    <row r="163" spans="1:20" x14ac:dyDescent="0.2">
      <c r="A163">
        <v>1</v>
      </c>
      <c r="B163" t="s">
        <v>1617</v>
      </c>
      <c r="C163">
        <v>32</v>
      </c>
      <c r="D163" t="s">
        <v>1458</v>
      </c>
      <c r="E163">
        <v>0.22500000000000001</v>
      </c>
      <c r="T163" s="972"/>
    </row>
    <row r="164" spans="1:20" x14ac:dyDescent="0.2">
      <c r="A164">
        <v>1</v>
      </c>
      <c r="B164" t="s">
        <v>1617</v>
      </c>
      <c r="C164">
        <v>32</v>
      </c>
      <c r="D164" t="s">
        <v>1459</v>
      </c>
      <c r="E164">
        <v>-0.22500000000000001</v>
      </c>
      <c r="T164" s="972"/>
    </row>
    <row r="165" spans="1:20" x14ac:dyDescent="0.2">
      <c r="A165">
        <v>33</v>
      </c>
      <c r="B165" t="s">
        <v>1617</v>
      </c>
      <c r="C165">
        <v>56</v>
      </c>
      <c r="D165" t="s">
        <v>1458</v>
      </c>
      <c r="E165">
        <v>0.25</v>
      </c>
      <c r="T165" s="972"/>
    </row>
    <row r="166" spans="1:20" x14ac:dyDescent="0.2">
      <c r="A166">
        <v>33</v>
      </c>
      <c r="B166" t="s">
        <v>1617</v>
      </c>
      <c r="C166">
        <v>56</v>
      </c>
      <c r="D166" t="s">
        <v>1459</v>
      </c>
      <c r="E166">
        <v>-0.25</v>
      </c>
      <c r="T166" s="972"/>
    </row>
    <row r="167" spans="1:20" x14ac:dyDescent="0.2">
      <c r="A167" t="s">
        <v>1460</v>
      </c>
      <c r="T167" s="972"/>
    </row>
    <row r="168" spans="1:20" x14ac:dyDescent="0.2">
      <c r="A168">
        <v>1</v>
      </c>
      <c r="B168" t="s">
        <v>1617</v>
      </c>
      <c r="C168">
        <v>32</v>
      </c>
      <c r="D168" t="s">
        <v>1461</v>
      </c>
      <c r="T168" s="972"/>
    </row>
    <row r="169" spans="1:20" x14ac:dyDescent="0.2">
      <c r="A169">
        <v>33</v>
      </c>
      <c r="B169" t="s">
        <v>1617</v>
      </c>
      <c r="C169">
        <v>56</v>
      </c>
      <c r="D169" t="s">
        <v>1462</v>
      </c>
      <c r="T169" s="972"/>
    </row>
    <row r="170" spans="1:20" x14ac:dyDescent="0.2">
      <c r="A170" t="s">
        <v>1614</v>
      </c>
      <c r="C170">
        <v>41</v>
      </c>
      <c r="D170" t="s">
        <v>1619</v>
      </c>
      <c r="E170">
        <v>33</v>
      </c>
      <c r="F170" t="s">
        <v>1617</v>
      </c>
      <c r="G170">
        <v>40</v>
      </c>
      <c r="T170" s="972"/>
    </row>
    <row r="171" spans="1:20" x14ac:dyDescent="0.2">
      <c r="A171" t="s">
        <v>1463</v>
      </c>
      <c r="T171" s="972"/>
    </row>
    <row r="172" spans="1:20" x14ac:dyDescent="0.2">
      <c r="A172" t="s">
        <v>1464</v>
      </c>
      <c r="T172" s="972"/>
    </row>
    <row r="173" spans="1:20" x14ac:dyDescent="0.2">
      <c r="A173" t="s">
        <v>1468</v>
      </c>
      <c r="T173" s="972"/>
    </row>
    <row r="174" spans="1:20" x14ac:dyDescent="0.2">
      <c r="A174">
        <v>57</v>
      </c>
      <c r="B174" t="s">
        <v>1617</v>
      </c>
      <c r="C174">
        <v>64</v>
      </c>
      <c r="D174" t="s">
        <v>1620</v>
      </c>
      <c r="E174">
        <v>-23.497</v>
      </c>
      <c r="T174" s="972"/>
    </row>
    <row r="175" spans="1:20" x14ac:dyDescent="0.2">
      <c r="A175" t="s">
        <v>1467</v>
      </c>
      <c r="T175" s="972"/>
    </row>
    <row r="176" spans="1:20" x14ac:dyDescent="0.2">
      <c r="A176" t="s">
        <v>1464</v>
      </c>
      <c r="T176" s="972"/>
    </row>
    <row r="177" spans="1:20" x14ac:dyDescent="0.2">
      <c r="A177" t="s">
        <v>1468</v>
      </c>
      <c r="T177" s="972"/>
    </row>
    <row r="178" spans="1:20" x14ac:dyDescent="0.2">
      <c r="A178">
        <v>57</v>
      </c>
      <c r="B178" t="s">
        <v>1617</v>
      </c>
      <c r="C178">
        <v>64</v>
      </c>
      <c r="D178" t="s">
        <v>1620</v>
      </c>
      <c r="E178">
        <v>-11.768000000000001</v>
      </c>
      <c r="T178" s="972"/>
    </row>
    <row r="179" spans="1:20" x14ac:dyDescent="0.2">
      <c r="A179" s="974" t="s">
        <v>1628</v>
      </c>
      <c r="T179" s="972"/>
    </row>
    <row r="180" spans="1:20" x14ac:dyDescent="0.2">
      <c r="A180" t="s">
        <v>1472</v>
      </c>
      <c r="T180" s="972"/>
    </row>
    <row r="181" spans="1:20" x14ac:dyDescent="0.2">
      <c r="A181">
        <v>41</v>
      </c>
      <c r="B181" t="s">
        <v>1621</v>
      </c>
      <c r="C181">
        <v>10</v>
      </c>
      <c r="T181" s="972"/>
    </row>
    <row r="182" spans="1:20" x14ac:dyDescent="0.2">
      <c r="A182" t="s">
        <v>1471</v>
      </c>
      <c r="T182" s="972"/>
    </row>
    <row r="183" spans="1:20" x14ac:dyDescent="0.2">
      <c r="A183" t="s">
        <v>1472</v>
      </c>
      <c r="T183" s="972"/>
    </row>
    <row r="184" spans="1:20" x14ac:dyDescent="0.2">
      <c r="A184">
        <v>33</v>
      </c>
      <c r="B184" t="s">
        <v>1617</v>
      </c>
      <c r="C184">
        <v>40</v>
      </c>
      <c r="D184" t="s">
        <v>1621</v>
      </c>
      <c r="E184">
        <v>1.748375</v>
      </c>
      <c r="T184" s="972"/>
    </row>
    <row r="185" spans="1:20" x14ac:dyDescent="0.2">
      <c r="A185">
        <v>33</v>
      </c>
      <c r="B185" t="s">
        <v>1617</v>
      </c>
      <c r="C185">
        <v>40</v>
      </c>
      <c r="D185" t="s">
        <v>1622</v>
      </c>
      <c r="E185">
        <v>-5.39</v>
      </c>
      <c r="T185" s="972"/>
    </row>
    <row r="186" spans="1:20" x14ac:dyDescent="0.2">
      <c r="A186" t="s">
        <v>1468</v>
      </c>
      <c r="T186" s="972"/>
    </row>
    <row r="187" spans="1:20" x14ac:dyDescent="0.2">
      <c r="A187">
        <v>9</v>
      </c>
      <c r="B187" t="s">
        <v>1617</v>
      </c>
      <c r="C187">
        <v>32</v>
      </c>
      <c r="D187" t="s">
        <v>1623</v>
      </c>
      <c r="E187">
        <v>0.11475200000000002</v>
      </c>
      <c r="T187" s="972"/>
    </row>
    <row r="188" spans="1:20" x14ac:dyDescent="0.2">
      <c r="A188">
        <v>36</v>
      </c>
      <c r="B188" t="s">
        <v>1617</v>
      </c>
      <c r="C188">
        <v>64</v>
      </c>
      <c r="D188" t="s">
        <v>1623</v>
      </c>
      <c r="E188">
        <v>0.1377024</v>
      </c>
      <c r="T188" s="972"/>
    </row>
    <row r="189" spans="1:20" x14ac:dyDescent="0.2">
      <c r="A189" t="s">
        <v>1480</v>
      </c>
      <c r="T189" s="972"/>
    </row>
    <row r="190" spans="1:20" x14ac:dyDescent="0.2">
      <c r="A190" t="s">
        <v>1472</v>
      </c>
      <c r="T190" s="972"/>
    </row>
    <row r="191" spans="1:20" x14ac:dyDescent="0.2">
      <c r="A191">
        <v>33</v>
      </c>
      <c r="B191" t="s">
        <v>1617</v>
      </c>
      <c r="C191">
        <v>40</v>
      </c>
      <c r="D191" t="s">
        <v>1625</v>
      </c>
      <c r="E191">
        <v>1.748375</v>
      </c>
      <c r="T191" s="972"/>
    </row>
    <row r="192" spans="1:20" x14ac:dyDescent="0.2">
      <c r="A192">
        <v>33</v>
      </c>
      <c r="B192" t="s">
        <v>1617</v>
      </c>
      <c r="C192">
        <v>40</v>
      </c>
      <c r="D192" t="s">
        <v>1626</v>
      </c>
      <c r="E192">
        <v>5.39</v>
      </c>
      <c r="T192" s="972"/>
    </row>
    <row r="193" spans="1:20" x14ac:dyDescent="0.2">
      <c r="A193" t="s">
        <v>1468</v>
      </c>
      <c r="T193" s="972"/>
    </row>
    <row r="194" spans="1:20" x14ac:dyDescent="0.2">
      <c r="A194">
        <v>9</v>
      </c>
      <c r="B194" t="s">
        <v>1617</v>
      </c>
      <c r="C194">
        <v>32</v>
      </c>
      <c r="D194" t="s">
        <v>1624</v>
      </c>
      <c r="E194">
        <v>0.11475200000000002</v>
      </c>
      <c r="T194" s="972"/>
    </row>
    <row r="195" spans="1:20" x14ac:dyDescent="0.2">
      <c r="A195">
        <v>36</v>
      </c>
      <c r="B195" t="s">
        <v>1617</v>
      </c>
      <c r="C195">
        <v>64</v>
      </c>
      <c r="D195" t="s">
        <v>1624</v>
      </c>
      <c r="E195">
        <v>0.1377024</v>
      </c>
      <c r="T195" s="972"/>
    </row>
    <row r="196" spans="1:20" x14ac:dyDescent="0.2">
      <c r="A196" t="s">
        <v>1481</v>
      </c>
      <c r="T196" s="972"/>
    </row>
    <row r="197" spans="1:20" x14ac:dyDescent="0.2">
      <c r="A197" t="s">
        <v>1472</v>
      </c>
      <c r="T197" s="972"/>
    </row>
    <row r="198" spans="1:20" x14ac:dyDescent="0.2">
      <c r="A198">
        <v>33</v>
      </c>
      <c r="B198" t="s">
        <v>1617</v>
      </c>
      <c r="C198">
        <v>40</v>
      </c>
      <c r="D198" t="s">
        <v>1621</v>
      </c>
      <c r="E198">
        <v>5.3621249999999998</v>
      </c>
      <c r="T198" s="972"/>
    </row>
    <row r="199" spans="1:20" x14ac:dyDescent="0.2">
      <c r="A199">
        <v>33</v>
      </c>
      <c r="B199" t="s">
        <v>1617</v>
      </c>
      <c r="C199">
        <v>40</v>
      </c>
      <c r="D199" t="s">
        <v>1622</v>
      </c>
      <c r="E199">
        <v>-13.63</v>
      </c>
      <c r="T199" s="972"/>
    </row>
    <row r="200" spans="1:20" x14ac:dyDescent="0.2">
      <c r="A200" t="s">
        <v>1482</v>
      </c>
      <c r="T200" s="972"/>
    </row>
    <row r="201" spans="1:20" x14ac:dyDescent="0.2">
      <c r="A201" t="s">
        <v>1472</v>
      </c>
      <c r="T201" s="972"/>
    </row>
    <row r="202" spans="1:20" x14ac:dyDescent="0.2">
      <c r="A202">
        <v>33</v>
      </c>
      <c r="B202" t="s">
        <v>1617</v>
      </c>
      <c r="C202">
        <v>40</v>
      </c>
      <c r="D202" t="s">
        <v>1625</v>
      </c>
      <c r="E202">
        <v>5.3621249999999998</v>
      </c>
      <c r="T202" s="972"/>
    </row>
    <row r="203" spans="1:20" x14ac:dyDescent="0.2">
      <c r="A203">
        <v>33</v>
      </c>
      <c r="B203" t="s">
        <v>1617</v>
      </c>
      <c r="C203">
        <v>40</v>
      </c>
      <c r="D203" t="s">
        <v>1626</v>
      </c>
      <c r="E203">
        <v>13.63</v>
      </c>
      <c r="T203" s="972"/>
    </row>
    <row r="204" spans="1:20" x14ac:dyDescent="0.2">
      <c r="A204" t="s">
        <v>1483</v>
      </c>
      <c r="T204" s="972"/>
    </row>
    <row r="205" spans="1:20" x14ac:dyDescent="0.2">
      <c r="A205" t="s">
        <v>1484</v>
      </c>
      <c r="T205" s="972"/>
    </row>
    <row r="206" spans="1:20" x14ac:dyDescent="0.2">
      <c r="A206" t="s">
        <v>1485</v>
      </c>
      <c r="T206" s="972"/>
    </row>
    <row r="207" spans="1:20" x14ac:dyDescent="0.2">
      <c r="A207" t="s">
        <v>1486</v>
      </c>
      <c r="T207" s="972"/>
    </row>
    <row r="208" spans="1:20" x14ac:dyDescent="0.2">
      <c r="A208" t="s">
        <v>1487</v>
      </c>
      <c r="T208" s="972"/>
    </row>
    <row r="209" spans="1:20" x14ac:dyDescent="0.2">
      <c r="A209" t="s">
        <v>1488</v>
      </c>
      <c r="T209" s="972"/>
    </row>
    <row r="210" spans="1:20" x14ac:dyDescent="0.2">
      <c r="A210" t="s">
        <v>1489</v>
      </c>
      <c r="T210" s="972"/>
    </row>
    <row r="211" spans="1:20" x14ac:dyDescent="0.2">
      <c r="A211" t="s">
        <v>1490</v>
      </c>
      <c r="T211" s="972"/>
    </row>
    <row r="212" spans="1:20" x14ac:dyDescent="0.2">
      <c r="A212" t="s">
        <v>1491</v>
      </c>
      <c r="T212" s="972"/>
    </row>
    <row r="213" spans="1:20" x14ac:dyDescent="0.2">
      <c r="A213" t="s">
        <v>1492</v>
      </c>
      <c r="T213" s="972"/>
    </row>
    <row r="214" spans="1:20" x14ac:dyDescent="0.2">
      <c r="A214" t="s">
        <v>1493</v>
      </c>
      <c r="T214" s="972"/>
    </row>
    <row r="215" spans="1:20" x14ac:dyDescent="0.2">
      <c r="A215" t="s">
        <v>1494</v>
      </c>
      <c r="T215" s="972"/>
    </row>
    <row r="216" spans="1:20" x14ac:dyDescent="0.2">
      <c r="A216" t="s">
        <v>1495</v>
      </c>
      <c r="T216" s="972"/>
    </row>
    <row r="217" spans="1:20" x14ac:dyDescent="0.2">
      <c r="A217" s="974" t="s">
        <v>1496</v>
      </c>
      <c r="T217" s="972"/>
    </row>
    <row r="218" spans="1:20" x14ac:dyDescent="0.2">
      <c r="A218" s="974" t="s">
        <v>1497</v>
      </c>
      <c r="T218" s="972"/>
    </row>
    <row r="219" spans="1:20" x14ac:dyDescent="0.2">
      <c r="A219" s="974" t="s">
        <v>1498</v>
      </c>
      <c r="T219" s="972"/>
    </row>
    <row r="220" spans="1:20" x14ac:dyDescent="0.2">
      <c r="A220" s="974" t="s">
        <v>1499</v>
      </c>
      <c r="T220" s="972"/>
    </row>
    <row r="221" spans="1:20" x14ac:dyDescent="0.2">
      <c r="A221" t="s">
        <v>1500</v>
      </c>
      <c r="T221" s="972"/>
    </row>
    <row r="222" spans="1:20" x14ac:dyDescent="0.2">
      <c r="A222" t="s">
        <v>1501</v>
      </c>
      <c r="T222" s="972"/>
    </row>
    <row r="223" spans="1:20" x14ac:dyDescent="0.2">
      <c r="A223" t="s">
        <v>1502</v>
      </c>
      <c r="T223" s="972"/>
    </row>
    <row r="224" spans="1:20" x14ac:dyDescent="0.2">
      <c r="A224" t="s">
        <v>1503</v>
      </c>
      <c r="T224" s="972"/>
    </row>
    <row r="225" spans="1:20" x14ac:dyDescent="0.2">
      <c r="A225" t="s">
        <v>1504</v>
      </c>
      <c r="T225" s="972"/>
    </row>
    <row r="226" spans="1:20" x14ac:dyDescent="0.2">
      <c r="A226" t="s">
        <v>1505</v>
      </c>
      <c r="T226" s="972"/>
    </row>
    <row r="227" spans="1:20" x14ac:dyDescent="0.2">
      <c r="A227" t="s">
        <v>1506</v>
      </c>
      <c r="T227" s="972"/>
    </row>
    <row r="228" spans="1:20" x14ac:dyDescent="0.2">
      <c r="A228" t="s">
        <v>1507</v>
      </c>
      <c r="T228" s="972"/>
    </row>
    <row r="229" spans="1:20" x14ac:dyDescent="0.2">
      <c r="A229" t="s">
        <v>1508</v>
      </c>
      <c r="T229" s="972"/>
    </row>
    <row r="230" spans="1:20" x14ac:dyDescent="0.2">
      <c r="A230" t="s">
        <v>1509</v>
      </c>
      <c r="T230" s="972"/>
    </row>
    <row r="231" spans="1:20" x14ac:dyDescent="0.2">
      <c r="A231" t="s">
        <v>1510</v>
      </c>
      <c r="T231" s="972"/>
    </row>
    <row r="232" spans="1:20" x14ac:dyDescent="0.2">
      <c r="A232" t="s">
        <v>1511</v>
      </c>
      <c r="T232" s="972"/>
    </row>
    <row r="233" spans="1:20" x14ac:dyDescent="0.2">
      <c r="A233" t="s">
        <v>1512</v>
      </c>
      <c r="T233" s="972"/>
    </row>
    <row r="234" spans="1:20" x14ac:dyDescent="0.2">
      <c r="A234" t="s">
        <v>1513</v>
      </c>
      <c r="T234" s="972"/>
    </row>
    <row r="235" spans="1:20" x14ac:dyDescent="0.2">
      <c r="A235" t="s">
        <v>1514</v>
      </c>
      <c r="T235" s="972"/>
    </row>
    <row r="236" spans="1:20" x14ac:dyDescent="0.2">
      <c r="A236" t="s">
        <v>1515</v>
      </c>
      <c r="T236" s="972"/>
    </row>
    <row r="237" spans="1:20" x14ac:dyDescent="0.2">
      <c r="A237" t="s">
        <v>1516</v>
      </c>
      <c r="T237" s="972"/>
    </row>
    <row r="238" spans="1:20" x14ac:dyDescent="0.2">
      <c r="A238" t="s">
        <v>1517</v>
      </c>
      <c r="T238" s="972"/>
    </row>
    <row r="239" spans="1:20" x14ac:dyDescent="0.2">
      <c r="A239" t="s">
        <v>1518</v>
      </c>
      <c r="T239" s="972"/>
    </row>
    <row r="240" spans="1:20" x14ac:dyDescent="0.2">
      <c r="A240" t="s">
        <v>1519</v>
      </c>
      <c r="T240" s="972"/>
    </row>
    <row r="241" spans="1:20" x14ac:dyDescent="0.2">
      <c r="A241" t="s">
        <v>1520</v>
      </c>
      <c r="T241" s="972"/>
    </row>
    <row r="242" spans="1:20" x14ac:dyDescent="0.2">
      <c r="A242" t="s">
        <v>1521</v>
      </c>
      <c r="T242" s="972"/>
    </row>
    <row r="243" spans="1:20" x14ac:dyDescent="0.2">
      <c r="A243" t="s">
        <v>1522</v>
      </c>
      <c r="T243" s="972"/>
    </row>
    <row r="244" spans="1:20" x14ac:dyDescent="0.2">
      <c r="A244" t="s">
        <v>1523</v>
      </c>
      <c r="T244" s="972"/>
    </row>
    <row r="245" spans="1:20" x14ac:dyDescent="0.2">
      <c r="A245" t="s">
        <v>1524</v>
      </c>
      <c r="T245" s="972"/>
    </row>
    <row r="246" spans="1:20" x14ac:dyDescent="0.2">
      <c r="A246" t="s">
        <v>1525</v>
      </c>
      <c r="T246" s="972"/>
    </row>
    <row r="247" spans="1:20" x14ac:dyDescent="0.2">
      <c r="A247" t="s">
        <v>1526</v>
      </c>
      <c r="T247" s="972"/>
    </row>
    <row r="248" spans="1:20" x14ac:dyDescent="0.2">
      <c r="A248" t="s">
        <v>1527</v>
      </c>
      <c r="T248" s="972"/>
    </row>
    <row r="249" spans="1:20" x14ac:dyDescent="0.2">
      <c r="A249" t="s">
        <v>1528</v>
      </c>
      <c r="T249" s="972"/>
    </row>
    <row r="250" spans="1:20" x14ac:dyDescent="0.2">
      <c r="A250" t="s">
        <v>1529</v>
      </c>
      <c r="T250" s="972"/>
    </row>
    <row r="251" spans="1:20" x14ac:dyDescent="0.2">
      <c r="A251" t="s">
        <v>1530</v>
      </c>
      <c r="T251" s="972"/>
    </row>
    <row r="252" spans="1:20" x14ac:dyDescent="0.2">
      <c r="A252" t="s">
        <v>1531</v>
      </c>
      <c r="T252" s="972"/>
    </row>
    <row r="253" spans="1:20" x14ac:dyDescent="0.2">
      <c r="A253" t="s">
        <v>1532</v>
      </c>
      <c r="T253" s="972"/>
    </row>
    <row r="254" spans="1:20" x14ac:dyDescent="0.2">
      <c r="A254" t="s">
        <v>1533</v>
      </c>
      <c r="T254" s="972"/>
    </row>
    <row r="255" spans="1:20" x14ac:dyDescent="0.2">
      <c r="A255" t="s">
        <v>1534</v>
      </c>
      <c r="T255" s="972"/>
    </row>
    <row r="256" spans="1:20" x14ac:dyDescent="0.2">
      <c r="A256" t="s">
        <v>1535</v>
      </c>
      <c r="T256" s="972"/>
    </row>
    <row r="257" spans="1:20" x14ac:dyDescent="0.2">
      <c r="A257" t="s">
        <v>1536</v>
      </c>
      <c r="T257" s="972"/>
    </row>
    <row r="258" spans="1:20" x14ac:dyDescent="0.2">
      <c r="A258" t="s">
        <v>1537</v>
      </c>
      <c r="T258" s="972"/>
    </row>
    <row r="259" spans="1:20" x14ac:dyDescent="0.2">
      <c r="A259" t="s">
        <v>1538</v>
      </c>
      <c r="T259" s="972"/>
    </row>
    <row r="260" spans="1:20" x14ac:dyDescent="0.2">
      <c r="A260" t="s">
        <v>1539</v>
      </c>
      <c r="T260" s="972"/>
    </row>
    <row r="261" spans="1:20" x14ac:dyDescent="0.2">
      <c r="A261" t="s">
        <v>1540</v>
      </c>
      <c r="T261" s="972"/>
    </row>
    <row r="262" spans="1:20" x14ac:dyDescent="0.2">
      <c r="A262" t="s">
        <v>1541</v>
      </c>
      <c r="T262" s="972"/>
    </row>
    <row r="263" spans="1:20" x14ac:dyDescent="0.2">
      <c r="A263" t="s">
        <v>1542</v>
      </c>
      <c r="T263" s="972"/>
    </row>
    <row r="264" spans="1:20" x14ac:dyDescent="0.2">
      <c r="A264" t="s">
        <v>1543</v>
      </c>
      <c r="T264" s="972"/>
    </row>
    <row r="265" spans="1:20" x14ac:dyDescent="0.2">
      <c r="A265" t="s">
        <v>1544</v>
      </c>
      <c r="T265" s="972"/>
    </row>
    <row r="266" spans="1:20" x14ac:dyDescent="0.2">
      <c r="A266" t="s">
        <v>1545</v>
      </c>
      <c r="T266" s="972"/>
    </row>
    <row r="267" spans="1:20" x14ac:dyDescent="0.2">
      <c r="A267" t="s">
        <v>1546</v>
      </c>
      <c r="T267" s="972"/>
    </row>
    <row r="268" spans="1:20" x14ac:dyDescent="0.2">
      <c r="A268" t="s">
        <v>1547</v>
      </c>
      <c r="T268" s="972"/>
    </row>
    <row r="269" spans="1:20" x14ac:dyDescent="0.2">
      <c r="A269" t="s">
        <v>1548</v>
      </c>
      <c r="T269" s="972"/>
    </row>
    <row r="270" spans="1:20" x14ac:dyDescent="0.2">
      <c r="A270" t="s">
        <v>1549</v>
      </c>
      <c r="T270" s="972"/>
    </row>
    <row r="271" spans="1:20" x14ac:dyDescent="0.2">
      <c r="A271" t="s">
        <v>1550</v>
      </c>
      <c r="T271" s="972"/>
    </row>
    <row r="272" spans="1:20" x14ac:dyDescent="0.2">
      <c r="A272" t="s">
        <v>1551</v>
      </c>
      <c r="T272" s="972"/>
    </row>
    <row r="273" spans="1:20" x14ac:dyDescent="0.2">
      <c r="A273" t="s">
        <v>1552</v>
      </c>
      <c r="T273" s="972"/>
    </row>
    <row r="274" spans="1:20" x14ac:dyDescent="0.2">
      <c r="A274" t="s">
        <v>1553</v>
      </c>
      <c r="T274" s="972"/>
    </row>
    <row r="275" spans="1:20" x14ac:dyDescent="0.2">
      <c r="A275" t="s">
        <v>1554</v>
      </c>
      <c r="T275" s="972"/>
    </row>
    <row r="276" spans="1:20" x14ac:dyDescent="0.2">
      <c r="A276" t="s">
        <v>1555</v>
      </c>
      <c r="T276" s="972"/>
    </row>
    <row r="277" spans="1:20" x14ac:dyDescent="0.2">
      <c r="A277" t="s">
        <v>1556</v>
      </c>
      <c r="T277" s="972"/>
    </row>
    <row r="278" spans="1:20" x14ac:dyDescent="0.2">
      <c r="A278" t="s">
        <v>1557</v>
      </c>
      <c r="T278" s="972"/>
    </row>
    <row r="279" spans="1:20" x14ac:dyDescent="0.2">
      <c r="A279" t="s">
        <v>1558</v>
      </c>
      <c r="T279" s="972"/>
    </row>
    <row r="280" spans="1:20" x14ac:dyDescent="0.2">
      <c r="A280" t="s">
        <v>1559</v>
      </c>
      <c r="T280" s="972"/>
    </row>
    <row r="281" spans="1:20" x14ac:dyDescent="0.2">
      <c r="A281" t="s">
        <v>1560</v>
      </c>
      <c r="T281" s="972"/>
    </row>
    <row r="282" spans="1:20" x14ac:dyDescent="0.2">
      <c r="A282" t="s">
        <v>1561</v>
      </c>
      <c r="T282" s="972"/>
    </row>
    <row r="283" spans="1:20" x14ac:dyDescent="0.2">
      <c r="A283" t="s">
        <v>1562</v>
      </c>
      <c r="T283" s="972"/>
    </row>
    <row r="284" spans="1:20" x14ac:dyDescent="0.2">
      <c r="A284" t="s">
        <v>1563</v>
      </c>
      <c r="T284" s="972"/>
    </row>
    <row r="285" spans="1:20" x14ac:dyDescent="0.2">
      <c r="A285" t="s">
        <v>1564</v>
      </c>
      <c r="T285" s="972"/>
    </row>
    <row r="286" spans="1:20" x14ac:dyDescent="0.2">
      <c r="A286" t="s">
        <v>1565</v>
      </c>
      <c r="T286" s="972"/>
    </row>
    <row r="287" spans="1:20" x14ac:dyDescent="0.2">
      <c r="A287" t="s">
        <v>1566</v>
      </c>
      <c r="T287" s="972"/>
    </row>
    <row r="288" spans="1:20" x14ac:dyDescent="0.2">
      <c r="A288" t="s">
        <v>1567</v>
      </c>
      <c r="T288" s="972"/>
    </row>
    <row r="289" spans="1:20" x14ac:dyDescent="0.2">
      <c r="A289" t="s">
        <v>1552</v>
      </c>
      <c r="T289" s="972"/>
    </row>
    <row r="290" spans="1:20" x14ac:dyDescent="0.2">
      <c r="A290" t="s">
        <v>1568</v>
      </c>
      <c r="T290" s="972"/>
    </row>
    <row r="291" spans="1:20" x14ac:dyDescent="0.2">
      <c r="A291" t="s">
        <v>1554</v>
      </c>
      <c r="T291" s="972"/>
    </row>
    <row r="292" spans="1:20" x14ac:dyDescent="0.2">
      <c r="A292" t="s">
        <v>1569</v>
      </c>
      <c r="T292" s="972"/>
    </row>
    <row r="293" spans="1:20" x14ac:dyDescent="0.2">
      <c r="A293" t="s">
        <v>1556</v>
      </c>
      <c r="T293" s="972"/>
    </row>
    <row r="294" spans="1:20" x14ac:dyDescent="0.2">
      <c r="A294" t="s">
        <v>1570</v>
      </c>
      <c r="T294" s="972"/>
    </row>
    <row r="295" spans="1:20" x14ac:dyDescent="0.2">
      <c r="A295" t="s">
        <v>1558</v>
      </c>
      <c r="T295" s="972"/>
    </row>
    <row r="296" spans="1:20" x14ac:dyDescent="0.2">
      <c r="A296" t="s">
        <v>1571</v>
      </c>
      <c r="T296" s="972"/>
    </row>
    <row r="297" spans="1:20" x14ac:dyDescent="0.2">
      <c r="A297" t="s">
        <v>1560</v>
      </c>
      <c r="T297" s="972"/>
    </row>
    <row r="298" spans="1:20" x14ac:dyDescent="0.2">
      <c r="A298" t="s">
        <v>1572</v>
      </c>
      <c r="T298" s="972"/>
    </row>
    <row r="299" spans="1:20" x14ac:dyDescent="0.2">
      <c r="A299" t="s">
        <v>1562</v>
      </c>
      <c r="T299" s="972"/>
    </row>
    <row r="300" spans="1:20" x14ac:dyDescent="0.2">
      <c r="A300" t="s">
        <v>1573</v>
      </c>
      <c r="T300" s="972"/>
    </row>
    <row r="301" spans="1:20" x14ac:dyDescent="0.2">
      <c r="A301" t="s">
        <v>1564</v>
      </c>
      <c r="T301" s="972"/>
    </row>
    <row r="302" spans="1:20" x14ac:dyDescent="0.2">
      <c r="A302" t="s">
        <v>1574</v>
      </c>
      <c r="T302" s="972"/>
    </row>
    <row r="303" spans="1:20" x14ac:dyDescent="0.2">
      <c r="A303" t="s">
        <v>1566</v>
      </c>
      <c r="T303" s="972"/>
    </row>
    <row r="304" spans="1:20" x14ac:dyDescent="0.2">
      <c r="A304" t="s">
        <v>1575</v>
      </c>
      <c r="T304" s="972"/>
    </row>
    <row r="305" spans="1:20" x14ac:dyDescent="0.2">
      <c r="A305" t="s">
        <v>1576</v>
      </c>
      <c r="T305" s="972"/>
    </row>
    <row r="306" spans="1:20" x14ac:dyDescent="0.2">
      <c r="A306" t="s">
        <v>1577</v>
      </c>
      <c r="T306" s="972"/>
    </row>
    <row r="307" spans="1:20" x14ac:dyDescent="0.2">
      <c r="A307" t="s">
        <v>1578</v>
      </c>
      <c r="T307" s="972"/>
    </row>
    <row r="308" spans="1:20" x14ac:dyDescent="0.2">
      <c r="A308" t="s">
        <v>1579</v>
      </c>
      <c r="T308" s="972"/>
    </row>
    <row r="309" spans="1:20" x14ac:dyDescent="0.2">
      <c r="A309" t="s">
        <v>1580</v>
      </c>
      <c r="T309" s="972"/>
    </row>
    <row r="310" spans="1:20" x14ac:dyDescent="0.2">
      <c r="A310" t="s">
        <v>1581</v>
      </c>
      <c r="T310" s="972"/>
    </row>
    <row r="311" spans="1:20" x14ac:dyDescent="0.2">
      <c r="A311" t="s">
        <v>1582</v>
      </c>
      <c r="T311" s="972"/>
    </row>
    <row r="312" spans="1:20" x14ac:dyDescent="0.2">
      <c r="A312" t="s">
        <v>1583</v>
      </c>
      <c r="T312" s="972"/>
    </row>
    <row r="313" spans="1:20" x14ac:dyDescent="0.2">
      <c r="A313" t="s">
        <v>1584</v>
      </c>
      <c r="T313" s="972"/>
    </row>
    <row r="314" spans="1:20" x14ac:dyDescent="0.2">
      <c r="A314" t="s">
        <v>1585</v>
      </c>
      <c r="T314" s="972"/>
    </row>
    <row r="315" spans="1:20" x14ac:dyDescent="0.2">
      <c r="A315" t="s">
        <v>1586</v>
      </c>
      <c r="T315" s="972"/>
    </row>
    <row r="316" spans="1:20" x14ac:dyDescent="0.2">
      <c r="A316" t="s">
        <v>1587</v>
      </c>
      <c r="T316" s="972"/>
    </row>
    <row r="317" spans="1:20" x14ac:dyDescent="0.2">
      <c r="A317" t="s">
        <v>1588</v>
      </c>
      <c r="T317" s="972"/>
    </row>
    <row r="318" spans="1:20" x14ac:dyDescent="0.2">
      <c r="A318" t="s">
        <v>1589</v>
      </c>
      <c r="T318" s="972"/>
    </row>
    <row r="319" spans="1:20" x14ac:dyDescent="0.2">
      <c r="A319" t="s">
        <v>1590</v>
      </c>
      <c r="T319" s="972"/>
    </row>
    <row r="320" spans="1:20" x14ac:dyDescent="0.2">
      <c r="A320" t="s">
        <v>1591</v>
      </c>
      <c r="T320" s="972"/>
    </row>
    <row r="321" spans="1:20" x14ac:dyDescent="0.2">
      <c r="A321" t="s">
        <v>1576</v>
      </c>
      <c r="T321" s="972"/>
    </row>
    <row r="322" spans="1:20" x14ac:dyDescent="0.2">
      <c r="A322" t="s">
        <v>1592</v>
      </c>
      <c r="T322" s="972"/>
    </row>
    <row r="323" spans="1:20" x14ac:dyDescent="0.2">
      <c r="A323" t="s">
        <v>1578</v>
      </c>
      <c r="T323" s="972"/>
    </row>
    <row r="324" spans="1:20" x14ac:dyDescent="0.2">
      <c r="A324" t="s">
        <v>1593</v>
      </c>
      <c r="T324" s="972"/>
    </row>
    <row r="325" spans="1:20" x14ac:dyDescent="0.2">
      <c r="A325" t="s">
        <v>1580</v>
      </c>
      <c r="T325" s="972"/>
    </row>
    <row r="326" spans="1:20" x14ac:dyDescent="0.2">
      <c r="A326" t="s">
        <v>1594</v>
      </c>
      <c r="T326" s="972"/>
    </row>
    <row r="327" spans="1:20" x14ac:dyDescent="0.2">
      <c r="A327" t="s">
        <v>1582</v>
      </c>
      <c r="T327" s="972"/>
    </row>
    <row r="328" spans="1:20" x14ac:dyDescent="0.2">
      <c r="A328" t="s">
        <v>1595</v>
      </c>
      <c r="T328" s="972"/>
    </row>
    <row r="329" spans="1:20" x14ac:dyDescent="0.2">
      <c r="A329" t="s">
        <v>1584</v>
      </c>
      <c r="T329" s="972"/>
    </row>
    <row r="330" spans="1:20" x14ac:dyDescent="0.2">
      <c r="A330" t="s">
        <v>1596</v>
      </c>
      <c r="T330" s="972"/>
    </row>
    <row r="331" spans="1:20" x14ac:dyDescent="0.2">
      <c r="A331" t="s">
        <v>1586</v>
      </c>
      <c r="T331" s="972"/>
    </row>
    <row r="332" spans="1:20" x14ac:dyDescent="0.2">
      <c r="A332" t="s">
        <v>1597</v>
      </c>
      <c r="T332" s="972"/>
    </row>
    <row r="333" spans="1:20" x14ac:dyDescent="0.2">
      <c r="A333" t="s">
        <v>1588</v>
      </c>
      <c r="T333" s="972"/>
    </row>
    <row r="334" spans="1:20" x14ac:dyDescent="0.2">
      <c r="A334" t="s">
        <v>1598</v>
      </c>
      <c r="T334" s="972"/>
    </row>
    <row r="335" spans="1:20" x14ac:dyDescent="0.2">
      <c r="A335" t="s">
        <v>1590</v>
      </c>
      <c r="T335" s="972"/>
    </row>
    <row r="336" spans="1:20" x14ac:dyDescent="0.2">
      <c r="A336" t="s">
        <v>1599</v>
      </c>
      <c r="T336" s="972"/>
    </row>
    <row r="337" spans="1:20" x14ac:dyDescent="0.2">
      <c r="A337" t="s">
        <v>1600</v>
      </c>
      <c r="T337" s="972"/>
    </row>
    <row r="338" spans="1:20" x14ac:dyDescent="0.2">
      <c r="A338" t="s">
        <v>1601</v>
      </c>
      <c r="T338" s="972"/>
    </row>
    <row r="339" spans="1:20" x14ac:dyDescent="0.2">
      <c r="A339" t="s">
        <v>1602</v>
      </c>
      <c r="T339" s="972"/>
    </row>
    <row r="340" spans="1:20" x14ac:dyDescent="0.2">
      <c r="A340" t="s">
        <v>1603</v>
      </c>
      <c r="T340" s="972"/>
    </row>
    <row r="341" spans="1:20" x14ac:dyDescent="0.2">
      <c r="A341" t="s">
        <v>1604</v>
      </c>
      <c r="T341" s="972"/>
    </row>
    <row r="342" spans="1:20" x14ac:dyDescent="0.2">
      <c r="A342" t="s">
        <v>1605</v>
      </c>
      <c r="T342" s="972"/>
    </row>
    <row r="343" spans="1:20" x14ac:dyDescent="0.2">
      <c r="A343" t="s">
        <v>1606</v>
      </c>
      <c r="T343" s="972"/>
    </row>
    <row r="344" spans="1:20" x14ac:dyDescent="0.2">
      <c r="A344" t="s">
        <v>1607</v>
      </c>
      <c r="T344" s="972"/>
    </row>
    <row r="345" spans="1:20" x14ac:dyDescent="0.2">
      <c r="A345" t="s">
        <v>1608</v>
      </c>
      <c r="T345" s="972"/>
    </row>
    <row r="346" spans="1:20" x14ac:dyDescent="0.2">
      <c r="A346" t="s">
        <v>1609</v>
      </c>
      <c r="B346">
        <v>1</v>
      </c>
      <c r="C346" t="s">
        <v>1617</v>
      </c>
      <c r="D346">
        <v>32</v>
      </c>
      <c r="T346" s="972"/>
    </row>
    <row r="347" spans="1:20" x14ac:dyDescent="0.2">
      <c r="A347" t="s">
        <v>1610</v>
      </c>
      <c r="B347">
        <v>33</v>
      </c>
      <c r="C347" t="s">
        <v>1617</v>
      </c>
      <c r="D347">
        <v>64</v>
      </c>
      <c r="T347" s="972"/>
    </row>
    <row r="348" spans="1:20" x14ac:dyDescent="0.2">
      <c r="A348" t="s">
        <v>1611</v>
      </c>
      <c r="T348" s="972"/>
    </row>
    <row r="349" spans="1:20" x14ac:dyDescent="0.2">
      <c r="A349" t="s">
        <v>1600</v>
      </c>
      <c r="T349" s="972"/>
    </row>
    <row r="350" spans="1:20" x14ac:dyDescent="0.2">
      <c r="A350" t="s">
        <v>1612</v>
      </c>
      <c r="T350" s="972"/>
    </row>
    <row r="351" spans="1:20" x14ac:dyDescent="0.2">
      <c r="A351" t="s">
        <v>1613</v>
      </c>
      <c r="T351" s="972"/>
    </row>
    <row r="352" spans="1:20" x14ac:dyDescent="0.2">
      <c r="T352" s="972"/>
    </row>
    <row r="353" spans="20:20" x14ac:dyDescent="0.2">
      <c r="T353" s="972"/>
    </row>
    <row r="354" spans="20:20" x14ac:dyDescent="0.2">
      <c r="T354" s="972"/>
    </row>
    <row r="355" spans="20:20" x14ac:dyDescent="0.2">
      <c r="T355" s="972"/>
    </row>
    <row r="356" spans="20:20" x14ac:dyDescent="0.2">
      <c r="T356" s="972"/>
    </row>
    <row r="357" spans="20:20" x14ac:dyDescent="0.2">
      <c r="T357" s="972"/>
    </row>
    <row r="358" spans="20:20" x14ac:dyDescent="0.2">
      <c r="T358" s="972"/>
    </row>
    <row r="359" spans="20:20" x14ac:dyDescent="0.2">
      <c r="T359" s="972"/>
    </row>
    <row r="360" spans="20:20" x14ac:dyDescent="0.2">
      <c r="T360" s="972"/>
    </row>
    <row r="361" spans="20:20" x14ac:dyDescent="0.2">
      <c r="T361" s="972"/>
    </row>
    <row r="362" spans="20:20" x14ac:dyDescent="0.2">
      <c r="T362" s="972"/>
    </row>
    <row r="363" spans="20:20" x14ac:dyDescent="0.2">
      <c r="T363" s="972"/>
    </row>
    <row r="364" spans="20:20" x14ac:dyDescent="0.2">
      <c r="T364" s="972"/>
    </row>
    <row r="365" spans="20:20" x14ac:dyDescent="0.2">
      <c r="T365" s="972"/>
    </row>
    <row r="366" spans="20:20" x14ac:dyDescent="0.2">
      <c r="T366" s="972"/>
    </row>
    <row r="367" spans="20:20" x14ac:dyDescent="0.2">
      <c r="T367" s="972"/>
    </row>
    <row r="368" spans="20:20" x14ac:dyDescent="0.2">
      <c r="T368" s="972"/>
    </row>
    <row r="369" spans="20:20" x14ac:dyDescent="0.2">
      <c r="T369" s="972"/>
    </row>
    <row r="370" spans="20:20" x14ac:dyDescent="0.2">
      <c r="T370" s="972"/>
    </row>
    <row r="371" spans="20:20" x14ac:dyDescent="0.2">
      <c r="T371" s="972"/>
    </row>
    <row r="372" spans="20:20" x14ac:dyDescent="0.2">
      <c r="T372" s="972"/>
    </row>
    <row r="373" spans="20:20" x14ac:dyDescent="0.2">
      <c r="T373" s="972"/>
    </row>
    <row r="374" spans="20:20" x14ac:dyDescent="0.2">
      <c r="T374" s="972"/>
    </row>
    <row r="396" spans="1:1" x14ac:dyDescent="0.2">
      <c r="A396" t="s">
        <v>1612</v>
      </c>
    </row>
    <row r="397" spans="1:1" x14ac:dyDescent="0.2">
      <c r="A397" t="s">
        <v>1613</v>
      </c>
    </row>
  </sheetData>
  <phoneticPr fontId="1" type="noConversion"/>
  <printOptions horizontalCentered="1" verticalCentered="1"/>
  <pageMargins left="0.25" right="0.25" top="0.5" bottom="0.25" header="0.25" footer="0.25"/>
  <pageSetup paperSize="9" scale="85" orientation="portrait" r:id="rId1"/>
  <headerFooter alignWithMargins="0"/>
  <rowBreaks count="1" manualBreakCount="1">
    <brk id="2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67" r:id="rId4" name="Button 55139">
              <controlPr defaultSize="0" print="0" autoFill="0" autoPict="0" macro="[0]!stdeditor">
                <anchor moveWithCells="1" sizeWithCells="1">
                  <from>
                    <xdr:col>6</xdr:col>
                    <xdr:colOff>95250</xdr:colOff>
                    <xdr:row>5</xdr:row>
                    <xdr:rowOff>0</xdr:rowOff>
                  </from>
                  <to>
                    <xdr:col>8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O327"/>
  <sheetViews>
    <sheetView zoomScale="70" zoomScaleNormal="70" workbookViewId="0">
      <selection activeCell="P13" sqref="P13"/>
    </sheetView>
  </sheetViews>
  <sheetFormatPr defaultRowHeight="12.75" x14ac:dyDescent="0.2"/>
  <cols>
    <col min="2" max="2" width="11" customWidth="1"/>
  </cols>
  <sheetData>
    <row r="1" spans="1:67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</row>
    <row r="2" spans="1:67" x14ac:dyDescent="0.2">
      <c r="A2" s="164" t="s">
        <v>1927</v>
      </c>
      <c r="B2">
        <f>Calculation!F165</f>
        <v>300</v>
      </c>
      <c r="C2">
        <f>Calculation!F166</f>
        <v>450</v>
      </c>
    </row>
    <row r="3" spans="1:67" x14ac:dyDescent="0.2">
      <c r="B3" s="164" t="s">
        <v>1436</v>
      </c>
      <c r="C3" s="164" t="s">
        <v>1435</v>
      </c>
      <c r="BA3" s="164" t="s">
        <v>1233</v>
      </c>
      <c r="BD3" s="164" t="s">
        <v>1928</v>
      </c>
      <c r="BF3" s="1016">
        <f>Calculation!F69-1</f>
        <v>2</v>
      </c>
    </row>
    <row r="4" spans="1:67" x14ac:dyDescent="0.2">
      <c r="L4" s="1016">
        <f>Calculation!D98*1000</f>
        <v>500</v>
      </c>
      <c r="M4" s="167">
        <f>Calculation!F63</f>
        <v>8</v>
      </c>
      <c r="N4" t="s">
        <v>332</v>
      </c>
    </row>
    <row r="7" spans="1:67" x14ac:dyDescent="0.2">
      <c r="BB7">
        <f>Calculation!F166</f>
        <v>450</v>
      </c>
    </row>
    <row r="11" spans="1:67" x14ac:dyDescent="0.2">
      <c r="BA11">
        <f>Calculation!F165</f>
        <v>300</v>
      </c>
    </row>
    <row r="20" spans="7:61" x14ac:dyDescent="0.2">
      <c r="AZ20" s="973"/>
    </row>
    <row r="21" spans="7:61" x14ac:dyDescent="0.2">
      <c r="AZ21" s="973"/>
    </row>
    <row r="22" spans="7:61" x14ac:dyDescent="0.2">
      <c r="AZ22" s="973"/>
    </row>
    <row r="23" spans="7:61" x14ac:dyDescent="0.2">
      <c r="G23" s="1017">
        <v>0</v>
      </c>
      <c r="H23" s="1017">
        <v>0</v>
      </c>
      <c r="I23" s="1017">
        <v>0</v>
      </c>
      <c r="U23" s="1017">
        <v>0</v>
      </c>
      <c r="V23" s="1017">
        <f>H23+2000+H60/2+W72/2</f>
        <v>11500</v>
      </c>
      <c r="W23" s="1017">
        <v>0</v>
      </c>
      <c r="AK23" s="1017">
        <v>0</v>
      </c>
      <c r="AL23" s="1017">
        <f>V23+2000+W76/2+AM71/2</f>
        <v>24100</v>
      </c>
      <c r="AM23" s="1017">
        <v>0</v>
      </c>
      <c r="AV23" s="1017">
        <v>0</v>
      </c>
      <c r="AW23" s="1017">
        <f>AL23+AM71+2000</f>
        <v>35800</v>
      </c>
      <c r="AX23" s="1017">
        <v>0</v>
      </c>
    </row>
    <row r="25" spans="7:61" x14ac:dyDescent="0.2">
      <c r="AX25" t="s">
        <v>1435</v>
      </c>
      <c r="AY25" t="s">
        <v>1436</v>
      </c>
    </row>
    <row r="26" spans="7:61" x14ac:dyDescent="0.2">
      <c r="AX26">
        <f>Calculation!C81</f>
        <v>300</v>
      </c>
      <c r="AY26">
        <f>Calculation!C82</f>
        <v>300</v>
      </c>
    </row>
    <row r="32" spans="7:61" x14ac:dyDescent="0.2">
      <c r="BI32">
        <f>Calculation!G117*1000</f>
        <v>7582</v>
      </c>
    </row>
    <row r="36" spans="8:54" x14ac:dyDescent="0.2">
      <c r="AZ36">
        <f>Calculation!D85*1000</f>
        <v>4000</v>
      </c>
      <c r="BB36">
        <f>Calculation!B86*1000</f>
        <v>200</v>
      </c>
    </row>
    <row r="40" spans="8:54" x14ac:dyDescent="0.2">
      <c r="AX40" s="164" t="s">
        <v>1435</v>
      </c>
      <c r="AY40" s="164" t="s">
        <v>1436</v>
      </c>
    </row>
    <row r="41" spans="8:54" x14ac:dyDescent="0.2">
      <c r="N41">
        <f>H44</f>
        <v>5300</v>
      </c>
      <c r="AD41">
        <f>W48</f>
        <v>6600</v>
      </c>
      <c r="AT41">
        <f>AM61</f>
        <v>9100</v>
      </c>
      <c r="AX41">
        <f>Calculation!D90</f>
        <v>400</v>
      </c>
      <c r="AY41">
        <f>Calculation!D91</f>
        <v>500</v>
      </c>
    </row>
    <row r="42" spans="8:54" x14ac:dyDescent="0.2">
      <c r="N42">
        <f>H48</f>
        <v>6500</v>
      </c>
      <c r="AD42">
        <f>W52</f>
        <v>7100</v>
      </c>
      <c r="AT42">
        <f>AM66</f>
        <v>9500</v>
      </c>
    </row>
    <row r="43" spans="8:54" x14ac:dyDescent="0.2">
      <c r="N43">
        <f>H52</f>
        <v>7100</v>
      </c>
      <c r="AD43">
        <f>W56</f>
        <v>7600</v>
      </c>
      <c r="AT43">
        <f>AM71</f>
        <v>9700</v>
      </c>
    </row>
    <row r="44" spans="8:54" x14ac:dyDescent="0.2">
      <c r="H44">
        <f>'fdn annular '!E59*1000</f>
        <v>5300</v>
      </c>
      <c r="N44">
        <f>H57</f>
        <v>7700</v>
      </c>
      <c r="AD44">
        <f>W61</f>
        <v>9100</v>
      </c>
    </row>
    <row r="45" spans="8:54" x14ac:dyDescent="0.2">
      <c r="N45">
        <f>H60</f>
        <v>8900</v>
      </c>
      <c r="AD45">
        <f>W66</f>
        <v>9500</v>
      </c>
    </row>
    <row r="46" spans="8:54" x14ac:dyDescent="0.2">
      <c r="AD46">
        <f>W72</f>
        <v>10100</v>
      </c>
    </row>
    <row r="47" spans="8:54" x14ac:dyDescent="0.2">
      <c r="AD47">
        <f>W76</f>
        <v>11500</v>
      </c>
    </row>
    <row r="48" spans="8:54" x14ac:dyDescent="0.2">
      <c r="H48">
        <f>'fdn annular '!E70*1000-'fdn annular '!E82</f>
        <v>6500</v>
      </c>
      <c r="W48">
        <f>W52-Calculation!D96</f>
        <v>6600</v>
      </c>
      <c r="AX48" s="164" t="s">
        <v>1435</v>
      </c>
      <c r="AY48" s="164" t="s">
        <v>1436</v>
      </c>
    </row>
    <row r="49" spans="8:62" x14ac:dyDescent="0.2">
      <c r="AX49">
        <f>Calculation!D97</f>
        <v>900</v>
      </c>
      <c r="AY49">
        <f>Calculation!D96</f>
        <v>500</v>
      </c>
      <c r="BD49">
        <f>Calculation!B95*1000</f>
        <v>1414.2135623730951</v>
      </c>
    </row>
    <row r="50" spans="8:62" x14ac:dyDescent="0.2">
      <c r="BD50">
        <f>Calculation!C94*1000</f>
        <v>350</v>
      </c>
    </row>
    <row r="51" spans="8:62" x14ac:dyDescent="0.2">
      <c r="BA51">
        <f>Calculation!B93*1000</f>
        <v>1000</v>
      </c>
    </row>
    <row r="52" spans="8:62" x14ac:dyDescent="0.2">
      <c r="H52">
        <f>'fdn annular '!E70*1000</f>
        <v>7100</v>
      </c>
      <c r="W52">
        <f>'fdn annular '!E70*1000</f>
        <v>7100</v>
      </c>
    </row>
    <row r="56" spans="8:62" x14ac:dyDescent="0.2">
      <c r="W56">
        <f>W52+Calculation!D96</f>
        <v>7600</v>
      </c>
    </row>
    <row r="57" spans="8:62" x14ac:dyDescent="0.2">
      <c r="H57">
        <f>'fdn annular '!E70*1000+'fdn annular '!E82</f>
        <v>7700</v>
      </c>
      <c r="BB57">
        <f>((Calculation!B95*Calculation!B95-Calculation!B93*Calculation!B93)^0.5)*1000</f>
        <v>1000.0000000000002</v>
      </c>
    </row>
    <row r="60" spans="8:62" x14ac:dyDescent="0.2">
      <c r="H60">
        <f>'fdn annular '!E67*1000</f>
        <v>8900</v>
      </c>
    </row>
    <row r="61" spans="8:62" x14ac:dyDescent="0.2">
      <c r="W61">
        <f>Calculation!F86*1000</f>
        <v>9100</v>
      </c>
      <c r="AM61">
        <f>W61</f>
        <v>9100</v>
      </c>
    </row>
    <row r="62" spans="8:62" x14ac:dyDescent="0.2">
      <c r="BJ62">
        <f>(Calculation!E94/2+Calculation!F61^2/8/Calculation!E94)*1000</f>
        <v>5606.8622730860297</v>
      </c>
    </row>
    <row r="63" spans="8:62" x14ac:dyDescent="0.2">
      <c r="H63" s="164" t="str">
        <f>CONCATENATE("Plan at ", (Calculation!F55-Calculation!F57-'Earthquake &amp; wind'!G29)," m lvl")</f>
        <v>Plan at 97 m lvl</v>
      </c>
    </row>
    <row r="65" spans="1:58" x14ac:dyDescent="0.2">
      <c r="A65" t="s">
        <v>1919</v>
      </c>
      <c r="B65" t="s">
        <v>1920</v>
      </c>
      <c r="C65" t="s">
        <v>1921</v>
      </c>
      <c r="I65" s="164"/>
    </row>
    <row r="66" spans="1:58" x14ac:dyDescent="0.2">
      <c r="W66">
        <f>W61+Calculation!B86*2000</f>
        <v>9500</v>
      </c>
      <c r="AM66">
        <f>W66</f>
        <v>9500</v>
      </c>
    </row>
    <row r="68" spans="1:58" x14ac:dyDescent="0.2">
      <c r="A68" s="164" t="s">
        <v>1937</v>
      </c>
    </row>
    <row r="69" spans="1:58" x14ac:dyDescent="0.2">
      <c r="A69" s="164" t="s">
        <v>1938</v>
      </c>
    </row>
    <row r="70" spans="1:58" x14ac:dyDescent="0.2">
      <c r="BC70">
        <f>('Earthquake &amp; wind'!G29+Calculation!F57)*1000</f>
        <v>13000</v>
      </c>
    </row>
    <row r="71" spans="1:58" x14ac:dyDescent="0.2">
      <c r="AM71">
        <f>AM61+Calculation!C82*2</f>
        <v>9700</v>
      </c>
    </row>
    <row r="72" spans="1:58" x14ac:dyDescent="0.2">
      <c r="W72">
        <f>Calculation!F86*1000+Calculation!D91*2</f>
        <v>10100</v>
      </c>
    </row>
    <row r="76" spans="1:58" x14ac:dyDescent="0.2">
      <c r="W76">
        <f>W66+Calculation!F310*2000</f>
        <v>11500</v>
      </c>
      <c r="BF76" s="1016">
        <f>Calculation!D98*1000</f>
        <v>500</v>
      </c>
    </row>
    <row r="85" spans="52:66" x14ac:dyDescent="0.2">
      <c r="AZ85" s="29" t="s">
        <v>1435</v>
      </c>
      <c r="BA85" s="29" t="s">
        <v>1436</v>
      </c>
    </row>
    <row r="86" spans="52:66" x14ac:dyDescent="0.2">
      <c r="AZ86" s="27">
        <f>'fdn annular '!F78</f>
        <v>750</v>
      </c>
      <c r="BA86" s="27">
        <f>'fdn annular '!E82</f>
        <v>600</v>
      </c>
    </row>
    <row r="87" spans="52:66" x14ac:dyDescent="0.2">
      <c r="BN87" s="1019">
        <f>'Earthquake &amp; wind'!G29*1000</f>
        <v>3000</v>
      </c>
    </row>
    <row r="93" spans="52:66" x14ac:dyDescent="0.2">
      <c r="BB93">
        <f>'fdn annular '!H80</f>
        <v>450</v>
      </c>
    </row>
    <row r="97" spans="1:62" x14ac:dyDescent="0.2">
      <c r="BE97">
        <f>'fdn annular '!E85</f>
        <v>1800</v>
      </c>
      <c r="BH97" s="1018">
        <v>0</v>
      </c>
      <c r="BI97" s="1018">
        <f>AW23+H52+2000</f>
        <v>44900</v>
      </c>
      <c r="BJ97" s="1018">
        <v>0</v>
      </c>
    </row>
    <row r="99" spans="1:62" x14ac:dyDescent="0.2">
      <c r="BI99">
        <f>'fdn annular '!E67*1000</f>
        <v>8900</v>
      </c>
    </row>
    <row r="100" spans="1:62" s="972" customFormat="1" x14ac:dyDescent="0.2"/>
    <row r="101" spans="1:62" x14ac:dyDescent="0.2">
      <c r="A101" t="s">
        <v>1919</v>
      </c>
      <c r="B101" t="s">
        <v>1923</v>
      </c>
      <c r="C101" t="s">
        <v>1920</v>
      </c>
      <c r="D101">
        <v>2650</v>
      </c>
      <c r="E101" t="s">
        <v>1921</v>
      </c>
      <c r="F101" t="s">
        <v>1922</v>
      </c>
    </row>
    <row r="102" spans="1:62" x14ac:dyDescent="0.2">
      <c r="A102" t="s">
        <v>1919</v>
      </c>
      <c r="B102" t="s">
        <v>1923</v>
      </c>
      <c r="C102" t="s">
        <v>1920</v>
      </c>
      <c r="D102">
        <v>3250</v>
      </c>
      <c r="E102" t="s">
        <v>1921</v>
      </c>
      <c r="F102" t="s">
        <v>1922</v>
      </c>
    </row>
    <row r="103" spans="1:62" x14ac:dyDescent="0.2">
      <c r="A103" t="s">
        <v>1919</v>
      </c>
      <c r="B103" t="s">
        <v>1923</v>
      </c>
      <c r="C103" t="s">
        <v>1920</v>
      </c>
      <c r="D103">
        <v>3550</v>
      </c>
      <c r="E103" t="s">
        <v>1921</v>
      </c>
      <c r="F103" t="s">
        <v>1922</v>
      </c>
    </row>
    <row r="104" spans="1:62" x14ac:dyDescent="0.2">
      <c r="A104" t="s">
        <v>1919</v>
      </c>
      <c r="B104" t="s">
        <v>1923</v>
      </c>
      <c r="C104" t="s">
        <v>1920</v>
      </c>
      <c r="D104">
        <v>3850</v>
      </c>
      <c r="E104" t="s">
        <v>1921</v>
      </c>
      <c r="F104" t="s">
        <v>1922</v>
      </c>
    </row>
    <row r="105" spans="1:62" x14ac:dyDescent="0.2">
      <c r="A105" t="s">
        <v>1919</v>
      </c>
      <c r="B105" t="s">
        <v>1923</v>
      </c>
      <c r="C105" t="s">
        <v>1920</v>
      </c>
      <c r="D105">
        <v>4450</v>
      </c>
      <c r="E105" t="s">
        <v>1921</v>
      </c>
      <c r="F105" t="s">
        <v>1922</v>
      </c>
    </row>
    <row r="106" spans="1:62" x14ac:dyDescent="0.2">
      <c r="A106" t="s">
        <v>1919</v>
      </c>
      <c r="B106" t="s">
        <v>1972</v>
      </c>
      <c r="C106" t="s">
        <v>1920</v>
      </c>
      <c r="D106">
        <v>250</v>
      </c>
      <c r="E106" t="s">
        <v>1921</v>
      </c>
      <c r="F106" t="s">
        <v>1922</v>
      </c>
    </row>
    <row r="107" spans="1:62" x14ac:dyDescent="0.2">
      <c r="A107" t="s">
        <v>1919</v>
      </c>
      <c r="B107" t="s">
        <v>1973</v>
      </c>
      <c r="C107" t="s">
        <v>1920</v>
      </c>
      <c r="D107">
        <v>250</v>
      </c>
      <c r="E107" t="s">
        <v>1921</v>
      </c>
      <c r="F107" t="s">
        <v>1922</v>
      </c>
    </row>
    <row r="108" spans="1:62" x14ac:dyDescent="0.2">
      <c r="A108" t="s">
        <v>1919</v>
      </c>
      <c r="B108" t="s">
        <v>1974</v>
      </c>
      <c r="C108" t="s">
        <v>1920</v>
      </c>
      <c r="D108">
        <v>250</v>
      </c>
      <c r="E108" t="s">
        <v>1921</v>
      </c>
      <c r="F108" t="s">
        <v>1922</v>
      </c>
    </row>
    <row r="109" spans="1:62" x14ac:dyDescent="0.2">
      <c r="A109" t="s">
        <v>1919</v>
      </c>
      <c r="B109" t="s">
        <v>1975</v>
      </c>
      <c r="C109" t="s">
        <v>1920</v>
      </c>
      <c r="D109">
        <v>250</v>
      </c>
      <c r="E109" t="s">
        <v>1921</v>
      </c>
      <c r="F109" t="s">
        <v>1922</v>
      </c>
    </row>
    <row r="110" spans="1:62" x14ac:dyDescent="0.2">
      <c r="A110" t="s">
        <v>1919</v>
      </c>
      <c r="B110" t="s">
        <v>1976</v>
      </c>
      <c r="C110" t="s">
        <v>1920</v>
      </c>
      <c r="D110">
        <v>250</v>
      </c>
      <c r="E110" t="s">
        <v>1921</v>
      </c>
      <c r="F110" t="s">
        <v>1922</v>
      </c>
    </row>
    <row r="111" spans="1:62" x14ac:dyDescent="0.2">
      <c r="A111" t="s">
        <v>1919</v>
      </c>
      <c r="B111" t="s">
        <v>1977</v>
      </c>
      <c r="C111" t="s">
        <v>1920</v>
      </c>
      <c r="D111">
        <v>250</v>
      </c>
      <c r="E111" t="s">
        <v>1921</v>
      </c>
      <c r="F111" t="s">
        <v>1922</v>
      </c>
    </row>
    <row r="112" spans="1:62" x14ac:dyDescent="0.2">
      <c r="A112" t="s">
        <v>1919</v>
      </c>
      <c r="B112" t="s">
        <v>1978</v>
      </c>
      <c r="C112" t="s">
        <v>1920</v>
      </c>
      <c r="D112">
        <v>250</v>
      </c>
      <c r="E112" t="s">
        <v>1921</v>
      </c>
      <c r="F112" t="s">
        <v>1922</v>
      </c>
    </row>
    <row r="113" spans="1:6" x14ac:dyDescent="0.2">
      <c r="A113" t="s">
        <v>1919</v>
      </c>
      <c r="B113" t="s">
        <v>1979</v>
      </c>
      <c r="C113" t="s">
        <v>1920</v>
      </c>
      <c r="D113">
        <v>250</v>
      </c>
      <c r="E113" t="s">
        <v>1921</v>
      </c>
      <c r="F113" t="s">
        <v>1922</v>
      </c>
    </row>
    <row r="115" spans="1:6" x14ac:dyDescent="0.2">
      <c r="A115" t="s">
        <v>1919</v>
      </c>
      <c r="B115" t="s">
        <v>1981</v>
      </c>
      <c r="C115" t="s">
        <v>1920</v>
      </c>
      <c r="D115">
        <v>3300</v>
      </c>
      <c r="E115" t="s">
        <v>1921</v>
      </c>
      <c r="F115" t="s">
        <v>1922</v>
      </c>
    </row>
    <row r="116" spans="1:6" x14ac:dyDescent="0.2">
      <c r="A116" t="s">
        <v>1919</v>
      </c>
      <c r="B116" t="s">
        <v>1981</v>
      </c>
      <c r="C116" t="s">
        <v>1920</v>
      </c>
      <c r="D116">
        <v>3550</v>
      </c>
      <c r="E116" t="s">
        <v>1921</v>
      </c>
      <c r="F116" t="s">
        <v>1922</v>
      </c>
    </row>
    <row r="117" spans="1:6" x14ac:dyDescent="0.2">
      <c r="A117" t="s">
        <v>1919</v>
      </c>
      <c r="B117" t="s">
        <v>1981</v>
      </c>
      <c r="C117" t="s">
        <v>1920</v>
      </c>
      <c r="D117">
        <v>3800</v>
      </c>
      <c r="E117" t="s">
        <v>1921</v>
      </c>
      <c r="F117" t="s">
        <v>1922</v>
      </c>
    </row>
    <row r="118" spans="1:6" x14ac:dyDescent="0.2">
      <c r="A118" t="s">
        <v>1919</v>
      </c>
      <c r="B118" t="s">
        <v>1981</v>
      </c>
      <c r="C118" t="s">
        <v>1920</v>
      </c>
      <c r="D118">
        <v>4550</v>
      </c>
      <c r="E118" t="s">
        <v>1921</v>
      </c>
      <c r="F118" t="s">
        <v>1922</v>
      </c>
    </row>
    <row r="119" spans="1:6" x14ac:dyDescent="0.2">
      <c r="A119" t="s">
        <v>1919</v>
      </c>
      <c r="B119" t="s">
        <v>1981</v>
      </c>
      <c r="C119" t="s">
        <v>1920</v>
      </c>
      <c r="D119">
        <v>4750</v>
      </c>
      <c r="E119" t="s">
        <v>1921</v>
      </c>
      <c r="F119" t="s">
        <v>1922</v>
      </c>
    </row>
    <row r="120" spans="1:6" x14ac:dyDescent="0.2">
      <c r="A120" t="s">
        <v>1919</v>
      </c>
      <c r="B120" t="s">
        <v>1981</v>
      </c>
      <c r="C120" t="s">
        <v>1920</v>
      </c>
      <c r="D120">
        <v>5050</v>
      </c>
      <c r="E120" t="s">
        <v>1921</v>
      </c>
      <c r="F120" t="s">
        <v>1922</v>
      </c>
    </row>
    <row r="121" spans="1:6" x14ac:dyDescent="0.2">
      <c r="A121" t="s">
        <v>1919</v>
      </c>
      <c r="B121" t="s">
        <v>1981</v>
      </c>
      <c r="C121" t="s">
        <v>1920</v>
      </c>
      <c r="D121">
        <v>5750</v>
      </c>
      <c r="E121" t="s">
        <v>1921</v>
      </c>
      <c r="F121" t="s">
        <v>1922</v>
      </c>
    </row>
    <row r="122" spans="1:6" x14ac:dyDescent="0.2">
      <c r="A122" t="s">
        <v>1919</v>
      </c>
      <c r="B122" t="s">
        <v>1982</v>
      </c>
      <c r="C122" t="s">
        <v>1920</v>
      </c>
      <c r="D122">
        <v>250</v>
      </c>
      <c r="E122" t="s">
        <v>1921</v>
      </c>
      <c r="F122" t="s">
        <v>1922</v>
      </c>
    </row>
    <row r="123" spans="1:6" x14ac:dyDescent="0.2">
      <c r="A123" t="s">
        <v>1919</v>
      </c>
      <c r="B123" t="s">
        <v>1983</v>
      </c>
      <c r="C123" t="s">
        <v>1920</v>
      </c>
      <c r="D123">
        <v>250</v>
      </c>
      <c r="E123" t="s">
        <v>1921</v>
      </c>
      <c r="F123" t="s">
        <v>1922</v>
      </c>
    </row>
    <row r="124" spans="1:6" x14ac:dyDescent="0.2">
      <c r="A124" t="s">
        <v>1919</v>
      </c>
      <c r="B124" t="s">
        <v>1984</v>
      </c>
      <c r="C124" t="s">
        <v>1920</v>
      </c>
      <c r="D124">
        <v>250</v>
      </c>
      <c r="E124" t="s">
        <v>1921</v>
      </c>
      <c r="F124" t="s">
        <v>1922</v>
      </c>
    </row>
    <row r="125" spans="1:6" x14ac:dyDescent="0.2">
      <c r="A125" t="s">
        <v>1919</v>
      </c>
      <c r="B125" t="s">
        <v>1985</v>
      </c>
      <c r="C125" t="s">
        <v>1920</v>
      </c>
      <c r="D125">
        <v>250</v>
      </c>
      <c r="E125" t="s">
        <v>1921</v>
      </c>
      <c r="F125" t="s">
        <v>1922</v>
      </c>
    </row>
    <row r="126" spans="1:6" x14ac:dyDescent="0.2">
      <c r="A126" t="s">
        <v>1919</v>
      </c>
      <c r="B126" t="s">
        <v>1986</v>
      </c>
      <c r="C126" t="s">
        <v>1920</v>
      </c>
      <c r="D126">
        <v>250</v>
      </c>
      <c r="E126" t="s">
        <v>1921</v>
      </c>
      <c r="F126" t="s">
        <v>1922</v>
      </c>
    </row>
    <row r="127" spans="1:6" x14ac:dyDescent="0.2">
      <c r="A127" t="s">
        <v>1919</v>
      </c>
      <c r="B127" t="s">
        <v>1987</v>
      </c>
      <c r="C127" t="s">
        <v>1920</v>
      </c>
      <c r="D127">
        <v>250</v>
      </c>
      <c r="E127" t="s">
        <v>1921</v>
      </c>
      <c r="F127" t="s">
        <v>1922</v>
      </c>
    </row>
    <row r="128" spans="1:6" x14ac:dyDescent="0.2">
      <c r="A128" t="s">
        <v>1919</v>
      </c>
      <c r="B128" t="s">
        <v>1988</v>
      </c>
      <c r="C128" t="s">
        <v>1920</v>
      </c>
      <c r="D128">
        <v>250</v>
      </c>
      <c r="E128" t="s">
        <v>1921</v>
      </c>
      <c r="F128" t="s">
        <v>1922</v>
      </c>
    </row>
    <row r="129" spans="1:6" x14ac:dyDescent="0.2">
      <c r="A129" t="s">
        <v>1919</v>
      </c>
      <c r="B129" t="s">
        <v>1989</v>
      </c>
      <c r="C129" t="s">
        <v>1920</v>
      </c>
      <c r="D129">
        <v>250</v>
      </c>
      <c r="E129" t="s">
        <v>1921</v>
      </c>
      <c r="F129" t="s">
        <v>1922</v>
      </c>
    </row>
    <row r="131" spans="1:6" x14ac:dyDescent="0.2">
      <c r="A131" t="s">
        <v>1919</v>
      </c>
      <c r="B131" t="s">
        <v>1990</v>
      </c>
      <c r="C131" t="s">
        <v>1920</v>
      </c>
      <c r="D131">
        <v>4550</v>
      </c>
      <c r="E131" t="s">
        <v>1921</v>
      </c>
      <c r="F131" t="s">
        <v>1922</v>
      </c>
    </row>
    <row r="132" spans="1:6" x14ac:dyDescent="0.2">
      <c r="A132" t="s">
        <v>1919</v>
      </c>
      <c r="B132" t="s">
        <v>1990</v>
      </c>
      <c r="C132" t="s">
        <v>1920</v>
      </c>
      <c r="D132">
        <v>4750</v>
      </c>
      <c r="E132" t="s">
        <v>1921</v>
      </c>
      <c r="F132" t="s">
        <v>1922</v>
      </c>
    </row>
    <row r="133" spans="1:6" x14ac:dyDescent="0.2">
      <c r="A133" t="s">
        <v>1919</v>
      </c>
      <c r="B133" t="s">
        <v>1990</v>
      </c>
      <c r="C133" t="s">
        <v>1920</v>
      </c>
      <c r="D133">
        <v>4850</v>
      </c>
      <c r="E133" t="s">
        <v>1921</v>
      </c>
      <c r="F133" t="s">
        <v>1922</v>
      </c>
    </row>
    <row r="134" spans="1:6" x14ac:dyDescent="0.2">
      <c r="A134" t="s">
        <v>1919</v>
      </c>
      <c r="B134" t="s">
        <v>1991</v>
      </c>
      <c r="C134" t="s">
        <v>1920</v>
      </c>
      <c r="D134">
        <v>250</v>
      </c>
      <c r="E134" t="s">
        <v>1921</v>
      </c>
      <c r="F134" t="s">
        <v>1922</v>
      </c>
    </row>
    <row r="135" spans="1:6" x14ac:dyDescent="0.2">
      <c r="A135" t="s">
        <v>1919</v>
      </c>
      <c r="B135" t="s">
        <v>1992</v>
      </c>
      <c r="C135" t="s">
        <v>1920</v>
      </c>
      <c r="D135">
        <v>250</v>
      </c>
      <c r="E135" t="s">
        <v>1921</v>
      </c>
      <c r="F135" t="s">
        <v>1922</v>
      </c>
    </row>
    <row r="136" spans="1:6" x14ac:dyDescent="0.2">
      <c r="A136" t="s">
        <v>1919</v>
      </c>
      <c r="B136" t="s">
        <v>1993</v>
      </c>
      <c r="C136" t="s">
        <v>1920</v>
      </c>
      <c r="D136">
        <v>250</v>
      </c>
      <c r="E136" t="s">
        <v>1921</v>
      </c>
      <c r="F136" t="s">
        <v>1922</v>
      </c>
    </row>
    <row r="137" spans="1:6" x14ac:dyDescent="0.2">
      <c r="A137" t="s">
        <v>1919</v>
      </c>
      <c r="B137" t="s">
        <v>1994</v>
      </c>
      <c r="C137" t="s">
        <v>1920</v>
      </c>
      <c r="D137">
        <v>250</v>
      </c>
      <c r="E137" t="s">
        <v>1921</v>
      </c>
      <c r="F137" t="s">
        <v>1922</v>
      </c>
    </row>
    <row r="138" spans="1:6" x14ac:dyDescent="0.2">
      <c r="A138" t="s">
        <v>1919</v>
      </c>
      <c r="B138" t="s">
        <v>1995</v>
      </c>
      <c r="C138" t="s">
        <v>1920</v>
      </c>
      <c r="D138">
        <v>250</v>
      </c>
      <c r="E138" t="s">
        <v>1921</v>
      </c>
      <c r="F138" t="s">
        <v>1922</v>
      </c>
    </row>
    <row r="139" spans="1:6" x14ac:dyDescent="0.2">
      <c r="A139" t="s">
        <v>1919</v>
      </c>
      <c r="B139" t="s">
        <v>1996</v>
      </c>
      <c r="C139" t="s">
        <v>1920</v>
      </c>
      <c r="D139">
        <v>250</v>
      </c>
      <c r="E139" t="s">
        <v>1921</v>
      </c>
      <c r="F139" t="s">
        <v>1922</v>
      </c>
    </row>
    <row r="140" spans="1:6" x14ac:dyDescent="0.2">
      <c r="A140" t="s">
        <v>1919</v>
      </c>
      <c r="B140" t="s">
        <v>1997</v>
      </c>
      <c r="C140" t="s">
        <v>1920</v>
      </c>
      <c r="D140">
        <v>250</v>
      </c>
      <c r="E140" t="s">
        <v>1921</v>
      </c>
      <c r="F140" t="s">
        <v>1922</v>
      </c>
    </row>
    <row r="141" spans="1:6" x14ac:dyDescent="0.2">
      <c r="A141" t="s">
        <v>1919</v>
      </c>
      <c r="B141" t="s">
        <v>1998</v>
      </c>
      <c r="C141" t="s">
        <v>1920</v>
      </c>
      <c r="D141">
        <v>250</v>
      </c>
      <c r="E141" t="s">
        <v>1921</v>
      </c>
      <c r="F141" t="s">
        <v>1922</v>
      </c>
    </row>
    <row r="143" spans="1:6" x14ac:dyDescent="0.2">
      <c r="A143" t="s">
        <v>1999</v>
      </c>
    </row>
    <row r="144" spans="1:6" x14ac:dyDescent="0.2">
      <c r="A144" t="s">
        <v>2000</v>
      </c>
    </row>
    <row r="145" spans="1:1" x14ac:dyDescent="0.2">
      <c r="A145" t="s">
        <v>1940</v>
      </c>
    </row>
    <row r="146" spans="1:1" x14ac:dyDescent="0.2">
      <c r="A146" t="s">
        <v>1941</v>
      </c>
    </row>
    <row r="147" spans="1:1" x14ac:dyDescent="0.2">
      <c r="A147" t="s">
        <v>2001</v>
      </c>
    </row>
    <row r="148" spans="1:1" x14ac:dyDescent="0.2">
      <c r="A148" t="s">
        <v>2002</v>
      </c>
    </row>
    <row r="149" spans="1:1" x14ac:dyDescent="0.2">
      <c r="A149" t="s">
        <v>1940</v>
      </c>
    </row>
    <row r="150" spans="1:1" x14ac:dyDescent="0.2">
      <c r="A150" t="s">
        <v>1941</v>
      </c>
    </row>
    <row r="151" spans="1:1" x14ac:dyDescent="0.2">
      <c r="A151" t="s">
        <v>2003</v>
      </c>
    </row>
    <row r="152" spans="1:1" x14ac:dyDescent="0.2">
      <c r="A152" t="s">
        <v>2004</v>
      </c>
    </row>
    <row r="153" spans="1:1" x14ac:dyDescent="0.2">
      <c r="A153" t="s">
        <v>1940</v>
      </c>
    </row>
    <row r="154" spans="1:1" x14ac:dyDescent="0.2">
      <c r="A154" t="s">
        <v>1941</v>
      </c>
    </row>
    <row r="155" spans="1:1" x14ac:dyDescent="0.2">
      <c r="A155" t="s">
        <v>2005</v>
      </c>
    </row>
    <row r="156" spans="1:1" x14ac:dyDescent="0.2">
      <c r="A156" t="s">
        <v>2006</v>
      </c>
    </row>
    <row r="157" spans="1:1" x14ac:dyDescent="0.2">
      <c r="A157" t="s">
        <v>1940</v>
      </c>
    </row>
    <row r="158" spans="1:1" x14ac:dyDescent="0.2">
      <c r="A158" t="s">
        <v>1941</v>
      </c>
    </row>
    <row r="159" spans="1:1" x14ac:dyDescent="0.2">
      <c r="A159" t="s">
        <v>2007</v>
      </c>
    </row>
    <row r="160" spans="1:1" x14ac:dyDescent="0.2">
      <c r="A160" t="s">
        <v>2008</v>
      </c>
    </row>
    <row r="161" spans="1:1" x14ac:dyDescent="0.2">
      <c r="A161" t="s">
        <v>1940</v>
      </c>
    </row>
    <row r="162" spans="1:1" x14ac:dyDescent="0.2">
      <c r="A162" t="s">
        <v>1941</v>
      </c>
    </row>
    <row r="163" spans="1:1" x14ac:dyDescent="0.2">
      <c r="A163" t="s">
        <v>2009</v>
      </c>
    </row>
    <row r="164" spans="1:1" x14ac:dyDescent="0.2">
      <c r="A164" t="s">
        <v>2010</v>
      </c>
    </row>
    <row r="165" spans="1:1" x14ac:dyDescent="0.2">
      <c r="A165" t="s">
        <v>1940</v>
      </c>
    </row>
    <row r="166" spans="1:1" x14ac:dyDescent="0.2">
      <c r="A166" t="s">
        <v>1941</v>
      </c>
    </row>
    <row r="167" spans="1:1" x14ac:dyDescent="0.2">
      <c r="A167" t="s">
        <v>2011</v>
      </c>
    </row>
    <row r="168" spans="1:1" x14ac:dyDescent="0.2">
      <c r="A168" t="s">
        <v>2012</v>
      </c>
    </row>
    <row r="169" spans="1:1" x14ac:dyDescent="0.2">
      <c r="A169" t="s">
        <v>1940</v>
      </c>
    </row>
    <row r="170" spans="1:1" x14ac:dyDescent="0.2">
      <c r="A170" t="s">
        <v>1941</v>
      </c>
    </row>
    <row r="171" spans="1:1" x14ac:dyDescent="0.2">
      <c r="A171" t="s">
        <v>2013</v>
      </c>
    </row>
    <row r="172" spans="1:1" x14ac:dyDescent="0.2">
      <c r="A172" t="s">
        <v>2014</v>
      </c>
    </row>
    <row r="173" spans="1:1" x14ac:dyDescent="0.2">
      <c r="A173" t="s">
        <v>1940</v>
      </c>
    </row>
    <row r="174" spans="1:1" x14ac:dyDescent="0.2">
      <c r="A174" t="s">
        <v>1941</v>
      </c>
    </row>
    <row r="176" spans="1:1" x14ac:dyDescent="0.2">
      <c r="A176" t="s">
        <v>2015</v>
      </c>
    </row>
    <row r="177" spans="1:1" x14ac:dyDescent="0.2">
      <c r="A177" t="s">
        <v>2016</v>
      </c>
    </row>
    <row r="178" spans="1:1" x14ac:dyDescent="0.2">
      <c r="A178" t="s">
        <v>1940</v>
      </c>
    </row>
    <row r="179" spans="1:1" x14ac:dyDescent="0.2">
      <c r="A179" t="s">
        <v>1941</v>
      </c>
    </row>
    <row r="180" spans="1:1" x14ac:dyDescent="0.2">
      <c r="A180" t="s">
        <v>2017</v>
      </c>
    </row>
    <row r="181" spans="1:1" x14ac:dyDescent="0.2">
      <c r="A181" t="s">
        <v>2018</v>
      </c>
    </row>
    <row r="182" spans="1:1" x14ac:dyDescent="0.2">
      <c r="A182" t="s">
        <v>1940</v>
      </c>
    </row>
    <row r="183" spans="1:1" x14ac:dyDescent="0.2">
      <c r="A183" t="s">
        <v>1941</v>
      </c>
    </row>
    <row r="184" spans="1:1" x14ac:dyDescent="0.2">
      <c r="A184" t="s">
        <v>2019</v>
      </c>
    </row>
    <row r="185" spans="1:1" x14ac:dyDescent="0.2">
      <c r="A185" t="s">
        <v>2020</v>
      </c>
    </row>
    <row r="186" spans="1:1" x14ac:dyDescent="0.2">
      <c r="A186" t="s">
        <v>1940</v>
      </c>
    </row>
    <row r="187" spans="1:1" x14ac:dyDescent="0.2">
      <c r="A187" t="s">
        <v>1941</v>
      </c>
    </row>
    <row r="188" spans="1:1" x14ac:dyDescent="0.2">
      <c r="A188" t="s">
        <v>2021</v>
      </c>
    </row>
    <row r="189" spans="1:1" x14ac:dyDescent="0.2">
      <c r="A189" t="s">
        <v>2022</v>
      </c>
    </row>
    <row r="190" spans="1:1" x14ac:dyDescent="0.2">
      <c r="A190" t="s">
        <v>1940</v>
      </c>
    </row>
    <row r="191" spans="1:1" x14ac:dyDescent="0.2">
      <c r="A191" t="s">
        <v>1941</v>
      </c>
    </row>
    <row r="192" spans="1:1" x14ac:dyDescent="0.2">
      <c r="A192" t="s">
        <v>2023</v>
      </c>
    </row>
    <row r="193" spans="1:1" x14ac:dyDescent="0.2">
      <c r="A193" t="s">
        <v>2024</v>
      </c>
    </row>
    <row r="194" spans="1:1" x14ac:dyDescent="0.2">
      <c r="A194" t="s">
        <v>1940</v>
      </c>
    </row>
    <row r="195" spans="1:1" x14ac:dyDescent="0.2">
      <c r="A195" t="s">
        <v>1941</v>
      </c>
    </row>
    <row r="196" spans="1:1" x14ac:dyDescent="0.2">
      <c r="A196" t="s">
        <v>2025</v>
      </c>
    </row>
    <row r="197" spans="1:1" x14ac:dyDescent="0.2">
      <c r="A197" t="s">
        <v>2026</v>
      </c>
    </row>
    <row r="198" spans="1:1" x14ac:dyDescent="0.2">
      <c r="A198" t="s">
        <v>1940</v>
      </c>
    </row>
    <row r="199" spans="1:1" x14ac:dyDescent="0.2">
      <c r="A199" t="s">
        <v>1941</v>
      </c>
    </row>
    <row r="200" spans="1:1" x14ac:dyDescent="0.2">
      <c r="A200" t="s">
        <v>2027</v>
      </c>
    </row>
    <row r="201" spans="1:1" x14ac:dyDescent="0.2">
      <c r="A201" t="s">
        <v>2028</v>
      </c>
    </row>
    <row r="202" spans="1:1" x14ac:dyDescent="0.2">
      <c r="A202" t="s">
        <v>1940</v>
      </c>
    </row>
    <row r="203" spans="1:1" x14ac:dyDescent="0.2">
      <c r="A203" t="s">
        <v>1941</v>
      </c>
    </row>
    <row r="204" spans="1:1" x14ac:dyDescent="0.2">
      <c r="A204" t="s">
        <v>2029</v>
      </c>
    </row>
    <row r="205" spans="1:1" x14ac:dyDescent="0.2">
      <c r="A205" t="s">
        <v>2030</v>
      </c>
    </row>
    <row r="206" spans="1:1" x14ac:dyDescent="0.2">
      <c r="A206" t="s">
        <v>1940</v>
      </c>
    </row>
    <row r="207" spans="1:1" x14ac:dyDescent="0.2">
      <c r="A207" t="s">
        <v>1941</v>
      </c>
    </row>
    <row r="209" spans="1:1" x14ac:dyDescent="0.2">
      <c r="A209" t="s">
        <v>2031</v>
      </c>
    </row>
    <row r="210" spans="1:1" x14ac:dyDescent="0.2">
      <c r="A210" t="s">
        <v>2032</v>
      </c>
    </row>
    <row r="211" spans="1:1" x14ac:dyDescent="0.2">
      <c r="A211" t="s">
        <v>1942</v>
      </c>
    </row>
    <row r="212" spans="1:1" x14ac:dyDescent="0.2">
      <c r="A212" t="s">
        <v>2031</v>
      </c>
    </row>
    <row r="213" spans="1:1" x14ac:dyDescent="0.2">
      <c r="A213" t="s">
        <v>2033</v>
      </c>
    </row>
    <row r="214" spans="1:1" x14ac:dyDescent="0.2">
      <c r="A214" t="s">
        <v>1942</v>
      </c>
    </row>
    <row r="215" spans="1:1" x14ac:dyDescent="0.2">
      <c r="A215" t="s">
        <v>2034</v>
      </c>
    </row>
    <row r="216" spans="1:1" x14ac:dyDescent="0.2">
      <c r="A216" t="s">
        <v>2032</v>
      </c>
    </row>
    <row r="217" spans="1:1" x14ac:dyDescent="0.2">
      <c r="A217" t="s">
        <v>1942</v>
      </c>
    </row>
    <row r="218" spans="1:1" x14ac:dyDescent="0.2">
      <c r="A218" t="s">
        <v>2035</v>
      </c>
    </row>
    <row r="219" spans="1:1" x14ac:dyDescent="0.2">
      <c r="A219" t="s">
        <v>2036</v>
      </c>
    </row>
    <row r="220" spans="1:1" x14ac:dyDescent="0.2">
      <c r="A220" t="s">
        <v>1942</v>
      </c>
    </row>
    <row r="221" spans="1:1" x14ac:dyDescent="0.2">
      <c r="A221" t="s">
        <v>2037</v>
      </c>
    </row>
    <row r="222" spans="1:1" x14ac:dyDescent="0.2">
      <c r="A222" t="s">
        <v>2038</v>
      </c>
    </row>
    <row r="223" spans="1:1" x14ac:dyDescent="0.2">
      <c r="A223" t="s">
        <v>1942</v>
      </c>
    </row>
    <row r="224" spans="1:1" x14ac:dyDescent="0.2">
      <c r="A224" t="s">
        <v>2039</v>
      </c>
    </row>
    <row r="225" spans="1:1" x14ac:dyDescent="0.2">
      <c r="A225" t="s">
        <v>2040</v>
      </c>
    </row>
    <row r="226" spans="1:1" x14ac:dyDescent="0.2">
      <c r="A226" t="s">
        <v>1942</v>
      </c>
    </row>
    <row r="227" spans="1:1" x14ac:dyDescent="0.2">
      <c r="A227" t="s">
        <v>2041</v>
      </c>
    </row>
    <row r="228" spans="1:1" x14ac:dyDescent="0.2">
      <c r="A228" t="s">
        <v>2042</v>
      </c>
    </row>
    <row r="229" spans="1:1" x14ac:dyDescent="0.2">
      <c r="A229" t="s">
        <v>1942</v>
      </c>
    </row>
    <row r="230" spans="1:1" x14ac:dyDescent="0.2">
      <c r="A230" t="s">
        <v>2043</v>
      </c>
    </row>
    <row r="231" spans="1:1" x14ac:dyDescent="0.2">
      <c r="A231" t="s">
        <v>2044</v>
      </c>
    </row>
    <row r="232" spans="1:1" x14ac:dyDescent="0.2">
      <c r="A232" t="s">
        <v>1942</v>
      </c>
    </row>
    <row r="233" spans="1:1" x14ac:dyDescent="0.2">
      <c r="A233" t="s">
        <v>2045</v>
      </c>
    </row>
    <row r="234" spans="1:1" x14ac:dyDescent="0.2">
      <c r="A234" t="s">
        <v>2046</v>
      </c>
    </row>
    <row r="235" spans="1:1" x14ac:dyDescent="0.2">
      <c r="A235" t="s">
        <v>1942</v>
      </c>
    </row>
    <row r="236" spans="1:1" x14ac:dyDescent="0.2">
      <c r="A236" t="s">
        <v>2047</v>
      </c>
    </row>
    <row r="237" spans="1:1" x14ac:dyDescent="0.2">
      <c r="A237" t="s">
        <v>2048</v>
      </c>
    </row>
    <row r="238" spans="1:1" x14ac:dyDescent="0.2">
      <c r="A238" t="s">
        <v>1942</v>
      </c>
    </row>
    <row r="239" spans="1:1" x14ac:dyDescent="0.2">
      <c r="A239" t="s">
        <v>2049</v>
      </c>
    </row>
    <row r="240" spans="1:1" x14ac:dyDescent="0.2">
      <c r="A240" t="s">
        <v>2050</v>
      </c>
    </row>
    <row r="241" spans="1:1" x14ac:dyDescent="0.2">
      <c r="A241" t="s">
        <v>1942</v>
      </c>
    </row>
    <row r="242" spans="1:1" x14ac:dyDescent="0.2">
      <c r="A242" t="s">
        <v>2051</v>
      </c>
    </row>
    <row r="243" spans="1:1" x14ac:dyDescent="0.2">
      <c r="A243" t="s">
        <v>2052</v>
      </c>
    </row>
    <row r="244" spans="1:1" x14ac:dyDescent="0.2">
      <c r="A244" t="s">
        <v>1942</v>
      </c>
    </row>
    <row r="245" spans="1:1" x14ac:dyDescent="0.2">
      <c r="A245" t="s">
        <v>2053</v>
      </c>
    </row>
    <row r="246" spans="1:1" x14ac:dyDescent="0.2">
      <c r="A246" t="s">
        <v>2054</v>
      </c>
    </row>
    <row r="247" spans="1:1" x14ac:dyDescent="0.2">
      <c r="A247" t="s">
        <v>1942</v>
      </c>
    </row>
    <row r="248" spans="1:1" x14ac:dyDescent="0.2">
      <c r="A248" t="s">
        <v>2055</v>
      </c>
    </row>
    <row r="249" spans="1:1" x14ac:dyDescent="0.2">
      <c r="A249" t="s">
        <v>2056</v>
      </c>
    </row>
    <row r="250" spans="1:1" x14ac:dyDescent="0.2">
      <c r="A250" t="s">
        <v>1942</v>
      </c>
    </row>
    <row r="251" spans="1:1" x14ac:dyDescent="0.2">
      <c r="A251" t="s">
        <v>2057</v>
      </c>
    </row>
    <row r="252" spans="1:1" x14ac:dyDescent="0.2">
      <c r="A252" t="s">
        <v>2058</v>
      </c>
    </row>
    <row r="253" spans="1:1" x14ac:dyDescent="0.2">
      <c r="A253" t="s">
        <v>1942</v>
      </c>
    </row>
    <row r="254" spans="1:1" x14ac:dyDescent="0.2">
      <c r="A254" t="s">
        <v>2059</v>
      </c>
    </row>
    <row r="255" spans="1:1" x14ac:dyDescent="0.2">
      <c r="A255" t="s">
        <v>2060</v>
      </c>
    </row>
    <row r="256" spans="1:1" x14ac:dyDescent="0.2">
      <c r="A256" t="s">
        <v>1942</v>
      </c>
    </row>
    <row r="257" spans="1:1" x14ac:dyDescent="0.2">
      <c r="A257" t="s">
        <v>2061</v>
      </c>
    </row>
    <row r="258" spans="1:1" x14ac:dyDescent="0.2">
      <c r="A258" t="s">
        <v>2062</v>
      </c>
    </row>
    <row r="259" spans="1:1" x14ac:dyDescent="0.2">
      <c r="A259" t="s">
        <v>1942</v>
      </c>
    </row>
    <row r="260" spans="1:1" x14ac:dyDescent="0.2">
      <c r="A260" t="s">
        <v>2063</v>
      </c>
    </row>
    <row r="261" spans="1:1" x14ac:dyDescent="0.2">
      <c r="A261" t="s">
        <v>2064</v>
      </c>
    </row>
    <row r="262" spans="1:1" x14ac:dyDescent="0.2">
      <c r="A262" t="s">
        <v>1942</v>
      </c>
    </row>
    <row r="263" spans="1:1" x14ac:dyDescent="0.2">
      <c r="A263" t="s">
        <v>2065</v>
      </c>
    </row>
    <row r="264" spans="1:1" x14ac:dyDescent="0.2">
      <c r="A264" t="s">
        <v>2066</v>
      </c>
    </row>
    <row r="265" spans="1:1" x14ac:dyDescent="0.2">
      <c r="A265" t="s">
        <v>1942</v>
      </c>
    </row>
    <row r="266" spans="1:1" x14ac:dyDescent="0.2">
      <c r="A266" t="s">
        <v>2067</v>
      </c>
    </row>
    <row r="267" spans="1:1" x14ac:dyDescent="0.2">
      <c r="A267" t="s">
        <v>2068</v>
      </c>
    </row>
    <row r="268" spans="1:1" x14ac:dyDescent="0.2">
      <c r="A268" t="s">
        <v>1942</v>
      </c>
    </row>
    <row r="269" spans="1:1" x14ac:dyDescent="0.2">
      <c r="A269" t="s">
        <v>2069</v>
      </c>
    </row>
    <row r="270" spans="1:1" x14ac:dyDescent="0.2">
      <c r="A270" t="s">
        <v>2070</v>
      </c>
    </row>
    <row r="271" spans="1:1" x14ac:dyDescent="0.2">
      <c r="A271" t="s">
        <v>1942</v>
      </c>
    </row>
    <row r="272" spans="1:1" x14ac:dyDescent="0.2">
      <c r="A272" t="s">
        <v>2071</v>
      </c>
    </row>
    <row r="273" spans="1:1" x14ac:dyDescent="0.2">
      <c r="A273" t="s">
        <v>2072</v>
      </c>
    </row>
    <row r="274" spans="1:1" x14ac:dyDescent="0.2">
      <c r="A274" t="s">
        <v>1942</v>
      </c>
    </row>
    <row r="275" spans="1:1" x14ac:dyDescent="0.2">
      <c r="A275" t="s">
        <v>2073</v>
      </c>
    </row>
    <row r="276" spans="1:1" x14ac:dyDescent="0.2">
      <c r="A276" t="s">
        <v>2074</v>
      </c>
    </row>
    <row r="277" spans="1:1" x14ac:dyDescent="0.2">
      <c r="A277" t="s">
        <v>1942</v>
      </c>
    </row>
    <row r="278" spans="1:1" x14ac:dyDescent="0.2">
      <c r="A278" t="s">
        <v>2075</v>
      </c>
    </row>
    <row r="279" spans="1:1" x14ac:dyDescent="0.2">
      <c r="A279" t="s">
        <v>2076</v>
      </c>
    </row>
    <row r="280" spans="1:1" x14ac:dyDescent="0.2">
      <c r="A280" t="s">
        <v>1942</v>
      </c>
    </row>
    <row r="281" spans="1:1" x14ac:dyDescent="0.2">
      <c r="A281" t="s">
        <v>2077</v>
      </c>
    </row>
    <row r="282" spans="1:1" x14ac:dyDescent="0.2">
      <c r="A282" t="s">
        <v>2046</v>
      </c>
    </row>
    <row r="283" spans="1:1" x14ac:dyDescent="0.2">
      <c r="A283" t="s">
        <v>1942</v>
      </c>
    </row>
    <row r="284" spans="1:1" x14ac:dyDescent="0.2">
      <c r="A284" t="s">
        <v>2078</v>
      </c>
    </row>
    <row r="285" spans="1:1" x14ac:dyDescent="0.2">
      <c r="A285" t="s">
        <v>2079</v>
      </c>
    </row>
    <row r="286" spans="1:1" x14ac:dyDescent="0.2">
      <c r="A286" t="s">
        <v>1980</v>
      </c>
    </row>
    <row r="287" spans="1:1" x14ac:dyDescent="0.2">
      <c r="A287" t="s">
        <v>1943</v>
      </c>
    </row>
    <row r="288" spans="1:1" x14ac:dyDescent="0.2">
      <c r="A288" t="s">
        <v>2078</v>
      </c>
    </row>
    <row r="289" spans="1:1" x14ac:dyDescent="0.2">
      <c r="A289" t="s">
        <v>2080</v>
      </c>
    </row>
    <row r="290" spans="1:1" x14ac:dyDescent="0.2">
      <c r="A290" t="s">
        <v>1944</v>
      </c>
    </row>
    <row r="291" spans="1:1" x14ac:dyDescent="0.2">
      <c r="A291" t="s">
        <v>2081</v>
      </c>
    </row>
    <row r="292" spans="1:1" x14ac:dyDescent="0.2">
      <c r="A292" t="s">
        <v>2082</v>
      </c>
    </row>
    <row r="293" spans="1:1" x14ac:dyDescent="0.2">
      <c r="A293" t="s">
        <v>1944</v>
      </c>
    </row>
    <row r="294" spans="1:1" x14ac:dyDescent="0.2">
      <c r="A294" t="s">
        <v>2083</v>
      </c>
    </row>
    <row r="295" spans="1:1" x14ac:dyDescent="0.2">
      <c r="A295" t="s">
        <v>2084</v>
      </c>
    </row>
    <row r="296" spans="1:1" x14ac:dyDescent="0.2">
      <c r="A296" t="s">
        <v>1944</v>
      </c>
    </row>
    <row r="297" spans="1:1" x14ac:dyDescent="0.2">
      <c r="A297" t="s">
        <v>2085</v>
      </c>
    </row>
    <row r="298" spans="1:1" x14ac:dyDescent="0.2">
      <c r="A298" t="s">
        <v>2086</v>
      </c>
    </row>
    <row r="299" spans="1:1" x14ac:dyDescent="0.2">
      <c r="A299" t="s">
        <v>1944</v>
      </c>
    </row>
    <row r="300" spans="1:1" x14ac:dyDescent="0.2">
      <c r="A300" t="s">
        <v>2087</v>
      </c>
    </row>
    <row r="301" spans="1:1" x14ac:dyDescent="0.2">
      <c r="A301" t="s">
        <v>2088</v>
      </c>
    </row>
    <row r="302" spans="1:1" x14ac:dyDescent="0.2">
      <c r="A302" t="s">
        <v>1945</v>
      </c>
    </row>
    <row r="303" spans="1:1" x14ac:dyDescent="0.2">
      <c r="A303" t="s">
        <v>2089</v>
      </c>
    </row>
    <row r="304" spans="1:1" x14ac:dyDescent="0.2">
      <c r="A304" t="s">
        <v>2090</v>
      </c>
    </row>
    <row r="305" spans="1:1" x14ac:dyDescent="0.2">
      <c r="A305" t="s">
        <v>1945</v>
      </c>
    </row>
    <row r="306" spans="1:1" x14ac:dyDescent="0.2">
      <c r="A306" t="s">
        <v>2087</v>
      </c>
    </row>
    <row r="307" spans="1:1" x14ac:dyDescent="0.2">
      <c r="A307" t="s">
        <v>2090</v>
      </c>
    </row>
    <row r="308" spans="1:1" x14ac:dyDescent="0.2">
      <c r="A308" t="s">
        <v>1945</v>
      </c>
    </row>
    <row r="309" spans="1:1" x14ac:dyDescent="0.2">
      <c r="A309" t="s">
        <v>2091</v>
      </c>
    </row>
    <row r="310" spans="1:1" x14ac:dyDescent="0.2">
      <c r="A310" t="s">
        <v>2095</v>
      </c>
    </row>
    <row r="311" spans="1:1" x14ac:dyDescent="0.2">
      <c r="A311" t="s">
        <v>1945</v>
      </c>
    </row>
    <row r="312" spans="1:1" x14ac:dyDescent="0.2">
      <c r="A312" t="s">
        <v>2092</v>
      </c>
    </row>
    <row r="313" spans="1:1" x14ac:dyDescent="0.2">
      <c r="A313" t="s">
        <v>2096</v>
      </c>
    </row>
    <row r="314" spans="1:1" x14ac:dyDescent="0.2">
      <c r="A314" t="s">
        <v>1945</v>
      </c>
    </row>
    <row r="315" spans="1:1" x14ac:dyDescent="0.2">
      <c r="A315" t="s">
        <v>2097</v>
      </c>
    </row>
    <row r="316" spans="1:1" x14ac:dyDescent="0.2">
      <c r="A316" t="s">
        <v>2095</v>
      </c>
    </row>
    <row r="317" spans="1:1" x14ac:dyDescent="0.2">
      <c r="A317" t="s">
        <v>1945</v>
      </c>
    </row>
    <row r="318" spans="1:1" x14ac:dyDescent="0.2">
      <c r="A318" t="s">
        <v>2097</v>
      </c>
    </row>
    <row r="319" spans="1:1" x14ac:dyDescent="0.2">
      <c r="A319" t="s">
        <v>2096</v>
      </c>
    </row>
    <row r="320" spans="1:1" x14ac:dyDescent="0.2">
      <c r="A320" t="s">
        <v>1945</v>
      </c>
    </row>
    <row r="321" spans="1:1" x14ac:dyDescent="0.2">
      <c r="A321" t="s">
        <v>2097</v>
      </c>
    </row>
    <row r="322" spans="1:1" x14ac:dyDescent="0.2">
      <c r="A322" t="s">
        <v>2098</v>
      </c>
    </row>
    <row r="323" spans="1:1" x14ac:dyDescent="0.2">
      <c r="A323" t="s">
        <v>1945</v>
      </c>
    </row>
    <row r="324" spans="1:1" x14ac:dyDescent="0.2">
      <c r="A324" t="s">
        <v>2099</v>
      </c>
    </row>
    <row r="325" spans="1:1" x14ac:dyDescent="0.2">
      <c r="A325" t="s">
        <v>2096</v>
      </c>
    </row>
    <row r="326" spans="1:1" x14ac:dyDescent="0.2">
      <c r="A326" t="s">
        <v>1971</v>
      </c>
    </row>
    <row r="327" spans="1:1" x14ac:dyDescent="0.2">
      <c r="A327" t="s">
        <v>1946</v>
      </c>
    </row>
  </sheetData>
  <printOptions horizontalCentered="1" verticalCentered="1"/>
  <pageMargins left="0.25" right="0.25" top="0.5" bottom="0.25" header="0.25" footer="0.25"/>
  <pageSetup paperSize="9" scale="8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2747" r:id="rId4" name="Button 13723">
              <controlPr defaultSize="0" print="0" autoFill="0" autoPict="0" macro="[0]!galispeditor">
                <anchor moveWithCells="1" sizeWithCells="1">
                  <from>
                    <xdr:col>1</xdr:col>
                    <xdr:colOff>457200</xdr:colOff>
                    <xdr:row>4</xdr:row>
                    <xdr:rowOff>28575</xdr:rowOff>
                  </from>
                  <to>
                    <xdr:col>3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F344"/>
  <sheetViews>
    <sheetView workbookViewId="0">
      <selection activeCell="H9" sqref="H9"/>
    </sheetView>
  </sheetViews>
  <sheetFormatPr defaultRowHeight="12.75" x14ac:dyDescent="0.2"/>
  <sheetData>
    <row r="1" spans="1:6" x14ac:dyDescent="0.2">
      <c r="A1" s="1013">
        <v>40</v>
      </c>
      <c r="B1" s="1013">
        <v>68</v>
      </c>
      <c r="C1" s="1013">
        <v>14</v>
      </c>
    </row>
    <row r="2" spans="1:6" x14ac:dyDescent="0.2">
      <c r="A2" t="s">
        <v>1715</v>
      </c>
    </row>
    <row r="3" spans="1:6" x14ac:dyDescent="0.2">
      <c r="A3" t="s">
        <v>1716</v>
      </c>
    </row>
    <row r="4" spans="1:6" x14ac:dyDescent="0.2">
      <c r="A4" t="s">
        <v>1717</v>
      </c>
    </row>
    <row r="5" spans="1:6" x14ac:dyDescent="0.2">
      <c r="A5" t="s">
        <v>1718</v>
      </c>
    </row>
    <row r="6" spans="1:6" x14ac:dyDescent="0.2">
      <c r="A6" t="s">
        <v>1719</v>
      </c>
    </row>
    <row r="7" spans="1:6" x14ac:dyDescent="0.2">
      <c r="A7" t="s">
        <v>1720</v>
      </c>
      <c r="F7" s="164" t="s">
        <v>236</v>
      </c>
    </row>
    <row r="8" spans="1:6" x14ac:dyDescent="0.2">
      <c r="A8" t="s">
        <v>1721</v>
      </c>
    </row>
    <row r="9" spans="1:6" x14ac:dyDescent="0.2">
      <c r="A9" t="s">
        <v>1722</v>
      </c>
    </row>
    <row r="11" spans="1:6" x14ac:dyDescent="0.2">
      <c r="A11" s="164" t="s">
        <v>1791</v>
      </c>
      <c r="B11" s="164"/>
      <c r="C11" s="164" t="s">
        <v>1729</v>
      </c>
    </row>
    <row r="12" spans="1:6" x14ac:dyDescent="0.2">
      <c r="A12" t="s">
        <v>1728</v>
      </c>
    </row>
    <row r="13" spans="1:6" x14ac:dyDescent="0.2">
      <c r="A13" s="164" t="s">
        <v>1730</v>
      </c>
      <c r="B13" s="164" t="s">
        <v>1731</v>
      </c>
    </row>
    <row r="14" spans="1:6" x14ac:dyDescent="0.2">
      <c r="A14" s="164"/>
    </row>
    <row r="15" spans="1:6" x14ac:dyDescent="0.2">
      <c r="A15" t="s">
        <v>1785</v>
      </c>
    </row>
    <row r="16" spans="1:6" x14ac:dyDescent="0.2">
      <c r="A16" t="s">
        <v>1786</v>
      </c>
    </row>
    <row r="17" spans="1:2" x14ac:dyDescent="0.2">
      <c r="A17" t="s">
        <v>1787</v>
      </c>
    </row>
    <row r="18" spans="1:2" x14ac:dyDescent="0.2">
      <c r="A18" t="s">
        <v>1788</v>
      </c>
    </row>
    <row r="19" spans="1:2" x14ac:dyDescent="0.2">
      <c r="A19" t="s">
        <v>1789</v>
      </c>
    </row>
    <row r="20" spans="1:2" x14ac:dyDescent="0.2">
      <c r="A20" t="s">
        <v>1788</v>
      </c>
    </row>
    <row r="22" spans="1:2" x14ac:dyDescent="0.2">
      <c r="A22" s="164" t="s">
        <v>1914</v>
      </c>
    </row>
    <row r="23" spans="1:2" x14ac:dyDescent="0.2">
      <c r="A23" s="164" t="s">
        <v>1915</v>
      </c>
      <c r="B23" s="164" t="s">
        <v>1916</v>
      </c>
    </row>
    <row r="24" spans="1:2" x14ac:dyDescent="0.2">
      <c r="A24" t="s">
        <v>1910</v>
      </c>
    </row>
    <row r="25" spans="1:2" x14ac:dyDescent="0.2">
      <c r="A25" t="s">
        <v>1911</v>
      </c>
    </row>
    <row r="26" spans="1:2" x14ac:dyDescent="0.2">
      <c r="A26" s="164" t="s">
        <v>1917</v>
      </c>
      <c r="B26" s="164" t="s">
        <v>1918</v>
      </c>
    </row>
    <row r="27" spans="1:2" x14ac:dyDescent="0.2">
      <c r="A27" t="s">
        <v>1912</v>
      </c>
    </row>
    <row r="29" spans="1:2" x14ac:dyDescent="0.2">
      <c r="A29" s="164" t="s">
        <v>1913</v>
      </c>
    </row>
    <row r="40" spans="1:3" s="972" customFormat="1" x14ac:dyDescent="0.2"/>
    <row r="41" spans="1:3" x14ac:dyDescent="0.2">
      <c r="A41" s="164" t="s">
        <v>1914</v>
      </c>
    </row>
    <row r="42" spans="1:3" x14ac:dyDescent="0.2">
      <c r="A42" t="s">
        <v>1915</v>
      </c>
      <c r="B42" t="s">
        <v>1860</v>
      </c>
      <c r="C42" t="s">
        <v>1916</v>
      </c>
    </row>
    <row r="43" spans="1:3" x14ac:dyDescent="0.2">
      <c r="A43" t="s">
        <v>1910</v>
      </c>
    </row>
    <row r="44" spans="1:3" x14ac:dyDescent="0.2">
      <c r="A44" t="s">
        <v>1911</v>
      </c>
    </row>
    <row r="45" spans="1:3" x14ac:dyDescent="0.2">
      <c r="A45" t="s">
        <v>1917</v>
      </c>
      <c r="B45" t="s">
        <v>1904</v>
      </c>
      <c r="C45" t="s">
        <v>1918</v>
      </c>
    </row>
    <row r="46" spans="1:3" x14ac:dyDescent="0.2">
      <c r="A46" t="s">
        <v>1912</v>
      </c>
    </row>
    <row r="48" spans="1:3" x14ac:dyDescent="0.2">
      <c r="A48" t="s">
        <v>1915</v>
      </c>
      <c r="B48" t="s">
        <v>1870</v>
      </c>
      <c r="C48" t="s">
        <v>1916</v>
      </c>
    </row>
    <row r="49" spans="1:3" x14ac:dyDescent="0.2">
      <c r="A49" t="s">
        <v>1910</v>
      </c>
    </row>
    <row r="50" spans="1:3" x14ac:dyDescent="0.2">
      <c r="A50" t="s">
        <v>1911</v>
      </c>
    </row>
    <row r="51" spans="1:3" x14ac:dyDescent="0.2">
      <c r="A51" t="s">
        <v>1917</v>
      </c>
      <c r="B51" t="s">
        <v>1905</v>
      </c>
      <c r="C51" t="s">
        <v>1918</v>
      </c>
    </row>
    <row r="52" spans="1:3" x14ac:dyDescent="0.2">
      <c r="A52" t="s">
        <v>1912</v>
      </c>
    </row>
    <row r="54" spans="1:3" x14ac:dyDescent="0.2">
      <c r="A54" t="s">
        <v>1915</v>
      </c>
      <c r="B54" t="s">
        <v>1878</v>
      </c>
      <c r="C54" t="s">
        <v>1916</v>
      </c>
    </row>
    <row r="55" spans="1:3" x14ac:dyDescent="0.2">
      <c r="A55" t="s">
        <v>1910</v>
      </c>
    </row>
    <row r="56" spans="1:3" x14ac:dyDescent="0.2">
      <c r="A56" t="s">
        <v>1911</v>
      </c>
    </row>
    <row r="57" spans="1:3" x14ac:dyDescent="0.2">
      <c r="A57" t="s">
        <v>1917</v>
      </c>
      <c r="B57" t="s">
        <v>1906</v>
      </c>
      <c r="C57" t="s">
        <v>1918</v>
      </c>
    </row>
    <row r="58" spans="1:3" x14ac:dyDescent="0.2">
      <c r="A58" t="s">
        <v>1912</v>
      </c>
    </row>
    <row r="60" spans="1:3" x14ac:dyDescent="0.2">
      <c r="A60" t="s">
        <v>1915</v>
      </c>
      <c r="B60" t="s">
        <v>1885</v>
      </c>
      <c r="C60" t="s">
        <v>1916</v>
      </c>
    </row>
    <row r="61" spans="1:3" x14ac:dyDescent="0.2">
      <c r="A61" t="s">
        <v>1910</v>
      </c>
    </row>
    <row r="62" spans="1:3" x14ac:dyDescent="0.2">
      <c r="A62" t="s">
        <v>1911</v>
      </c>
    </row>
    <row r="63" spans="1:3" x14ac:dyDescent="0.2">
      <c r="A63" t="s">
        <v>1917</v>
      </c>
      <c r="B63" t="s">
        <v>1907</v>
      </c>
      <c r="C63" t="s">
        <v>1918</v>
      </c>
    </row>
    <row r="64" spans="1:3" x14ac:dyDescent="0.2">
      <c r="A64" t="s">
        <v>1912</v>
      </c>
    </row>
    <row r="66" spans="1:3" x14ac:dyDescent="0.2">
      <c r="A66" t="s">
        <v>1915</v>
      </c>
      <c r="B66" t="s">
        <v>1894</v>
      </c>
      <c r="C66" t="s">
        <v>1916</v>
      </c>
    </row>
    <row r="67" spans="1:3" x14ac:dyDescent="0.2">
      <c r="A67" t="s">
        <v>1910</v>
      </c>
    </row>
    <row r="68" spans="1:3" x14ac:dyDescent="0.2">
      <c r="A68" t="s">
        <v>1911</v>
      </c>
    </row>
    <row r="69" spans="1:3" x14ac:dyDescent="0.2">
      <c r="A69" t="s">
        <v>1917</v>
      </c>
      <c r="B69" t="s">
        <v>1908</v>
      </c>
      <c r="C69" t="s">
        <v>1918</v>
      </c>
    </row>
    <row r="70" spans="1:3" x14ac:dyDescent="0.2">
      <c r="A70" t="s">
        <v>1912</v>
      </c>
    </row>
    <row r="72" spans="1:3" x14ac:dyDescent="0.2">
      <c r="A72" t="s">
        <v>1915</v>
      </c>
      <c r="B72" t="s">
        <v>1898</v>
      </c>
      <c r="C72" t="s">
        <v>1916</v>
      </c>
    </row>
    <row r="73" spans="1:3" x14ac:dyDescent="0.2">
      <c r="A73" t="s">
        <v>1910</v>
      </c>
    </row>
    <row r="74" spans="1:3" x14ac:dyDescent="0.2">
      <c r="A74" t="s">
        <v>1911</v>
      </c>
    </row>
    <row r="75" spans="1:3" x14ac:dyDescent="0.2">
      <c r="A75" t="s">
        <v>1917</v>
      </c>
      <c r="B75" t="s">
        <v>1909</v>
      </c>
      <c r="C75" t="s">
        <v>1918</v>
      </c>
    </row>
    <row r="76" spans="1:3" x14ac:dyDescent="0.2">
      <c r="A76" t="s">
        <v>1912</v>
      </c>
    </row>
    <row r="78" spans="1:3" x14ac:dyDescent="0.2">
      <c r="A78" t="s">
        <v>1915</v>
      </c>
      <c r="B78" t="e">
        <v>#N/A</v>
      </c>
      <c r="C78" t="s">
        <v>1916</v>
      </c>
    </row>
    <row r="79" spans="1:3" x14ac:dyDescent="0.2">
      <c r="A79" t="s">
        <v>1910</v>
      </c>
    </row>
    <row r="80" spans="1:3" x14ac:dyDescent="0.2">
      <c r="A80" t="s">
        <v>1911</v>
      </c>
    </row>
    <row r="81" spans="1:3" x14ac:dyDescent="0.2">
      <c r="A81" t="s">
        <v>1917</v>
      </c>
      <c r="C81" t="s">
        <v>1918</v>
      </c>
    </row>
    <row r="82" spans="1:3" x14ac:dyDescent="0.2">
      <c r="A82" t="s">
        <v>1912</v>
      </c>
    </row>
    <row r="84" spans="1:3" x14ac:dyDescent="0.2">
      <c r="A84" t="s">
        <v>1915</v>
      </c>
      <c r="B84" t="e">
        <v>#N/A</v>
      </c>
      <c r="C84" t="s">
        <v>1916</v>
      </c>
    </row>
    <row r="85" spans="1:3" x14ac:dyDescent="0.2">
      <c r="A85" t="s">
        <v>1910</v>
      </c>
    </row>
    <row r="86" spans="1:3" x14ac:dyDescent="0.2">
      <c r="A86" t="s">
        <v>1911</v>
      </c>
    </row>
    <row r="87" spans="1:3" x14ac:dyDescent="0.2">
      <c r="A87" t="s">
        <v>1917</v>
      </c>
      <c r="C87" t="s">
        <v>1918</v>
      </c>
    </row>
    <row r="88" spans="1:3" x14ac:dyDescent="0.2">
      <c r="A88" t="s">
        <v>1912</v>
      </c>
    </row>
    <row r="90" spans="1:3" x14ac:dyDescent="0.2">
      <c r="A90" t="s">
        <v>1915</v>
      </c>
      <c r="B90" t="e">
        <v>#N/A</v>
      </c>
      <c r="C90" t="s">
        <v>1916</v>
      </c>
    </row>
    <row r="91" spans="1:3" x14ac:dyDescent="0.2">
      <c r="A91" t="s">
        <v>1910</v>
      </c>
    </row>
    <row r="92" spans="1:3" x14ac:dyDescent="0.2">
      <c r="A92" t="s">
        <v>1911</v>
      </c>
    </row>
    <row r="93" spans="1:3" x14ac:dyDescent="0.2">
      <c r="A93" t="s">
        <v>1917</v>
      </c>
      <c r="C93" t="s">
        <v>1918</v>
      </c>
    </row>
    <row r="94" spans="1:3" x14ac:dyDescent="0.2">
      <c r="A94" t="s">
        <v>1912</v>
      </c>
    </row>
    <row r="96" spans="1:3" x14ac:dyDescent="0.2">
      <c r="A96" t="s">
        <v>1915</v>
      </c>
      <c r="C96" t="s">
        <v>1916</v>
      </c>
    </row>
    <row r="97" spans="1:3" x14ac:dyDescent="0.2">
      <c r="A97" t="s">
        <v>1910</v>
      </c>
    </row>
    <row r="98" spans="1:3" x14ac:dyDescent="0.2">
      <c r="A98" t="s">
        <v>1911</v>
      </c>
    </row>
    <row r="99" spans="1:3" x14ac:dyDescent="0.2">
      <c r="A99" t="s">
        <v>1917</v>
      </c>
      <c r="C99" t="s">
        <v>1918</v>
      </c>
    </row>
    <row r="100" spans="1:3" x14ac:dyDescent="0.2">
      <c r="A100" t="s">
        <v>1912</v>
      </c>
    </row>
    <row r="102" spans="1:3" x14ac:dyDescent="0.2">
      <c r="A102" t="s">
        <v>1915</v>
      </c>
      <c r="B102" t="s">
        <v>1706</v>
      </c>
      <c r="C102" t="s">
        <v>1916</v>
      </c>
    </row>
    <row r="103" spans="1:3" x14ac:dyDescent="0.2">
      <c r="A103" t="s">
        <v>1910</v>
      </c>
    </row>
    <row r="104" spans="1:3" x14ac:dyDescent="0.2">
      <c r="A104" t="s">
        <v>1911</v>
      </c>
    </row>
    <row r="105" spans="1:3" x14ac:dyDescent="0.2">
      <c r="A105" t="s">
        <v>1917</v>
      </c>
      <c r="C105" t="s">
        <v>1918</v>
      </c>
    </row>
    <row r="106" spans="1:3" x14ac:dyDescent="0.2">
      <c r="A106" t="s">
        <v>1912</v>
      </c>
    </row>
    <row r="108" spans="1:3" x14ac:dyDescent="0.2">
      <c r="A108" t="s">
        <v>1915</v>
      </c>
      <c r="B108" t="s">
        <v>1710</v>
      </c>
      <c r="C108" t="s">
        <v>1916</v>
      </c>
    </row>
    <row r="109" spans="1:3" x14ac:dyDescent="0.2">
      <c r="A109" t="s">
        <v>1910</v>
      </c>
    </row>
    <row r="110" spans="1:3" x14ac:dyDescent="0.2">
      <c r="A110" t="s">
        <v>1911</v>
      </c>
    </row>
    <row r="111" spans="1:3" x14ac:dyDescent="0.2">
      <c r="A111" t="s">
        <v>1917</v>
      </c>
      <c r="C111" t="s">
        <v>1918</v>
      </c>
    </row>
    <row r="112" spans="1:3" x14ac:dyDescent="0.2">
      <c r="A112" t="s">
        <v>1912</v>
      </c>
    </row>
    <row r="114" spans="1:3" x14ac:dyDescent="0.2">
      <c r="A114" t="s">
        <v>1915</v>
      </c>
      <c r="B114" t="e">
        <v>#N/A</v>
      </c>
      <c r="C114" t="s">
        <v>1916</v>
      </c>
    </row>
    <row r="115" spans="1:3" x14ac:dyDescent="0.2">
      <c r="A115" t="s">
        <v>1910</v>
      </c>
    </row>
    <row r="116" spans="1:3" x14ac:dyDescent="0.2">
      <c r="A116" t="s">
        <v>1911</v>
      </c>
    </row>
    <row r="117" spans="1:3" x14ac:dyDescent="0.2">
      <c r="A117" t="s">
        <v>1917</v>
      </c>
      <c r="C117" t="s">
        <v>1918</v>
      </c>
    </row>
    <row r="118" spans="1:3" x14ac:dyDescent="0.2">
      <c r="A118" t="s">
        <v>1912</v>
      </c>
    </row>
    <row r="120" spans="1:3" x14ac:dyDescent="0.2">
      <c r="A120" t="s">
        <v>1915</v>
      </c>
      <c r="B120" t="s">
        <v>1901</v>
      </c>
      <c r="C120" t="s">
        <v>1916</v>
      </c>
    </row>
    <row r="121" spans="1:3" x14ac:dyDescent="0.2">
      <c r="A121" t="s">
        <v>1910</v>
      </c>
    </row>
    <row r="122" spans="1:3" x14ac:dyDescent="0.2">
      <c r="A122" t="s">
        <v>1911</v>
      </c>
    </row>
    <row r="123" spans="1:3" x14ac:dyDescent="0.2">
      <c r="A123" t="s">
        <v>1917</v>
      </c>
      <c r="C123" t="s">
        <v>1918</v>
      </c>
    </row>
    <row r="124" spans="1:3" x14ac:dyDescent="0.2">
      <c r="A124" t="s">
        <v>1912</v>
      </c>
    </row>
    <row r="126" spans="1:3" x14ac:dyDescent="0.2">
      <c r="A126" t="s">
        <v>1913</v>
      </c>
    </row>
    <row r="127" spans="1:3" x14ac:dyDescent="0.2">
      <c r="A127" t="s">
        <v>1715</v>
      </c>
    </row>
    <row r="128" spans="1:3" x14ac:dyDescent="0.2">
      <c r="A128" t="s">
        <v>1716</v>
      </c>
    </row>
    <row r="129" spans="1:3" x14ac:dyDescent="0.2">
      <c r="A129" t="s">
        <v>1717</v>
      </c>
    </row>
    <row r="130" spans="1:3" x14ac:dyDescent="0.2">
      <c r="A130" t="s">
        <v>1718</v>
      </c>
    </row>
    <row r="131" spans="1:3" x14ac:dyDescent="0.2">
      <c r="A131" t="s">
        <v>1719</v>
      </c>
    </row>
    <row r="132" spans="1:3" x14ac:dyDescent="0.2">
      <c r="A132" t="s">
        <v>1720</v>
      </c>
    </row>
    <row r="133" spans="1:3" x14ac:dyDescent="0.2">
      <c r="A133" t="s">
        <v>1721</v>
      </c>
    </row>
    <row r="134" spans="1:3" x14ac:dyDescent="0.2">
      <c r="A134" t="s">
        <v>1722</v>
      </c>
    </row>
    <row r="135" spans="1:3" x14ac:dyDescent="0.2">
      <c r="A135" t="s">
        <v>1791</v>
      </c>
      <c r="B135" t="s">
        <v>1790</v>
      </c>
      <c r="C135" t="s">
        <v>1729</v>
      </c>
    </row>
    <row r="136" spans="1:3" x14ac:dyDescent="0.2">
      <c r="A136" t="s">
        <v>1728</v>
      </c>
    </row>
    <row r="137" spans="1:3" x14ac:dyDescent="0.2">
      <c r="A137" t="s">
        <v>1730</v>
      </c>
      <c r="B137" t="s">
        <v>1732</v>
      </c>
      <c r="C137" t="s">
        <v>1731</v>
      </c>
    </row>
    <row r="138" spans="1:3" x14ac:dyDescent="0.2">
      <c r="A138" t="s">
        <v>1791</v>
      </c>
      <c r="B138" t="s">
        <v>1792</v>
      </c>
      <c r="C138" t="s">
        <v>1729</v>
      </c>
    </row>
    <row r="139" spans="1:3" x14ac:dyDescent="0.2">
      <c r="A139" t="s">
        <v>1728</v>
      </c>
    </row>
    <row r="140" spans="1:3" x14ac:dyDescent="0.2">
      <c r="A140" t="s">
        <v>1730</v>
      </c>
      <c r="B140" t="s">
        <v>1733</v>
      </c>
      <c r="C140" t="s">
        <v>1731</v>
      </c>
    </row>
    <row r="141" spans="1:3" x14ac:dyDescent="0.2">
      <c r="A141" t="s">
        <v>1791</v>
      </c>
      <c r="B141" t="s">
        <v>1793</v>
      </c>
      <c r="C141" t="s">
        <v>1729</v>
      </c>
    </row>
    <row r="142" spans="1:3" x14ac:dyDescent="0.2">
      <c r="A142" t="s">
        <v>1728</v>
      </c>
    </row>
    <row r="143" spans="1:3" x14ac:dyDescent="0.2">
      <c r="A143" t="s">
        <v>1730</v>
      </c>
      <c r="B143" t="s">
        <v>1734</v>
      </c>
      <c r="C143" t="s">
        <v>1731</v>
      </c>
    </row>
    <row r="144" spans="1:3" x14ac:dyDescent="0.2">
      <c r="A144" t="s">
        <v>1791</v>
      </c>
      <c r="B144" t="s">
        <v>1794</v>
      </c>
      <c r="C144" t="s">
        <v>1729</v>
      </c>
    </row>
    <row r="145" spans="1:3" x14ac:dyDescent="0.2">
      <c r="A145" t="s">
        <v>1728</v>
      </c>
    </row>
    <row r="146" spans="1:3" x14ac:dyDescent="0.2">
      <c r="A146" t="s">
        <v>1730</v>
      </c>
      <c r="B146" t="s">
        <v>1736</v>
      </c>
      <c r="C146" t="s">
        <v>1731</v>
      </c>
    </row>
    <row r="147" spans="1:3" x14ac:dyDescent="0.2">
      <c r="A147" t="s">
        <v>1791</v>
      </c>
      <c r="B147" t="s">
        <v>1795</v>
      </c>
      <c r="C147" t="s">
        <v>1729</v>
      </c>
    </row>
    <row r="148" spans="1:3" x14ac:dyDescent="0.2">
      <c r="A148" t="s">
        <v>1728</v>
      </c>
    </row>
    <row r="149" spans="1:3" x14ac:dyDescent="0.2">
      <c r="A149" t="s">
        <v>1730</v>
      </c>
      <c r="B149" t="s">
        <v>1737</v>
      </c>
      <c r="C149" t="s">
        <v>1731</v>
      </c>
    </row>
    <row r="150" spans="1:3" x14ac:dyDescent="0.2">
      <c r="A150" t="s">
        <v>1791</v>
      </c>
      <c r="B150" t="s">
        <v>1796</v>
      </c>
      <c r="C150" t="s">
        <v>1729</v>
      </c>
    </row>
    <row r="151" spans="1:3" x14ac:dyDescent="0.2">
      <c r="A151" t="s">
        <v>1728</v>
      </c>
    </row>
    <row r="152" spans="1:3" x14ac:dyDescent="0.2">
      <c r="A152" t="s">
        <v>1730</v>
      </c>
      <c r="B152" t="s">
        <v>1738</v>
      </c>
      <c r="C152" t="s">
        <v>1731</v>
      </c>
    </row>
    <row r="153" spans="1:3" x14ac:dyDescent="0.2">
      <c r="A153" t="s">
        <v>1791</v>
      </c>
      <c r="B153" t="s">
        <v>1797</v>
      </c>
      <c r="C153" t="s">
        <v>1729</v>
      </c>
    </row>
    <row r="154" spans="1:3" x14ac:dyDescent="0.2">
      <c r="A154" t="s">
        <v>1728</v>
      </c>
    </row>
    <row r="155" spans="1:3" x14ac:dyDescent="0.2">
      <c r="A155" t="s">
        <v>1730</v>
      </c>
      <c r="B155" t="s">
        <v>1739</v>
      </c>
      <c r="C155" t="s">
        <v>1731</v>
      </c>
    </row>
    <row r="156" spans="1:3" x14ac:dyDescent="0.2">
      <c r="A156" t="s">
        <v>1791</v>
      </c>
      <c r="B156" t="s">
        <v>1798</v>
      </c>
      <c r="C156" t="s">
        <v>1729</v>
      </c>
    </row>
    <row r="157" spans="1:3" x14ac:dyDescent="0.2">
      <c r="A157" t="s">
        <v>1728</v>
      </c>
    </row>
    <row r="158" spans="1:3" x14ac:dyDescent="0.2">
      <c r="A158" t="s">
        <v>1730</v>
      </c>
      <c r="B158" t="s">
        <v>1740</v>
      </c>
      <c r="C158" t="s">
        <v>1731</v>
      </c>
    </row>
    <row r="159" spans="1:3" x14ac:dyDescent="0.2">
      <c r="A159" t="s">
        <v>1791</v>
      </c>
      <c r="B159" t="s">
        <v>1799</v>
      </c>
      <c r="C159" t="s">
        <v>1729</v>
      </c>
    </row>
    <row r="160" spans="1:3" x14ac:dyDescent="0.2">
      <c r="A160" t="s">
        <v>1728</v>
      </c>
    </row>
    <row r="161" spans="1:3" x14ac:dyDescent="0.2">
      <c r="A161" t="s">
        <v>1730</v>
      </c>
      <c r="B161" t="s">
        <v>1741</v>
      </c>
      <c r="C161" t="s">
        <v>1731</v>
      </c>
    </row>
    <row r="162" spans="1:3" x14ac:dyDescent="0.2">
      <c r="A162" t="s">
        <v>1791</v>
      </c>
      <c r="B162" t="s">
        <v>1800</v>
      </c>
      <c r="C162" t="s">
        <v>1729</v>
      </c>
    </row>
    <row r="163" spans="1:3" x14ac:dyDescent="0.2">
      <c r="A163" t="s">
        <v>1728</v>
      </c>
    </row>
    <row r="164" spans="1:3" x14ac:dyDescent="0.2">
      <c r="A164" t="s">
        <v>1730</v>
      </c>
      <c r="B164" t="s">
        <v>1742</v>
      </c>
      <c r="C164" t="s">
        <v>1731</v>
      </c>
    </row>
    <row r="165" spans="1:3" x14ac:dyDescent="0.2">
      <c r="A165" t="s">
        <v>1791</v>
      </c>
      <c r="B165" t="s">
        <v>1801</v>
      </c>
      <c r="C165" t="s">
        <v>1729</v>
      </c>
    </row>
    <row r="166" spans="1:3" x14ac:dyDescent="0.2">
      <c r="A166" t="s">
        <v>1728</v>
      </c>
    </row>
    <row r="167" spans="1:3" x14ac:dyDescent="0.2">
      <c r="A167" t="s">
        <v>1730</v>
      </c>
      <c r="B167" t="s">
        <v>1743</v>
      </c>
      <c r="C167" t="s">
        <v>1731</v>
      </c>
    </row>
    <row r="168" spans="1:3" x14ac:dyDescent="0.2">
      <c r="A168" t="s">
        <v>1791</v>
      </c>
      <c r="B168" t="s">
        <v>1802</v>
      </c>
      <c r="C168" t="s">
        <v>1729</v>
      </c>
    </row>
    <row r="169" spans="1:3" x14ac:dyDescent="0.2">
      <c r="A169" t="s">
        <v>1728</v>
      </c>
    </row>
    <row r="170" spans="1:3" x14ac:dyDescent="0.2">
      <c r="A170" t="s">
        <v>1730</v>
      </c>
      <c r="B170">
        <v>1</v>
      </c>
      <c r="C170" t="s">
        <v>1731</v>
      </c>
    </row>
    <row r="171" spans="1:3" x14ac:dyDescent="0.2">
      <c r="A171" t="s">
        <v>1791</v>
      </c>
      <c r="B171" t="s">
        <v>1803</v>
      </c>
      <c r="C171" t="s">
        <v>1729</v>
      </c>
    </row>
    <row r="172" spans="1:3" x14ac:dyDescent="0.2">
      <c r="A172" t="s">
        <v>1728</v>
      </c>
    </row>
    <row r="173" spans="1:3" x14ac:dyDescent="0.2">
      <c r="A173" t="s">
        <v>1730</v>
      </c>
      <c r="B173" t="s">
        <v>1744</v>
      </c>
      <c r="C173" t="s">
        <v>1731</v>
      </c>
    </row>
    <row r="174" spans="1:3" x14ac:dyDescent="0.2">
      <c r="A174" t="s">
        <v>1791</v>
      </c>
      <c r="B174" t="s">
        <v>1804</v>
      </c>
      <c r="C174" t="s">
        <v>1729</v>
      </c>
    </row>
    <row r="175" spans="1:3" x14ac:dyDescent="0.2">
      <c r="A175" t="s">
        <v>1728</v>
      </c>
    </row>
    <row r="176" spans="1:3" x14ac:dyDescent="0.2">
      <c r="A176" t="s">
        <v>1730</v>
      </c>
      <c r="B176" t="s">
        <v>1745</v>
      </c>
      <c r="C176" t="s">
        <v>1731</v>
      </c>
    </row>
    <row r="177" spans="1:3" x14ac:dyDescent="0.2">
      <c r="A177" t="s">
        <v>1791</v>
      </c>
      <c r="B177" t="s">
        <v>1805</v>
      </c>
      <c r="C177" t="s">
        <v>1729</v>
      </c>
    </row>
    <row r="178" spans="1:3" x14ac:dyDescent="0.2">
      <c r="A178" t="s">
        <v>1728</v>
      </c>
    </row>
    <row r="179" spans="1:3" x14ac:dyDescent="0.2">
      <c r="A179" t="s">
        <v>1730</v>
      </c>
      <c r="B179" t="s">
        <v>1746</v>
      </c>
      <c r="C179" t="s">
        <v>1731</v>
      </c>
    </row>
    <row r="180" spans="1:3" x14ac:dyDescent="0.2">
      <c r="A180" t="s">
        <v>1791</v>
      </c>
      <c r="B180" t="s">
        <v>1806</v>
      </c>
      <c r="C180" t="s">
        <v>1729</v>
      </c>
    </row>
    <row r="181" spans="1:3" x14ac:dyDescent="0.2">
      <c r="A181" t="s">
        <v>1728</v>
      </c>
    </row>
    <row r="182" spans="1:3" x14ac:dyDescent="0.2">
      <c r="A182" t="s">
        <v>1730</v>
      </c>
      <c r="B182" t="s">
        <v>1747</v>
      </c>
      <c r="C182" t="s">
        <v>1731</v>
      </c>
    </row>
    <row r="183" spans="1:3" x14ac:dyDescent="0.2">
      <c r="A183" t="s">
        <v>1791</v>
      </c>
      <c r="B183" t="s">
        <v>1807</v>
      </c>
      <c r="C183" t="s">
        <v>1729</v>
      </c>
    </row>
    <row r="184" spans="1:3" x14ac:dyDescent="0.2">
      <c r="A184" t="s">
        <v>1728</v>
      </c>
    </row>
    <row r="185" spans="1:3" x14ac:dyDescent="0.2">
      <c r="A185" t="s">
        <v>1730</v>
      </c>
      <c r="B185" t="s">
        <v>1748</v>
      </c>
      <c r="C185" t="s">
        <v>1731</v>
      </c>
    </row>
    <row r="186" spans="1:3" x14ac:dyDescent="0.2">
      <c r="A186" t="s">
        <v>1791</v>
      </c>
      <c r="B186" t="s">
        <v>1808</v>
      </c>
      <c r="C186" t="s">
        <v>1729</v>
      </c>
    </row>
    <row r="187" spans="1:3" x14ac:dyDescent="0.2">
      <c r="A187" t="s">
        <v>1728</v>
      </c>
    </row>
    <row r="188" spans="1:3" x14ac:dyDescent="0.2">
      <c r="A188" t="s">
        <v>1730</v>
      </c>
      <c r="B188" t="s">
        <v>1749</v>
      </c>
      <c r="C188" t="s">
        <v>1731</v>
      </c>
    </row>
    <row r="189" spans="1:3" x14ac:dyDescent="0.2">
      <c r="A189" t="s">
        <v>1791</v>
      </c>
      <c r="B189" t="s">
        <v>1809</v>
      </c>
      <c r="C189" t="s">
        <v>1729</v>
      </c>
    </row>
    <row r="190" spans="1:3" x14ac:dyDescent="0.2">
      <c r="A190" t="s">
        <v>1728</v>
      </c>
    </row>
    <row r="191" spans="1:3" x14ac:dyDescent="0.2">
      <c r="A191" t="s">
        <v>1730</v>
      </c>
      <c r="B191" t="s">
        <v>1750</v>
      </c>
      <c r="C191" t="s">
        <v>1731</v>
      </c>
    </row>
    <row r="192" spans="1:3" x14ac:dyDescent="0.2">
      <c r="A192" t="s">
        <v>1791</v>
      </c>
      <c r="B192" t="s">
        <v>1810</v>
      </c>
      <c r="C192" t="s">
        <v>1729</v>
      </c>
    </row>
    <row r="193" spans="1:3" x14ac:dyDescent="0.2">
      <c r="A193" t="s">
        <v>1728</v>
      </c>
    </row>
    <row r="194" spans="1:3" x14ac:dyDescent="0.2">
      <c r="A194" t="s">
        <v>1730</v>
      </c>
      <c r="B194" t="s">
        <v>1732</v>
      </c>
      <c r="C194" t="s">
        <v>1731</v>
      </c>
    </row>
    <row r="195" spans="1:3" x14ac:dyDescent="0.2">
      <c r="A195" t="s">
        <v>1791</v>
      </c>
      <c r="B195" t="s">
        <v>1811</v>
      </c>
      <c r="C195" t="s">
        <v>1729</v>
      </c>
    </row>
    <row r="196" spans="1:3" x14ac:dyDescent="0.2">
      <c r="A196" t="s">
        <v>1728</v>
      </c>
    </row>
    <row r="197" spans="1:3" x14ac:dyDescent="0.2">
      <c r="A197" t="s">
        <v>1730</v>
      </c>
      <c r="B197" t="s">
        <v>1751</v>
      </c>
      <c r="C197" t="s">
        <v>1731</v>
      </c>
    </row>
    <row r="198" spans="1:3" x14ac:dyDescent="0.2">
      <c r="A198" t="s">
        <v>1791</v>
      </c>
      <c r="B198" t="s">
        <v>1812</v>
      </c>
      <c r="C198" t="s">
        <v>1729</v>
      </c>
    </row>
    <row r="199" spans="1:3" x14ac:dyDescent="0.2">
      <c r="A199" t="s">
        <v>1728</v>
      </c>
    </row>
    <row r="200" spans="1:3" x14ac:dyDescent="0.2">
      <c r="A200" t="s">
        <v>1730</v>
      </c>
      <c r="B200" t="s">
        <v>1752</v>
      </c>
      <c r="C200" t="s">
        <v>1731</v>
      </c>
    </row>
    <row r="201" spans="1:3" x14ac:dyDescent="0.2">
      <c r="A201" t="s">
        <v>1791</v>
      </c>
      <c r="B201" t="s">
        <v>1813</v>
      </c>
      <c r="C201" t="s">
        <v>1729</v>
      </c>
    </row>
    <row r="202" spans="1:3" x14ac:dyDescent="0.2">
      <c r="A202" t="s">
        <v>1728</v>
      </c>
    </row>
    <row r="203" spans="1:3" x14ac:dyDescent="0.2">
      <c r="A203" t="s">
        <v>1730</v>
      </c>
      <c r="B203" t="s">
        <v>1753</v>
      </c>
      <c r="C203" t="s">
        <v>1731</v>
      </c>
    </row>
    <row r="204" spans="1:3" x14ac:dyDescent="0.2">
      <c r="A204" t="s">
        <v>1791</v>
      </c>
      <c r="B204" t="s">
        <v>1814</v>
      </c>
      <c r="C204" t="s">
        <v>1729</v>
      </c>
    </row>
    <row r="205" spans="1:3" x14ac:dyDescent="0.2">
      <c r="A205" t="s">
        <v>1728</v>
      </c>
    </row>
    <row r="206" spans="1:3" x14ac:dyDescent="0.2">
      <c r="A206" t="s">
        <v>1730</v>
      </c>
      <c r="B206" t="s">
        <v>1751</v>
      </c>
      <c r="C206" t="s">
        <v>1731</v>
      </c>
    </row>
    <row r="207" spans="1:3" x14ac:dyDescent="0.2">
      <c r="A207" t="s">
        <v>1791</v>
      </c>
      <c r="B207" t="s">
        <v>1815</v>
      </c>
      <c r="C207" t="s">
        <v>1729</v>
      </c>
    </row>
    <row r="208" spans="1:3" x14ac:dyDescent="0.2">
      <c r="A208" t="s">
        <v>1728</v>
      </c>
    </row>
    <row r="209" spans="1:3" x14ac:dyDescent="0.2">
      <c r="A209" t="s">
        <v>1730</v>
      </c>
      <c r="B209" t="s">
        <v>1754</v>
      </c>
      <c r="C209" t="s">
        <v>1731</v>
      </c>
    </row>
    <row r="210" spans="1:3" x14ac:dyDescent="0.2">
      <c r="A210" t="s">
        <v>1791</v>
      </c>
      <c r="B210" t="s">
        <v>1816</v>
      </c>
      <c r="C210" t="s">
        <v>1729</v>
      </c>
    </row>
    <row r="211" spans="1:3" x14ac:dyDescent="0.2">
      <c r="A211" t="s">
        <v>1728</v>
      </c>
    </row>
    <row r="212" spans="1:3" x14ac:dyDescent="0.2">
      <c r="A212" t="s">
        <v>1730</v>
      </c>
      <c r="B212" t="s">
        <v>1755</v>
      </c>
      <c r="C212" t="s">
        <v>1731</v>
      </c>
    </row>
    <row r="213" spans="1:3" x14ac:dyDescent="0.2">
      <c r="A213" t="s">
        <v>1791</v>
      </c>
      <c r="B213" t="s">
        <v>1817</v>
      </c>
      <c r="C213" t="s">
        <v>1729</v>
      </c>
    </row>
    <row r="214" spans="1:3" x14ac:dyDescent="0.2">
      <c r="A214" t="s">
        <v>1728</v>
      </c>
    </row>
    <row r="215" spans="1:3" x14ac:dyDescent="0.2">
      <c r="A215" t="s">
        <v>1730</v>
      </c>
      <c r="B215" t="s">
        <v>1756</v>
      </c>
      <c r="C215" t="s">
        <v>1731</v>
      </c>
    </row>
    <row r="216" spans="1:3" x14ac:dyDescent="0.2">
      <c r="A216" t="s">
        <v>1791</v>
      </c>
      <c r="B216" t="s">
        <v>1818</v>
      </c>
      <c r="C216" t="s">
        <v>1729</v>
      </c>
    </row>
    <row r="217" spans="1:3" x14ac:dyDescent="0.2">
      <c r="A217" t="s">
        <v>1728</v>
      </c>
    </row>
    <row r="218" spans="1:3" x14ac:dyDescent="0.2">
      <c r="A218" t="s">
        <v>1730</v>
      </c>
      <c r="B218" t="s">
        <v>1757</v>
      </c>
      <c r="C218" t="s">
        <v>1731</v>
      </c>
    </row>
    <row r="219" spans="1:3" x14ac:dyDescent="0.2">
      <c r="A219" t="s">
        <v>1791</v>
      </c>
      <c r="B219" t="s">
        <v>1819</v>
      </c>
      <c r="C219" t="s">
        <v>1729</v>
      </c>
    </row>
    <row r="220" spans="1:3" x14ac:dyDescent="0.2">
      <c r="A220" t="s">
        <v>1728</v>
      </c>
    </row>
    <row r="221" spans="1:3" x14ac:dyDescent="0.2">
      <c r="A221" t="s">
        <v>1730</v>
      </c>
      <c r="B221" t="s">
        <v>1758</v>
      </c>
      <c r="C221" t="s">
        <v>1731</v>
      </c>
    </row>
    <row r="222" spans="1:3" x14ac:dyDescent="0.2">
      <c r="A222" t="s">
        <v>1791</v>
      </c>
      <c r="B222" t="s">
        <v>1820</v>
      </c>
      <c r="C222" t="s">
        <v>1729</v>
      </c>
    </row>
    <row r="223" spans="1:3" x14ac:dyDescent="0.2">
      <c r="A223" t="s">
        <v>1728</v>
      </c>
    </row>
    <row r="224" spans="1:3" x14ac:dyDescent="0.2">
      <c r="A224" t="s">
        <v>1730</v>
      </c>
      <c r="B224" t="s">
        <v>1759</v>
      </c>
      <c r="C224" t="s">
        <v>1731</v>
      </c>
    </row>
    <row r="225" spans="1:3" x14ac:dyDescent="0.2">
      <c r="A225" t="s">
        <v>1791</v>
      </c>
      <c r="B225" t="s">
        <v>1821</v>
      </c>
      <c r="C225" t="s">
        <v>1729</v>
      </c>
    </row>
    <row r="226" spans="1:3" x14ac:dyDescent="0.2">
      <c r="A226" t="s">
        <v>1728</v>
      </c>
    </row>
    <row r="227" spans="1:3" x14ac:dyDescent="0.2">
      <c r="A227" t="s">
        <v>1730</v>
      </c>
      <c r="B227" t="s">
        <v>1760</v>
      </c>
      <c r="C227" t="s">
        <v>1731</v>
      </c>
    </row>
    <row r="228" spans="1:3" x14ac:dyDescent="0.2">
      <c r="A228" t="s">
        <v>1791</v>
      </c>
      <c r="B228" t="s">
        <v>1822</v>
      </c>
      <c r="C228" t="s">
        <v>1729</v>
      </c>
    </row>
    <row r="229" spans="1:3" x14ac:dyDescent="0.2">
      <c r="A229" t="s">
        <v>1728</v>
      </c>
    </row>
    <row r="230" spans="1:3" x14ac:dyDescent="0.2">
      <c r="A230" t="s">
        <v>1730</v>
      </c>
      <c r="B230" t="s">
        <v>1761</v>
      </c>
      <c r="C230" t="s">
        <v>1731</v>
      </c>
    </row>
    <row r="231" spans="1:3" x14ac:dyDescent="0.2">
      <c r="A231" t="s">
        <v>1791</v>
      </c>
      <c r="B231" t="s">
        <v>1823</v>
      </c>
      <c r="C231" t="s">
        <v>1729</v>
      </c>
    </row>
    <row r="232" spans="1:3" x14ac:dyDescent="0.2">
      <c r="A232" t="s">
        <v>1728</v>
      </c>
    </row>
    <row r="233" spans="1:3" x14ac:dyDescent="0.2">
      <c r="A233" t="s">
        <v>1730</v>
      </c>
      <c r="B233" t="s">
        <v>1762</v>
      </c>
      <c r="C233" t="s">
        <v>1731</v>
      </c>
    </row>
    <row r="234" spans="1:3" x14ac:dyDescent="0.2">
      <c r="A234" t="s">
        <v>1791</v>
      </c>
      <c r="B234" t="s">
        <v>1824</v>
      </c>
      <c r="C234" t="s">
        <v>1729</v>
      </c>
    </row>
    <row r="235" spans="1:3" x14ac:dyDescent="0.2">
      <c r="A235" t="s">
        <v>1728</v>
      </c>
    </row>
    <row r="236" spans="1:3" x14ac:dyDescent="0.2">
      <c r="A236" t="s">
        <v>1730</v>
      </c>
      <c r="B236" t="s">
        <v>1763</v>
      </c>
      <c r="C236" t="s">
        <v>1731</v>
      </c>
    </row>
    <row r="237" spans="1:3" x14ac:dyDescent="0.2">
      <c r="A237" t="s">
        <v>1791</v>
      </c>
      <c r="B237" t="s">
        <v>1825</v>
      </c>
      <c r="C237" t="s">
        <v>1729</v>
      </c>
    </row>
    <row r="238" spans="1:3" x14ac:dyDescent="0.2">
      <c r="A238" t="s">
        <v>1728</v>
      </c>
    </row>
    <row r="239" spans="1:3" x14ac:dyDescent="0.2">
      <c r="A239" t="s">
        <v>1730</v>
      </c>
      <c r="B239" t="s">
        <v>1764</v>
      </c>
      <c r="C239" t="s">
        <v>1731</v>
      </c>
    </row>
    <row r="240" spans="1:3" x14ac:dyDescent="0.2">
      <c r="A240" t="s">
        <v>1791</v>
      </c>
      <c r="B240" t="s">
        <v>1826</v>
      </c>
      <c r="C240" t="s">
        <v>1729</v>
      </c>
    </row>
    <row r="241" spans="1:3" x14ac:dyDescent="0.2">
      <c r="A241" t="s">
        <v>1728</v>
      </c>
    </row>
    <row r="242" spans="1:3" x14ac:dyDescent="0.2">
      <c r="A242" t="s">
        <v>1730</v>
      </c>
      <c r="B242" t="s">
        <v>1765</v>
      </c>
      <c r="C242" t="s">
        <v>1731</v>
      </c>
    </row>
    <row r="243" spans="1:3" x14ac:dyDescent="0.2">
      <c r="A243" t="s">
        <v>1791</v>
      </c>
      <c r="B243" t="s">
        <v>1827</v>
      </c>
      <c r="C243" t="s">
        <v>1729</v>
      </c>
    </row>
    <row r="244" spans="1:3" x14ac:dyDescent="0.2">
      <c r="A244" t="s">
        <v>1728</v>
      </c>
    </row>
    <row r="245" spans="1:3" x14ac:dyDescent="0.2">
      <c r="A245" t="s">
        <v>1730</v>
      </c>
      <c r="B245" s="1014">
        <v>45066</v>
      </c>
      <c r="C245" t="s">
        <v>1731</v>
      </c>
    </row>
    <row r="246" spans="1:3" x14ac:dyDescent="0.2">
      <c r="A246" t="s">
        <v>1791</v>
      </c>
      <c r="B246" t="s">
        <v>1828</v>
      </c>
      <c r="C246" t="s">
        <v>1729</v>
      </c>
    </row>
    <row r="247" spans="1:3" x14ac:dyDescent="0.2">
      <c r="A247" t="s">
        <v>1728</v>
      </c>
    </row>
    <row r="248" spans="1:3" x14ac:dyDescent="0.2">
      <c r="A248" t="s">
        <v>1730</v>
      </c>
      <c r="B248" s="1014">
        <v>45071</v>
      </c>
      <c r="C248" t="s">
        <v>1731</v>
      </c>
    </row>
    <row r="249" spans="1:3" x14ac:dyDescent="0.2">
      <c r="A249" t="s">
        <v>1791</v>
      </c>
      <c r="B249" t="s">
        <v>1829</v>
      </c>
      <c r="C249" t="s">
        <v>1729</v>
      </c>
    </row>
    <row r="250" spans="1:3" x14ac:dyDescent="0.2">
      <c r="A250" t="s">
        <v>1728</v>
      </c>
    </row>
    <row r="251" spans="1:3" x14ac:dyDescent="0.2">
      <c r="A251" t="s">
        <v>1730</v>
      </c>
      <c r="B251" t="s">
        <v>886</v>
      </c>
      <c r="C251" t="s">
        <v>1731</v>
      </c>
    </row>
    <row r="252" spans="1:3" x14ac:dyDescent="0.2">
      <c r="A252" t="s">
        <v>1791</v>
      </c>
      <c r="B252" t="s">
        <v>1830</v>
      </c>
      <c r="C252" t="s">
        <v>1729</v>
      </c>
    </row>
    <row r="253" spans="1:3" x14ac:dyDescent="0.2">
      <c r="A253" t="s">
        <v>1728</v>
      </c>
    </row>
    <row r="254" spans="1:3" x14ac:dyDescent="0.2">
      <c r="A254" t="s">
        <v>1730</v>
      </c>
      <c r="B254" t="s">
        <v>1766</v>
      </c>
      <c r="C254" t="s">
        <v>1731</v>
      </c>
    </row>
    <row r="255" spans="1:3" x14ac:dyDescent="0.2">
      <c r="A255" t="s">
        <v>1791</v>
      </c>
      <c r="B255" t="s">
        <v>1831</v>
      </c>
      <c r="C255" t="s">
        <v>1729</v>
      </c>
    </row>
    <row r="256" spans="1:3" x14ac:dyDescent="0.2">
      <c r="A256" t="s">
        <v>1728</v>
      </c>
    </row>
    <row r="257" spans="1:3" x14ac:dyDescent="0.2">
      <c r="A257" t="s">
        <v>1730</v>
      </c>
      <c r="B257" t="s">
        <v>1767</v>
      </c>
      <c r="C257" t="s">
        <v>1731</v>
      </c>
    </row>
    <row r="258" spans="1:3" x14ac:dyDescent="0.2">
      <c r="A258" t="s">
        <v>1791</v>
      </c>
      <c r="B258" t="s">
        <v>1832</v>
      </c>
      <c r="C258" t="s">
        <v>1729</v>
      </c>
    </row>
    <row r="259" spans="1:3" x14ac:dyDescent="0.2">
      <c r="A259" t="s">
        <v>1728</v>
      </c>
    </row>
    <row r="260" spans="1:3" x14ac:dyDescent="0.2">
      <c r="A260" t="s">
        <v>1730</v>
      </c>
      <c r="B260" t="s">
        <v>1768</v>
      </c>
      <c r="C260" t="s">
        <v>1731</v>
      </c>
    </row>
    <row r="261" spans="1:3" x14ac:dyDescent="0.2">
      <c r="A261" t="s">
        <v>1791</v>
      </c>
      <c r="B261" t="s">
        <v>1833</v>
      </c>
      <c r="C261" t="s">
        <v>1729</v>
      </c>
    </row>
    <row r="262" spans="1:3" x14ac:dyDescent="0.2">
      <c r="A262" t="s">
        <v>1728</v>
      </c>
    </row>
    <row r="263" spans="1:3" x14ac:dyDescent="0.2">
      <c r="A263" t="s">
        <v>1730</v>
      </c>
      <c r="B263" t="s">
        <v>1769</v>
      </c>
      <c r="C263" t="s">
        <v>1731</v>
      </c>
    </row>
    <row r="264" spans="1:3" x14ac:dyDescent="0.2">
      <c r="A264" t="s">
        <v>1791</v>
      </c>
      <c r="B264" t="s">
        <v>1834</v>
      </c>
      <c r="C264" t="s">
        <v>1729</v>
      </c>
    </row>
    <row r="265" spans="1:3" x14ac:dyDescent="0.2">
      <c r="A265" t="s">
        <v>1728</v>
      </c>
    </row>
    <row r="266" spans="1:3" x14ac:dyDescent="0.2">
      <c r="A266" t="s">
        <v>1730</v>
      </c>
      <c r="B266" t="s">
        <v>1770</v>
      </c>
      <c r="C266" t="s">
        <v>1731</v>
      </c>
    </row>
    <row r="267" spans="1:3" x14ac:dyDescent="0.2">
      <c r="A267" t="s">
        <v>1791</v>
      </c>
      <c r="B267" t="s">
        <v>1835</v>
      </c>
      <c r="C267" t="s">
        <v>1729</v>
      </c>
    </row>
    <row r="268" spans="1:3" x14ac:dyDescent="0.2">
      <c r="A268" t="s">
        <v>1728</v>
      </c>
    </row>
    <row r="269" spans="1:3" x14ac:dyDescent="0.2">
      <c r="A269" t="s">
        <v>1730</v>
      </c>
      <c r="B269" t="s">
        <v>1771</v>
      </c>
      <c r="C269" t="s">
        <v>1731</v>
      </c>
    </row>
    <row r="270" spans="1:3" x14ac:dyDescent="0.2">
      <c r="A270" t="s">
        <v>1791</v>
      </c>
      <c r="B270" t="s">
        <v>1836</v>
      </c>
      <c r="C270" t="s">
        <v>1729</v>
      </c>
    </row>
    <row r="271" spans="1:3" x14ac:dyDescent="0.2">
      <c r="A271" t="s">
        <v>1728</v>
      </c>
    </row>
    <row r="272" spans="1:3" x14ac:dyDescent="0.2">
      <c r="A272" t="s">
        <v>1730</v>
      </c>
      <c r="B272" t="s">
        <v>1772</v>
      </c>
      <c r="C272" t="s">
        <v>1731</v>
      </c>
    </row>
    <row r="273" spans="1:3" x14ac:dyDescent="0.2">
      <c r="A273" t="s">
        <v>1791</v>
      </c>
      <c r="B273" t="s">
        <v>1837</v>
      </c>
      <c r="C273" t="s">
        <v>1729</v>
      </c>
    </row>
    <row r="274" spans="1:3" x14ac:dyDescent="0.2">
      <c r="A274" t="s">
        <v>1728</v>
      </c>
    </row>
    <row r="275" spans="1:3" x14ac:dyDescent="0.2">
      <c r="A275" t="s">
        <v>1730</v>
      </c>
      <c r="B275" t="s">
        <v>1773</v>
      </c>
      <c r="C275" t="s">
        <v>1731</v>
      </c>
    </row>
    <row r="276" spans="1:3" x14ac:dyDescent="0.2">
      <c r="A276" t="s">
        <v>1791</v>
      </c>
      <c r="B276" t="s">
        <v>1838</v>
      </c>
      <c r="C276" t="s">
        <v>1729</v>
      </c>
    </row>
    <row r="277" spans="1:3" x14ac:dyDescent="0.2">
      <c r="A277" t="s">
        <v>1728</v>
      </c>
    </row>
    <row r="278" spans="1:3" x14ac:dyDescent="0.2">
      <c r="A278" t="s">
        <v>1730</v>
      </c>
      <c r="B278" t="s">
        <v>1774</v>
      </c>
      <c r="C278" t="s">
        <v>1731</v>
      </c>
    </row>
    <row r="279" spans="1:3" x14ac:dyDescent="0.2">
      <c r="A279" t="s">
        <v>1791</v>
      </c>
      <c r="B279" t="s">
        <v>1839</v>
      </c>
      <c r="C279" t="s">
        <v>1729</v>
      </c>
    </row>
    <row r="280" spans="1:3" x14ac:dyDescent="0.2">
      <c r="A280" t="s">
        <v>1728</v>
      </c>
    </row>
    <row r="281" spans="1:3" x14ac:dyDescent="0.2">
      <c r="A281" t="s">
        <v>1730</v>
      </c>
      <c r="B281" t="s">
        <v>1775</v>
      </c>
      <c r="C281" t="s">
        <v>1731</v>
      </c>
    </row>
    <row r="282" spans="1:3" x14ac:dyDescent="0.2">
      <c r="A282" t="s">
        <v>1791</v>
      </c>
      <c r="B282" t="s">
        <v>1840</v>
      </c>
      <c r="C282" t="s">
        <v>1729</v>
      </c>
    </row>
    <row r="283" spans="1:3" x14ac:dyDescent="0.2">
      <c r="A283" t="s">
        <v>1728</v>
      </c>
    </row>
    <row r="284" spans="1:3" x14ac:dyDescent="0.2">
      <c r="A284" t="s">
        <v>1730</v>
      </c>
      <c r="B284" t="s">
        <v>1775</v>
      </c>
      <c r="C284" t="s">
        <v>1731</v>
      </c>
    </row>
    <row r="285" spans="1:3" x14ac:dyDescent="0.2">
      <c r="A285" t="s">
        <v>1791</v>
      </c>
      <c r="B285" t="s">
        <v>1841</v>
      </c>
      <c r="C285" t="s">
        <v>1729</v>
      </c>
    </row>
    <row r="286" spans="1:3" x14ac:dyDescent="0.2">
      <c r="A286" t="s">
        <v>1728</v>
      </c>
    </row>
    <row r="287" spans="1:3" x14ac:dyDescent="0.2">
      <c r="A287" t="s">
        <v>1730</v>
      </c>
      <c r="B287" t="s">
        <v>1776</v>
      </c>
      <c r="C287" t="s">
        <v>1731</v>
      </c>
    </row>
    <row r="288" spans="1:3" x14ac:dyDescent="0.2">
      <c r="A288" t="s">
        <v>1791</v>
      </c>
      <c r="B288" t="s">
        <v>1842</v>
      </c>
      <c r="C288" t="s">
        <v>1729</v>
      </c>
    </row>
    <row r="289" spans="1:3" x14ac:dyDescent="0.2">
      <c r="A289" t="s">
        <v>1728</v>
      </c>
    </row>
    <row r="290" spans="1:3" x14ac:dyDescent="0.2">
      <c r="A290" t="s">
        <v>1730</v>
      </c>
      <c r="B290" t="s">
        <v>886</v>
      </c>
      <c r="C290" t="s">
        <v>1731</v>
      </c>
    </row>
    <row r="291" spans="1:3" x14ac:dyDescent="0.2">
      <c r="A291" t="s">
        <v>1791</v>
      </c>
      <c r="B291" t="s">
        <v>1843</v>
      </c>
      <c r="C291" t="s">
        <v>1729</v>
      </c>
    </row>
    <row r="292" spans="1:3" x14ac:dyDescent="0.2">
      <c r="A292" t="s">
        <v>1728</v>
      </c>
    </row>
    <row r="293" spans="1:3" x14ac:dyDescent="0.2">
      <c r="A293" t="s">
        <v>1730</v>
      </c>
      <c r="B293" t="s">
        <v>1777</v>
      </c>
      <c r="C293" t="s">
        <v>1731</v>
      </c>
    </row>
    <row r="294" spans="1:3" x14ac:dyDescent="0.2">
      <c r="A294" t="s">
        <v>1791</v>
      </c>
      <c r="B294" t="s">
        <v>1844</v>
      </c>
      <c r="C294" t="s">
        <v>1729</v>
      </c>
    </row>
    <row r="295" spans="1:3" x14ac:dyDescent="0.2">
      <c r="A295" t="s">
        <v>1728</v>
      </c>
    </row>
    <row r="296" spans="1:3" x14ac:dyDescent="0.2">
      <c r="A296" t="s">
        <v>1730</v>
      </c>
      <c r="B296" t="s">
        <v>886</v>
      </c>
      <c r="C296" t="s">
        <v>1731</v>
      </c>
    </row>
    <row r="297" spans="1:3" x14ac:dyDescent="0.2">
      <c r="A297" t="s">
        <v>1791</v>
      </c>
      <c r="B297" t="s">
        <v>1845</v>
      </c>
      <c r="C297" t="s">
        <v>1729</v>
      </c>
    </row>
    <row r="298" spans="1:3" x14ac:dyDescent="0.2">
      <c r="A298" t="s">
        <v>1728</v>
      </c>
    </row>
    <row r="299" spans="1:3" x14ac:dyDescent="0.2">
      <c r="A299" t="s">
        <v>1730</v>
      </c>
      <c r="B299" t="s">
        <v>1776</v>
      </c>
      <c r="C299" t="s">
        <v>1731</v>
      </c>
    </row>
    <row r="300" spans="1:3" x14ac:dyDescent="0.2">
      <c r="A300" t="s">
        <v>1791</v>
      </c>
      <c r="B300" t="s">
        <v>1846</v>
      </c>
      <c r="C300" t="s">
        <v>1729</v>
      </c>
    </row>
    <row r="301" spans="1:3" x14ac:dyDescent="0.2">
      <c r="A301" t="s">
        <v>1728</v>
      </c>
    </row>
    <row r="302" spans="1:3" x14ac:dyDescent="0.2">
      <c r="A302" t="s">
        <v>1730</v>
      </c>
      <c r="B302" t="s">
        <v>1777</v>
      </c>
      <c r="C302" t="s">
        <v>1731</v>
      </c>
    </row>
    <row r="303" spans="1:3" x14ac:dyDescent="0.2">
      <c r="A303" t="s">
        <v>1791</v>
      </c>
      <c r="B303" t="s">
        <v>1847</v>
      </c>
      <c r="C303" t="s">
        <v>1729</v>
      </c>
    </row>
    <row r="304" spans="1:3" x14ac:dyDescent="0.2">
      <c r="A304" t="s">
        <v>1728</v>
      </c>
    </row>
    <row r="305" spans="1:3" x14ac:dyDescent="0.2">
      <c r="A305" t="s">
        <v>1730</v>
      </c>
      <c r="B305" t="s">
        <v>1778</v>
      </c>
      <c r="C305" t="s">
        <v>1731</v>
      </c>
    </row>
    <row r="306" spans="1:3" x14ac:dyDescent="0.2">
      <c r="A306" t="s">
        <v>1791</v>
      </c>
      <c r="B306" t="s">
        <v>1848</v>
      </c>
      <c r="C306" t="s">
        <v>1729</v>
      </c>
    </row>
    <row r="307" spans="1:3" x14ac:dyDescent="0.2">
      <c r="A307" t="s">
        <v>1728</v>
      </c>
    </row>
    <row r="308" spans="1:3" x14ac:dyDescent="0.2">
      <c r="A308" t="s">
        <v>1730</v>
      </c>
      <c r="B308" t="s">
        <v>1779</v>
      </c>
      <c r="C308" t="s">
        <v>1731</v>
      </c>
    </row>
    <row r="309" spans="1:3" x14ac:dyDescent="0.2">
      <c r="A309" t="s">
        <v>1791</v>
      </c>
      <c r="B309" t="s">
        <v>1849</v>
      </c>
      <c r="C309" t="s">
        <v>1729</v>
      </c>
    </row>
    <row r="310" spans="1:3" x14ac:dyDescent="0.2">
      <c r="A310" t="s">
        <v>1728</v>
      </c>
    </row>
    <row r="311" spans="1:3" x14ac:dyDescent="0.2">
      <c r="A311" t="s">
        <v>1730</v>
      </c>
      <c r="B311" t="s">
        <v>1780</v>
      </c>
      <c r="C311" t="s">
        <v>1731</v>
      </c>
    </row>
    <row r="312" spans="1:3" x14ac:dyDescent="0.2">
      <c r="A312" t="s">
        <v>1791</v>
      </c>
      <c r="B312" t="s">
        <v>1850</v>
      </c>
      <c r="C312" t="s">
        <v>1729</v>
      </c>
    </row>
    <row r="313" spans="1:3" x14ac:dyDescent="0.2">
      <c r="A313" t="s">
        <v>1728</v>
      </c>
    </row>
    <row r="314" spans="1:3" x14ac:dyDescent="0.2">
      <c r="A314" t="s">
        <v>1730</v>
      </c>
      <c r="B314" t="s">
        <v>1781</v>
      </c>
      <c r="C314" t="s">
        <v>1731</v>
      </c>
    </row>
    <row r="315" spans="1:3" x14ac:dyDescent="0.2">
      <c r="A315" t="s">
        <v>1791</v>
      </c>
      <c r="B315" t="s">
        <v>1851</v>
      </c>
      <c r="C315" t="s">
        <v>1729</v>
      </c>
    </row>
    <row r="316" spans="1:3" x14ac:dyDescent="0.2">
      <c r="A316" t="s">
        <v>1728</v>
      </c>
    </row>
    <row r="317" spans="1:3" x14ac:dyDescent="0.2">
      <c r="A317" t="s">
        <v>1730</v>
      </c>
      <c r="B317" t="s">
        <v>1782</v>
      </c>
      <c r="C317" t="s">
        <v>1731</v>
      </c>
    </row>
    <row r="318" spans="1:3" x14ac:dyDescent="0.2">
      <c r="A318" t="s">
        <v>1791</v>
      </c>
      <c r="B318" t="s">
        <v>1852</v>
      </c>
      <c r="C318" t="s">
        <v>1729</v>
      </c>
    </row>
    <row r="319" spans="1:3" x14ac:dyDescent="0.2">
      <c r="A319" t="s">
        <v>1728</v>
      </c>
    </row>
    <row r="320" spans="1:3" x14ac:dyDescent="0.2">
      <c r="A320" t="s">
        <v>1730</v>
      </c>
      <c r="B320" t="s">
        <v>1783</v>
      </c>
      <c r="C320" t="s">
        <v>1731</v>
      </c>
    </row>
    <row r="321" spans="1:3" x14ac:dyDescent="0.2">
      <c r="A321" t="s">
        <v>1791</v>
      </c>
      <c r="B321" t="s">
        <v>1853</v>
      </c>
      <c r="C321" t="s">
        <v>1729</v>
      </c>
    </row>
    <row r="322" spans="1:3" x14ac:dyDescent="0.2">
      <c r="A322" t="s">
        <v>1728</v>
      </c>
    </row>
    <row r="323" spans="1:3" x14ac:dyDescent="0.2">
      <c r="A323" t="s">
        <v>1730</v>
      </c>
      <c r="B323">
        <v>1250</v>
      </c>
      <c r="C323" t="s">
        <v>1731</v>
      </c>
    </row>
    <row r="324" spans="1:3" x14ac:dyDescent="0.2">
      <c r="A324" t="s">
        <v>1791</v>
      </c>
      <c r="B324" t="s">
        <v>1854</v>
      </c>
      <c r="C324" t="s">
        <v>1729</v>
      </c>
    </row>
    <row r="325" spans="1:3" x14ac:dyDescent="0.2">
      <c r="A325" t="s">
        <v>1728</v>
      </c>
    </row>
    <row r="326" spans="1:3" x14ac:dyDescent="0.2">
      <c r="A326" t="s">
        <v>1730</v>
      </c>
      <c r="B326">
        <v>300</v>
      </c>
      <c r="C326" t="s">
        <v>1731</v>
      </c>
    </row>
    <row r="327" spans="1:3" x14ac:dyDescent="0.2">
      <c r="A327" t="s">
        <v>1791</v>
      </c>
      <c r="B327" t="s">
        <v>1855</v>
      </c>
      <c r="C327" t="s">
        <v>1729</v>
      </c>
    </row>
    <row r="328" spans="1:3" x14ac:dyDescent="0.2">
      <c r="A328" t="s">
        <v>1728</v>
      </c>
    </row>
    <row r="329" spans="1:3" x14ac:dyDescent="0.2">
      <c r="A329" t="s">
        <v>1730</v>
      </c>
      <c r="B329">
        <v>450</v>
      </c>
      <c r="C329" t="s">
        <v>1731</v>
      </c>
    </row>
    <row r="330" spans="1:3" x14ac:dyDescent="0.2">
      <c r="A330" t="s">
        <v>1791</v>
      </c>
      <c r="B330" t="s">
        <v>1856</v>
      </c>
      <c r="C330" t="s">
        <v>1729</v>
      </c>
    </row>
    <row r="331" spans="1:3" x14ac:dyDescent="0.2">
      <c r="A331" t="s">
        <v>1728</v>
      </c>
    </row>
    <row r="332" spans="1:3" x14ac:dyDescent="0.2">
      <c r="A332" t="s">
        <v>1730</v>
      </c>
      <c r="B332">
        <v>400</v>
      </c>
      <c r="C332" t="s">
        <v>1731</v>
      </c>
    </row>
    <row r="333" spans="1:3" x14ac:dyDescent="0.2">
      <c r="A333" t="s">
        <v>1791</v>
      </c>
      <c r="B333" t="s">
        <v>1857</v>
      </c>
      <c r="C333" t="s">
        <v>1729</v>
      </c>
    </row>
    <row r="334" spans="1:3" x14ac:dyDescent="0.2">
      <c r="A334" t="s">
        <v>1728</v>
      </c>
    </row>
    <row r="335" spans="1:3" x14ac:dyDescent="0.2">
      <c r="A335" t="s">
        <v>1730</v>
      </c>
      <c r="B335">
        <v>600</v>
      </c>
      <c r="C335" t="s">
        <v>1731</v>
      </c>
    </row>
    <row r="336" spans="1:3" x14ac:dyDescent="0.2">
      <c r="A336" t="s">
        <v>1791</v>
      </c>
      <c r="B336" t="s">
        <v>1858</v>
      </c>
      <c r="C336" t="s">
        <v>1729</v>
      </c>
    </row>
    <row r="337" spans="1:3" x14ac:dyDescent="0.2">
      <c r="A337" t="s">
        <v>1728</v>
      </c>
    </row>
    <row r="338" spans="1:3" x14ac:dyDescent="0.2">
      <c r="A338" t="s">
        <v>1730</v>
      </c>
      <c r="B338" t="s">
        <v>1784</v>
      </c>
      <c r="C338" t="s">
        <v>1731</v>
      </c>
    </row>
    <row r="339" spans="1:3" x14ac:dyDescent="0.2">
      <c r="A339" t="s">
        <v>1785</v>
      </c>
    </row>
    <row r="340" spans="1:3" x14ac:dyDescent="0.2">
      <c r="A340" t="s">
        <v>1786</v>
      </c>
    </row>
    <row r="341" spans="1:3" x14ac:dyDescent="0.2">
      <c r="A341" t="s">
        <v>1787</v>
      </c>
    </row>
    <row r="342" spans="1:3" x14ac:dyDescent="0.2">
      <c r="A342" t="s">
        <v>1788</v>
      </c>
    </row>
    <row r="343" spans="1:3" x14ac:dyDescent="0.2">
      <c r="A343" t="s">
        <v>1789</v>
      </c>
    </row>
    <row r="344" spans="1:3" x14ac:dyDescent="0.2">
      <c r="A344" t="s">
        <v>1788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81" r:id="rId4" name="Button 1">
              <controlPr defaultSize="0" print="0" autoFill="0" autoPict="0" macro="[0]!rcclispeditor">
                <anchor moveWithCells="1" sizeWithCells="1">
                  <from>
                    <xdr:col>4</xdr:col>
                    <xdr:colOff>0</xdr:colOff>
                    <xdr:row>0</xdr:row>
                    <xdr:rowOff>76200</xdr:rowOff>
                  </from>
                  <to>
                    <xdr:col>7</xdr:col>
                    <xdr:colOff>161925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2:M57"/>
  <sheetViews>
    <sheetView topLeftCell="A13" workbookViewId="0">
      <selection activeCell="G35" sqref="G35"/>
    </sheetView>
  </sheetViews>
  <sheetFormatPr defaultRowHeight="12.75" x14ac:dyDescent="0.2"/>
  <sheetData>
    <row r="2" spans="2:12" x14ac:dyDescent="0.2">
      <c r="B2">
        <v>3</v>
      </c>
      <c r="C2" t="s">
        <v>223</v>
      </c>
    </row>
    <row r="4" spans="2:12" x14ac:dyDescent="0.2">
      <c r="C4" t="s">
        <v>470</v>
      </c>
      <c r="G4">
        <v>50</v>
      </c>
      <c r="H4" t="s">
        <v>228</v>
      </c>
      <c r="J4" t="s">
        <v>1958</v>
      </c>
      <c r="L4" t="e">
        <f>Calculation!#REF!</f>
        <v>#REF!</v>
      </c>
    </row>
    <row r="5" spans="2:12" x14ac:dyDescent="0.2">
      <c r="C5" t="s">
        <v>224</v>
      </c>
      <c r="G5">
        <v>1.08</v>
      </c>
    </row>
    <row r="6" spans="2:12" x14ac:dyDescent="0.2">
      <c r="C6" t="s">
        <v>225</v>
      </c>
      <c r="G6" t="e">
        <f>LOOKUP(L6,T5:T29,U5:U29)</f>
        <v>#N/A</v>
      </c>
      <c r="I6" t="s">
        <v>1951</v>
      </c>
      <c r="K6" t="s">
        <v>1956</v>
      </c>
      <c r="L6">
        <v>10</v>
      </c>
    </row>
    <row r="7" spans="2:12" x14ac:dyDescent="0.2">
      <c r="C7" t="s">
        <v>226</v>
      </c>
      <c r="G7">
        <v>1</v>
      </c>
      <c r="L7">
        <v>15</v>
      </c>
    </row>
    <row r="8" spans="2:12" x14ac:dyDescent="0.2">
      <c r="C8" t="s">
        <v>471</v>
      </c>
      <c r="G8">
        <v>1.3</v>
      </c>
      <c r="H8" t="s">
        <v>499</v>
      </c>
      <c r="L8">
        <v>20</v>
      </c>
    </row>
    <row r="9" spans="2:12" x14ac:dyDescent="0.2">
      <c r="D9" t="s">
        <v>472</v>
      </c>
      <c r="G9" t="e">
        <f>G4*G5*G6*G7*G8</f>
        <v>#N/A</v>
      </c>
      <c r="L9">
        <v>30</v>
      </c>
    </row>
    <row r="10" spans="2:12" x14ac:dyDescent="0.2">
      <c r="C10" t="s">
        <v>1175</v>
      </c>
      <c r="E10" t="s">
        <v>1169</v>
      </c>
      <c r="F10" t="s">
        <v>442</v>
      </c>
      <c r="G10" t="e">
        <f>(0.6*G9*G9)</f>
        <v>#N/A</v>
      </c>
      <c r="H10" t="e">
        <f>ROUND((G10/10000),3)</f>
        <v>#N/A</v>
      </c>
      <c r="I10" t="s">
        <v>234</v>
      </c>
    </row>
    <row r="11" spans="2:12" x14ac:dyDescent="0.2">
      <c r="C11" t="s">
        <v>1170</v>
      </c>
      <c r="G11">
        <v>1</v>
      </c>
      <c r="H11" t="s">
        <v>1173</v>
      </c>
    </row>
    <row r="12" spans="2:12" x14ac:dyDescent="0.2">
      <c r="C12" t="s">
        <v>1174</v>
      </c>
      <c r="G12" t="e">
        <f>(Calculation!#REF!+Calculation!#REF!)*(Calculation!#REF!+Calculation!#REF!)</f>
        <v>#REF!</v>
      </c>
      <c r="H12" t="s">
        <v>610</v>
      </c>
    </row>
    <row r="13" spans="2:12" x14ac:dyDescent="0.2">
      <c r="C13" t="s">
        <v>1171</v>
      </c>
      <c r="G13">
        <f>P7</f>
        <v>0</v>
      </c>
    </row>
    <row r="14" spans="2:12" x14ac:dyDescent="0.2">
      <c r="C14" t="s">
        <v>1172</v>
      </c>
      <c r="G14">
        <v>1</v>
      </c>
    </row>
    <row r="15" spans="2:12" x14ac:dyDescent="0.2">
      <c r="C15" t="s">
        <v>1176</v>
      </c>
      <c r="G15" t="e">
        <f>H10*G11*G13*G14</f>
        <v>#N/A</v>
      </c>
      <c r="H15" t="s">
        <v>234</v>
      </c>
    </row>
    <row r="18" spans="2:13" x14ac:dyDescent="0.2">
      <c r="B18" t="s">
        <v>498</v>
      </c>
      <c r="E18" t="e">
        <f>"(0.7*"&amp;G15&amp;")"</f>
        <v>#N/A</v>
      </c>
      <c r="G18" t="e">
        <f>0.7*G15</f>
        <v>#N/A</v>
      </c>
      <c r="H18" t="s">
        <v>234</v>
      </c>
    </row>
    <row r="19" spans="2:13" x14ac:dyDescent="0.2">
      <c r="F19" t="s">
        <v>500</v>
      </c>
      <c r="G19" t="e">
        <f>ROUND(G18,2)</f>
        <v>#N/A</v>
      </c>
      <c r="H19" t="s">
        <v>234</v>
      </c>
    </row>
    <row r="20" spans="2:13" x14ac:dyDescent="0.2">
      <c r="C20" t="s">
        <v>473</v>
      </c>
      <c r="L20">
        <f>Calculation!$F$86+2*Calculation!$B$86</f>
        <v>9.5</v>
      </c>
      <c r="M20" t="s">
        <v>74</v>
      </c>
    </row>
    <row r="22" spans="2:13" x14ac:dyDescent="0.2">
      <c r="C22" t="s">
        <v>474</v>
      </c>
      <c r="L22">
        <f>Calculation!$F$88+Calculation!$F$80</f>
        <v>6.1669999999999998</v>
      </c>
      <c r="M22" t="s">
        <v>74</v>
      </c>
    </row>
    <row r="24" spans="2:13" x14ac:dyDescent="0.2">
      <c r="C24" t="s">
        <v>475</v>
      </c>
      <c r="L24" t="e">
        <f>0.7*L20*L22*G18</f>
        <v>#N/A</v>
      </c>
      <c r="M24" t="s">
        <v>229</v>
      </c>
    </row>
    <row r="26" spans="2:13" x14ac:dyDescent="0.2">
      <c r="C26" t="s">
        <v>682</v>
      </c>
      <c r="G26" t="str">
        <f>"(0.8*"&amp;$F$212&amp;"*"&amp;Calculation!$D$98&amp;")"</f>
        <v>(0.8**0.5)</v>
      </c>
      <c r="L26">
        <f>(0.8*$F$212*Calculation!$D$98)</f>
        <v>0</v>
      </c>
      <c r="M26" t="s">
        <v>285</v>
      </c>
    </row>
    <row r="27" spans="2:13" x14ac:dyDescent="0.2">
      <c r="C27" t="s">
        <v>683</v>
      </c>
      <c r="G27" t="str">
        <f>"(1.2*"&amp;$F$212&amp;"*"&amp;$B$24&amp;"/1000)"</f>
        <v>(1.2**/1000)</v>
      </c>
      <c r="L27">
        <f>(1.2*$F$212*$B$24/1000)</f>
        <v>0</v>
      </c>
      <c r="M27" t="s">
        <v>285</v>
      </c>
    </row>
    <row r="29" spans="2:13" x14ac:dyDescent="0.2">
      <c r="C29" t="s">
        <v>513</v>
      </c>
    </row>
    <row r="31" spans="2:13" x14ac:dyDescent="0.2">
      <c r="C31" t="s">
        <v>514</v>
      </c>
    </row>
    <row r="32" spans="2:13" x14ac:dyDescent="0.2">
      <c r="C32" t="s">
        <v>516</v>
      </c>
      <c r="L32">
        <f>Calculation!$F$61</f>
        <v>7.1</v>
      </c>
      <c r="M32" t="s">
        <v>74</v>
      </c>
    </row>
    <row r="33" spans="2:13" x14ac:dyDescent="0.2">
      <c r="C33" t="s">
        <v>515</v>
      </c>
      <c r="L33">
        <f>$K$35</f>
        <v>0</v>
      </c>
      <c r="M33" t="s">
        <v>229</v>
      </c>
    </row>
    <row r="34" spans="2:13" x14ac:dyDescent="0.2">
      <c r="B34">
        <v>1</v>
      </c>
      <c r="C34" t="s">
        <v>517</v>
      </c>
      <c r="L34">
        <f>ROUND((L33/(3.14*L32)),3)</f>
        <v>0</v>
      </c>
      <c r="M34" t="s">
        <v>285</v>
      </c>
    </row>
    <row r="35" spans="2:13" x14ac:dyDescent="0.2">
      <c r="C35" t="s">
        <v>518</v>
      </c>
      <c r="L35">
        <f>$K$51</f>
        <v>0</v>
      </c>
      <c r="M35" t="s">
        <v>229</v>
      </c>
    </row>
    <row r="36" spans="2:13" x14ac:dyDescent="0.2">
      <c r="B36">
        <v>2</v>
      </c>
      <c r="C36" t="s">
        <v>517</v>
      </c>
      <c r="L36">
        <f>ROUND((L35/(3.14*L32)),3)</f>
        <v>0</v>
      </c>
      <c r="M36" t="s">
        <v>285</v>
      </c>
    </row>
    <row r="38" spans="2:13" x14ac:dyDescent="0.2">
      <c r="B38">
        <v>3</v>
      </c>
      <c r="C38" t="s">
        <v>519</v>
      </c>
      <c r="J38" t="s">
        <v>520</v>
      </c>
    </row>
    <row r="40" spans="2:13" x14ac:dyDescent="0.2">
      <c r="C40" t="s">
        <v>522</v>
      </c>
    </row>
    <row r="41" spans="2:13" x14ac:dyDescent="0.2">
      <c r="C41" t="s">
        <v>551</v>
      </c>
      <c r="L41">
        <f>$K$41</f>
        <v>0</v>
      </c>
      <c r="M41" t="s">
        <v>74</v>
      </c>
    </row>
    <row r="42" spans="2:13" x14ac:dyDescent="0.2">
      <c r="C42" t="s">
        <v>552</v>
      </c>
      <c r="L42" t="str">
        <f>$C$31</f>
        <v xml:space="preserve">Vertical load </v>
      </c>
      <c r="M42" t="s">
        <v>332</v>
      </c>
    </row>
    <row r="43" spans="2:13" x14ac:dyDescent="0.2">
      <c r="B43">
        <v>1</v>
      </c>
      <c r="C43" t="s">
        <v>523</v>
      </c>
      <c r="L43">
        <f>ROUND(($K$125),3)</f>
        <v>0</v>
      </c>
      <c r="M43" t="s">
        <v>229</v>
      </c>
    </row>
    <row r="44" spans="2:13" x14ac:dyDescent="0.2">
      <c r="C44" t="s">
        <v>553</v>
      </c>
      <c r="L44" t="e">
        <f>L43/L42</f>
        <v>#VALUE!</v>
      </c>
      <c r="M44" t="s">
        <v>229</v>
      </c>
    </row>
    <row r="45" spans="2:13" x14ac:dyDescent="0.2">
      <c r="C45" t="s">
        <v>554</v>
      </c>
      <c r="L45" t="e">
        <f>ROUND((L44*L41),2)</f>
        <v>#VALUE!</v>
      </c>
      <c r="M45" t="s">
        <v>507</v>
      </c>
    </row>
    <row r="46" spans="2:13" x14ac:dyDescent="0.2">
      <c r="C46" t="s">
        <v>517</v>
      </c>
      <c r="L46">
        <f>(L34+L36)</f>
        <v>0</v>
      </c>
      <c r="M46" t="s">
        <v>285</v>
      </c>
    </row>
    <row r="48" spans="2:13" x14ac:dyDescent="0.2">
      <c r="C48" t="s">
        <v>551</v>
      </c>
      <c r="L48">
        <f>L22/2</f>
        <v>3.0834999999999999</v>
      </c>
      <c r="M48" t="s">
        <v>74</v>
      </c>
    </row>
    <row r="49" spans="2:13" x14ac:dyDescent="0.2">
      <c r="B49">
        <v>2</v>
      </c>
      <c r="C49" t="s">
        <v>680</v>
      </c>
      <c r="L49">
        <f>ROUND(($K$221),3)</f>
        <v>0</v>
      </c>
      <c r="M49" t="s">
        <v>229</v>
      </c>
    </row>
    <row r="50" spans="2:13" x14ac:dyDescent="0.2">
      <c r="C50" t="s">
        <v>553</v>
      </c>
      <c r="L50" t="e">
        <f>L49/L42</f>
        <v>#VALUE!</v>
      </c>
      <c r="M50" t="s">
        <v>229</v>
      </c>
    </row>
    <row r="51" spans="2:13" x14ac:dyDescent="0.2">
      <c r="C51" t="s">
        <v>554</v>
      </c>
      <c r="L51" t="e">
        <f>ROUND((L50*L48),2)</f>
        <v>#VALUE!</v>
      </c>
      <c r="M51" t="s">
        <v>560</v>
      </c>
    </row>
    <row r="52" spans="2:13" x14ac:dyDescent="0.2">
      <c r="C52" t="s">
        <v>517</v>
      </c>
      <c r="L52">
        <f>L34</f>
        <v>0</v>
      </c>
      <c r="M52" t="s">
        <v>285</v>
      </c>
    </row>
    <row r="54" spans="2:13" x14ac:dyDescent="0.2">
      <c r="B54">
        <v>3</v>
      </c>
      <c r="C54" t="s">
        <v>681</v>
      </c>
      <c r="L54">
        <f>ROUND(($K$221),3)</f>
        <v>0</v>
      </c>
      <c r="M54" t="s">
        <v>229</v>
      </c>
    </row>
    <row r="55" spans="2:13" x14ac:dyDescent="0.2">
      <c r="C55" t="s">
        <v>553</v>
      </c>
      <c r="L55" t="e">
        <f>L54/L42</f>
        <v>#VALUE!</v>
      </c>
      <c r="M55" t="s">
        <v>229</v>
      </c>
    </row>
    <row r="56" spans="2:13" x14ac:dyDescent="0.2">
      <c r="C56" t="s">
        <v>554</v>
      </c>
      <c r="L56" t="e">
        <f>ROUND((L55*L48),2)</f>
        <v>#VALUE!</v>
      </c>
      <c r="M56" t="s">
        <v>560</v>
      </c>
    </row>
    <row r="57" spans="2:13" x14ac:dyDescent="0.2">
      <c r="C57" t="s">
        <v>517</v>
      </c>
      <c r="L57">
        <f>L46</f>
        <v>0</v>
      </c>
      <c r="M57" t="s">
        <v>285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38</vt:i4>
      </vt:variant>
    </vt:vector>
  </HeadingPairs>
  <TitlesOfParts>
    <vt:vector size="52" baseType="lpstr">
      <vt:lpstr>cover page</vt:lpstr>
      <vt:lpstr>index</vt:lpstr>
      <vt:lpstr>intro</vt:lpstr>
      <vt:lpstr>Calculation</vt:lpstr>
      <vt:lpstr>cont ana</vt:lpstr>
      <vt:lpstr>Earthquake &amp; wind</vt:lpstr>
      <vt:lpstr>fdn annular </vt:lpstr>
      <vt:lpstr>list</vt:lpstr>
      <vt:lpstr>tc</vt:lpstr>
      <vt:lpstr>fdn  full</vt:lpstr>
      <vt:lpstr>std</vt:lpstr>
      <vt:lpstr>ga</vt:lpstr>
      <vt:lpstr>dwg -rcc</vt:lpstr>
      <vt:lpstr>Sheet1</vt:lpstr>
      <vt:lpstr>Calculation!Print_Area</vt:lpstr>
      <vt:lpstr>'cont ana'!Print_Area</vt:lpstr>
      <vt:lpstr>'cover page'!Print_Area</vt:lpstr>
      <vt:lpstr>'Earthquake &amp; wind'!Print_Area</vt:lpstr>
      <vt:lpstr>'fdn  full'!Print_Area</vt:lpstr>
      <vt:lpstr>'fdn annular '!Print_Area</vt:lpstr>
      <vt:lpstr>index!Print_Area</vt:lpstr>
      <vt:lpstr>intro!Print_Area</vt:lpstr>
      <vt:lpstr>std!Print_Area</vt:lpstr>
      <vt:lpstr>Calculation!Print_Titles</vt:lpstr>
      <vt:lpstr>'cont ana'!Print_Titles</vt:lpstr>
      <vt:lpstr>'Earthquake &amp; wind'!Print_Titles</vt:lpstr>
      <vt:lpstr>'fdn annular '!Print_Titles</vt:lpstr>
      <vt:lpstr>intro!Print_Titles</vt:lpstr>
      <vt:lpstr>'fdn  full'!t</vt:lpstr>
      <vt:lpstr>'fdn annular '!t</vt:lpstr>
      <vt:lpstr>'fdn  full'!tt</vt:lpstr>
      <vt:lpstr>'fdn annular '!tt</vt:lpstr>
      <vt:lpstr>'fdn  full'!ttt</vt:lpstr>
      <vt:lpstr>'fdn annular '!ttt</vt:lpstr>
      <vt:lpstr>'fdn  full'!tttt</vt:lpstr>
      <vt:lpstr>'fdn annular '!tttt</vt:lpstr>
      <vt:lpstr>'fdn  full'!x</vt:lpstr>
      <vt:lpstr>'fdn annular '!x</vt:lpstr>
      <vt:lpstr>'fdn  full'!xx</vt:lpstr>
      <vt:lpstr>'fdn annular '!xx</vt:lpstr>
      <vt:lpstr>'fdn  full'!xxx</vt:lpstr>
      <vt:lpstr>'fdn annular '!xxx</vt:lpstr>
      <vt:lpstr>'fdn  full'!xxxx</vt:lpstr>
      <vt:lpstr>'fdn annular '!xxxx</vt:lpstr>
      <vt:lpstr>'fdn  full'!y</vt:lpstr>
      <vt:lpstr>'fdn annular '!y</vt:lpstr>
      <vt:lpstr>'fdn  full'!yy</vt:lpstr>
      <vt:lpstr>'fdn annular '!yy</vt:lpstr>
      <vt:lpstr>'fdn  full'!yyy</vt:lpstr>
      <vt:lpstr>'fdn annular '!yyy</vt:lpstr>
      <vt:lpstr>'fdn  full'!yyyy</vt:lpstr>
      <vt:lpstr>'fdn annular '!yyyy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</dc:creator>
  <cp:lastModifiedBy>User</cp:lastModifiedBy>
  <cp:lastPrinted>2023-04-04T12:53:37Z</cp:lastPrinted>
  <dcterms:created xsi:type="dcterms:W3CDTF">2013-03-01T10:13:11Z</dcterms:created>
  <dcterms:modified xsi:type="dcterms:W3CDTF">2023-06-08T09:57:53Z</dcterms:modified>
</cp:coreProperties>
</file>